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C2C09AD0-CB9D-4A8E-98E8-4227F7983E0A}" xr6:coauthVersionLast="47" xr6:coauthVersionMax="47" xr10:uidLastSave="{00000000-0000-0000-0000-000000000000}"/>
  <bookViews>
    <workbookView xWindow="-28920" yWindow="-5745" windowWidth="29040" windowHeight="1599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state="hidden" r:id="rId21"/>
    <sheet name="General (SAPI)" sheetId="50" state="hidden" r:id="rId22"/>
    <sheet name="Unreinf Pole (SAPI)" sheetId="48" state="hidden" r:id="rId23"/>
    <sheet name="Reinf Pole (SAPI)" sheetId="49" state="hidden" r:id="rId24"/>
    <sheet name="Reinf Groups (SAPI)" sheetId="51" state="hidden" r:id="rId25"/>
    <sheet name="Reinf ID (SAPI)" sheetId="52" state="hidden" r:id="rId26"/>
    <sheet name="Interference Groups (SAPI)" sheetId="54" state="hidden" r:id="rId27"/>
    <sheet name="Interference ID (SAPI)" sheetId="53" state="hidden" r:id="rId28"/>
    <sheet name="Section Results (DNU)" sheetId="55" state="veryHidden" r:id="rId29"/>
    <sheet name="Reinf Results (SAPI)" sheetId="56" state="hidden" r:id="rId30"/>
    <sheet name="Materials (SAPI)" sheetId="60" state="hidden" r:id="rId31"/>
    <sheet name="Bolts (SAPI)" sheetId="58" state="hidden" r:id="rId32"/>
    <sheet name="Reinforcements (SAPI)" sheetId="57" state="hidden"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Bolts!$B$4:$B$14</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Results!$G$5:$G$55</definedName>
    <definedName name="ErrHnd">Controls!$C$28</definedName>
    <definedName name="filename_search_keyword">'Import Ranges'!$AB$1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Materials!$B$3:$B$21</definedName>
    <definedName name="modified">'Macro References'!$A$134</definedName>
    <definedName name="New_TNX_File" localSheetId="10">'Raw TNX File'!$A$1:$A$4674</definedName>
    <definedName name="New_TNX_File" localSheetId="11">'TNX Integration'!$B$1:$B$4674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 localSheetId="11">'TNX Integration'!$B$1:$B$4674</definedName>
    <definedName name="Old_TNX_File_1" localSheetId="10">'Raw TNX File'!$A$1:$A$4527</definedName>
    <definedName name="Old_TNX_File_1" localSheetId="11">'TNX Integration'!$B$1:$B$4527</definedName>
    <definedName name="Old_TNX_File_2" localSheetId="10">'Raw TNX File'!$A$1:$A$4527</definedName>
    <definedName name="Old_TNX_File_2" localSheetId="11">'TNX Integration'!$B$1:$B$4527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'Reinforcements'!$B$3:$B$69</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37" l="1" a="1"/>
  <c r="I2" i="37" s="1"/>
  <c r="G4" i="33"/>
  <c r="G1" i="33"/>
  <c r="G6" i="33"/>
  <c r="EH4" i="32"/>
  <c r="EH5" i="32"/>
  <c r="EH6" i="32"/>
  <c r="EH7" i="32"/>
  <c r="EH8" i="32"/>
  <c r="EH9" i="32"/>
  <c r="EH10" i="32"/>
  <c r="EH11" i="32"/>
  <c r="EH12" i="32"/>
  <c r="EH13" i="32"/>
  <c r="EH14" i="32"/>
  <c r="EH15" i="32"/>
  <c r="EH16" i="32"/>
  <c r="EH17" i="32"/>
  <c r="EH18" i="32"/>
  <c r="EH19" i="32"/>
  <c r="EH20" i="32"/>
  <c r="EH21" i="32"/>
  <c r="EH22" i="32"/>
  <c r="EH23" i="32"/>
  <c r="EH24" i="32"/>
  <c r="EH25" i="32"/>
  <c r="EH26" i="32"/>
  <c r="EH27" i="32"/>
  <c r="EH28" i="32"/>
  <c r="EH29" i="32"/>
  <c r="EH30" i="32"/>
  <c r="EH31" i="32"/>
  <c r="EH32" i="32"/>
  <c r="EH33" i="32"/>
  <c r="EH34" i="32"/>
  <c r="EH35" i="32"/>
  <c r="EH36" i="32"/>
  <c r="EH37" i="32"/>
  <c r="EH38" i="32"/>
  <c r="EH39" i="32"/>
  <c r="EH40" i="32"/>
  <c r="EH41" i="32"/>
  <c r="EH42" i="32"/>
  <c r="EH43" i="32"/>
  <c r="EH44" i="32"/>
  <c r="EH45" i="32"/>
  <c r="EH46" i="32"/>
  <c r="EH47" i="32"/>
  <c r="EH48" i="32"/>
  <c r="EH49" i="32"/>
  <c r="EH50" i="32"/>
  <c r="EH51" i="32"/>
  <c r="EH52" i="32"/>
  <c r="EH53" i="32"/>
  <c r="EH54" i="32"/>
  <c r="EH55" i="32"/>
  <c r="EH56" i="32"/>
  <c r="EH57" i="32"/>
  <c r="EH58" i="32"/>
  <c r="EH59" i="32"/>
  <c r="EH60" i="32"/>
  <c r="EH61" i="32"/>
  <c r="EH62" i="32"/>
  <c r="EH63" i="32"/>
  <c r="EH64" i="32"/>
  <c r="EH65" i="32"/>
  <c r="EH66" i="32"/>
  <c r="EH67" i="32"/>
  <c r="EH68" i="32"/>
  <c r="EH69" i="32"/>
  <c r="EH70" i="32"/>
  <c r="EH71" i="32"/>
  <c r="EH72" i="32"/>
  <c r="EH73" i="32"/>
  <c r="EH74" i="32"/>
  <c r="EH75" i="32"/>
  <c r="EH76" i="32"/>
  <c r="EH77" i="32"/>
  <c r="EH78" i="32"/>
  <c r="EH79" i="32"/>
  <c r="EH80" i="32"/>
  <c r="EH81" i="32"/>
  <c r="EH82" i="32"/>
  <c r="EH83" i="32"/>
  <c r="EH3" i="32"/>
  <c r="C201" i="52"/>
  <c r="C201" i="53"/>
  <c r="AO16" i="41" l="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EA61" i="32"/>
  <c r="EB61" i="32"/>
  <c r="ED61" i="32"/>
  <c r="EZ61" i="32" s="1"/>
  <c r="EE61" i="32"/>
  <c r="FD61" i="32"/>
  <c r="FE61" i="32" s="1"/>
  <c r="EN61" i="32"/>
  <c r="EO61" i="32"/>
  <c r="EL61" i="32"/>
  <c r="EM61" i="32"/>
  <c r="GJ61" i="32"/>
  <c r="CC61" i="32"/>
  <c r="CD61" i="32"/>
  <c r="CG61" i="32"/>
  <c r="CN61" i="32"/>
  <c r="DL61" i="32" s="1"/>
  <c r="GH61" i="32" s="1"/>
  <c r="CQ61" i="32"/>
  <c r="CR61" i="32"/>
  <c r="CS61" i="32"/>
  <c r="DD61" i="32"/>
  <c r="DE61" i="32"/>
  <c r="DF61" i="32"/>
  <c r="DG61" i="32"/>
  <c r="DJ61" i="32"/>
  <c r="GF61" i="32" s="1"/>
  <c r="DK61" i="32"/>
  <c r="GG61" i="32" s="1"/>
  <c r="DW61" i="32"/>
  <c r="GW61" i="32" s="1"/>
  <c r="DX61" i="32"/>
  <c r="GX61" i="32" s="1"/>
  <c r="DY61" i="32"/>
  <c r="GY61" i="32" s="1"/>
  <c r="DZ61" i="32"/>
  <c r="GZ61" i="32" s="1"/>
  <c r="EF61" i="32"/>
  <c r="EK61" i="32"/>
  <c r="ET61" i="32" s="1"/>
  <c r="EY61" i="32"/>
  <c r="FF61" i="32"/>
  <c r="FG61" i="32"/>
  <c r="FH61" i="32"/>
  <c r="FJ61" i="32"/>
  <c r="FK61" i="32"/>
  <c r="HB61" i="32"/>
  <c r="EB62" i="32"/>
  <c r="ED62" i="32"/>
  <c r="EE62" i="32"/>
  <c r="FD62" i="32"/>
  <c r="EN62" i="32"/>
  <c r="EO62" i="32"/>
  <c r="EM62" i="32"/>
  <c r="GJ62" i="32"/>
  <c r="GM62" i="32"/>
  <c r="CC62" i="32"/>
  <c r="CD62" i="32"/>
  <c r="CG62" i="32"/>
  <c r="CN62" i="32"/>
  <c r="DL62" i="32" s="1"/>
  <c r="GH62" i="32" s="1"/>
  <c r="CQ62" i="32"/>
  <c r="CR62" i="32"/>
  <c r="CS62" i="32"/>
  <c r="DD62" i="32"/>
  <c r="DE62" i="32"/>
  <c r="DF62" i="32"/>
  <c r="DG62" i="32"/>
  <c r="DJ62" i="32"/>
  <c r="GF62" i="32" s="1"/>
  <c r="DK62" i="32"/>
  <c r="GG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HB62" i="32"/>
  <c r="EA63" i="32"/>
  <c r="EB63" i="32"/>
  <c r="ED63" i="32"/>
  <c r="EE63" i="32"/>
  <c r="FD63" i="32"/>
  <c r="EN63" i="32"/>
  <c r="EO63" i="32"/>
  <c r="EM63" i="32"/>
  <c r="GM63" i="32"/>
  <c r="CC63" i="32"/>
  <c r="CD63" i="32"/>
  <c r="CG63" i="32"/>
  <c r="CN63" i="32"/>
  <c r="DL63" i="32" s="1"/>
  <c r="GH63" i="32" s="1"/>
  <c r="CQ63" i="32"/>
  <c r="CR63" i="32"/>
  <c r="CS63" i="32"/>
  <c r="DD63" i="32"/>
  <c r="DE63" i="32"/>
  <c r="DF63" i="32"/>
  <c r="DG63" i="32"/>
  <c r="DJ63" i="32"/>
  <c r="GF63" i="32" s="1"/>
  <c r="DK63" i="32"/>
  <c r="GG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HB63" i="32"/>
  <c r="EA64" i="32"/>
  <c r="EB64" i="32"/>
  <c r="ED64" i="32"/>
  <c r="EE64" i="32"/>
  <c r="FD64" i="32"/>
  <c r="EN64" i="32"/>
  <c r="EO64" i="32"/>
  <c r="EL64" i="32"/>
  <c r="EM64" i="32"/>
  <c r="GJ64" i="32"/>
  <c r="GM64" i="32"/>
  <c r="CC64" i="32"/>
  <c r="CD64" i="32"/>
  <c r="CG64" i="32"/>
  <c r="CN64" i="32"/>
  <c r="DL64" i="32" s="1"/>
  <c r="GH64" i="32" s="1"/>
  <c r="CQ64" i="32"/>
  <c r="CR64" i="32"/>
  <c r="CS64" i="32"/>
  <c r="DD64" i="32"/>
  <c r="DE64" i="32"/>
  <c r="DF64" i="32"/>
  <c r="DG64" i="32"/>
  <c r="DJ64" i="32"/>
  <c r="GF64" i="32" s="1"/>
  <c r="DK64" i="32"/>
  <c r="GG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HB64" i="32"/>
  <c r="EA65" i="32"/>
  <c r="EB65" i="32"/>
  <c r="ED65" i="32"/>
  <c r="EE65" i="32"/>
  <c r="FD65" i="32"/>
  <c r="EN65" i="32"/>
  <c r="EO65" i="32"/>
  <c r="EL65" i="32"/>
  <c r="GM65" i="32"/>
  <c r="CC65" i="32"/>
  <c r="CD65" i="32"/>
  <c r="CE65" i="32" s="1"/>
  <c r="CG65" i="32"/>
  <c r="CN65" i="32"/>
  <c r="DL65" i="32" s="1"/>
  <c r="GH65" i="32" s="1"/>
  <c r="CQ65" i="32"/>
  <c r="CR65" i="32"/>
  <c r="CS65" i="32"/>
  <c r="DD65" i="32"/>
  <c r="DE65" i="32"/>
  <c r="DF65" i="32"/>
  <c r="DG65" i="32"/>
  <c r="DJ65" i="32"/>
  <c r="GF65" i="32" s="1"/>
  <c r="DK65" i="32"/>
  <c r="GG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HB65" i="32"/>
  <c r="EA66" i="32"/>
  <c r="EB66" i="32"/>
  <c r="ED66" i="32"/>
  <c r="EE66" i="32"/>
  <c r="FD66" i="32"/>
  <c r="EN66" i="32"/>
  <c r="EO66" i="32"/>
  <c r="EL66" i="32"/>
  <c r="GJ66" i="32"/>
  <c r="GM66" i="32"/>
  <c r="CC66" i="32"/>
  <c r="CD66" i="32"/>
  <c r="CG66" i="32"/>
  <c r="CN66" i="32"/>
  <c r="DL66" i="32" s="1"/>
  <c r="GH66" i="32" s="1"/>
  <c r="CQ66" i="32"/>
  <c r="CR66" i="32"/>
  <c r="CS66" i="32"/>
  <c r="DD66" i="32"/>
  <c r="DE66" i="32"/>
  <c r="DF66" i="32"/>
  <c r="DG66" i="32"/>
  <c r="DJ66" i="32"/>
  <c r="GF66" i="32" s="1"/>
  <c r="DK66" i="32"/>
  <c r="GG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HB66" i="32"/>
  <c r="EA67" i="32"/>
  <c r="EB67" i="32"/>
  <c r="ED67" i="32"/>
  <c r="EE67" i="32"/>
  <c r="FD67" i="32"/>
  <c r="EN67" i="32"/>
  <c r="EL67" i="32"/>
  <c r="GJ67" i="32"/>
  <c r="GM67" i="32"/>
  <c r="CC67" i="32"/>
  <c r="CD67" i="32"/>
  <c r="CG67" i="32"/>
  <c r="CN67" i="32"/>
  <c r="DL67" i="32" s="1"/>
  <c r="GH67" i="32" s="1"/>
  <c r="CQ67" i="32"/>
  <c r="CR67" i="32"/>
  <c r="CS67" i="32"/>
  <c r="DD67" i="32"/>
  <c r="DE67" i="32"/>
  <c r="DF67" i="32"/>
  <c r="DG67" i="32"/>
  <c r="DJ67" i="32"/>
  <c r="GF67" i="32" s="1"/>
  <c r="DK67" i="32"/>
  <c r="GG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HB67" i="32"/>
  <c r="EA68" i="32"/>
  <c r="EB68" i="32"/>
  <c r="ED68" i="32"/>
  <c r="EE68" i="32"/>
  <c r="FD68" i="32"/>
  <c r="EN68" i="32"/>
  <c r="EO68" i="32"/>
  <c r="EM68" i="32"/>
  <c r="GJ68" i="32"/>
  <c r="GM68" i="32"/>
  <c r="CC68" i="32"/>
  <c r="CD68" i="32"/>
  <c r="CG68" i="32"/>
  <c r="CN68" i="32"/>
  <c r="DL68" i="32" s="1"/>
  <c r="GH68" i="32" s="1"/>
  <c r="CQ68" i="32"/>
  <c r="CR68" i="32"/>
  <c r="CS68" i="32"/>
  <c r="DD68" i="32"/>
  <c r="DE68" i="32"/>
  <c r="DF68" i="32"/>
  <c r="DG68" i="32"/>
  <c r="DJ68" i="32"/>
  <c r="GF68" i="32" s="1"/>
  <c r="DK68" i="32"/>
  <c r="GG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HB68" i="32"/>
  <c r="EA69" i="32"/>
  <c r="EB69" i="32"/>
  <c r="ED69" i="32"/>
  <c r="EE69" i="32"/>
  <c r="FD69" i="32"/>
  <c r="EN69" i="32"/>
  <c r="EO69" i="32"/>
  <c r="EL69" i="32"/>
  <c r="GJ69" i="32"/>
  <c r="GM69" i="32"/>
  <c r="CC69" i="32"/>
  <c r="CD69" i="32"/>
  <c r="CG69" i="32"/>
  <c r="CN69" i="32"/>
  <c r="DL69" i="32" s="1"/>
  <c r="GH69" i="32" s="1"/>
  <c r="CQ69" i="32"/>
  <c r="CR69" i="32"/>
  <c r="CS69" i="32"/>
  <c r="DD69" i="32"/>
  <c r="DF69" i="32" s="1"/>
  <c r="DE69" i="32"/>
  <c r="DG69" i="32" s="1"/>
  <c r="DJ69" i="32"/>
  <c r="GF69" i="32" s="1"/>
  <c r="DK69" i="32"/>
  <c r="GG69" i="32" s="1"/>
  <c r="DW69" i="32"/>
  <c r="GW69" i="32" s="1"/>
  <c r="DX69" i="32"/>
  <c r="GX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GM71" i="32" s="1"/>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CF61" i="32" l="1"/>
  <c r="EJ61" i="32"/>
  <c r="CE69" i="32"/>
  <c r="FI61" i="32"/>
  <c r="CE63" i="32"/>
  <c r="CE62" i="32"/>
  <c r="FL61" i="32"/>
  <c r="FQ61" i="32" s="1"/>
  <c r="CE61" i="32"/>
  <c r="CF68" i="32"/>
  <c r="FB61" i="32"/>
  <c r="FM61" i="32" s="1"/>
  <c r="CE66" i="32"/>
  <c r="CE68" i="32"/>
  <c r="CE67" i="32"/>
  <c r="CF65" i="32"/>
  <c r="CF64" i="32"/>
  <c r="CF63" i="32"/>
  <c r="FA61" i="32"/>
  <c r="FN61" i="32"/>
  <c r="EI61" i="32"/>
  <c r="FX61" i="32" s="1"/>
  <c r="CE64" i="32"/>
  <c r="CF69" i="32"/>
  <c r="CF62" i="32"/>
  <c r="CF66" i="32"/>
  <c r="DZ69" i="32"/>
  <c r="GZ69" i="32" s="1"/>
  <c r="DY69" i="32"/>
  <c r="GY69" i="32" s="1"/>
  <c r="CF67" i="32"/>
  <c r="DO61" i="32"/>
  <c r="GO61" i="32" s="1"/>
  <c r="CK71" i="32"/>
  <c r="CM71" i="32" s="1"/>
  <c r="DN67" i="32"/>
  <c r="GL61" i="32"/>
  <c r="GM61" i="32" s="1"/>
  <c r="GN61" i="32" s="1"/>
  <c r="EP69" i="32"/>
  <c r="ER69" i="32" s="1"/>
  <c r="GI69" i="32"/>
  <c r="GL69" i="32" s="1"/>
  <c r="GL66" i="32"/>
  <c r="DP63" i="32"/>
  <c r="GP63" i="32" s="1"/>
  <c r="CK66" i="32"/>
  <c r="CM66" i="32" s="1"/>
  <c r="DI66" i="32" s="1"/>
  <c r="CT65" i="32"/>
  <c r="GL63" i="32"/>
  <c r="CJ62" i="32"/>
  <c r="CL62" i="32" s="1"/>
  <c r="DH62" i="32" s="1"/>
  <c r="EC61" i="32"/>
  <c r="EG61" i="32" s="1"/>
  <c r="EO71" i="32"/>
  <c r="EQ71" i="32" s="1"/>
  <c r="CU69" i="32"/>
  <c r="CU65" i="32"/>
  <c r="EC62" i="32"/>
  <c r="DQ61" i="32"/>
  <c r="GQ61" i="32" s="1"/>
  <c r="CT67" i="32"/>
  <c r="GK68" i="32"/>
  <c r="GK71" i="32"/>
  <c r="BJ71" i="32"/>
  <c r="EC65" i="32"/>
  <c r="EC63" i="32"/>
  <c r="CU62" i="32"/>
  <c r="CK67" i="32"/>
  <c r="CM67" i="32" s="1"/>
  <c r="DI67" i="32" s="1"/>
  <c r="CK69" i="32"/>
  <c r="CM69" i="32" s="1"/>
  <c r="DI69" i="32" s="1"/>
  <c r="DN64" i="32"/>
  <c r="CH68" i="32"/>
  <c r="CO68" i="32" s="1"/>
  <c r="EP67" i="32"/>
  <c r="ER67" i="32" s="1"/>
  <c r="CK64" i="32"/>
  <c r="CM64" i="32" s="1"/>
  <c r="DI64" i="32" s="1"/>
  <c r="CU64" i="32"/>
  <c r="CI62" i="32"/>
  <c r="CP62" i="32" s="1"/>
  <c r="EP61" i="32"/>
  <c r="GI71" i="32"/>
  <c r="CI67" i="32"/>
  <c r="CP67" i="32" s="1"/>
  <c r="CJ66" i="32"/>
  <c r="CL66" i="32" s="1"/>
  <c r="DH66" i="32" s="1"/>
  <c r="CH65" i="32"/>
  <c r="CO65" i="32" s="1"/>
  <c r="CI64" i="32"/>
  <c r="CP64" i="32" s="1"/>
  <c r="AJ70" i="32"/>
  <c r="CV68" i="32"/>
  <c r="EM67" i="32"/>
  <c r="DB67" i="32"/>
  <c r="CX67" i="32"/>
  <c r="CU66" i="32"/>
  <c r="EA62" i="32"/>
  <c r="GN62" i="32"/>
  <c r="DB61" i="32"/>
  <c r="CI71" i="32"/>
  <c r="GL67" i="32"/>
  <c r="CK61" i="32"/>
  <c r="CM61" i="32" s="1"/>
  <c r="DI61" i="32" s="1"/>
  <c r="CK62" i="32"/>
  <c r="CM62" i="32" s="1"/>
  <c r="DI62" i="32" s="1"/>
  <c r="CT70" i="32"/>
  <c r="CH67" i="32"/>
  <c r="CO67" i="32" s="1"/>
  <c r="CU67" i="32"/>
  <c r="CW69" i="32"/>
  <c r="EL68" i="32"/>
  <c r="EP68" i="32" s="1"/>
  <c r="ER68" i="32" s="1"/>
  <c r="GN67" i="32"/>
  <c r="DQ63" i="32"/>
  <c r="GQ63" i="32" s="1"/>
  <c r="DM63" i="32"/>
  <c r="DN61" i="32"/>
  <c r="CW65" i="32"/>
  <c r="GK69" i="32"/>
  <c r="CJ69" i="32"/>
  <c r="CL69" i="32" s="1"/>
  <c r="DH69" i="32" s="1"/>
  <c r="DN68" i="32"/>
  <c r="CZ62" i="32"/>
  <c r="CW64" i="32"/>
  <c r="CY62" i="32"/>
  <c r="DC71" i="32"/>
  <c r="CX71" i="32"/>
  <c r="DN69" i="32"/>
  <c r="DQ67" i="32"/>
  <c r="GQ67" i="32" s="1"/>
  <c r="DC66" i="32"/>
  <c r="DC62" i="32"/>
  <c r="DA71" i="32"/>
  <c r="BK71" i="32"/>
  <c r="X71" i="32"/>
  <c r="CJ67" i="32"/>
  <c r="CL67" i="32" s="1"/>
  <c r="DH67" i="32" s="1"/>
  <c r="EP65" i="32"/>
  <c r="EQ64" i="32"/>
  <c r="CH63" i="32"/>
  <c r="CO63" i="32" s="1"/>
  <c r="AJ71" i="32"/>
  <c r="EC70" i="32"/>
  <c r="CY69" i="32"/>
  <c r="EQ68" i="32"/>
  <c r="ES68" i="32" s="1"/>
  <c r="CW67" i="32"/>
  <c r="DR66" i="32"/>
  <c r="GR66" i="32" s="1"/>
  <c r="DN65" i="32"/>
  <c r="CZ64" i="32"/>
  <c r="EP64" i="32"/>
  <c r="ER64" i="32" s="1"/>
  <c r="EQ62" i="32"/>
  <c r="CX69" i="32"/>
  <c r="CH69" i="32"/>
  <c r="CO69" i="32" s="1"/>
  <c r="DM68" i="32"/>
  <c r="DO68" i="32"/>
  <c r="GO68" i="32" s="1"/>
  <c r="CV67" i="32"/>
  <c r="GL64" i="32"/>
  <c r="CY64" i="32"/>
  <c r="DM64" i="32"/>
  <c r="DN63" i="32"/>
  <c r="CT63" i="32"/>
  <c r="DB71" i="32"/>
  <c r="CI70" i="32"/>
  <c r="CI66" i="32"/>
  <c r="CP66" i="32" s="1"/>
  <c r="CZ66" i="32"/>
  <c r="CX64" i="32"/>
  <c r="DM71" i="32"/>
  <c r="CV69" i="32"/>
  <c r="CT68" i="32"/>
  <c r="CT66" i="32"/>
  <c r="GI64" i="32"/>
  <c r="DM61" i="32"/>
  <c r="CZ71" i="32"/>
  <c r="DM69" i="32"/>
  <c r="AK70" i="32"/>
  <c r="DO70" i="32" s="1"/>
  <c r="GO70" i="32" s="1"/>
  <c r="DR68" i="32"/>
  <c r="GR68" i="32" s="1"/>
  <c r="DM67" i="32"/>
  <c r="DA66" i="32"/>
  <c r="CT62" i="32"/>
  <c r="CH70" i="32"/>
  <c r="EM70" i="32"/>
  <c r="EQ70" i="32" s="1"/>
  <c r="ES70" i="32" s="1"/>
  <c r="CV70" i="32"/>
  <c r="CT69" i="32"/>
  <c r="EM66" i="32"/>
  <c r="EQ66" i="32" s="1"/>
  <c r="ES66" i="32" s="1"/>
  <c r="DN66" i="32"/>
  <c r="CY66" i="32"/>
  <c r="DP65" i="32"/>
  <c r="GP65" i="32" s="1"/>
  <c r="GJ63" i="32"/>
  <c r="GK63" i="32" s="1"/>
  <c r="CX62" i="32"/>
  <c r="DB62" i="32"/>
  <c r="DM62" i="32"/>
  <c r="CY71" i="32"/>
  <c r="BJ70" i="32"/>
  <c r="CU68" i="32"/>
  <c r="DM66" i="32"/>
  <c r="GJ65" i="32"/>
  <c r="GK65" i="32" s="1"/>
  <c r="CI65" i="32"/>
  <c r="CP65" i="32" s="1"/>
  <c r="CW62" i="32"/>
  <c r="EC67" i="32"/>
  <c r="GK66" i="32"/>
  <c r="CJ65" i="32"/>
  <c r="CL65" i="32" s="1"/>
  <c r="DH65" i="32" s="1"/>
  <c r="AK71" i="32"/>
  <c r="DO71" i="32" s="1"/>
  <c r="GO71" i="32" s="1"/>
  <c r="DA64" i="32"/>
  <c r="BK70" i="32"/>
  <c r="DQ70" i="32" s="1"/>
  <c r="GQ70" i="32" s="1"/>
  <c r="EC69" i="32"/>
  <c r="CV65" i="32"/>
  <c r="EC64" i="32"/>
  <c r="CT71" i="32"/>
  <c r="GN70" i="32"/>
  <c r="DB69" i="32"/>
  <c r="EO67" i="32"/>
  <c r="GI66" i="32"/>
  <c r="CI63" i="32"/>
  <c r="CP63" i="32" s="1"/>
  <c r="GN64" i="32"/>
  <c r="GN63" i="32"/>
  <c r="GN66" i="32"/>
  <c r="EP66" i="32"/>
  <c r="EQ61" i="32"/>
  <c r="FR61" i="32" s="1"/>
  <c r="DQ65" i="32"/>
  <c r="GQ65" i="32" s="1"/>
  <c r="DR65" i="32"/>
  <c r="GR65" i="32" s="1"/>
  <c r="EP71" i="32"/>
  <c r="EQ63" i="32"/>
  <c r="GL70" i="32"/>
  <c r="DN70" i="32"/>
  <c r="CI69" i="32"/>
  <c r="CP69" i="32" s="1"/>
  <c r="DA69" i="32"/>
  <c r="CX66" i="32"/>
  <c r="GN65" i="32"/>
  <c r="CV64" i="32"/>
  <c r="CJ64" i="32"/>
  <c r="CL64" i="32" s="1"/>
  <c r="DH64" i="32" s="1"/>
  <c r="EL63" i="32"/>
  <c r="EP63" i="32" s="1"/>
  <c r="CH62" i="32"/>
  <c r="CO62" i="32" s="1"/>
  <c r="GI61" i="32"/>
  <c r="CY61" i="32"/>
  <c r="CV71" i="32"/>
  <c r="CJ71" i="32"/>
  <c r="CL71" i="32" s="1"/>
  <c r="GK70" i="32"/>
  <c r="EL70" i="32"/>
  <c r="EP70" i="32" s="1"/>
  <c r="DM70" i="32"/>
  <c r="DP69" i="32"/>
  <c r="GP69" i="32" s="1"/>
  <c r="GI68" i="32"/>
  <c r="CY68" i="32"/>
  <c r="CW66" i="32"/>
  <c r="GL65" i="32"/>
  <c r="EM65" i="32"/>
  <c r="EQ65" i="32" s="1"/>
  <c r="DU64" i="32"/>
  <c r="GU64" i="32" s="1"/>
  <c r="CX61" i="32"/>
  <c r="CX68" i="32"/>
  <c r="DC67" i="32"/>
  <c r="CV66" i="32"/>
  <c r="DM65" i="32"/>
  <c r="CT64" i="32"/>
  <c r="CH64" i="32"/>
  <c r="CO64" i="32" s="1"/>
  <c r="GI63" i="32"/>
  <c r="CY63" i="32"/>
  <c r="CW61" i="32"/>
  <c r="CU71" i="32"/>
  <c r="CY70" i="32"/>
  <c r="CX63" i="32"/>
  <c r="CV61" i="32"/>
  <c r="CJ61" i="32"/>
  <c r="CL61" i="32" s="1"/>
  <c r="DH61" i="32" s="1"/>
  <c r="CZ61" i="32"/>
  <c r="CW71" i="32"/>
  <c r="CW68" i="32"/>
  <c r="CK68" i="32"/>
  <c r="CM68" i="32" s="1"/>
  <c r="DI68" i="32" s="1"/>
  <c r="DB68" i="32"/>
  <c r="EC71" i="32"/>
  <c r="CX70" i="32"/>
  <c r="GN69" i="32"/>
  <c r="CJ68" i="32"/>
  <c r="CL68" i="32" s="1"/>
  <c r="DH68" i="32" s="1"/>
  <c r="GK67" i="32"/>
  <c r="DA67" i="32"/>
  <c r="CH66" i="32"/>
  <c r="CO66" i="32" s="1"/>
  <c r="GI65" i="32"/>
  <c r="CY65" i="32"/>
  <c r="CW63" i="32"/>
  <c r="CK63" i="32"/>
  <c r="CM63" i="32" s="1"/>
  <c r="DI63" i="32" s="1"/>
  <c r="GL62" i="32"/>
  <c r="DN62" i="32"/>
  <c r="CU61" i="32"/>
  <c r="CI61" i="32"/>
  <c r="CP61" i="32" s="1"/>
  <c r="CH71" i="32"/>
  <c r="GI70" i="32"/>
  <c r="CW70" i="32"/>
  <c r="CK70" i="32"/>
  <c r="CM70" i="32" s="1"/>
  <c r="BM70" i="32"/>
  <c r="EM69" i="32"/>
  <c r="EQ69" i="32" s="1"/>
  <c r="CI68" i="32"/>
  <c r="CP68" i="32" s="1"/>
  <c r="CZ67" i="32"/>
  <c r="EC66" i="32"/>
  <c r="CX65" i="32"/>
  <c r="CV63" i="32"/>
  <c r="CJ63" i="32"/>
  <c r="CL63" i="32" s="1"/>
  <c r="DH63" i="32" s="1"/>
  <c r="GK62" i="32"/>
  <c r="EL62" i="32"/>
  <c r="EP62" i="32" s="1"/>
  <c r="DA62" i="32"/>
  <c r="CT61" i="32"/>
  <c r="CH61" i="32"/>
  <c r="CO61" i="32" s="1"/>
  <c r="AM70" i="32"/>
  <c r="CZ70" i="32" s="1"/>
  <c r="GI67" i="32"/>
  <c r="CY67" i="32"/>
  <c r="CK65" i="32"/>
  <c r="CM65" i="32" s="1"/>
  <c r="DI65" i="32" s="1"/>
  <c r="DB65" i="32"/>
  <c r="CU63" i="32"/>
  <c r="GN71" i="32"/>
  <c r="CJ70" i="32"/>
  <c r="CL70" i="32" s="1"/>
  <c r="BL70" i="32"/>
  <c r="GL71" i="32"/>
  <c r="DN71" i="32"/>
  <c r="CU70" i="32"/>
  <c r="EC68" i="32"/>
  <c r="GK64" i="32"/>
  <c r="GI62" i="32"/>
  <c r="X70" i="32"/>
  <c r="GN68" i="32"/>
  <c r="GL68" i="32"/>
  <c r="CV62" i="32"/>
  <c r="GK61" i="32"/>
  <c r="FC61" i="32" l="1"/>
  <c r="FS61" i="32"/>
  <c r="FT61" i="32" s="1"/>
  <c r="FP61" i="32"/>
  <c r="FY61" i="32"/>
  <c r="ER61" i="32"/>
  <c r="EU61" i="32" s="1"/>
  <c r="EW61" i="32" s="1"/>
  <c r="GD61" i="32" s="1"/>
  <c r="DP61" i="32"/>
  <c r="GP61" i="32" s="1"/>
  <c r="DT61" i="32"/>
  <c r="GT61" i="32" s="1"/>
  <c r="ES62" i="32"/>
  <c r="EV62" i="32" s="1"/>
  <c r="EX62" i="32" s="1"/>
  <c r="GE62" i="32" s="1"/>
  <c r="DV71" i="32"/>
  <c r="GV71" i="32" s="1"/>
  <c r="ER65" i="32"/>
  <c r="EU65" i="32" s="1"/>
  <c r="EW65" i="32" s="1"/>
  <c r="GD65" i="32" s="1"/>
  <c r="CZ63" i="32"/>
  <c r="DS64" i="32"/>
  <c r="GS64" i="32" s="1"/>
  <c r="DS61" i="32"/>
  <c r="GS61" i="32" s="1"/>
  <c r="DC69" i="32"/>
  <c r="DR71" i="32"/>
  <c r="GR71" i="32" s="1"/>
  <c r="DQ71" i="32"/>
  <c r="GQ71" i="32" s="1"/>
  <c r="EU64" i="32"/>
  <c r="EW64" i="32" s="1"/>
  <c r="GD64" i="32" s="1"/>
  <c r="ES64" i="32"/>
  <c r="EV64" i="32" s="1"/>
  <c r="EX64" i="32" s="1"/>
  <c r="GE64" i="32" s="1"/>
  <c r="DU65" i="32"/>
  <c r="GU65" i="32" s="1"/>
  <c r="DU62" i="32"/>
  <c r="GU62" i="32" s="1"/>
  <c r="DS66" i="32"/>
  <c r="GS66" i="32" s="1"/>
  <c r="EU69" i="32"/>
  <c r="EW69" i="32" s="1"/>
  <c r="GD69" i="32" s="1"/>
  <c r="DU69" i="32"/>
  <c r="GU69" i="32" s="1"/>
  <c r="DT63" i="32"/>
  <c r="GT63" i="32" s="1"/>
  <c r="DS63" i="32"/>
  <c r="GS63" i="32" s="1"/>
  <c r="DO63" i="32"/>
  <c r="GO63" i="32" s="1"/>
  <c r="EV66" i="32"/>
  <c r="EX66" i="32" s="1"/>
  <c r="GE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GD67" i="32" s="1"/>
  <c r="DB66" i="32"/>
  <c r="ES71" i="32"/>
  <c r="EV71" i="32"/>
  <c r="EX71" i="32" s="1"/>
  <c r="DU67" i="32"/>
  <c r="GU67" i="32" s="1"/>
  <c r="EV68" i="32"/>
  <c r="EX68" i="32" s="1"/>
  <c r="GE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GD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s="1"/>
  <c r="EX65" i="32" s="1"/>
  <c r="GE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s="1"/>
  <c r="EX63" i="32" s="1"/>
  <c r="GE63" i="32" s="1"/>
  <c r="DT69" i="32"/>
  <c r="GT69" i="32" s="1"/>
  <c r="CZ65" i="32"/>
  <c r="DA65" i="32"/>
  <c r="DA63" i="32"/>
  <c r="CZ69" i="32"/>
  <c r="DO66" i="32"/>
  <c r="GO66" i="32" s="1"/>
  <c r="ER62" i="32"/>
  <c r="EU62" i="32" s="1"/>
  <c r="EW62" i="32" s="1"/>
  <c r="GD62" i="32" s="1"/>
  <c r="DA68" i="32"/>
  <c r="CZ68" i="32"/>
  <c r="ER63" i="32"/>
  <c r="EU63" i="32" s="1"/>
  <c r="EW63" i="32" s="1"/>
  <c r="GD63" i="32" s="1"/>
  <c r="DB70" i="32"/>
  <c r="DV69" i="32"/>
  <c r="GV69" i="32" s="1"/>
  <c r="DT66" i="32"/>
  <c r="GT66" i="32" s="1"/>
  <c r="ES61" i="32"/>
  <c r="EV61" i="32" s="1"/>
  <c r="EX61" i="32" s="1"/>
  <c r="DA70" i="32"/>
  <c r="ER70" i="32"/>
  <c r="EU70" i="32"/>
  <c r="EW70" i="32" s="1"/>
  <c r="DB64" i="32"/>
  <c r="DC64" i="32"/>
  <c r="ES69" i="32"/>
  <c r="EV69" i="32" s="1"/>
  <c r="EX69" i="32" s="1"/>
  <c r="GE69" i="32" s="1"/>
  <c r="DC63" i="32"/>
  <c r="DB63" i="32"/>
  <c r="DC65" i="32"/>
  <c r="ER66" i="32"/>
  <c r="EU66" i="32" s="1"/>
  <c r="EW66" i="32" s="1"/>
  <c r="GD66" i="32" s="1"/>
  <c r="FU61" i="32" l="1"/>
  <c r="EV67" i="32"/>
  <c r="EX67" i="32" s="1"/>
  <c r="GE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FZ61" i="32" l="1"/>
  <c r="GA61" i="32"/>
  <c r="EB60" i="57"/>
  <c r="GB61" i="32" l="1"/>
  <c r="GC61" i="32" s="1"/>
  <c r="GE61" i="32" s="1"/>
  <c r="B60" i="57"/>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GM72" i="32" s="1"/>
  <c r="BE73" i="32"/>
  <c r="GM73" i="32" s="1"/>
  <c r="BE74" i="32"/>
  <c r="GM74" i="32" s="1"/>
  <c r="BE75" i="32"/>
  <c r="GM75" i="32" s="1"/>
  <c r="BE76" i="32"/>
  <c r="GM76" i="32" s="1"/>
  <c r="BE77" i="32"/>
  <c r="GM77" i="32" s="1"/>
  <c r="BE78" i="32"/>
  <c r="GM78" i="32" s="1"/>
  <c r="BE79" i="32"/>
  <c r="GM79" i="32" s="1"/>
  <c r="BE80" i="32"/>
  <c r="GM80" i="32" s="1"/>
  <c r="BE81" i="32"/>
  <c r="GM81" i="32" s="1"/>
  <c r="BE82" i="32"/>
  <c r="GM82" i="32" s="1"/>
  <c r="BE83" i="32"/>
  <c r="GM83" i="32" s="1"/>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M27" i="32" s="1"/>
  <c r="GL28" i="32"/>
  <c r="GM28" i="32" s="1"/>
  <c r="GL29" i="32"/>
  <c r="GM29" i="32" s="1"/>
  <c r="GL30" i="32"/>
  <c r="GM30" i="32" s="1"/>
  <c r="GL31" i="32"/>
  <c r="GM31" i="32" s="1"/>
  <c r="GL32" i="32"/>
  <c r="GM32" i="32" s="1"/>
  <c r="GL33" i="32"/>
  <c r="GM33" i="32" s="1"/>
  <c r="GL34" i="32"/>
  <c r="GM34" i="32" s="1"/>
  <c r="GL35" i="32"/>
  <c r="GM35" i="32" s="1"/>
  <c r="GL36" i="32"/>
  <c r="GM36" i="32" s="1"/>
  <c r="GL37" i="32"/>
  <c r="GM37" i="32" s="1"/>
  <c r="GL38" i="32"/>
  <c r="GM38" i="32" s="1"/>
  <c r="GL39" i="32"/>
  <c r="GM39" i="32" s="1"/>
  <c r="GL40" i="32"/>
  <c r="GM40" i="32" s="1"/>
  <c r="GL49" i="32"/>
  <c r="GM49" i="32" s="1"/>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M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M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J45" i="32" l="1"/>
  <c r="GJ10" i="32"/>
  <c r="GJ22" i="32"/>
  <c r="GJ46" i="32"/>
  <c r="GJ58" i="32"/>
  <c r="GJ11" i="32"/>
  <c r="GJ23" i="32"/>
  <c r="GJ47" i="32"/>
  <c r="GJ59" i="32"/>
  <c r="GJ49" i="32"/>
  <c r="GJ14" i="32"/>
  <c r="GJ26" i="32"/>
  <c r="GJ50" i="32"/>
  <c r="GJ3" i="32"/>
  <c r="GJ15" i="32"/>
  <c r="GJ51" i="32"/>
  <c r="GJ57" i="32"/>
  <c r="GJ48" i="32"/>
  <c r="GJ4" i="32"/>
  <c r="GJ16" i="32"/>
  <c r="GJ52" i="32"/>
  <c r="GJ5" i="32"/>
  <c r="GJ17" i="32"/>
  <c r="GJ41" i="32"/>
  <c r="GJ53" i="32"/>
  <c r="GJ21" i="32"/>
  <c r="GJ24" i="32"/>
  <c r="GJ25" i="32"/>
  <c r="GJ6" i="32"/>
  <c r="GJ18" i="32"/>
  <c r="GJ42" i="32"/>
  <c r="GJ54" i="32"/>
  <c r="GJ7" i="32"/>
  <c r="GJ19" i="32"/>
  <c r="GJ43" i="32"/>
  <c r="GJ55" i="32"/>
  <c r="GJ8" i="32"/>
  <c r="GJ44" i="32"/>
  <c r="GJ12" i="32"/>
  <c r="GJ13"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BW21" i="32" s="1"/>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BI21" i="32"/>
  <c r="BL21" i="32" s="1"/>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J163" i="25"/>
  <c r="J155" i="25"/>
  <c r="H163" i="25"/>
  <c r="H155" i="25"/>
  <c r="L163" i="25"/>
  <c r="L155" i="25"/>
  <c r="J161" i="25"/>
  <c r="H161" i="25"/>
  <c r="L161" i="25"/>
  <c r="U160" i="25"/>
  <c r="J159" i="25"/>
  <c r="H159" i="25"/>
  <c r="L159" i="25"/>
  <c r="U158" i="25"/>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GM5" i="32" s="1"/>
  <c r="BE6" i="32"/>
  <c r="GM6" i="32" s="1"/>
  <c r="BE7" i="32"/>
  <c r="GM7" i="32" s="1"/>
  <c r="BE8" i="32"/>
  <c r="GM8" i="32" s="1"/>
  <c r="BE9" i="32"/>
  <c r="GM9" i="32" s="1"/>
  <c r="BE10" i="32"/>
  <c r="GM10" i="32" s="1"/>
  <c r="BE12" i="32"/>
  <c r="GM12" i="32" s="1"/>
  <c r="BE20" i="32"/>
  <c r="GM20" i="32" s="1"/>
  <c r="BE25" i="32"/>
  <c r="GM25" i="32" s="1"/>
  <c r="BE26" i="32"/>
  <c r="GM26" i="32" s="1"/>
  <c r="BE13" i="32"/>
  <c r="GM13" i="32" s="1"/>
  <c r="BE15" i="32"/>
  <c r="GM15" i="32" s="1"/>
  <c r="BE17" i="32"/>
  <c r="GM17" i="32" s="1"/>
  <c r="BE18" i="32"/>
  <c r="GM18" i="32" s="1"/>
  <c r="BE19" i="32"/>
  <c r="GM19" i="32" s="1"/>
  <c r="BE41" i="32"/>
  <c r="GM41" i="32" s="1"/>
  <c r="BE42" i="32"/>
  <c r="GM42" i="32" s="1"/>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X43" i="32" s="1"/>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X8" i="32" s="1"/>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I38" i="32"/>
  <c r="GK34"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DM36" i="32"/>
  <c r="BW59" i="32"/>
  <c r="BX41" i="32"/>
  <c r="DA38" i="32"/>
  <c r="CZ38" i="32"/>
  <c r="CV38" i="32"/>
  <c r="BW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38" i="25" l="1"/>
  <c r="AM27" i="25"/>
  <c r="AM39" i="25"/>
  <c r="AM28" i="25"/>
  <c r="AM40" i="25"/>
  <c r="AM29" i="25"/>
  <c r="AM41" i="25"/>
  <c r="AM30" i="25"/>
  <c r="AM31" i="25"/>
  <c r="AM32" i="25"/>
  <c r="AM33" i="25"/>
  <c r="AM34" i="25"/>
  <c r="AM35" i="25"/>
  <c r="AM36" i="25"/>
  <c r="AM37" i="25"/>
  <c r="AM22" i="25"/>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AZ6" i="30"/>
  <c r="CN6" i="30" s="1"/>
  <c r="AI11" i="31"/>
  <c r="AK11" i="31" s="1"/>
  <c r="AL11" i="31" s="1"/>
  <c r="E11" i="31"/>
  <c r="C10" i="31"/>
  <c r="AE11" i="31"/>
  <c r="AA11" i="31"/>
  <c r="O11" i="31"/>
  <c r="E5" i="31"/>
  <c r="AJ14" i="31"/>
  <c r="S14" i="31"/>
  <c r="G7" i="30" l="1"/>
  <c r="AN11" i="31"/>
  <c r="AP12" i="31"/>
  <c r="AQ12" i="31" s="1"/>
  <c r="AR12" i="31"/>
  <c r="AS12" i="31" s="1"/>
  <c r="AT12" i="31" s="1"/>
  <c r="E10" i="31"/>
  <c r="AI10" i="31"/>
  <c r="AK10" i="31" s="1"/>
  <c r="AL10" i="31" s="1"/>
  <c r="C9" i="31"/>
  <c r="O10" i="31"/>
  <c r="AE10" i="31"/>
  <c r="AA10" i="31"/>
  <c r="F7" i="30"/>
  <c r="C8" i="30" l="1"/>
  <c r="CI7" i="30"/>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l="1"/>
  <c r="C9" i="30" s="1"/>
  <c r="L6" i="30"/>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AZ8" i="30"/>
  <c r="CN8" i="30" s="1"/>
  <c r="T8" i="30"/>
  <c r="AR8" i="30"/>
  <c r="P7" i="30"/>
  <c r="BG5" i="30"/>
  <c r="G9" i="30" l="1"/>
  <c r="C10" i="30" s="1"/>
  <c r="L7" i="30"/>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AJ9" i="30"/>
  <c r="AZ9" i="30"/>
  <c r="CN9" i="30" s="1"/>
  <c r="T9" i="30"/>
  <c r="AR9" i="30"/>
  <c r="P8" i="30"/>
  <c r="G10" i="30" l="1"/>
  <c r="L8" i="30"/>
  <c r="AP5" i="31"/>
  <c r="AQ5" i="31" s="1"/>
  <c r="AR5" i="31"/>
  <c r="AS5" i="31" s="1"/>
  <c r="AT5" i="31" s="1"/>
  <c r="AP6" i="31"/>
  <c r="AQ6" i="31" s="1"/>
  <c r="AR6" i="31"/>
  <c r="AS6" i="31" s="1"/>
  <c r="AT6" i="31" s="1"/>
  <c r="AJ4" i="31"/>
  <c r="S13" i="31"/>
  <c r="AJ13" i="31"/>
  <c r="AL5" i="31"/>
  <c r="B9" i="30" s="1"/>
  <c r="O4" i="31"/>
  <c r="AA4" i="31"/>
  <c r="AE4" i="31"/>
  <c r="C11" i="30" l="1"/>
  <c r="P9" i="30"/>
  <c r="B10" i="30" s="1"/>
  <c r="B6" i="30"/>
  <c r="B5" i="30"/>
  <c r="B8" i="30"/>
  <c r="B7" i="30"/>
  <c r="BX10" i="30"/>
  <c r="BV10" i="30"/>
  <c r="BZ10" i="30"/>
  <c r="CK10" i="30"/>
  <c r="CJ10" i="30"/>
  <c r="CG10" i="30"/>
  <c r="CH10" i="30"/>
  <c r="CF10" i="30"/>
  <c r="CM10" i="30"/>
  <c r="BW10" i="30"/>
  <c r="CB10" i="30"/>
  <c r="CI10" i="30"/>
  <c r="CL10" i="30"/>
  <c r="CA10" i="30"/>
  <c r="CE10" i="30"/>
  <c r="BY10" i="30"/>
  <c r="CC10" i="30"/>
  <c r="CD10" i="30"/>
  <c r="S10" i="25"/>
  <c r="AF6" i="30"/>
  <c r="AB6" i="30"/>
  <c r="X6"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AB10" i="30"/>
  <c r="T10" i="30"/>
  <c r="X10" i="30"/>
  <c r="AR10" i="30"/>
  <c r="AJ10" i="30"/>
  <c r="AZ10" i="30"/>
  <c r="G11" i="30" l="1"/>
  <c r="AF9" i="30"/>
  <c r="L9" i="30"/>
  <c r="CN10" i="30"/>
  <c r="F11" i="30"/>
  <c r="C12" i="30" l="1"/>
  <c r="P10" i="30"/>
  <c r="B11" i="30" s="1"/>
  <c r="CH11" i="30"/>
  <c r="CE11" i="30"/>
  <c r="CF11" i="30"/>
  <c r="CL11" i="30"/>
  <c r="CM11" i="30"/>
  <c r="BX11" i="30"/>
  <c r="CD11" i="30"/>
  <c r="CG11" i="30"/>
  <c r="BV11" i="30"/>
  <c r="CA11" i="30"/>
  <c r="CK11" i="30"/>
  <c r="BZ11" i="30"/>
  <c r="CC11" i="30"/>
  <c r="BY11" i="30"/>
  <c r="CJ11" i="30"/>
  <c r="BW11" i="30"/>
  <c r="CB11" i="30"/>
  <c r="CI11" i="30"/>
  <c r="BG9" i="30"/>
  <c r="D12" i="30"/>
  <c r="X11" i="30"/>
  <c r="AB11" i="30"/>
  <c r="AJ11" i="30"/>
  <c r="T11" i="30"/>
  <c r="AR11" i="30"/>
  <c r="AZ11" i="30"/>
  <c r="G12" i="30" l="1"/>
  <c r="C13" i="30" s="1"/>
  <c r="CN11" i="30"/>
  <c r="F12" i="30"/>
  <c r="AF10" i="30"/>
  <c r="L10" i="30"/>
  <c r="P11" i="30" l="1"/>
  <c r="B12" i="30" s="1"/>
  <c r="CK12" i="30"/>
  <c r="CC12" i="30"/>
  <c r="CL12" i="30"/>
  <c r="CD12" i="30"/>
  <c r="CM12" i="30"/>
  <c r="BV12" i="30"/>
  <c r="CF12" i="30"/>
  <c r="CJ12" i="30"/>
  <c r="CB12" i="30"/>
  <c r="CE12" i="30"/>
  <c r="CI12" i="30"/>
  <c r="BY12" i="30"/>
  <c r="CA12" i="30"/>
  <c r="BX12" i="30"/>
  <c r="CH12" i="30"/>
  <c r="BW12" i="30"/>
  <c r="BZ12" i="30"/>
  <c r="CG12" i="30"/>
  <c r="BG10" i="30"/>
  <c r="D13" i="30"/>
  <c r="AB12" i="30"/>
  <c r="AR12" i="30"/>
  <c r="AJ12" i="30"/>
  <c r="X12" i="30"/>
  <c r="T12" i="30"/>
  <c r="AZ12" i="30"/>
  <c r="G13" i="30" l="1"/>
  <c r="C14" i="30" s="1"/>
  <c r="L11" i="30"/>
  <c r="AF11" i="30"/>
  <c r="CN12" i="30"/>
  <c r="F13" i="30"/>
  <c r="P12" i="30" l="1"/>
  <c r="B13" i="30" s="1"/>
  <c r="CD13" i="30"/>
  <c r="CA13" i="30"/>
  <c r="CE13" i="30"/>
  <c r="BG11" i="30"/>
  <c r="CJ13" i="30"/>
  <c r="BW13" i="30"/>
  <c r="CB13" i="30"/>
  <c r="CH13" i="30"/>
  <c r="BV13" i="30"/>
  <c r="BZ13" i="30"/>
  <c r="CM13" i="30"/>
  <c r="CG13" i="30"/>
  <c r="CL13" i="30"/>
  <c r="BY13" i="30"/>
  <c r="CK13" i="30"/>
  <c r="CF13" i="30"/>
  <c r="CI13" i="30"/>
  <c r="BX13" i="30"/>
  <c r="CC13" i="30"/>
  <c r="D14" i="30"/>
  <c r="AJ13" i="30"/>
  <c r="X13" i="30"/>
  <c r="AB13" i="30"/>
  <c r="T13" i="30"/>
  <c r="AZ13" i="30"/>
  <c r="AR13" i="30"/>
  <c r="G14" i="30" l="1"/>
  <c r="C15" i="30" s="1"/>
  <c r="CN13" i="30"/>
  <c r="L12" i="30"/>
  <c r="AF12" i="30"/>
  <c r="F14" i="30"/>
  <c r="P13" i="30" l="1"/>
  <c r="B14" i="30" s="1"/>
  <c r="CB14" i="30"/>
  <c r="BZ14" i="30"/>
  <c r="BW14" i="30"/>
  <c r="CC14" i="30"/>
  <c r="CF14" i="30"/>
  <c r="CM14" i="30"/>
  <c r="CA14" i="30"/>
  <c r="CD14" i="30"/>
  <c r="BY14" i="30"/>
  <c r="CH14" i="30"/>
  <c r="BX14" i="30"/>
  <c r="CI14" i="30"/>
  <c r="CG14" i="30"/>
  <c r="CE14" i="30"/>
  <c r="CK14" i="30"/>
  <c r="CJ14" i="30"/>
  <c r="CL14" i="30"/>
  <c r="BV14" i="30"/>
  <c r="BG12" i="30"/>
  <c r="AB14" i="30"/>
  <c r="AR14" i="30"/>
  <c r="X14" i="30"/>
  <c r="AJ14" i="30"/>
  <c r="T14" i="30"/>
  <c r="D15" i="30"/>
  <c r="AZ14" i="30"/>
  <c r="G15" i="30" l="1"/>
  <c r="C16" i="30" s="1"/>
  <c r="AF13" i="30"/>
  <c r="L13" i="30"/>
  <c r="CN14" i="30"/>
  <c r="F15" i="30"/>
  <c r="P14" i="30" l="1"/>
  <c r="B15" i="30" s="1"/>
  <c r="CE15" i="30"/>
  <c r="BX15" i="30"/>
  <c r="CL15" i="30"/>
  <c r="CI15" i="30"/>
  <c r="CK15" i="30"/>
  <c r="BY15" i="30"/>
  <c r="BZ15" i="30"/>
  <c r="CM15" i="30"/>
  <c r="BW15" i="30"/>
  <c r="CF15" i="30"/>
  <c r="CD15" i="30"/>
  <c r="BV15" i="30"/>
  <c r="CH15" i="30"/>
  <c r="CG15" i="30"/>
  <c r="CC15" i="30"/>
  <c r="CJ15" i="30"/>
  <c r="BG13" i="30"/>
  <c r="CA15" i="30"/>
  <c r="CB15" i="30"/>
  <c r="T15" i="30"/>
  <c r="AJ15" i="30"/>
  <c r="X15" i="30"/>
  <c r="AR15" i="30"/>
  <c r="AB15" i="30"/>
  <c r="AZ15" i="30"/>
  <c r="D16" i="30"/>
  <c r="G16" i="30" l="1"/>
  <c r="C17" i="30" s="1"/>
  <c r="F16" i="30"/>
  <c r="L14" i="30"/>
  <c r="AF14" i="30"/>
  <c r="CN15" i="30"/>
  <c r="P15" i="30" l="1"/>
  <c r="B16" i="30" s="1"/>
  <c r="BX16" i="30"/>
  <c r="CK16" i="30"/>
  <c r="CL16" i="30"/>
  <c r="BW16" i="30"/>
  <c r="CM16" i="30"/>
  <c r="CB16" i="30"/>
  <c r="CH16" i="30"/>
  <c r="BG14" i="30"/>
  <c r="CD16" i="30"/>
  <c r="CF16" i="30"/>
  <c r="CI16" i="30"/>
  <c r="CE16" i="30"/>
  <c r="CA16" i="30"/>
  <c r="CG16" i="30"/>
  <c r="CC16" i="30"/>
  <c r="BZ16" i="30"/>
  <c r="BV16" i="30"/>
  <c r="CJ16" i="30"/>
  <c r="BY16" i="30"/>
  <c r="X16" i="30"/>
  <c r="AJ16" i="30"/>
  <c r="T16" i="30"/>
  <c r="AB16" i="30"/>
  <c r="AR16" i="30"/>
  <c r="AZ16" i="30"/>
  <c r="D17" i="30"/>
  <c r="G17" i="30" l="1"/>
  <c r="C18" i="30" s="1"/>
  <c r="L15" i="30"/>
  <c r="AF15" i="30"/>
  <c r="F17" i="30"/>
  <c r="CN16" i="30"/>
  <c r="P16" i="30" l="1"/>
  <c r="B17" i="30" s="1"/>
  <c r="CL17" i="30"/>
  <c r="CF17" i="30"/>
  <c r="BG15" i="30"/>
  <c r="CI17" i="30"/>
  <c r="CH17" i="30"/>
  <c r="CG17" i="30"/>
  <c r="BX17" i="30"/>
  <c r="BV17" i="30"/>
  <c r="CJ17" i="30"/>
  <c r="CB17" i="30"/>
  <c r="CD17" i="30"/>
  <c r="CC17" i="30"/>
  <c r="BZ17" i="30"/>
  <c r="CA17" i="30"/>
  <c r="CK17" i="30"/>
  <c r="BY17" i="30"/>
  <c r="CE17" i="30"/>
  <c r="CM17" i="30"/>
  <c r="BW17" i="30"/>
  <c r="X17" i="30"/>
  <c r="AR17" i="30"/>
  <c r="T17" i="30"/>
  <c r="AB17" i="30"/>
  <c r="AJ17" i="30"/>
  <c r="AZ17" i="30"/>
  <c r="D18" i="30"/>
  <c r="G18" i="30" l="1"/>
  <c r="C19" i="30" s="1"/>
  <c r="CN17" i="30"/>
  <c r="L16" i="30"/>
  <c r="AF16" i="30"/>
  <c r="F18" i="30"/>
  <c r="P17" i="30" l="1"/>
  <c r="B18" i="30" s="1"/>
  <c r="BG16" i="30"/>
  <c r="CF18" i="30"/>
  <c r="CG18" i="30"/>
  <c r="CI18" i="30"/>
  <c r="CM18" i="30"/>
  <c r="CC18" i="30"/>
  <c r="BX18" i="30"/>
  <c r="CE18" i="30"/>
  <c r="CB18" i="30"/>
  <c r="BW18" i="30"/>
  <c r="CA18" i="30"/>
  <c r="CL18" i="30"/>
  <c r="BY18" i="30"/>
  <c r="CD18" i="30"/>
  <c r="CK18" i="30"/>
  <c r="BV18" i="30"/>
  <c r="CH18" i="30"/>
  <c r="BZ18" i="30"/>
  <c r="CJ18" i="30"/>
  <c r="AB18" i="30"/>
  <c r="T18" i="30"/>
  <c r="X18" i="30"/>
  <c r="AR18" i="30"/>
  <c r="AJ18" i="30"/>
  <c r="AZ18" i="30"/>
  <c r="D19" i="30"/>
  <c r="G19" i="30" l="1"/>
  <c r="C20" i="30" s="1"/>
  <c r="AF17" i="30"/>
  <c r="L17" i="30"/>
  <c r="F19" i="30"/>
  <c r="CN18" i="30"/>
  <c r="P18" i="30" l="1"/>
  <c r="B19" i="30" s="1"/>
  <c r="CH19" i="30"/>
  <c r="CE19" i="30"/>
  <c r="CF19" i="30"/>
  <c r="BX19" i="30"/>
  <c r="CL19" i="30"/>
  <c r="BW19" i="30"/>
  <c r="CJ19" i="30"/>
  <c r="BG17" i="30"/>
  <c r="BV19" i="30"/>
  <c r="CC19" i="30"/>
  <c r="BY19" i="30"/>
  <c r="CB19" i="30"/>
  <c r="CD19" i="30"/>
  <c r="CM19" i="30"/>
  <c r="CA19" i="30"/>
  <c r="CK19" i="30"/>
  <c r="CG19" i="30"/>
  <c r="BZ19" i="30"/>
  <c r="CI19" i="30"/>
  <c r="AB19" i="30"/>
  <c r="AJ19" i="30"/>
  <c r="T19" i="30"/>
  <c r="X19" i="30"/>
  <c r="AR19" i="30"/>
  <c r="AZ19" i="30"/>
  <c r="D20" i="30"/>
  <c r="G20" i="30" l="1"/>
  <c r="C21" i="30" s="1"/>
  <c r="L18" i="30"/>
  <c r="AF18" i="30"/>
  <c r="F20" i="30"/>
  <c r="CN19" i="30"/>
  <c r="P19" i="30" l="1"/>
  <c r="B20" i="30" s="1"/>
  <c r="CF20" i="30"/>
  <c r="CC20" i="30"/>
  <c r="CL20" i="30"/>
  <c r="CD20" i="30"/>
  <c r="BV20" i="30"/>
  <c r="BY20" i="30"/>
  <c r="CJ20" i="30"/>
  <c r="BX20" i="30"/>
  <c r="CB20" i="30"/>
  <c r="BW20" i="30"/>
  <c r="CI20" i="30"/>
  <c r="CM20" i="30"/>
  <c r="CA20" i="30"/>
  <c r="CK20" i="30"/>
  <c r="CH20" i="30"/>
  <c r="CE20" i="30"/>
  <c r="BZ20" i="30"/>
  <c r="BG18" i="30"/>
  <c r="CG20" i="30"/>
  <c r="T20" i="30"/>
  <c r="AR20" i="30"/>
  <c r="AB20" i="30"/>
  <c r="X20" i="30"/>
  <c r="AJ20" i="30"/>
  <c r="AZ20" i="30"/>
  <c r="D21" i="30"/>
  <c r="G21" i="30" l="1"/>
  <c r="C22" i="30" s="1"/>
  <c r="L19" i="30"/>
  <c r="AF19" i="30"/>
  <c r="F21" i="30"/>
  <c r="CN20" i="30"/>
  <c r="P20" i="30" l="1"/>
  <c r="B21" i="30" s="1"/>
  <c r="CI21" i="30"/>
  <c r="CA21" i="30"/>
  <c r="CK21" i="30"/>
  <c r="CJ21" i="30"/>
  <c r="CB21" i="30"/>
  <c r="CC21" i="30"/>
  <c r="CE21" i="30"/>
  <c r="CD21" i="30"/>
  <c r="CH21" i="30"/>
  <c r="BZ21" i="30"/>
  <c r="CG21" i="30"/>
  <c r="CF21" i="30"/>
  <c r="BX21" i="30"/>
  <c r="BW21" i="30"/>
  <c r="BY21" i="30"/>
  <c r="BV21" i="30"/>
  <c r="CM21" i="30"/>
  <c r="CL21" i="30"/>
  <c r="BG19" i="30"/>
  <c r="X21" i="30"/>
  <c r="T21" i="30"/>
  <c r="AR21" i="30"/>
  <c r="AJ21" i="30"/>
  <c r="AB21" i="30"/>
  <c r="AZ21" i="30"/>
  <c r="D22" i="30"/>
  <c r="G22" i="30" l="1"/>
  <c r="C23" i="30" s="1"/>
  <c r="L20" i="30"/>
  <c r="AF20" i="30"/>
  <c r="F22" i="30"/>
  <c r="CN21" i="30"/>
  <c r="P21" i="30" l="1"/>
  <c r="B22" i="30" s="1"/>
  <c r="BZ22" i="30"/>
  <c r="CE22" i="30"/>
  <c r="CF22" i="30"/>
  <c r="CK22" i="30"/>
  <c r="CM22" i="30"/>
  <c r="CI22" i="30"/>
  <c r="BW22" i="30"/>
  <c r="CG22" i="30"/>
  <c r="CL22" i="30"/>
  <c r="CA22" i="30"/>
  <c r="CD22" i="30"/>
  <c r="CC22" i="30"/>
  <c r="BV22" i="30"/>
  <c r="BY22" i="30"/>
  <c r="CH22" i="30"/>
  <c r="BX22" i="30"/>
  <c r="CJ22" i="30"/>
  <c r="CB22" i="30"/>
  <c r="BG20" i="30"/>
  <c r="AB22" i="30"/>
  <c r="T22" i="30"/>
  <c r="AR22" i="30"/>
  <c r="AJ22" i="30"/>
  <c r="X22" i="30"/>
  <c r="AZ22" i="30"/>
  <c r="D23" i="30"/>
  <c r="G23" i="30" l="1"/>
  <c r="C24" i="30" s="1"/>
  <c r="CN22" i="30"/>
  <c r="AF21" i="30"/>
  <c r="L21" i="30"/>
  <c r="F23" i="30"/>
  <c r="P22" i="30" l="1"/>
  <c r="B23" i="30" s="1"/>
  <c r="CG23" i="30"/>
  <c r="BX23" i="30"/>
  <c r="CL23" i="30"/>
  <c r="CK23" i="30"/>
  <c r="CI23" i="30"/>
  <c r="CH23" i="30"/>
  <c r="CM23" i="30"/>
  <c r="BW23" i="30"/>
  <c r="CF23" i="30"/>
  <c r="CD23" i="30"/>
  <c r="BV23" i="30"/>
  <c r="BY23" i="30"/>
  <c r="CC23" i="30"/>
  <c r="CE23" i="30"/>
  <c r="CJ23" i="30"/>
  <c r="CA23" i="30"/>
  <c r="CB23" i="30"/>
  <c r="BZ23" i="30"/>
  <c r="BG21" i="30"/>
  <c r="AR23" i="30"/>
  <c r="X23" i="30"/>
  <c r="AB23" i="30"/>
  <c r="AJ23" i="30"/>
  <c r="T23" i="30"/>
  <c r="AZ23" i="30"/>
  <c r="D24" i="30"/>
  <c r="G24" i="30" l="1"/>
  <c r="C25" i="30" s="1"/>
  <c r="F24" i="30"/>
  <c r="L22" i="30"/>
  <c r="AF22" i="30"/>
  <c r="CN23" i="30"/>
  <c r="P23" i="30" l="1"/>
  <c r="B24" i="30" s="1"/>
  <c r="BX24" i="30"/>
  <c r="CL24" i="30"/>
  <c r="CD24" i="30"/>
  <c r="CC24" i="30"/>
  <c r="BV24" i="30"/>
  <c r="CF24" i="30"/>
  <c r="CE24" i="30"/>
  <c r="CI24" i="30"/>
  <c r="BW24" i="30"/>
  <c r="CA24" i="30"/>
  <c r="CM24" i="30"/>
  <c r="CH24" i="30"/>
  <c r="CG24" i="30"/>
  <c r="BZ24" i="30"/>
  <c r="CK24" i="30"/>
  <c r="CJ24" i="30"/>
  <c r="CB24" i="30"/>
  <c r="BY24" i="30"/>
  <c r="BG22" i="30"/>
  <c r="AR24" i="30"/>
  <c r="X24" i="30"/>
  <c r="T24" i="30"/>
  <c r="AB24" i="30"/>
  <c r="AJ24" i="30"/>
  <c r="AZ24" i="30"/>
  <c r="D25" i="30"/>
  <c r="G25" i="30" l="1"/>
  <c r="C26" i="30" s="1"/>
  <c r="F25" i="30"/>
  <c r="L23" i="30"/>
  <c r="AF23" i="30"/>
  <c r="CN24" i="30"/>
  <c r="P24" i="30" l="1"/>
  <c r="B25" i="30" s="1"/>
  <c r="CL25" i="30"/>
  <c r="CI25" i="30"/>
  <c r="BZ25" i="30"/>
  <c r="CJ25" i="30"/>
  <c r="CK25" i="30"/>
  <c r="CE25" i="30"/>
  <c r="CD25" i="30"/>
  <c r="CG25" i="30"/>
  <c r="CC25" i="30"/>
  <c r="BY25" i="30"/>
  <c r="CA25" i="30"/>
  <c r="CF25" i="30"/>
  <c r="CM25" i="30"/>
  <c r="BX25" i="30"/>
  <c r="BV25" i="30"/>
  <c r="CB25" i="30"/>
  <c r="CH25" i="30"/>
  <c r="BW25" i="30"/>
  <c r="BG23" i="30"/>
  <c r="AB25" i="30"/>
  <c r="AR25" i="30"/>
  <c r="AJ25" i="30"/>
  <c r="X25" i="30"/>
  <c r="AZ25" i="30"/>
  <c r="T25" i="30"/>
  <c r="D26" i="30"/>
  <c r="G26" i="30" l="1"/>
  <c r="C27" i="30" s="1"/>
  <c r="L24" i="30"/>
  <c r="AF24" i="30"/>
  <c r="F26" i="30"/>
  <c r="CN25" i="30"/>
  <c r="P25" i="30" l="1"/>
  <c r="B26" i="30" s="1"/>
  <c r="CF26" i="30"/>
  <c r="BX26" i="30"/>
  <c r="CM26" i="30"/>
  <c r="CI26" i="30"/>
  <c r="CE26" i="30"/>
  <c r="CC26" i="30"/>
  <c r="BW26" i="30"/>
  <c r="CB26" i="30"/>
  <c r="CL26" i="30"/>
  <c r="CA26" i="30"/>
  <c r="CD26" i="30"/>
  <c r="CK26" i="30"/>
  <c r="BV26" i="30"/>
  <c r="CG26" i="30"/>
  <c r="CH26" i="30"/>
  <c r="BZ26" i="30"/>
  <c r="BY26" i="30"/>
  <c r="CJ26" i="30"/>
  <c r="BG24" i="30"/>
  <c r="AR26" i="30"/>
  <c r="AB26" i="30"/>
  <c r="AJ26" i="30"/>
  <c r="X26" i="30"/>
  <c r="T26" i="30"/>
  <c r="AZ26" i="30"/>
  <c r="D27" i="30"/>
  <c r="G27" i="30" l="1"/>
  <c r="C28" i="30" s="1"/>
  <c r="L25" i="30"/>
  <c r="AF25" i="30"/>
  <c r="F27" i="30"/>
  <c r="CN26" i="30"/>
  <c r="P26" i="30" l="1"/>
  <c r="B27" i="30" s="1"/>
  <c r="CH27" i="30"/>
  <c r="CE27" i="30"/>
  <c r="CF27" i="30"/>
  <c r="BX27" i="30"/>
  <c r="CM27" i="30"/>
  <c r="CA27" i="30"/>
  <c r="BZ27" i="30"/>
  <c r="CK27" i="30"/>
  <c r="CC27" i="30"/>
  <c r="CG27" i="30"/>
  <c r="CB27" i="30"/>
  <c r="CL27" i="30"/>
  <c r="CD27" i="30"/>
  <c r="BV27" i="30"/>
  <c r="BY27" i="30"/>
  <c r="BW27" i="30"/>
  <c r="CJ27" i="30"/>
  <c r="CI27" i="30"/>
  <c r="BG25" i="30"/>
  <c r="AB27" i="30"/>
  <c r="X27" i="30"/>
  <c r="T27" i="30"/>
  <c r="AR27" i="30"/>
  <c r="AJ27" i="30"/>
  <c r="AZ27" i="30"/>
  <c r="D28" i="30"/>
  <c r="G28" i="30" l="1"/>
  <c r="C29" i="30" s="1"/>
  <c r="CN27" i="30"/>
  <c r="L26" i="30"/>
  <c r="AF26" i="30"/>
  <c r="F28" i="30"/>
  <c r="P27" i="30" l="1"/>
  <c r="B28" i="30" s="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T28" i="30"/>
  <c r="AZ28" i="30"/>
  <c r="D29" i="30"/>
  <c r="G29" i="30" l="1"/>
  <c r="C30" i="30" s="1"/>
  <c r="L27" i="30"/>
  <c r="AF27" i="30"/>
  <c r="F29" i="30"/>
  <c r="CN28" i="30"/>
  <c r="P28" i="30" l="1"/>
  <c r="B29" i="30" s="1"/>
  <c r="CA29" i="30"/>
  <c r="CL29" i="30"/>
  <c r="CM29" i="30"/>
  <c r="BZ29" i="30"/>
  <c r="CG29" i="30"/>
  <c r="CC29" i="30"/>
  <c r="BY29" i="30"/>
  <c r="BW29" i="30"/>
  <c r="CF29" i="30"/>
  <c r="CI29" i="30"/>
  <c r="BX29" i="30"/>
  <c r="CE29" i="30"/>
  <c r="CD29" i="30"/>
  <c r="CJ29" i="30"/>
  <c r="CB29" i="30"/>
  <c r="CH29" i="30"/>
  <c r="CK29" i="30"/>
  <c r="BV29" i="30"/>
  <c r="BG27" i="30"/>
  <c r="AR29" i="30"/>
  <c r="X29" i="30"/>
  <c r="T29" i="30"/>
  <c r="AJ29" i="30"/>
  <c r="AB29" i="30"/>
  <c r="D30" i="30"/>
  <c r="AZ29" i="30"/>
  <c r="G30" i="30" l="1"/>
  <c r="C31" i="30" s="1"/>
  <c r="AF28" i="30"/>
  <c r="L28" i="30"/>
  <c r="CN29" i="30"/>
  <c r="F30" i="30"/>
  <c r="P29" i="30" l="1"/>
  <c r="B30" i="30" s="1"/>
  <c r="BY30" i="30"/>
  <c r="BZ30" i="30"/>
  <c r="CF30" i="30"/>
  <c r="BX30" i="30"/>
  <c r="CM30" i="30"/>
  <c r="CA30" i="30"/>
  <c r="CJ30" i="30"/>
  <c r="BW30" i="30"/>
  <c r="CL30" i="30"/>
  <c r="CI30" i="30"/>
  <c r="CD30" i="30"/>
  <c r="CG30" i="30"/>
  <c r="BV30" i="30"/>
  <c r="CH30" i="30"/>
  <c r="CE30" i="30"/>
  <c r="CK30" i="30"/>
  <c r="CC30" i="30"/>
  <c r="CB30" i="30"/>
  <c r="BG28" i="30"/>
  <c r="AJ30" i="30"/>
  <c r="T30" i="30"/>
  <c r="AR30" i="30"/>
  <c r="AB30" i="30"/>
  <c r="X30" i="30"/>
  <c r="AZ30" i="30"/>
  <c r="D31" i="30"/>
  <c r="G31" i="30" l="1"/>
  <c r="C32" i="30" s="1"/>
  <c r="AF29" i="30"/>
  <c r="BG29" i="30" s="1"/>
  <c r="L29" i="30"/>
  <c r="F31" i="30"/>
  <c r="CN30" i="30"/>
  <c r="P30" i="30" l="1"/>
  <c r="B31" i="30" s="1"/>
  <c r="CF31" i="30"/>
  <c r="CL31" i="30"/>
  <c r="CD31" i="30"/>
  <c r="BV31" i="30"/>
  <c r="CG31" i="30"/>
  <c r="CE31" i="30"/>
  <c r="CJ31" i="30"/>
  <c r="CI31" i="30"/>
  <c r="CA31" i="30"/>
  <c r="BX31" i="30"/>
  <c r="CH31" i="30"/>
  <c r="CK31" i="30"/>
  <c r="CC31" i="30"/>
  <c r="BY31" i="30"/>
  <c r="CB31" i="30"/>
  <c r="BZ31" i="30"/>
  <c r="CM31" i="30"/>
  <c r="BW31" i="30"/>
  <c r="X31" i="30"/>
  <c r="AR31" i="30"/>
  <c r="AB31" i="30"/>
  <c r="AJ31" i="30"/>
  <c r="T31" i="30"/>
  <c r="AZ31" i="30"/>
  <c r="D32" i="30"/>
  <c r="G32" i="30" l="1"/>
  <c r="C33" i="30" s="1"/>
  <c r="AF30" i="30"/>
  <c r="L30" i="30"/>
  <c r="F32" i="30"/>
  <c r="CN31" i="30"/>
  <c r="BG30" i="30" l="1"/>
  <c r="P31" i="30"/>
  <c r="B32" i="30" s="1"/>
  <c r="CL32" i="30"/>
  <c r="BV32" i="30"/>
  <c r="CD32" i="30"/>
  <c r="CJ32" i="30"/>
  <c r="CM32" i="30"/>
  <c r="CB32" i="30"/>
  <c r="CG32" i="30"/>
  <c r="CI32" i="30"/>
  <c r="CF32" i="30"/>
  <c r="CA32" i="30"/>
  <c r="CE32" i="30"/>
  <c r="CH32" i="30"/>
  <c r="CC32" i="30"/>
  <c r="BZ32" i="30"/>
  <c r="BY32" i="30"/>
  <c r="BW32" i="30"/>
  <c r="BX32" i="30"/>
  <c r="CK32" i="30"/>
  <c r="AR32" i="30"/>
  <c r="X32" i="30"/>
  <c r="T32" i="30"/>
  <c r="AJ32" i="30"/>
  <c r="AB32" i="30"/>
  <c r="AZ32" i="30"/>
  <c r="D33" i="30"/>
  <c r="G33" i="30" l="1"/>
  <c r="C34" i="30" s="1"/>
  <c r="AF31" i="30"/>
  <c r="BG31" i="30" s="1"/>
  <c r="L31" i="30"/>
  <c r="F33" i="30"/>
  <c r="CN32" i="30"/>
  <c r="P32" i="30" l="1"/>
  <c r="B33" i="30" s="1"/>
  <c r="CJ33" i="30"/>
  <c r="CI33" i="30"/>
  <c r="CB33" i="30"/>
  <c r="CM33" i="30"/>
  <c r="CH33" i="30"/>
  <c r="CK33" i="30"/>
  <c r="BZ33" i="30"/>
  <c r="CE33" i="30"/>
  <c r="CG33" i="30"/>
  <c r="CC33" i="30"/>
  <c r="BY33" i="30"/>
  <c r="CA33" i="30"/>
  <c r="CF33" i="30"/>
  <c r="CD33" i="30"/>
  <c r="BX33" i="30"/>
  <c r="BW33" i="30"/>
  <c r="CL33" i="30"/>
  <c r="BV33" i="30"/>
  <c r="AB33" i="30"/>
  <c r="X33" i="30"/>
  <c r="AJ33" i="30"/>
  <c r="AR33" i="30"/>
  <c r="AZ33" i="30"/>
  <c r="T33" i="30"/>
  <c r="D34" i="30"/>
  <c r="G34" i="30" l="1"/>
  <c r="C35" i="30" s="1"/>
  <c r="L32" i="30"/>
  <c r="AF32" i="30"/>
  <c r="BG32" i="30" s="1"/>
  <c r="F34" i="30"/>
  <c r="CN33" i="30"/>
  <c r="P33" i="30" l="1"/>
  <c r="B34" i="30" s="1"/>
  <c r="CM34" i="30"/>
  <c r="CE34" i="30"/>
  <c r="BW34" i="30"/>
  <c r="CF34" i="30"/>
  <c r="CL34" i="30"/>
  <c r="CI34" i="30"/>
  <c r="CC34" i="30"/>
  <c r="BZ34" i="30"/>
  <c r="BX34" i="30"/>
  <c r="BY34" i="30"/>
  <c r="CK34" i="30"/>
  <c r="CD34" i="30"/>
  <c r="CJ34" i="30"/>
  <c r="CG34" i="30"/>
  <c r="CB34" i="30"/>
  <c r="BV34" i="30"/>
  <c r="CA34" i="30"/>
  <c r="CH34" i="30"/>
  <c r="L33" i="30"/>
  <c r="AF33" i="30"/>
  <c r="AJ34" i="30"/>
  <c r="AR34" i="30"/>
  <c r="AB34" i="30"/>
  <c r="X34" i="30"/>
  <c r="AZ34" i="30"/>
  <c r="T34" i="30"/>
  <c r="D35" i="30"/>
  <c r="G35" i="30" l="1"/>
  <c r="C36" i="30" s="1"/>
  <c r="BG33" i="30"/>
  <c r="CN34" i="30"/>
  <c r="F35" i="30"/>
  <c r="P34" i="30" l="1"/>
  <c r="B35" i="30" s="1"/>
  <c r="CK35" i="30"/>
  <c r="CB35" i="30"/>
  <c r="CL35" i="30"/>
  <c r="CI35" i="30"/>
  <c r="CA35" i="30"/>
  <c r="CH35" i="30"/>
  <c r="BZ35" i="30"/>
  <c r="CF35" i="30"/>
  <c r="CM35" i="30"/>
  <c r="CD35" i="30"/>
  <c r="BV35" i="30"/>
  <c r="CG35" i="30"/>
  <c r="BY35" i="30"/>
  <c r="CE35" i="30"/>
  <c r="CC35" i="30"/>
  <c r="CJ35" i="30"/>
  <c r="BX35" i="30"/>
  <c r="BW35" i="30"/>
  <c r="AF34" i="30"/>
  <c r="L34" i="30"/>
  <c r="AJ35" i="30"/>
  <c r="T35" i="30"/>
  <c r="AB35" i="30"/>
  <c r="AR35" i="30"/>
  <c r="X35" i="30"/>
  <c r="D36" i="30"/>
  <c r="AZ35" i="30"/>
  <c r="G36" i="30" l="1"/>
  <c r="C37" i="30" s="1"/>
  <c r="BG34" i="30"/>
  <c r="CN35" i="30"/>
  <c r="F36" i="30"/>
  <c r="P35" i="30" l="1"/>
  <c r="B36" i="30" s="1"/>
  <c r="CL36" i="30"/>
  <c r="CD36" i="30"/>
  <c r="BV36" i="30"/>
  <c r="CH36" i="30"/>
  <c r="BW36" i="30"/>
  <c r="CC36" i="30"/>
  <c r="CG36" i="30"/>
  <c r="CF36" i="30"/>
  <c r="CI36" i="30"/>
  <c r="CE36" i="30"/>
  <c r="CA36" i="30"/>
  <c r="CJ36" i="30"/>
  <c r="BY36" i="30"/>
  <c r="BZ36" i="30"/>
  <c r="CB36" i="30"/>
  <c r="CM36" i="30"/>
  <c r="BX36" i="30"/>
  <c r="CK36" i="30"/>
  <c r="L35" i="30"/>
  <c r="AF35" i="30"/>
  <c r="X36" i="30"/>
  <c r="T36" i="30"/>
  <c r="AB36" i="30"/>
  <c r="AR36" i="30"/>
  <c r="AJ36" i="30"/>
  <c r="AZ36" i="30"/>
  <c r="D37" i="30"/>
  <c r="G37" i="30" l="1"/>
  <c r="C38" i="30" s="1"/>
  <c r="BG35" i="30"/>
  <c r="F37" i="30"/>
  <c r="CN36" i="30"/>
  <c r="P36" i="30" l="1"/>
  <c r="B37" i="30" s="1"/>
  <c r="CD37" i="30"/>
  <c r="CK37" i="30"/>
  <c r="CJ37" i="30"/>
  <c r="BW37" i="30"/>
  <c r="CB37" i="30"/>
  <c r="CM37" i="30"/>
  <c r="CC37" i="30"/>
  <c r="CA37" i="30"/>
  <c r="CE37" i="30"/>
  <c r="CL37" i="30"/>
  <c r="CF37" i="30"/>
  <c r="BV37" i="30"/>
  <c r="BX37" i="30"/>
  <c r="BZ37" i="30"/>
  <c r="CI37" i="30"/>
  <c r="CG37" i="30"/>
  <c r="BY37" i="30"/>
  <c r="CH37" i="30"/>
  <c r="AF36" i="30"/>
  <c r="L36" i="30"/>
  <c r="T37" i="30"/>
  <c r="X37" i="30"/>
  <c r="AR37" i="30"/>
  <c r="AB37" i="30"/>
  <c r="AJ37" i="30"/>
  <c r="AZ37" i="30"/>
  <c r="D38" i="30"/>
  <c r="G38" i="30" l="1"/>
  <c r="C39" i="30" s="1"/>
  <c r="BG36" i="30"/>
  <c r="F38" i="30"/>
  <c r="CN37" i="30"/>
  <c r="P37" i="30" l="1"/>
  <c r="B38" i="30" s="1"/>
  <c r="CF38" i="30"/>
  <c r="CH38" i="30"/>
  <c r="BZ38" i="30"/>
  <c r="CA38" i="30"/>
  <c r="CM38" i="30"/>
  <c r="BY38" i="30"/>
  <c r="CE38" i="30"/>
  <c r="CK38" i="30"/>
  <c r="BW38" i="30"/>
  <c r="BX38" i="30"/>
  <c r="CL38" i="30"/>
  <c r="CI38" i="30"/>
  <c r="CD38" i="30"/>
  <c r="CJ38" i="30"/>
  <c r="BV38" i="30"/>
  <c r="CG38" i="30"/>
  <c r="CB38" i="30"/>
  <c r="CC38" i="30"/>
  <c r="L37" i="30"/>
  <c r="AF37" i="30"/>
  <c r="AB38" i="30"/>
  <c r="T38" i="30"/>
  <c r="AJ38" i="30"/>
  <c r="X38" i="30"/>
  <c r="AR38" i="30"/>
  <c r="AZ38" i="30"/>
  <c r="D39" i="30"/>
  <c r="G39" i="30" l="1"/>
  <c r="C40" i="30" s="1"/>
  <c r="BG37" i="30"/>
  <c r="F39" i="30"/>
  <c r="CN38" i="30"/>
  <c r="P38" i="30" l="1"/>
  <c r="B39" i="30" s="1"/>
  <c r="CM39" i="30"/>
  <c r="CA39" i="30"/>
  <c r="BZ39" i="30"/>
  <c r="CL39" i="30"/>
  <c r="CF39" i="30"/>
  <c r="BW39" i="30"/>
  <c r="BX39" i="30"/>
  <c r="CI39" i="30"/>
  <c r="CK39" i="30"/>
  <c r="BV39" i="30"/>
  <c r="CC39" i="30"/>
  <c r="CH39" i="30"/>
  <c r="CJ39" i="30"/>
  <c r="BY39" i="30"/>
  <c r="CB39" i="30"/>
  <c r="CE39" i="30"/>
  <c r="CG39" i="30"/>
  <c r="CD39" i="30"/>
  <c r="L38" i="30"/>
  <c r="AF38" i="30"/>
  <c r="AB39" i="30"/>
  <c r="AR39" i="30"/>
  <c r="X39" i="30"/>
  <c r="AJ39" i="30"/>
  <c r="T39" i="30"/>
  <c r="D40" i="30"/>
  <c r="AZ39" i="30"/>
  <c r="G40" i="30" l="1"/>
  <c r="C41" i="30" s="1"/>
  <c r="BG38" i="30"/>
  <c r="CN39" i="30"/>
  <c r="F40" i="30"/>
  <c r="P39" i="30" l="1"/>
  <c r="B40" i="30" s="1"/>
  <c r="CB40" i="30"/>
  <c r="CL40" i="30"/>
  <c r="CA40" i="30"/>
  <c r="CD40" i="30"/>
  <c r="BV40" i="30"/>
  <c r="CE40" i="30"/>
  <c r="CI40" i="30"/>
  <c r="BW40" i="30"/>
  <c r="CH40" i="30"/>
  <c r="BZ40" i="30"/>
  <c r="CC40" i="30"/>
  <c r="BY40" i="30"/>
  <c r="BX40" i="30"/>
  <c r="CG40" i="30"/>
  <c r="CJ40" i="30"/>
  <c r="CF40" i="30"/>
  <c r="CK40" i="30"/>
  <c r="CM40" i="30"/>
  <c r="L39" i="30"/>
  <c r="AF39" i="30"/>
  <c r="AJ40" i="30"/>
  <c r="X40" i="30"/>
  <c r="AR40" i="30"/>
  <c r="AB40" i="30"/>
  <c r="T40" i="30"/>
  <c r="AZ40" i="30"/>
  <c r="D41" i="30"/>
  <c r="G41" i="30" l="1"/>
  <c r="C42" i="30" s="1"/>
  <c r="BG39" i="30"/>
  <c r="F41" i="30"/>
  <c r="CN40" i="30"/>
  <c r="P40" i="30" l="1"/>
  <c r="B41" i="30" s="1"/>
  <c r="CI41" i="30"/>
  <c r="CJ41" i="30"/>
  <c r="CC41" i="30"/>
  <c r="CB41" i="30"/>
  <c r="CG41" i="30"/>
  <c r="BY41" i="30"/>
  <c r="CF41" i="30"/>
  <c r="CA41" i="30"/>
  <c r="BW41" i="30"/>
  <c r="CE41" i="30"/>
  <c r="CD41" i="30"/>
  <c r="BX41" i="30"/>
  <c r="CL41" i="30"/>
  <c r="BZ41" i="30"/>
  <c r="CM41" i="30"/>
  <c r="BV41" i="30"/>
  <c r="CK41" i="30"/>
  <c r="CH41" i="30"/>
  <c r="AF40" i="30"/>
  <c r="L40" i="30"/>
  <c r="X41" i="30"/>
  <c r="AB41" i="30"/>
  <c r="AJ41" i="30"/>
  <c r="T41" i="30"/>
  <c r="AR41" i="30"/>
  <c r="AZ41" i="30"/>
  <c r="D42" i="30"/>
  <c r="C43" i="30" l="1"/>
  <c r="BG40" i="30"/>
  <c r="F42" i="30"/>
  <c r="CN41" i="30"/>
  <c r="P41" i="30" l="1"/>
  <c r="B42" i="30" s="1"/>
  <c r="BX42" i="30"/>
  <c r="CH42" i="30"/>
  <c r="BZ42" i="30"/>
  <c r="CE42" i="30"/>
  <c r="CG42" i="30"/>
  <c r="CB42" i="30"/>
  <c r="CM42" i="30"/>
  <c r="CA42" i="30"/>
  <c r="BY42" i="30"/>
  <c r="BW42" i="30"/>
  <c r="CC42" i="30"/>
  <c r="CL42" i="30"/>
  <c r="CI42" i="30"/>
  <c r="CD42" i="30"/>
  <c r="CK42" i="30"/>
  <c r="BV42" i="30"/>
  <c r="CF42" i="30"/>
  <c r="CJ42" i="30"/>
  <c r="L41" i="30"/>
  <c r="AF41" i="30"/>
  <c r="AJ42" i="30"/>
  <c r="AR42" i="30"/>
  <c r="AB42" i="30"/>
  <c r="T42" i="30"/>
  <c r="X42" i="30"/>
  <c r="AZ42" i="30"/>
  <c r="D43" i="30"/>
  <c r="G43" i="30" l="1"/>
  <c r="C44" i="30" s="1"/>
  <c r="BG41" i="30"/>
  <c r="F43" i="30"/>
  <c r="CN42" i="30"/>
  <c r="P42" i="30" l="1"/>
  <c r="B43" i="30" s="1"/>
  <c r="BZ43" i="30"/>
  <c r="CI43" i="30"/>
  <c r="CB43" i="30"/>
  <c r="CK43" i="30"/>
  <c r="BW43" i="30"/>
  <c r="BY43" i="30"/>
  <c r="CL43" i="30"/>
  <c r="CG43" i="30"/>
  <c r="CE43" i="30"/>
  <c r="CA43" i="30"/>
  <c r="CH43" i="30"/>
  <c r="CC43" i="30"/>
  <c r="CF43" i="30"/>
  <c r="BV43" i="30"/>
  <c r="BX43" i="30"/>
  <c r="CJ43" i="30"/>
  <c r="CD43" i="30"/>
  <c r="CM43" i="30"/>
  <c r="L42" i="30"/>
  <c r="AF42" i="30"/>
  <c r="AB43" i="30"/>
  <c r="X43" i="30"/>
  <c r="AJ43" i="30"/>
  <c r="T43" i="30"/>
  <c r="AR43" i="30"/>
  <c r="AZ43" i="30"/>
  <c r="D44" i="30"/>
  <c r="G44" i="30" l="1"/>
  <c r="C45" i="30" s="1"/>
  <c r="BG42" i="30"/>
  <c r="F44" i="30"/>
  <c r="CN43" i="30"/>
  <c r="P43" i="30" l="1"/>
  <c r="B44" i="30" s="1"/>
  <c r="CH44" i="30"/>
  <c r="BX44" i="30"/>
  <c r="CK44" i="30"/>
  <c r="CE44" i="30"/>
  <c r="CJ44" i="30"/>
  <c r="CC44" i="30"/>
  <c r="CI44" i="30"/>
  <c r="BV44" i="30"/>
  <c r="CM44" i="30"/>
  <c r="CG44" i="30"/>
  <c r="CB44" i="30"/>
  <c r="CF44" i="30"/>
  <c r="CA44" i="30"/>
  <c r="CL44" i="30"/>
  <c r="BZ44" i="30"/>
  <c r="CD44" i="30"/>
  <c r="BY44" i="30"/>
  <c r="BW44" i="30"/>
  <c r="L43" i="30"/>
  <c r="AF43" i="30"/>
  <c r="AB44" i="30"/>
  <c r="X44" i="30"/>
  <c r="AR44" i="30"/>
  <c r="AJ44" i="30"/>
  <c r="T44" i="30"/>
  <c r="D45" i="30"/>
  <c r="AZ44" i="30"/>
  <c r="G45" i="30" l="1"/>
  <c r="C46" i="30" s="1"/>
  <c r="BG43" i="30"/>
  <c r="CN44" i="30"/>
  <c r="F45" i="30"/>
  <c r="P44" i="30" l="1"/>
  <c r="B45" i="30" s="1"/>
  <c r="CH45" i="30"/>
  <c r="BY45" i="30"/>
  <c r="CA45" i="30"/>
  <c r="CF45" i="30"/>
  <c r="BW45" i="30"/>
  <c r="CL45" i="30"/>
  <c r="CD45" i="30"/>
  <c r="CC45" i="30"/>
  <c r="CE45" i="30"/>
  <c r="CK45" i="30"/>
  <c r="BV45" i="30"/>
  <c r="CJ45" i="30"/>
  <c r="CI45" i="30"/>
  <c r="CB45" i="30"/>
  <c r="BZ45" i="30"/>
  <c r="CM45" i="30"/>
  <c r="CG45" i="30"/>
  <c r="BX45" i="30"/>
  <c r="L44" i="30"/>
  <c r="AF44" i="30"/>
  <c r="X45" i="30"/>
  <c r="AJ45" i="30"/>
  <c r="T45" i="30"/>
  <c r="AB45" i="30"/>
  <c r="AR45" i="30"/>
  <c r="AZ45" i="30"/>
  <c r="D46" i="30"/>
  <c r="G46" i="30" l="1"/>
  <c r="C47" i="30" s="1"/>
  <c r="BG44" i="30"/>
  <c r="F46" i="30"/>
  <c r="CN45" i="30"/>
  <c r="P45" i="30" l="1"/>
  <c r="B46" i="30" s="1"/>
  <c r="CI46" i="30"/>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AZ46" i="30"/>
  <c r="D47" i="30"/>
  <c r="G47" i="30" l="1"/>
  <c r="C48" i="30" s="1"/>
  <c r="BG45" i="30"/>
  <c r="F47" i="30"/>
  <c r="CN46" i="30"/>
  <c r="P46" i="30" l="1"/>
  <c r="B47" i="30" s="1"/>
  <c r="CI47" i="30"/>
  <c r="BZ47" i="30"/>
  <c r="CG47" i="30"/>
  <c r="CL47" i="30"/>
  <c r="BW47" i="30"/>
  <c r="CC47" i="30"/>
  <c r="CD47" i="30"/>
  <c r="CK47" i="30"/>
  <c r="CE47" i="30"/>
  <c r="CB47" i="30"/>
  <c r="BV47" i="30"/>
  <c r="CJ47" i="30"/>
  <c r="CF47" i="30"/>
  <c r="CA47" i="30"/>
  <c r="BX47" i="30"/>
  <c r="CM47" i="30"/>
  <c r="CH47" i="30"/>
  <c r="BY47" i="30"/>
  <c r="L46" i="30"/>
  <c r="AF46" i="30"/>
  <c r="AR47" i="30"/>
  <c r="AJ47" i="30"/>
  <c r="X47" i="30"/>
  <c r="AB47" i="30"/>
  <c r="T47" i="30"/>
  <c r="AZ47" i="30"/>
  <c r="D48" i="30"/>
  <c r="G48" i="30" l="1"/>
  <c r="C49" i="30" s="1"/>
  <c r="BG46" i="30"/>
  <c r="F48" i="30"/>
  <c r="CN47" i="30"/>
  <c r="P47" i="30" l="1"/>
  <c r="B48" i="30" s="1"/>
  <c r="BZ48" i="30"/>
  <c r="CE48" i="30"/>
  <c r="CB48" i="30"/>
  <c r="BX48" i="30"/>
  <c r="CF48" i="30"/>
  <c r="CK48" i="30"/>
  <c r="CL48" i="30"/>
  <c r="CD48" i="30"/>
  <c r="BV48" i="30"/>
  <c r="BY48" i="30"/>
  <c r="CG48" i="30"/>
  <c r="CM48" i="30"/>
  <c r="CC48" i="30"/>
  <c r="BW48" i="30"/>
  <c r="CJ48" i="30"/>
  <c r="CA48" i="30"/>
  <c r="CH48" i="30"/>
  <c r="CI48" i="30"/>
  <c r="L47" i="30"/>
  <c r="AF47" i="30"/>
  <c r="AR48" i="30"/>
  <c r="T48" i="30"/>
  <c r="AB48" i="30"/>
  <c r="AJ48" i="30"/>
  <c r="X48" i="30"/>
  <c r="AZ48" i="30"/>
  <c r="D49" i="30"/>
  <c r="G49" i="30" l="1"/>
  <c r="C50" i="30" s="1"/>
  <c r="BG47" i="30"/>
  <c r="F49" i="30"/>
  <c r="CN48" i="30"/>
  <c r="P48" i="30" l="1"/>
  <c r="B49" i="30" s="1"/>
  <c r="CE49" i="30"/>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AZ49" i="30"/>
  <c r="D50" i="30"/>
  <c r="G50" i="30" l="1"/>
  <c r="C51" i="30" s="1"/>
  <c r="BG48" i="30"/>
  <c r="F50" i="30"/>
  <c r="CN49" i="30"/>
  <c r="P49" i="30" l="1"/>
  <c r="B50" i="30" s="1"/>
  <c r="BY50" i="30"/>
  <c r="CH50" i="30"/>
  <c r="BZ50" i="30"/>
  <c r="CG50" i="30"/>
  <c r="CM50" i="30"/>
  <c r="CA50" i="30"/>
  <c r="CE50" i="30"/>
  <c r="BX50" i="30"/>
  <c r="BW50" i="30"/>
  <c r="CJ50" i="30"/>
  <c r="CL50" i="30"/>
  <c r="CI50" i="30"/>
  <c r="CD50" i="30"/>
  <c r="CC50" i="30"/>
  <c r="BV50" i="30"/>
  <c r="CF50" i="30"/>
  <c r="CB50" i="30"/>
  <c r="CK50" i="30"/>
  <c r="L49" i="30"/>
  <c r="AF49" i="30"/>
  <c r="AR50" i="30"/>
  <c r="AJ50" i="30"/>
  <c r="T50" i="30"/>
  <c r="X50" i="30"/>
  <c r="AZ50" i="30"/>
  <c r="AB50" i="30"/>
  <c r="D51" i="30"/>
  <c r="G51" i="30" l="1"/>
  <c r="C52" i="30" s="1"/>
  <c r="BG49" i="30"/>
  <c r="F51" i="30"/>
  <c r="CN50" i="30"/>
  <c r="P50" i="30" l="1"/>
  <c r="B51" i="30" s="1"/>
  <c r="CM51" i="30"/>
  <c r="CB51" i="30"/>
  <c r="CI51" i="30"/>
  <c r="CH51" i="30"/>
  <c r="BV51" i="30"/>
  <c r="CE51" i="30"/>
  <c r="CA51" i="30"/>
  <c r="BY51" i="30"/>
  <c r="CG51" i="30"/>
  <c r="CF51" i="30"/>
  <c r="BX51" i="30"/>
  <c r="CK51" i="30"/>
  <c r="CD51" i="30"/>
  <c r="CC51" i="30"/>
  <c r="CJ51" i="30"/>
  <c r="BW51" i="30"/>
  <c r="CL51" i="30"/>
  <c r="BZ51" i="30"/>
  <c r="L50" i="30"/>
  <c r="AF50" i="30"/>
  <c r="AR51" i="30"/>
  <c r="AJ51" i="30"/>
  <c r="AB51" i="30"/>
  <c r="X51" i="30"/>
  <c r="T51" i="30"/>
  <c r="AZ51" i="30"/>
  <c r="D52" i="30"/>
  <c r="G52" i="30" l="1"/>
  <c r="C53" i="30" s="1"/>
  <c r="BG50" i="30"/>
  <c r="F52" i="30"/>
  <c r="CN51" i="30"/>
  <c r="P51" i="30" l="1"/>
  <c r="B52" i="30" s="1"/>
  <c r="CM52" i="30"/>
  <c r="BX52" i="30"/>
  <c r="CJ52" i="30"/>
  <c r="CC52" i="30"/>
  <c r="CG52" i="30"/>
  <c r="CI52" i="30"/>
  <c r="CK52" i="30"/>
  <c r="BZ52" i="30"/>
  <c r="CB52" i="30"/>
  <c r="CL52" i="30"/>
  <c r="CD52" i="30"/>
  <c r="BV52" i="30"/>
  <c r="CF52" i="30"/>
  <c r="CE52" i="30"/>
  <c r="CA52" i="30"/>
  <c r="BY52" i="30"/>
  <c r="CH52" i="30"/>
  <c r="BW52" i="30"/>
  <c r="L51" i="30"/>
  <c r="AF51" i="30"/>
  <c r="AB52" i="30"/>
  <c r="AJ52" i="30"/>
  <c r="AR52" i="30"/>
  <c r="T52" i="30"/>
  <c r="X52" i="30"/>
  <c r="AZ52" i="30"/>
  <c r="D53" i="30"/>
  <c r="G53" i="30" l="1"/>
  <c r="C54" i="30" s="1"/>
  <c r="BG51" i="30"/>
  <c r="F53" i="30"/>
  <c r="CN52" i="30"/>
  <c r="P52" i="30" l="1"/>
  <c r="B53" i="30" s="1"/>
  <c r="CH53" i="30"/>
  <c r="CK53" i="30"/>
  <c r="BV53" i="30"/>
  <c r="BW53" i="30"/>
  <c r="CD53" i="30"/>
  <c r="BZ53" i="30"/>
  <c r="BX53" i="30"/>
  <c r="CE53" i="30"/>
  <c r="CI53" i="30"/>
  <c r="CJ53" i="30"/>
  <c r="CB53" i="30"/>
  <c r="CG53" i="30"/>
  <c r="CM53" i="30"/>
  <c r="BY53" i="30"/>
  <c r="CL53" i="30"/>
  <c r="CF53" i="30"/>
  <c r="CC53" i="30"/>
  <c r="CA53" i="30"/>
  <c r="L52" i="30"/>
  <c r="AF52" i="30"/>
  <c r="AJ53" i="30"/>
  <c r="AR53" i="30"/>
  <c r="T53" i="30"/>
  <c r="AB53" i="30"/>
  <c r="X53" i="30"/>
  <c r="AZ53" i="30"/>
  <c r="D54" i="30"/>
  <c r="G54" i="30" l="1"/>
  <c r="C55" i="30" s="1"/>
  <c r="BG52" i="30"/>
  <c r="F54" i="30"/>
  <c r="CN53" i="30"/>
  <c r="P53" i="30" l="1"/>
  <c r="B54" i="30" s="1"/>
  <c r="CG54" i="30"/>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AZ54" i="30"/>
  <c r="D55" i="30"/>
  <c r="G55" i="30" l="1"/>
  <c r="C56" i="30" s="1"/>
  <c r="BG53" i="30"/>
  <c r="F55" i="30"/>
  <c r="CN54" i="30"/>
  <c r="P54" i="30" l="1"/>
  <c r="B55" i="30" s="1"/>
  <c r="CA55" i="30"/>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AZ55" i="30"/>
  <c r="D56" i="30"/>
  <c r="G56" i="30" l="1"/>
  <c r="C57" i="30" s="1"/>
  <c r="BG54" i="30"/>
  <c r="F56" i="30"/>
  <c r="CN55" i="30"/>
  <c r="P55" i="30" l="1"/>
  <c r="B56" i="30" s="1"/>
  <c r="BY56" i="30"/>
  <c r="CK56" i="30"/>
  <c r="CB56" i="30"/>
  <c r="CJ56" i="30"/>
  <c r="CE56" i="30"/>
  <c r="BZ56" i="30"/>
  <c r="BW56" i="30"/>
  <c r="CF56" i="30"/>
  <c r="CL56" i="30"/>
  <c r="CD56" i="30"/>
  <c r="BV56" i="30"/>
  <c r="CI56" i="30"/>
  <c r="CG56" i="30"/>
  <c r="CA56" i="30"/>
  <c r="CC56" i="30"/>
  <c r="CH56" i="30"/>
  <c r="CM56" i="30"/>
  <c r="BX56" i="30"/>
  <c r="L55" i="30"/>
  <c r="AF55" i="30"/>
  <c r="AJ56" i="30"/>
  <c r="T56" i="30"/>
  <c r="AR56" i="30"/>
  <c r="X56" i="30"/>
  <c r="AB56" i="30"/>
  <c r="AZ56" i="30"/>
  <c r="D57" i="30"/>
  <c r="G57" i="30" l="1"/>
  <c r="C58" i="30" s="1"/>
  <c r="BG55" i="30"/>
  <c r="P56" i="30"/>
  <c r="B57" i="30" s="1"/>
  <c r="CN56" i="30"/>
  <c r="F57" i="30"/>
  <c r="CK57" i="30" l="1"/>
  <c r="BV57" i="30"/>
  <c r="CH57" i="30"/>
  <c r="CM57" i="30"/>
  <c r="CA57" i="30"/>
  <c r="CB57" i="30"/>
  <c r="CG57" i="30"/>
  <c r="CC57" i="30"/>
  <c r="BX57" i="30"/>
  <c r="CD57" i="30"/>
  <c r="CJ57" i="30"/>
  <c r="BW57" i="30"/>
  <c r="CL57" i="30"/>
  <c r="CE57" i="30"/>
  <c r="BY57" i="30"/>
  <c r="CF57" i="30"/>
  <c r="BZ57" i="30"/>
  <c r="CI57" i="30"/>
  <c r="L56" i="30"/>
  <c r="AF56" i="30"/>
  <c r="T57" i="30"/>
  <c r="X57" i="30"/>
  <c r="AB57" i="30"/>
  <c r="AR57" i="30"/>
  <c r="AJ57" i="30"/>
  <c r="AZ57" i="30"/>
  <c r="D58" i="30"/>
  <c r="G58" i="30" l="1"/>
  <c r="C59" i="30" s="1"/>
  <c r="BG56" i="30"/>
  <c r="P57" i="30"/>
  <c r="F58" i="30"/>
  <c r="CN57" i="30"/>
  <c r="B58" i="30" l="1"/>
  <c r="CG58" i="30"/>
  <c r="CC58" i="30"/>
  <c r="BZ58" i="30"/>
  <c r="CE58" i="30"/>
  <c r="BX58" i="30"/>
  <c r="BV58" i="30"/>
  <c r="CI58" i="30"/>
  <c r="CH58" i="30"/>
  <c r="CK58" i="30"/>
  <c r="CM58" i="30"/>
  <c r="CA58" i="30"/>
  <c r="BY58" i="30"/>
  <c r="BW58" i="30"/>
  <c r="CL58" i="30"/>
  <c r="CJ58" i="30"/>
  <c r="CD58" i="30"/>
  <c r="CB58" i="30"/>
  <c r="CF58" i="30"/>
  <c r="L57" i="30"/>
  <c r="AF57" i="30"/>
  <c r="AR58" i="30"/>
  <c r="AJ58" i="30"/>
  <c r="X58" i="30"/>
  <c r="AB58" i="30"/>
  <c r="T58" i="30"/>
  <c r="AZ58" i="30"/>
  <c r="D59" i="30"/>
  <c r="G59" i="30" l="1"/>
  <c r="C60" i="30" s="1"/>
  <c r="BG57" i="30"/>
  <c r="P58" i="30"/>
  <c r="F59" i="30"/>
  <c r="CN58" i="30"/>
  <c r="B59" i="30" l="1"/>
  <c r="CI59" i="30"/>
  <c r="BZ59" i="30"/>
  <c r="CD59" i="30"/>
  <c r="BX59" i="30"/>
  <c r="CK59" i="30"/>
  <c r="CB59" i="30"/>
  <c r="CA59" i="30"/>
  <c r="CE59" i="30"/>
  <c r="CG59" i="30"/>
  <c r="CF59" i="30"/>
  <c r="CH59" i="30"/>
  <c r="CM59" i="30"/>
  <c r="BW59" i="30"/>
  <c r="CC59" i="30"/>
  <c r="BY59" i="30"/>
  <c r="CJ59" i="30"/>
  <c r="BV59" i="30"/>
  <c r="CL59" i="30"/>
  <c r="L58" i="30"/>
  <c r="AF58" i="30"/>
  <c r="X59" i="30"/>
  <c r="AR59" i="30"/>
  <c r="T59" i="30"/>
  <c r="AJ59" i="30"/>
  <c r="AB59" i="30"/>
  <c r="AZ59" i="30"/>
  <c r="D60" i="30"/>
  <c r="G60" i="30" l="1"/>
  <c r="C61" i="30" s="1"/>
  <c r="BG58" i="30"/>
  <c r="P59" i="30"/>
  <c r="F60" i="30"/>
  <c r="CN59" i="30"/>
  <c r="B60" i="30" l="1"/>
  <c r="CM60" i="30"/>
  <c r="BW60" i="30"/>
  <c r="CA60" i="30"/>
  <c r="CK60" i="30"/>
  <c r="BX60" i="30"/>
  <c r="CL60" i="30"/>
  <c r="CJ60" i="30"/>
  <c r="CD60" i="30"/>
  <c r="CG60" i="30"/>
  <c r="BV60" i="30"/>
  <c r="CF60" i="30"/>
  <c r="CI60" i="30"/>
  <c r="CE60" i="30"/>
  <c r="CC60" i="30"/>
  <c r="CH60" i="30"/>
  <c r="BY60" i="30"/>
  <c r="BZ60" i="30"/>
  <c r="CB60" i="30"/>
  <c r="L59" i="30"/>
  <c r="AF59" i="30"/>
  <c r="X60" i="30"/>
  <c r="AR60" i="30"/>
  <c r="T60" i="30"/>
  <c r="AB60" i="30"/>
  <c r="AJ60" i="30"/>
  <c r="AZ60" i="30"/>
  <c r="D61" i="30"/>
  <c r="G61" i="30" l="1"/>
  <c r="C62" i="30" s="1"/>
  <c r="BG59" i="30"/>
  <c r="P60" i="30"/>
  <c r="F61" i="30"/>
  <c r="CN60" i="30"/>
  <c r="B61" i="30" l="1"/>
  <c r="BV61" i="30"/>
  <c r="CL61" i="30"/>
  <c r="CI61" i="30"/>
  <c r="CE61" i="30"/>
  <c r="CB61" i="30"/>
  <c r="BX61" i="30"/>
  <c r="BW61" i="30"/>
  <c r="CC61" i="30"/>
  <c r="CJ61" i="30"/>
  <c r="CH61" i="30"/>
  <c r="CM61" i="30"/>
  <c r="CG61" i="30"/>
  <c r="CD61" i="30"/>
  <c r="BY61" i="30"/>
  <c r="CA61" i="30"/>
  <c r="CF61" i="30"/>
  <c r="BZ61" i="30"/>
  <c r="CK61" i="30"/>
  <c r="L60" i="30"/>
  <c r="AF60" i="30"/>
  <c r="X61" i="30"/>
  <c r="T61" i="30"/>
  <c r="AJ61" i="30"/>
  <c r="AB61" i="30"/>
  <c r="AR61" i="30"/>
  <c r="AZ61" i="30"/>
  <c r="D62" i="30"/>
  <c r="G62" i="30" l="1"/>
  <c r="C63" i="30" s="1"/>
  <c r="BG60" i="30"/>
  <c r="P61" i="30"/>
  <c r="B62" i="30" s="1"/>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X62" i="30"/>
  <c r="AJ62" i="30"/>
  <c r="AZ62" i="30"/>
  <c r="D63" i="30"/>
  <c r="G63" i="30" l="1"/>
  <c r="C64" i="30" s="1"/>
  <c r="BG61" i="30"/>
  <c r="P62" i="30"/>
  <c r="B63" i="30" s="1"/>
  <c r="F63" i="30"/>
  <c r="CN62" i="30"/>
  <c r="CD63" i="30" l="1"/>
  <c r="CE63" i="30"/>
  <c r="CA63" i="30"/>
  <c r="BZ63" i="30"/>
  <c r="CM63" i="30"/>
  <c r="CK63" i="30"/>
  <c r="CB63" i="30"/>
  <c r="CH63" i="30"/>
  <c r="BV63" i="30"/>
  <c r="CF63" i="30"/>
  <c r="BX63" i="30"/>
  <c r="CG63" i="30"/>
  <c r="BY63" i="30"/>
  <c r="CC63" i="30"/>
  <c r="BW63" i="30"/>
  <c r="CJ63" i="30"/>
  <c r="CL63" i="30"/>
  <c r="CI63" i="30"/>
  <c r="L62" i="30"/>
  <c r="AF62" i="30"/>
  <c r="AJ63" i="30"/>
  <c r="AB63" i="30"/>
  <c r="AR63" i="30"/>
  <c r="T63" i="30"/>
  <c r="X63" i="30"/>
  <c r="AZ63" i="30"/>
  <c r="D64" i="30"/>
  <c r="G64" i="30" l="1"/>
  <c r="C65" i="30" s="1"/>
  <c r="BG62" i="30"/>
  <c r="P63" i="30"/>
  <c r="B64" i="30" s="1"/>
  <c r="CN63" i="30"/>
  <c r="F64" i="30"/>
  <c r="CB64" i="30" l="1"/>
  <c r="CC64" i="30"/>
  <c r="CL64" i="30"/>
  <c r="CD64" i="30"/>
  <c r="CI64" i="30"/>
  <c r="BZ64" i="30"/>
  <c r="CM64" i="30"/>
  <c r="BX64" i="30"/>
  <c r="CJ64" i="30"/>
  <c r="CG64" i="30"/>
  <c r="BV64" i="30"/>
  <c r="CE64" i="30"/>
  <c r="CF64" i="30"/>
  <c r="CA64" i="30"/>
  <c r="BW64" i="30"/>
  <c r="CH64" i="30"/>
  <c r="CK64" i="30"/>
  <c r="BY64" i="30"/>
  <c r="L63" i="30"/>
  <c r="AF63" i="30"/>
  <c r="AB64" i="30"/>
  <c r="X64" i="30"/>
  <c r="AR64" i="30"/>
  <c r="AJ64" i="30"/>
  <c r="T64" i="30"/>
  <c r="AZ64" i="30"/>
  <c r="D65" i="30"/>
  <c r="G65" i="30" l="1"/>
  <c r="C66" i="30" s="1"/>
  <c r="BG63" i="30"/>
  <c r="P64" i="30"/>
  <c r="B65" i="30" s="1"/>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AJ65" i="30"/>
  <c r="AR65" i="30"/>
  <c r="T65" i="30"/>
  <c r="X65" i="30"/>
  <c r="AZ65" i="30"/>
  <c r="D66" i="30"/>
  <c r="G66" i="30" l="1"/>
  <c r="C67" i="30" s="1"/>
  <c r="P65" i="30"/>
  <c r="B66" i="30" s="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AR66" i="30"/>
  <c r="X66" i="30"/>
  <c r="T66" i="30"/>
  <c r="AB66" i="30"/>
  <c r="AZ66" i="30"/>
  <c r="D67" i="30"/>
  <c r="G67" i="30" l="1"/>
  <c r="C68" i="30" s="1"/>
  <c r="P66" i="30"/>
  <c r="B67" i="30" s="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AZ67" i="30"/>
  <c r="D68" i="30"/>
  <c r="G68" i="30" l="1"/>
  <c r="C69" i="30" s="1"/>
  <c r="P67" i="30"/>
  <c r="B68" i="30" s="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AZ68" i="30"/>
  <c r="D69" i="30"/>
  <c r="G69" i="30" l="1"/>
  <c r="C70" i="30" s="1"/>
  <c r="P68" i="30"/>
  <c r="AF68" i="30"/>
  <c r="F69" i="30"/>
  <c r="CN68" i="30"/>
  <c r="BG68" i="30"/>
  <c r="B69" i="30" l="1"/>
  <c r="CK69" i="30"/>
  <c r="L68" i="30"/>
  <c r="CF69" i="30"/>
  <c r="CE69" i="30"/>
  <c r="BY69" i="30"/>
  <c r="CL69" i="30"/>
  <c r="CA69" i="30"/>
  <c r="CH69" i="30"/>
  <c r="BX69" i="30"/>
  <c r="CI69" i="30"/>
  <c r="BV69" i="30"/>
  <c r="CD69" i="30"/>
  <c r="BZ69" i="30"/>
  <c r="CC69" i="30"/>
  <c r="CJ69" i="30"/>
  <c r="BW69" i="30"/>
  <c r="CB69" i="30"/>
  <c r="CM69" i="30"/>
  <c r="CG69" i="30"/>
  <c r="AR69" i="30"/>
  <c r="AB69" i="30"/>
  <c r="X69" i="30"/>
  <c r="T69" i="30"/>
  <c r="AZ69" i="30"/>
  <c r="AJ69" i="30"/>
  <c r="D70" i="30"/>
  <c r="G70" i="30" l="1"/>
  <c r="C71" i="30" s="1"/>
  <c r="P69" i="30"/>
  <c r="AF69" i="30"/>
  <c r="BG69" i="30"/>
  <c r="CN69" i="30"/>
  <c r="F70" i="30"/>
  <c r="B70" i="30" l="1"/>
  <c r="CG70" i="30"/>
  <c r="CK70" i="30"/>
  <c r="CI70" i="30"/>
  <c r="CM70" i="30"/>
  <c r="CC70" i="30"/>
  <c r="CD70" i="30"/>
  <c r="CL70" i="30"/>
  <c r="L69" i="30"/>
  <c r="CJ70" i="30"/>
  <c r="CB70" i="30"/>
  <c r="CF70" i="30"/>
  <c r="CE70" i="30"/>
  <c r="CA70" i="30"/>
  <c r="BV70" i="30"/>
  <c r="CH70" i="30"/>
  <c r="BX70" i="30"/>
  <c r="BZ70" i="30"/>
  <c r="BY70" i="30"/>
  <c r="BW70" i="30"/>
  <c r="AR70" i="30"/>
  <c r="AJ70" i="30"/>
  <c r="T70" i="30"/>
  <c r="AB70" i="30"/>
  <c r="X70" i="30"/>
  <c r="AZ70" i="30"/>
  <c r="D71" i="30"/>
  <c r="G71" i="30" l="1"/>
  <c r="C72" i="30" s="1"/>
  <c r="P70" i="30"/>
  <c r="AF70" i="30"/>
  <c r="F71" i="30"/>
  <c r="BG70" i="30"/>
  <c r="CN70" i="30"/>
  <c r="B71" i="30" l="1"/>
  <c r="BW71" i="30"/>
  <c r="L70" i="30"/>
  <c r="CH71" i="30"/>
  <c r="CE71" i="30"/>
  <c r="CG71" i="30"/>
  <c r="CC71" i="30"/>
  <c r="CK71" i="30"/>
  <c r="BV71" i="30"/>
  <c r="CI71" i="30"/>
  <c r="CD71" i="30"/>
  <c r="CJ71" i="30"/>
  <c r="CB71" i="30"/>
  <c r="CA71" i="30"/>
  <c r="BZ71" i="30"/>
  <c r="CF71" i="30"/>
  <c r="CM71" i="30"/>
  <c r="BX71" i="30"/>
  <c r="BY71" i="30"/>
  <c r="CL71" i="30"/>
  <c r="AJ71" i="30"/>
  <c r="AR71" i="30"/>
  <c r="T71" i="30"/>
  <c r="X71" i="30"/>
  <c r="AB71" i="30"/>
  <c r="AZ71" i="30"/>
  <c r="D72" i="30"/>
  <c r="G72" i="30" l="1"/>
  <c r="C73" i="30" s="1"/>
  <c r="P71" i="30"/>
  <c r="B72" i="30" s="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AF72" i="30"/>
  <c r="T72" i="30"/>
  <c r="AR72" i="30"/>
  <c r="AZ72" i="30"/>
  <c r="D73" i="30"/>
  <c r="G73" i="30" l="1"/>
  <c r="B73" i="30" s="1"/>
  <c r="L73" i="30"/>
  <c r="F73" i="30"/>
  <c r="BG72" i="30"/>
  <c r="CN72" i="30"/>
  <c r="C74" i="30" l="1"/>
  <c r="CE73" i="30"/>
  <c r="CF73" i="30"/>
  <c r="CK73" i="30"/>
  <c r="BW73" i="30"/>
  <c r="BV73" i="30"/>
  <c r="CB73" i="30"/>
  <c r="CL73" i="30"/>
  <c r="BZ73" i="30"/>
  <c r="CM73" i="30"/>
  <c r="P73" i="30"/>
  <c r="CC73" i="30"/>
  <c r="CG73" i="30"/>
  <c r="CI73" i="30"/>
  <c r="BY73" i="30"/>
  <c r="CD73" i="30"/>
  <c r="BX73" i="30"/>
  <c r="CA73" i="30"/>
  <c r="CJ73" i="30"/>
  <c r="CH73" i="30"/>
  <c r="AB73" i="30"/>
  <c r="X73" i="30"/>
  <c r="AR73" i="30"/>
  <c r="T73" i="30"/>
  <c r="AJ73" i="30"/>
  <c r="AF73" i="30"/>
  <c r="AZ73" i="30"/>
  <c r="D74" i="30"/>
  <c r="G74" i="30" l="1"/>
  <c r="C75" i="30" s="1"/>
  <c r="L74" i="30"/>
  <c r="F74" i="30"/>
  <c r="BG73" i="30"/>
  <c r="CN73" i="30"/>
  <c r="B74" i="30" l="1"/>
  <c r="CF74" i="30"/>
  <c r="CM74" i="30"/>
  <c r="CC74" i="30"/>
  <c r="CK74" i="30"/>
  <c r="BY74" i="30"/>
  <c r="BX74" i="30"/>
  <c r="BW74" i="30"/>
  <c r="CI74" i="30"/>
  <c r="CA74" i="30"/>
  <c r="CD74" i="30"/>
  <c r="CE74" i="30"/>
  <c r="P74" i="30"/>
  <c r="CG74" i="30"/>
  <c r="CB74" i="30"/>
  <c r="CL74" i="30"/>
  <c r="CH74" i="30"/>
  <c r="CJ74" i="30"/>
  <c r="BZ74" i="30"/>
  <c r="BV74" i="30"/>
  <c r="X74" i="30"/>
  <c r="AB74" i="30"/>
  <c r="AJ74" i="30"/>
  <c r="AR74" i="30"/>
  <c r="T74" i="30"/>
  <c r="AF74" i="30"/>
  <c r="AZ74" i="30"/>
  <c r="D75" i="30"/>
  <c r="G75" i="30" l="1"/>
  <c r="C76" i="30" s="1"/>
  <c r="L75" i="30"/>
  <c r="F75" i="30"/>
  <c r="CN74" i="30"/>
  <c r="BG74" i="30"/>
  <c r="B75" i="30" l="1"/>
  <c r="CI75" i="30"/>
  <c r="CJ75" i="30"/>
  <c r="CA75" i="30"/>
  <c r="CG75" i="30"/>
  <c r="BV75" i="30"/>
  <c r="CM75" i="30"/>
  <c r="CH75" i="30"/>
  <c r="P75" i="30"/>
  <c r="BW75" i="30"/>
  <c r="CE75" i="30"/>
  <c r="CD75" i="30"/>
  <c r="CK75" i="30"/>
  <c r="CC75" i="30"/>
  <c r="CB75" i="30"/>
  <c r="BZ75" i="30"/>
  <c r="CF75" i="30"/>
  <c r="BY75" i="30"/>
  <c r="BX75" i="30"/>
  <c r="CL75" i="30"/>
  <c r="AF75" i="30"/>
  <c r="T75" i="30"/>
  <c r="AB75" i="30"/>
  <c r="X75" i="30"/>
  <c r="AJ75" i="30"/>
  <c r="AR75" i="30"/>
  <c r="AZ75" i="30"/>
  <c r="D76" i="30"/>
  <c r="G76" i="30" l="1"/>
  <c r="C77" i="30" s="1"/>
  <c r="F76" i="30"/>
  <c r="L76" i="30"/>
  <c r="CN75" i="30"/>
  <c r="BG75" i="30"/>
  <c r="B76" i="30" l="1"/>
  <c r="CI76" i="30"/>
  <c r="BY76" i="30"/>
  <c r="CH76" i="30"/>
  <c r="CE76" i="30"/>
  <c r="CJ76" i="30"/>
  <c r="BZ76" i="30"/>
  <c r="P76" i="30"/>
  <c r="BW76" i="30"/>
  <c r="BX76" i="30"/>
  <c r="CK76" i="30"/>
  <c r="CC76" i="30"/>
  <c r="CB76" i="30"/>
  <c r="CM76" i="30"/>
  <c r="CL76" i="30"/>
  <c r="CG76" i="30"/>
  <c r="CD76" i="30"/>
  <c r="CF76" i="30"/>
  <c r="BV76" i="30"/>
  <c r="CA76" i="30"/>
  <c r="AF76" i="30"/>
  <c r="AJ76" i="30"/>
  <c r="T76" i="30"/>
  <c r="AR76" i="30"/>
  <c r="AB76" i="30"/>
  <c r="X76" i="30"/>
  <c r="AZ76" i="30"/>
  <c r="D77" i="30"/>
  <c r="G77" i="30" l="1"/>
  <c r="C78" i="30" s="1"/>
  <c r="F77" i="30"/>
  <c r="L77" i="30"/>
  <c r="BG76" i="30"/>
  <c r="CN76" i="30"/>
  <c r="B77" i="30" l="1"/>
  <c r="BX77" i="30"/>
  <c r="CM77" i="30"/>
  <c r="CD77" i="30"/>
  <c r="CE77" i="30"/>
  <c r="BZ77" i="30"/>
  <c r="CC77" i="30"/>
  <c r="BW77" i="30"/>
  <c r="BV77" i="30"/>
  <c r="CB77" i="30"/>
  <c r="CG77" i="30"/>
  <c r="P77" i="30"/>
  <c r="CA77" i="30"/>
  <c r="CI77" i="30"/>
  <c r="CK77" i="30"/>
  <c r="CH77" i="30"/>
  <c r="CL77" i="30"/>
  <c r="BY77" i="30"/>
  <c r="CJ77" i="30"/>
  <c r="CF77" i="30"/>
  <c r="AJ77" i="30"/>
  <c r="AB77" i="30"/>
  <c r="X77" i="30"/>
  <c r="AF77" i="30"/>
  <c r="AR77" i="30"/>
  <c r="T77" i="30"/>
  <c r="D78" i="30"/>
  <c r="AZ77" i="30"/>
  <c r="G78" i="30" l="1"/>
  <c r="B78" i="30" s="1"/>
  <c r="BG77" i="30"/>
  <c r="CN77" i="30"/>
  <c r="L78" i="30"/>
  <c r="F78" i="30"/>
  <c r="C79" i="30" l="1"/>
  <c r="CM78" i="30"/>
  <c r="BY78" i="30"/>
  <c r="P78" i="30"/>
  <c r="BV78" i="30"/>
  <c r="BX78" i="30"/>
  <c r="CE78" i="30"/>
  <c r="BW78" i="30"/>
  <c r="CA78" i="30"/>
  <c r="CI78" i="30"/>
  <c r="CD78" i="30"/>
  <c r="CK78" i="30"/>
  <c r="CL78" i="30"/>
  <c r="CJ78" i="30"/>
  <c r="CC78" i="30"/>
  <c r="CG78" i="30"/>
  <c r="CH78" i="30"/>
  <c r="CF78" i="30"/>
  <c r="BZ78" i="30"/>
  <c r="CB78" i="30"/>
  <c r="X78" i="30"/>
  <c r="AB78" i="30"/>
  <c r="AF78" i="30"/>
  <c r="AR78" i="30"/>
  <c r="T78" i="30"/>
  <c r="AJ78" i="30"/>
  <c r="D79" i="30"/>
  <c r="AZ78" i="30"/>
  <c r="G79" i="30" l="1"/>
  <c r="C80" i="30" s="1"/>
  <c r="CN78" i="30"/>
  <c r="BG78" i="30"/>
  <c r="F79" i="30"/>
  <c r="L79" i="30"/>
  <c r="B79" i="30" l="1"/>
  <c r="CJ79" i="30"/>
  <c r="CH79" i="30"/>
  <c r="P79" i="30"/>
  <c r="BW79" i="30"/>
  <c r="CE79" i="30"/>
  <c r="CG79" i="30"/>
  <c r="CB79" i="30"/>
  <c r="BV79" i="30"/>
  <c r="CA79" i="30"/>
  <c r="CL79" i="30"/>
  <c r="CI79" i="30"/>
  <c r="CC79" i="30"/>
  <c r="CM79" i="30"/>
  <c r="CF79" i="30"/>
  <c r="CK79" i="30"/>
  <c r="BX79" i="30"/>
  <c r="BZ79" i="30"/>
  <c r="CD79" i="30"/>
  <c r="BY79" i="30"/>
  <c r="AF79" i="30"/>
  <c r="AB79" i="30"/>
  <c r="AR79" i="30"/>
  <c r="AJ79" i="30"/>
  <c r="T79" i="30"/>
  <c r="X79" i="30"/>
  <c r="AZ79" i="30"/>
  <c r="D80" i="30"/>
  <c r="G80" i="30" l="1"/>
  <c r="C81" i="30" s="1"/>
  <c r="F80" i="30"/>
  <c r="L80" i="30"/>
  <c r="BG79" i="30"/>
  <c r="CN79" i="30"/>
  <c r="B80" i="30" l="1"/>
  <c r="CF80" i="30"/>
  <c r="CA80" i="30"/>
  <c r="CJ80" i="30"/>
  <c r="BZ80" i="30"/>
  <c r="P80" i="30"/>
  <c r="CK80" i="30"/>
  <c r="CE80" i="30"/>
  <c r="CM80" i="30"/>
  <c r="CC80" i="30"/>
  <c r="BX80" i="30"/>
  <c r="CL80" i="30"/>
  <c r="BW80" i="30"/>
  <c r="CD80" i="30"/>
  <c r="CG80" i="30"/>
  <c r="BV80" i="30"/>
  <c r="CI80" i="30"/>
  <c r="BY80" i="30"/>
  <c r="CB80" i="30"/>
  <c r="CH80" i="30"/>
  <c r="X80" i="30"/>
  <c r="AR80" i="30"/>
  <c r="AF80" i="30"/>
  <c r="AJ80" i="30"/>
  <c r="T80" i="30"/>
  <c r="AB80" i="30"/>
  <c r="AZ80" i="30"/>
  <c r="D81" i="30"/>
  <c r="G81" i="30" l="1"/>
  <c r="C82" i="30" s="1"/>
  <c r="BG80" i="30"/>
  <c r="CN80" i="30"/>
  <c r="L81" i="30"/>
  <c r="F81" i="30"/>
  <c r="B81" i="30" l="1"/>
  <c r="BZ81" i="30"/>
  <c r="CE81" i="30"/>
  <c r="CC81" i="30"/>
  <c r="CL81" i="30"/>
  <c r="CA81" i="30"/>
  <c r="CM81" i="30"/>
  <c r="BV81" i="30"/>
  <c r="CK81" i="30"/>
  <c r="CJ81" i="30"/>
  <c r="CH81" i="30"/>
  <c r="CB81" i="30"/>
  <c r="CI81" i="30"/>
  <c r="BW81" i="30"/>
  <c r="P81" i="30"/>
  <c r="BY81" i="30"/>
  <c r="BX81" i="30"/>
  <c r="CD81" i="30"/>
  <c r="CG81" i="30"/>
  <c r="CF81" i="30"/>
  <c r="AF81" i="30"/>
  <c r="AJ81" i="30"/>
  <c r="AR81" i="30"/>
  <c r="T81" i="30"/>
  <c r="X81" i="30"/>
  <c r="AB81" i="30"/>
  <c r="AZ81" i="30"/>
  <c r="D82" i="30"/>
  <c r="G82" i="30" l="1"/>
  <c r="C83" i="30" s="1"/>
  <c r="F82" i="30"/>
  <c r="L82" i="30"/>
  <c r="CN81" i="30"/>
  <c r="BG81" i="30"/>
  <c r="B82" i="30" l="1"/>
  <c r="BY82" i="30"/>
  <c r="BX82" i="30"/>
  <c r="CA82" i="30"/>
  <c r="CK82" i="30"/>
  <c r="CG82" i="30"/>
  <c r="P82" i="30"/>
  <c r="CF82" i="30"/>
  <c r="CI82" i="30"/>
  <c r="BV82" i="30"/>
  <c r="CC82" i="30"/>
  <c r="CE82" i="30"/>
  <c r="CB82" i="30"/>
  <c r="CM82" i="30"/>
  <c r="BW82" i="30"/>
  <c r="CD82" i="30"/>
  <c r="CJ82" i="30"/>
  <c r="CH82" i="30"/>
  <c r="CL82" i="30"/>
  <c r="BZ82" i="30"/>
  <c r="AB82" i="30"/>
  <c r="X82" i="30"/>
  <c r="T82" i="30"/>
  <c r="AJ82" i="30"/>
  <c r="AF82" i="30"/>
  <c r="AR82" i="30"/>
  <c r="AZ82" i="30"/>
  <c r="D83" i="30"/>
  <c r="G83" i="30" l="1"/>
  <c r="C84" i="30" s="1"/>
  <c r="L83" i="30"/>
  <c r="F83" i="30"/>
  <c r="CN82" i="30"/>
  <c r="BG82" i="30"/>
  <c r="B83" i="30" l="1"/>
  <c r="CK83" i="30"/>
  <c r="CI83" i="30"/>
  <c r="BY83" i="30"/>
  <c r="BW83" i="30"/>
  <c r="P83" i="30"/>
  <c r="CL83" i="30"/>
  <c r="CE83" i="30"/>
  <c r="CC83" i="30"/>
  <c r="CM83" i="30"/>
  <c r="CA83" i="30"/>
  <c r="CD83" i="30"/>
  <c r="BZ83" i="30"/>
  <c r="CF83" i="30"/>
  <c r="BV83" i="30"/>
  <c r="BX83" i="30"/>
  <c r="CG83" i="30"/>
  <c r="CB83" i="30"/>
  <c r="CH83" i="30"/>
  <c r="CJ83" i="30"/>
  <c r="AJ83" i="30"/>
  <c r="AF83" i="30"/>
  <c r="AB83" i="30"/>
  <c r="X83" i="30"/>
  <c r="T83" i="30"/>
  <c r="AR83" i="30"/>
  <c r="AZ83" i="30"/>
  <c r="D84" i="30"/>
  <c r="G84" i="30" l="1"/>
  <c r="C85" i="30" s="1"/>
  <c r="F84" i="30"/>
  <c r="L84" i="30"/>
  <c r="BG83" i="30"/>
  <c r="CN83" i="30"/>
  <c r="B84" i="30" l="1"/>
  <c r="CM84" i="30"/>
  <c r="CA84" i="30"/>
  <c r="BW84" i="30"/>
  <c r="CE84" i="30"/>
  <c r="P84" i="30"/>
  <c r="BX84" i="30"/>
  <c r="CK84" i="30"/>
  <c r="CJ84" i="30"/>
  <c r="BZ84" i="30"/>
  <c r="BY84" i="30"/>
  <c r="CI84" i="30"/>
  <c r="CL84" i="30"/>
  <c r="CH84" i="30"/>
  <c r="CD84" i="30"/>
  <c r="CC84" i="30"/>
  <c r="CB84" i="30"/>
  <c r="CG84" i="30"/>
  <c r="BV84" i="30"/>
  <c r="CF84" i="30"/>
  <c r="AR84" i="30"/>
  <c r="AJ84" i="30"/>
  <c r="X84" i="30"/>
  <c r="AF84" i="30"/>
  <c r="T84" i="30"/>
  <c r="AB84" i="30"/>
  <c r="AZ84" i="30"/>
  <c r="D85" i="30"/>
  <c r="G85" i="30" l="1"/>
  <c r="C86" i="30" s="1"/>
  <c r="F85" i="30"/>
  <c r="L85" i="30"/>
  <c r="BG84" i="30"/>
  <c r="CN84" i="30"/>
  <c r="B85" i="30" l="1"/>
  <c r="BY85" i="30"/>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D86" i="30"/>
  <c r="AZ85" i="30"/>
  <c r="G86" i="30" l="1"/>
  <c r="C87" i="30" s="1"/>
  <c r="CN85" i="30"/>
  <c r="BG85" i="30"/>
  <c r="F86" i="30"/>
  <c r="L86" i="30"/>
  <c r="B86" i="30" l="1"/>
  <c r="CJ86" i="30"/>
  <c r="CC86" i="30"/>
  <c r="BX86" i="30"/>
  <c r="P86" i="30"/>
  <c r="CI86" i="30"/>
  <c r="CL86" i="30"/>
  <c r="CG86" i="30"/>
  <c r="CM86" i="30"/>
  <c r="BW86" i="30"/>
  <c r="CF86" i="30"/>
  <c r="CD86" i="30"/>
  <c r="CE86" i="30"/>
  <c r="CB86" i="30"/>
  <c r="BV86" i="30"/>
  <c r="CA86" i="30"/>
  <c r="CH86" i="30"/>
  <c r="BY86" i="30"/>
  <c r="BZ86" i="30"/>
  <c r="CK86" i="30"/>
  <c r="AF86" i="30"/>
  <c r="AJ86" i="30"/>
  <c r="X86" i="30"/>
  <c r="AR86" i="30"/>
  <c r="AB86" i="30"/>
  <c r="T86" i="30"/>
  <c r="AZ86" i="30"/>
  <c r="D87" i="30"/>
  <c r="G87" i="30" l="1"/>
  <c r="C88" i="30" s="1"/>
  <c r="CN86" i="30"/>
  <c r="BG86" i="30"/>
  <c r="L87" i="30"/>
  <c r="F87" i="30"/>
  <c r="B87" i="30" l="1"/>
  <c r="CC87" i="30"/>
  <c r="BZ87" i="30"/>
  <c r="CH87" i="30"/>
  <c r="BY87" i="30"/>
  <c r="BX87" i="30"/>
  <c r="CA87" i="30"/>
  <c r="BW87" i="30"/>
  <c r="CB87" i="30"/>
  <c r="CE87" i="30"/>
  <c r="CK87" i="30"/>
  <c r="CG87" i="30"/>
  <c r="P87" i="30"/>
  <c r="CL87" i="30"/>
  <c r="CJ87" i="30"/>
  <c r="CD87" i="30"/>
  <c r="CM87" i="30"/>
  <c r="CI87" i="30"/>
  <c r="BV87" i="30"/>
  <c r="CF87" i="30"/>
  <c r="AB87" i="30"/>
  <c r="AJ87" i="30"/>
  <c r="X87" i="30"/>
  <c r="AR87" i="30"/>
  <c r="T87" i="30"/>
  <c r="AF87" i="30"/>
  <c r="AZ87" i="30"/>
  <c r="D88" i="30"/>
  <c r="G88" i="30" l="1"/>
  <c r="C89" i="30" s="1"/>
  <c r="L88" i="30"/>
  <c r="F88" i="30"/>
  <c r="CN87" i="30"/>
  <c r="BG87" i="30"/>
  <c r="B88" i="30" l="1"/>
  <c r="BZ88" i="30"/>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AZ88" i="30"/>
  <c r="D89" i="30"/>
  <c r="G89" i="30" l="1"/>
  <c r="C90" i="30" s="1"/>
  <c r="L89" i="30"/>
  <c r="F89" i="30"/>
  <c r="BG88" i="30"/>
  <c r="CN88" i="30"/>
  <c r="B89" i="30" l="1"/>
  <c r="BW89" i="30"/>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AZ89" i="30"/>
  <c r="D90" i="30"/>
  <c r="G90" i="30" l="1"/>
  <c r="C91" i="30" s="1"/>
  <c r="L90" i="30"/>
  <c r="F90" i="30"/>
  <c r="CN89" i="30"/>
  <c r="BG89" i="30"/>
  <c r="B90" i="30" l="1"/>
  <c r="CM90" i="30"/>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AZ90" i="30"/>
  <c r="D91" i="30"/>
  <c r="G91" i="30" l="1"/>
  <c r="C92" i="30" s="1"/>
  <c r="F91" i="30"/>
  <c r="L91" i="30"/>
  <c r="CN90" i="30"/>
  <c r="BG90" i="30"/>
  <c r="B91" i="30" l="1"/>
  <c r="CF91" i="30"/>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AZ91" i="30"/>
  <c r="D92" i="30"/>
  <c r="G92" i="30" l="1"/>
  <c r="C93" i="30" s="1"/>
  <c r="F92" i="30"/>
  <c r="L92" i="30"/>
  <c r="BG91" i="30"/>
  <c r="CN91" i="30"/>
  <c r="B92" i="30" l="1"/>
  <c r="P92" i="30"/>
  <c r="CK92" i="30"/>
  <c r="CC92" i="30"/>
  <c r="CL92" i="30"/>
  <c r="CF92" i="30"/>
  <c r="CI92" i="30"/>
  <c r="CE92" i="30"/>
  <c r="CA92" i="30"/>
  <c r="BX92" i="30"/>
  <c r="CG92" i="30"/>
  <c r="CD92" i="30"/>
  <c r="CJ92" i="30"/>
  <c r="CB92" i="30"/>
  <c r="BZ92" i="30"/>
  <c r="CH92" i="30"/>
  <c r="BY92" i="30"/>
  <c r="BW92" i="30"/>
  <c r="BV92" i="30"/>
  <c r="CM92" i="30"/>
  <c r="X92" i="30"/>
  <c r="AR92" i="30"/>
  <c r="AB92" i="30"/>
  <c r="AJ92" i="30"/>
  <c r="T92" i="30"/>
  <c r="AF92" i="30"/>
  <c r="D93" i="30"/>
  <c r="AZ92" i="30"/>
  <c r="G93" i="30" l="1"/>
  <c r="C94" i="30" s="1"/>
  <c r="CN92" i="30"/>
  <c r="BG92" i="30"/>
  <c r="L93" i="30"/>
  <c r="F93" i="30"/>
  <c r="B93" i="30" l="1"/>
  <c r="BW93" i="30"/>
  <c r="CM93" i="30"/>
  <c r="CB93" i="30"/>
  <c r="CJ93" i="30"/>
  <c r="CA93" i="30"/>
  <c r="CK93" i="30"/>
  <c r="CH93" i="30"/>
  <c r="CF93" i="30"/>
  <c r="CG93" i="30"/>
  <c r="CE93" i="30"/>
  <c r="P93" i="30"/>
  <c r="CL93" i="30"/>
  <c r="CI93" i="30"/>
  <c r="CD93" i="30"/>
  <c r="BY93" i="30"/>
  <c r="CC93" i="30"/>
  <c r="BX93" i="30"/>
  <c r="BZ93" i="30"/>
  <c r="BV93" i="30"/>
  <c r="AB93" i="30"/>
  <c r="X93" i="30"/>
  <c r="AJ93" i="30"/>
  <c r="AR93" i="30"/>
  <c r="AF93" i="30"/>
  <c r="T93" i="30"/>
  <c r="D94" i="30"/>
  <c r="AZ93" i="30"/>
  <c r="G94" i="30" l="1"/>
  <c r="C95" i="30" s="1"/>
  <c r="CN93" i="30"/>
  <c r="BG93" i="30"/>
  <c r="F94" i="30"/>
  <c r="L94" i="30"/>
  <c r="B94" i="30" l="1"/>
  <c r="BV94" i="30"/>
  <c r="CD94" i="30"/>
  <c r="CM94" i="30"/>
  <c r="CL94" i="30"/>
  <c r="BY94" i="30"/>
  <c r="CG94" i="30"/>
  <c r="BW94" i="30"/>
  <c r="CC94" i="30"/>
  <c r="CB94" i="30"/>
  <c r="CA94" i="30"/>
  <c r="CJ94" i="30"/>
  <c r="P94" i="30"/>
  <c r="BZ94" i="30"/>
  <c r="CK94" i="30"/>
  <c r="CI94" i="30"/>
  <c r="CH94" i="30"/>
  <c r="CE94" i="30"/>
  <c r="CF94" i="30"/>
  <c r="BX94" i="30"/>
  <c r="AJ94" i="30"/>
  <c r="T94" i="30"/>
  <c r="AB94" i="30"/>
  <c r="X94" i="30"/>
  <c r="AF94" i="30"/>
  <c r="AR94" i="30"/>
  <c r="D95" i="30"/>
  <c r="AZ94" i="30"/>
  <c r="G95" i="30" l="1"/>
  <c r="C96" i="30" s="1"/>
  <c r="F95" i="30"/>
  <c r="L95" i="30"/>
  <c r="BG94" i="30"/>
  <c r="CN94" i="30"/>
  <c r="B95" i="30" l="1"/>
  <c r="CG95" i="30"/>
  <c r="BW95" i="30"/>
  <c r="CM95" i="30"/>
  <c r="CJ95" i="30"/>
  <c r="CL95" i="30"/>
  <c r="CF95" i="30"/>
  <c r="P95" i="30"/>
  <c r="BY95" i="30"/>
  <c r="CA95" i="30"/>
  <c r="BV95" i="30"/>
  <c r="CB95" i="30"/>
  <c r="BX95" i="30"/>
  <c r="CE95" i="30"/>
  <c r="CI95" i="30"/>
  <c r="CC95" i="30"/>
  <c r="BZ95" i="30"/>
  <c r="CD95" i="30"/>
  <c r="CK95" i="30"/>
  <c r="CH95" i="30"/>
  <c r="AR95" i="30"/>
  <c r="T95" i="30"/>
  <c r="X95" i="30"/>
  <c r="AB95" i="30"/>
  <c r="AF95" i="30"/>
  <c r="AJ95" i="30"/>
  <c r="AZ95" i="30"/>
  <c r="D96" i="30"/>
  <c r="G96" i="30" l="1"/>
  <c r="C97" i="30" s="1"/>
  <c r="BG95" i="30"/>
  <c r="CN95" i="30"/>
  <c r="F96" i="30"/>
  <c r="L96" i="30"/>
  <c r="B96" i="30" l="1"/>
  <c r="BV96" i="30"/>
  <c r="CM96" i="30"/>
  <c r="CL96" i="30"/>
  <c r="CK96" i="30"/>
  <c r="CA96" i="30"/>
  <c r="BY96" i="30"/>
  <c r="CB96" i="30"/>
  <c r="P96" i="30"/>
  <c r="CJ96" i="30"/>
  <c r="CI96" i="30"/>
  <c r="BX96" i="30"/>
  <c r="CF96" i="30"/>
  <c r="CE96" i="30"/>
  <c r="CD96" i="30"/>
  <c r="CH96" i="30"/>
  <c r="CC96" i="30"/>
  <c r="BZ96" i="30"/>
  <c r="BW96" i="30"/>
  <c r="CG96" i="30"/>
  <c r="AF96" i="30"/>
  <c r="AR96" i="30"/>
  <c r="AJ96" i="30"/>
  <c r="AB96" i="30"/>
  <c r="X96" i="30"/>
  <c r="T96" i="30"/>
  <c r="D97" i="30"/>
  <c r="AZ96" i="30"/>
  <c r="G97" i="30" l="1"/>
  <c r="C98" i="30" s="1"/>
  <c r="CN96" i="30"/>
  <c r="BG96" i="30"/>
  <c r="L97" i="30"/>
  <c r="F97" i="30"/>
  <c r="B97" i="30" l="1"/>
  <c r="BV97" i="30"/>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AZ97" i="30"/>
  <c r="D98" i="30"/>
  <c r="G98" i="30" l="1"/>
  <c r="C99" i="30" s="1"/>
  <c r="F98" i="30"/>
  <c r="L98" i="30"/>
  <c r="BG97" i="30"/>
  <c r="CN97" i="30"/>
  <c r="B98" i="30" l="1"/>
  <c r="CH98" i="30"/>
  <c r="CF98" i="30"/>
  <c r="P98" i="30"/>
  <c r="CA98" i="30"/>
  <c r="CI98" i="30"/>
  <c r="CD98" i="30"/>
  <c r="BV98" i="30"/>
  <c r="CK98" i="30"/>
  <c r="BY98" i="30"/>
  <c r="CC98" i="30"/>
  <c r="CG98" i="30"/>
  <c r="BW98" i="30"/>
  <c r="CM98" i="30"/>
  <c r="CJ98" i="30"/>
  <c r="CL98" i="30"/>
  <c r="CE98" i="30"/>
  <c r="CB98" i="30"/>
  <c r="BZ98" i="30"/>
  <c r="BX98" i="30"/>
  <c r="T98" i="30"/>
  <c r="X98" i="30"/>
  <c r="AR98" i="30"/>
  <c r="AB98" i="30"/>
  <c r="AJ98" i="30"/>
  <c r="AF98" i="30"/>
  <c r="D99" i="30"/>
  <c r="AZ98" i="30"/>
  <c r="G99" i="30" l="1"/>
  <c r="C100" i="30" s="1"/>
  <c r="CN98" i="30"/>
  <c r="BG98" i="30"/>
  <c r="L99" i="30"/>
  <c r="F99" i="30"/>
  <c r="B99" i="30" l="1"/>
  <c r="CC99" i="30"/>
  <c r="BZ99" i="30"/>
  <c r="BY99" i="30"/>
  <c r="CH99" i="30"/>
  <c r="CK99" i="30"/>
  <c r="CL99" i="30"/>
  <c r="P99" i="30"/>
  <c r="BW99" i="30"/>
  <c r="BX99" i="30"/>
  <c r="CM99" i="30"/>
  <c r="CE99" i="30"/>
  <c r="CG99" i="30"/>
  <c r="CJ99" i="30"/>
  <c r="BV99" i="30"/>
  <c r="CB99" i="30"/>
  <c r="CF99" i="30"/>
  <c r="CI99" i="30"/>
  <c r="CD99" i="30"/>
  <c r="CA99" i="30"/>
  <c r="AJ99" i="30"/>
  <c r="AF99" i="30"/>
  <c r="X99" i="30"/>
  <c r="AR99" i="30"/>
  <c r="AB99" i="30"/>
  <c r="T99" i="30"/>
  <c r="AZ99" i="30"/>
  <c r="D100" i="30"/>
  <c r="G100" i="30" l="1"/>
  <c r="C101" i="30" s="1"/>
  <c r="F100" i="30"/>
  <c r="L100" i="30"/>
  <c r="CN99" i="30"/>
  <c r="BG99" i="30"/>
  <c r="B100" i="30" l="1"/>
  <c r="CD100" i="30"/>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AR100" i="30"/>
  <c r="AZ100" i="30"/>
  <c r="D101" i="30"/>
  <c r="G101" i="30" l="1"/>
  <c r="C102" i="30" s="1"/>
  <c r="L101" i="30"/>
  <c r="F101" i="30"/>
  <c r="CN100" i="30"/>
  <c r="BG100" i="30"/>
  <c r="B101" i="30" l="1"/>
  <c r="CL101" i="30"/>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T101" i="30"/>
  <c r="AJ101" i="30"/>
  <c r="AZ101" i="30"/>
  <c r="D102" i="30"/>
  <c r="G102" i="30" l="1"/>
  <c r="C103" i="30" s="1"/>
  <c r="F102" i="30"/>
  <c r="L102" i="30"/>
  <c r="CN101" i="30"/>
  <c r="BG101" i="30"/>
  <c r="B102" i="30" l="1"/>
  <c r="BY102" i="30"/>
  <c r="BZ102" i="30"/>
  <c r="CJ102" i="30"/>
  <c r="CH102" i="30"/>
  <c r="BX102" i="30"/>
  <c r="CE102" i="30"/>
  <c r="CG102" i="30"/>
  <c r="CD102" i="30"/>
  <c r="BW102" i="30"/>
  <c r="CF102" i="30"/>
  <c r="CK102" i="30"/>
  <c r="CI102" i="30"/>
  <c r="P102" i="30"/>
  <c r="CB102" i="30"/>
  <c r="CL102" i="30"/>
  <c r="CA102" i="30"/>
  <c r="BV102" i="30"/>
  <c r="CM102" i="30"/>
  <c r="CC102" i="30"/>
  <c r="T102" i="30"/>
  <c r="AF102" i="30"/>
  <c r="AB102" i="30"/>
  <c r="AJ102" i="30"/>
  <c r="AR102" i="30"/>
  <c r="X102" i="30"/>
  <c r="AZ102" i="30"/>
  <c r="D103" i="30"/>
  <c r="G103" i="30" l="1"/>
  <c r="C104" i="30" s="1"/>
  <c r="F103" i="30"/>
  <c r="L103" i="30"/>
  <c r="CN102" i="30"/>
  <c r="BG102" i="30"/>
  <c r="B103" i="30" l="1"/>
  <c r="CM103" i="30"/>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AF103" i="30"/>
  <c r="AJ103" i="30"/>
  <c r="D104" i="30"/>
  <c r="G104" i="30" s="1"/>
  <c r="AZ103" i="30"/>
  <c r="B104" i="30" l="1"/>
  <c r="D102" i="49"/>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AR104" i="30"/>
  <c r="D10" i="27" s="1"/>
  <c r="AZ104" i="30"/>
  <c r="A6" i="26"/>
  <c r="N102" i="49" l="1"/>
  <c r="M102" i="49" s="1"/>
  <c r="R27" i="27"/>
  <c r="K7" i="27"/>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Z96" i="26"/>
  <c r="K96" i="26"/>
  <c r="T96" i="26"/>
  <c r="AC96" i="26"/>
  <c r="L96" i="26"/>
  <c r="AD96" i="26"/>
  <c r="M96" i="26"/>
  <c r="V96" i="26"/>
  <c r="AE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AB97" i="26"/>
  <c r="H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V89" i="26"/>
  <c r="AE89" i="26"/>
  <c r="N89" i="26"/>
  <c r="W89" i="26"/>
  <c r="F89" i="26"/>
  <c r="O89" i="26"/>
  <c r="X89" i="26"/>
  <c r="P89" i="26"/>
  <c r="Y89" i="26"/>
  <c r="H89" i="26"/>
  <c r="J89" i="26"/>
  <c r="AD89" i="26"/>
  <c r="L89" i="26"/>
  <c r="AB89" i="26"/>
  <c r="R89" i="26"/>
  <c r="U89" i="26"/>
  <c r="Z89" i="26"/>
  <c r="I89" i="26"/>
  <c r="AC89" i="26"/>
  <c r="I88" i="26"/>
  <c r="Q88" i="26"/>
  <c r="Y88" i="26"/>
  <c r="O88" i="26"/>
  <c r="X88" i="26"/>
  <c r="P88" i="26"/>
  <c r="Z88" i="26"/>
  <c r="AA88" i="26"/>
  <c r="J88" i="26"/>
  <c r="S88" i="26"/>
  <c r="AB88" i="26"/>
  <c r="K88" i="26"/>
  <c r="T88" i="26"/>
  <c r="AC88" i="26"/>
  <c r="N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AD92" i="26"/>
  <c r="J92" i="26"/>
  <c r="V92" i="26"/>
  <c r="AE92" i="26"/>
  <c r="K92" i="26"/>
  <c r="W92" i="26"/>
  <c r="X92" i="26"/>
  <c r="M92" i="26"/>
  <c r="Y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AE117" i="26"/>
  <c r="N117" i="26"/>
  <c r="O117" i="26"/>
  <c r="P117" i="26"/>
  <c r="W117" i="26"/>
  <c r="X117" i="26"/>
  <c r="Z117" i="26"/>
  <c r="F117" i="26"/>
  <c r="G117" i="26"/>
  <c r="B111" i="26"/>
  <c r="J111" i="26"/>
  <c r="R111" i="26"/>
  <c r="Z111" i="26"/>
  <c r="K111" i="26"/>
  <c r="S111" i="26"/>
  <c r="AA111" i="26"/>
  <c r="D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S91" i="26"/>
  <c r="AB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AB93" i="26"/>
  <c r="I93" i="26"/>
  <c r="R93" i="26"/>
  <c r="AA93" i="26"/>
  <c r="Y93" i="26"/>
  <c r="J93" i="26"/>
  <c r="S93" i="26"/>
  <c r="AC93" i="26"/>
  <c r="K93" i="26"/>
  <c r="U93" i="26"/>
  <c r="AD93" i="26"/>
  <c r="M93" i="26"/>
  <c r="AE93" i="26"/>
  <c r="E93" i="26"/>
  <c r="N93" i="26"/>
  <c r="W93" i="26"/>
  <c r="O93" i="26"/>
  <c r="X93" i="26"/>
  <c r="Q93" i="26"/>
  <c r="Z93" i="26"/>
  <c r="N87" i="26"/>
  <c r="V87" i="26"/>
  <c r="AD87" i="26"/>
  <c r="Q87" i="26"/>
  <c r="Z87" i="26"/>
  <c r="R87" i="26"/>
  <c r="AA87" i="26"/>
  <c r="M87" i="26"/>
  <c r="S87" i="26"/>
  <c r="AB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AA125" i="26"/>
  <c r="AA126" i="26"/>
  <c r="W126" i="26"/>
  <c r="W125" i="26"/>
  <c r="Z126" i="26"/>
  <c r="Z125" i="26"/>
  <c r="AE126" i="26"/>
  <c r="AE125" i="26"/>
  <c r="AD125" i="26"/>
  <c r="AD126" i="26"/>
  <c r="AC126" i="26"/>
  <c r="AC125" i="26"/>
  <c r="AB125" i="26"/>
  <c r="AB126" i="26"/>
  <c r="Y126" i="26"/>
  <c r="Y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X65" i="27"/>
  <c r="Y65" i="27"/>
  <c r="AB65" i="27"/>
  <c r="W67" i="27"/>
  <c r="AB67" i="27"/>
  <c r="Y67" i="27"/>
  <c r="X67" i="27"/>
  <c r="W93" i="27"/>
  <c r="AA93" i="27"/>
  <c r="Z93" i="27"/>
  <c r="X93" i="27"/>
  <c r="Y93" i="27"/>
  <c r="AB93" i="27"/>
  <c r="X84" i="27"/>
  <c r="Y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X71" i="27"/>
  <c r="Y71" i="27"/>
  <c r="AB71" i="27"/>
  <c r="W70" i="27"/>
  <c r="X70" i="27"/>
  <c r="Y70" i="27"/>
  <c r="AB70" i="27"/>
  <c r="W69" i="27"/>
  <c r="X69" i="27"/>
  <c r="Y69" i="27"/>
  <c r="AB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DE75" i="27"/>
  <c r="DG95" i="27"/>
  <c r="DH62" i="27"/>
  <c r="DG70" i="27"/>
  <c r="CV83" i="27"/>
  <c r="DG66" i="27"/>
  <c r="CV64" i="27"/>
  <c r="DG60" i="27"/>
  <c r="CV76" i="27"/>
  <c r="AA76" i="27" s="1"/>
  <c r="CV67" i="27"/>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AA84" i="27" s="1"/>
  <c r="DG83" i="27"/>
  <c r="CV63" i="27"/>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AA67" i="27" l="1"/>
  <c r="AA71" i="27"/>
  <c r="AA63" i="27"/>
  <c r="AA89" i="27"/>
  <c r="AA62" i="27"/>
  <c r="AA65" i="27"/>
  <c r="AA69" i="27"/>
  <c r="AM14" i="45"/>
  <c r="Z84" i="27"/>
  <c r="Z71" i="27"/>
  <c r="Z89" i="27"/>
  <c r="Z65" i="27"/>
  <c r="Z69" i="27"/>
  <c r="AM19" i="45"/>
  <c r="O19" i="27"/>
  <c r="O17" i="27" s="1"/>
  <c r="Z61" i="27"/>
  <c r="DK69" i="27"/>
  <c r="DL69" i="27" s="1"/>
  <c r="AL22" i="45" s="1"/>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AD40" i="27" l="1"/>
  <c r="K8" i="27" s="1"/>
  <c r="L7" i="27" s="1"/>
  <c r="AE40" i="27"/>
  <c r="Q8" i="27" s="1"/>
  <c r="W33" i="45"/>
  <c r="S33" i="45"/>
  <c r="U33" i="45"/>
  <c r="S34" i="45"/>
  <c r="W34" i="45"/>
  <c r="U34"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D84" i="27" s="1"/>
  <c r="G84" i="27" s="1"/>
  <c r="H84" i="27" s="1"/>
  <c r="E44" i="27"/>
  <c r="G44" i="27"/>
  <c r="H44" i="27" s="1"/>
  <c r="L44" i="27"/>
  <c r="D85" i="27"/>
  <c r="AI36" i="45" l="1"/>
  <c r="AC36" i="45" s="1"/>
  <c r="Q36" i="45"/>
  <c r="W36" i="45" s="1"/>
  <c r="L84" i="27"/>
  <c r="E84" i="27"/>
  <c r="R7" i="27"/>
  <c r="AI35" i="45"/>
  <c r="Q35"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AG36" i="45" l="1"/>
  <c r="AE36" i="45"/>
  <c r="AA36" i="45"/>
  <c r="Y36" i="45"/>
  <c r="S36" i="45"/>
  <c r="U36" i="45"/>
  <c r="W37" i="45"/>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K80" i="27"/>
  <c r="AK81" i="27"/>
  <c r="AK95" i="27"/>
  <c r="AK73" i="27"/>
  <c r="AK75" i="27"/>
  <c r="AK77" i="27"/>
  <c r="AK66" i="27"/>
  <c r="AK72" i="27"/>
  <c r="AN85" i="27"/>
  <c r="AN91" i="27"/>
  <c r="AN80" i="27"/>
  <c r="AN95" i="27"/>
  <c r="AN93" i="27"/>
  <c r="AN88" i="27"/>
  <c r="AN94" i="27"/>
  <c r="X13" i="45" l="1"/>
  <c r="V27" i="45"/>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U90" i="27"/>
  <c r="AV90" i="27" s="1"/>
  <c r="AU69" i="27"/>
  <c r="AV69" i="27" s="1"/>
  <c r="AU77" i="27"/>
  <c r="AV77" i="27" s="1"/>
  <c r="AU89" i="27"/>
  <c r="AV89" i="27" s="1"/>
  <c r="AU83" i="27"/>
  <c r="AV83" i="27" s="1"/>
  <c r="AS96" i="27"/>
  <c r="AS94" i="27"/>
  <c r="AS93" i="27"/>
  <c r="AS92" i="27"/>
  <c r="AS91" i="27"/>
  <c r="AS88" i="27"/>
  <c r="AS80" i="27"/>
  <c r="AS95" i="27"/>
  <c r="AS85" i="27"/>
  <c r="AN84" i="27" l="1"/>
  <c r="AK84" i="27"/>
  <c r="AK61" i="27"/>
  <c r="AK69" i="27"/>
  <c r="AK76" i="27"/>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4" i="27" l="1"/>
  <c r="AS81" i="27"/>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H98" i="26"/>
  <c r="H88" i="26"/>
  <c r="J90" i="26"/>
  <c r="H92" i="26"/>
  <c r="E101" i="26"/>
  <c r="BI51" i="27" l="1"/>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L92" i="26" s="1"/>
  <c r="AT87" i="27"/>
  <c r="AT95" i="27"/>
  <c r="AT66" i="27"/>
  <c r="AT74" i="27"/>
  <c r="AT80" i="27"/>
  <c r="AT88" i="27"/>
  <c r="AT96" i="27"/>
  <c r="AT67" i="27"/>
  <c r="AT75" i="27"/>
  <c r="B102" i="26" s="1"/>
  <c r="AT81" i="27"/>
  <c r="AT89" i="27"/>
  <c r="D116" i="26" s="1"/>
  <c r="AT68" i="27"/>
  <c r="AT76" i="27"/>
  <c r="AT82" i="27"/>
  <c r="AT90" i="27"/>
  <c r="V117" i="26" s="1"/>
  <c r="AT61" i="27"/>
  <c r="AT69" i="27"/>
  <c r="AT77" i="27"/>
  <c r="AT83" i="27"/>
  <c r="AT91" i="27"/>
  <c r="AT62" i="27"/>
  <c r="Q89" i="26" s="1"/>
  <c r="AT70" i="27"/>
  <c r="Q97" i="26" s="1"/>
  <c r="AT60" i="27"/>
  <c r="H87" i="26" s="1"/>
  <c r="AT84" i="27"/>
  <c r="L111" i="26" s="1"/>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S92" i="26" l="1"/>
  <c r="O92" i="26"/>
  <c r="I95" i="26"/>
  <c r="G95" i="26"/>
  <c r="I91" i="26"/>
  <c r="G91" i="26"/>
  <c r="T93" i="26"/>
  <c r="P93" i="26"/>
  <c r="Q126" i="26"/>
  <c r="Q125" i="26"/>
  <c r="J87" i="26"/>
  <c r="I87" i="26"/>
  <c r="U96" i="26"/>
  <c r="R96" i="26"/>
  <c r="U88" i="26"/>
  <c r="R88" i="26"/>
  <c r="S126" i="26"/>
  <c r="S125" i="26"/>
  <c r="C97" i="26"/>
  <c r="T97" i="26"/>
  <c r="M89" i="26"/>
  <c r="M126" i="26" s="1"/>
  <c r="T89" i="26"/>
  <c r="D92" i="26"/>
  <c r="U92" i="26"/>
  <c r="K95" i="26"/>
  <c r="J95" i="26"/>
  <c r="K91" i="26"/>
  <c r="J91" i="26"/>
  <c r="G87" i="26"/>
  <c r="K87" i="26"/>
  <c r="G88" i="26"/>
  <c r="V88" i="26"/>
  <c r="L126" i="26"/>
  <c r="L125" i="26"/>
  <c r="F96" i="26"/>
  <c r="N96" i="26"/>
  <c r="C93" i="26"/>
  <c r="V93" i="26"/>
  <c r="E96" i="26"/>
  <c r="D96" i="26"/>
  <c r="D89" i="26"/>
  <c r="G89"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O125" i="26" l="1"/>
  <c r="O126" i="26"/>
  <c r="I126" i="26"/>
  <c r="I125" i="26"/>
  <c r="P125" i="26"/>
  <c r="P126" i="26"/>
  <c r="U126" i="26"/>
  <c r="M125" i="26"/>
  <c r="R126" i="26"/>
  <c r="R125" i="26"/>
  <c r="J126" i="26"/>
  <c r="T125" i="26"/>
  <c r="T126" i="26"/>
  <c r="U125" i="26"/>
  <c r="J125" i="26"/>
  <c r="K126" i="26"/>
  <c r="K125" i="26"/>
  <c r="G125" i="26"/>
  <c r="V126" i="26"/>
  <c r="V125" i="26"/>
  <c r="N125" i="26"/>
  <c r="N126" i="26"/>
  <c r="G126" i="26"/>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BBB1FD4C-5DAB-48C6-B7E0-D8DE8EC26CDC}" name="123456_Test11" type="6" refreshedVersion="7" background="1" saveData="1">
    <textPr prompt="0" sourceFile="C:\Users\MRudolph\Desktop\C Drive Testing\EDS Testing\CCIpole\Test Sites\123456\123456_Test.eri" tab="0" qualifier="none">
      <textFields>
        <textField/>
      </textFields>
    </textPr>
  </connection>
  <connection id="4"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5" xr16:uid="{439B2D14-C2E5-4CDE-8A5A-5E0B58B699E6}" name="123456_Test21" type="6" refreshedVersion="7" background="1" saveData="1">
    <textPr prompt="0" sourceFile="C:\Users\MRudolph\Desktop\C Drive Testing\EDS Testing\CCIpole\Test Sites\123456\123456_Test.eri" tab="0" qualifier="none">
      <textFields>
        <textField/>
      </textFields>
    </textPr>
  </connection>
  <connection id="6"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 id="7" xr16:uid="{191E0F46-E3B5-4949-939E-E75FF198A404}" name="123456_Test31" type="6" refreshedVersion="7" background="1" saveData="1">
    <textPr prompt="0" sourceFile="C:\Users\MRudolph\Desktop\C Drive Testing\EDS Testing\CCIpole\Test Sites\123456\123456_Test.eri" tab="0" qualifier="none">
      <textFields>
        <textField/>
      </textFields>
    </textPr>
  </connection>
  <connection id="8" xr16:uid="{5CD69476-81CA-4198-9ABA-70AE8136402E}" name="123456_Test4" type="6" refreshedVersion="6" background="1" saveData="1">
    <textPr prompt="0" sourceFile="C:\Users\MRudolph\Desktop\C Drive Testing\CCIpole\EDS Testing\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<sst xmlns="http://schemas.openxmlformats.org/spreadsheetml/2006/main" count="28036" uniqueCount="5318">
  <si>
    <t>H</t>
  </si>
  <si>
    <t>Site BU:</t>
  </si>
  <si>
    <t xml:space="preserve"> </t>
  </si>
  <si>
    <t>Work Order:</t>
  </si>
  <si>
    <t>Pole Geometry</t>
  </si>
  <si>
    <t>Copyright © 2019 Crown Castle</t>
  </si>
  <si>
    <t>Pole Height Above Base (ft)</t>
  </si>
  <si>
    <t>Section Length
(ft)</t>
  </si>
  <si>
    <t>Lap Splice Length (ft)</t>
  </si>
  <si>
    <t>Number of Sides</t>
  </si>
  <si>
    <t>Top Diameter
(in)</t>
  </si>
  <si>
    <t>Bottom Diameter (in)</t>
  </si>
  <si>
    <t>Wall Thickness (in)</t>
  </si>
  <si>
    <t>Bend Radius
(in)</t>
  </si>
  <si>
    <t>Pole Material</t>
  </si>
  <si>
    <t/>
  </si>
  <si>
    <t>Elevation =</t>
  </si>
  <si>
    <t>ft</t>
  </si>
  <si>
    <t>View Rotation =</t>
  </si>
  <si>
    <t>deg</t>
  </si>
  <si>
    <t>Reinforcement Configuration</t>
  </si>
  <si>
    <t>Bottom Effective Elevation (ft)</t>
  </si>
  <si>
    <t>Top Effective Elevation (ft)</t>
  </si>
  <si>
    <t>Type</t>
  </si>
  <si>
    <t>Model</t>
  </si>
  <si>
    <t>Number</t>
  </si>
  <si>
    <t>In round tower section?</t>
  </si>
  <si>
    <t>Bottom Interference Elevation (ft)</t>
  </si>
  <si>
    <t>Top Interference Elevation (ft)</t>
  </si>
  <si>
    <t>Description</t>
  </si>
  <si>
    <t>Interference Width (in)</t>
  </si>
  <si>
    <t>Pole Flat Width (in)</t>
  </si>
  <si>
    <t>Reinforcement Details</t>
  </si>
  <si>
    <t>B (in)</t>
  </si>
  <si>
    <t>H (in)</t>
  </si>
  <si>
    <r>
      <t>Gross Area (in</t>
    </r>
    <r>
      <rPr>
        <vertAlign val="superscript"/>
        <sz val="10"/>
        <color theme="1"/>
        <rFont val="Calibri"/>
        <family val="2"/>
        <scheme val="minor"/>
      </rPr>
      <t>2</t>
    </r>
    <r>
      <rPr>
        <sz val="10"/>
        <color theme="1"/>
        <rFont val="Calibri"/>
        <family val="2"/>
        <scheme val="minor"/>
      </rPr>
      <t>)</t>
    </r>
  </si>
  <si>
    <t>Pole Face to Centroid (in)</t>
  </si>
  <si>
    <t>Bottom Termination Type</t>
  </si>
  <si>
    <t>Bottom Termination Length (in)</t>
  </si>
  <si>
    <t>Top Termination Type</t>
  </si>
  <si>
    <t>Top Termination Length (in)</t>
  </si>
  <si>
    <t>Lu (in)</t>
  </si>
  <si>
    <t>Net Area (in2)</t>
  </si>
  <si>
    <t>Bolt Hole Size (in)</t>
  </si>
  <si>
    <t>Reinforcement Material</t>
  </si>
  <si>
    <t>N/A</t>
  </si>
  <si>
    <t>Connection Details for Custom Reinforcements</t>
  </si>
  <si>
    <t>Reinforcement</t>
  </si>
  <si>
    <t>End</t>
  </si>
  <si>
    <t># Bolts</t>
  </si>
  <si>
    <t>N or X</t>
  </si>
  <si>
    <t>Bolt Spacing
(in)</t>
  </si>
  <si>
    <t>Edge Dist
(in)</t>
  </si>
  <si>
    <t>Weld Grade
(ksi)</t>
  </si>
  <si>
    <t>Transverse (Horiz.) Weld Type</t>
  </si>
  <si>
    <t>Horiz. Weld Length 
(in)</t>
  </si>
  <si>
    <t>Horiz. Groove Depth 
(in)</t>
  </si>
  <si>
    <t>Horiz. Groove Angle 
(deg)</t>
  </si>
  <si>
    <t>Horiz. Fillet Size (in)</t>
  </si>
  <si>
    <t>Vertical Weld Length (in)</t>
  </si>
  <si>
    <t>Vertical Fillet Size (in)</t>
  </si>
  <si>
    <t>Increment (ft):</t>
  </si>
  <si>
    <t>TNX Output</t>
  </si>
  <si>
    <t>Section                    Elevation (ft)</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</si>
  <si>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</si>
  <si>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</si>
  <si>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Axial (kips)</t>
  </si>
  <si>
    <t>Verification Output</t>
  </si>
  <si>
    <t>Section Height (ft)</t>
  </si>
  <si>
    <r>
      <t>P</t>
    </r>
    <r>
      <rPr>
        <b/>
        <vertAlign val="subscript"/>
        <sz val="10"/>
        <color indexed="8"/>
        <rFont val="Calibri"/>
        <family val="2"/>
      </rPr>
      <t>u</t>
    </r>
    <r>
      <rPr>
        <b/>
        <sz val="10"/>
        <color indexed="8"/>
        <rFont val="Calibri"/>
        <family val="2"/>
      </rPr>
      <t xml:space="preserve">         (K)</t>
    </r>
  </si>
  <si>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</si>
  <si>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</si>
  <si>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t>Section Length (ft)</t>
  </si>
  <si>
    <t>Top Diameter (in)</t>
  </si>
  <si>
    <t>Critical Section Diameter (in)</t>
  </si>
  <si>
    <t>Actual Wall Thickness (in)</t>
  </si>
  <si>
    <t>Tapered Pole Grade</t>
  </si>
  <si>
    <t>Weight Multiplier</t>
  </si>
  <si>
    <t>Elevation (ft)</t>
  </si>
  <si>
    <t>Component Type</t>
  </si>
  <si>
    <t>Size</t>
  </si>
  <si>
    <t>Critical Element</t>
  </si>
  <si>
    <t>% Capacity</t>
  </si>
  <si>
    <t>Pass / Fail</t>
  </si>
  <si>
    <t>Pole</t>
  </si>
  <si>
    <t>Reinf.</t>
  </si>
  <si>
    <t>Total</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</si>
  <si>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</si>
  <si>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</si>
  <si>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</si>
  <si>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</si>
  <si>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</si>
  <si>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</si>
  <si>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</si>
  <si>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</si>
  <si>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</si>
  <si>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</si>
  <si>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</si>
  <si>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</si>
  <si>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</si>
  <si>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</si>
  <si>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</si>
  <si>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</si>
  <si>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</si>
  <si>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</si>
  <si>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</si>
  <si>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</si>
  <si>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</si>
  <si>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</si>
  <si>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</si>
  <si>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</si>
  <si>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</si>
  <si>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</si>
  <si>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</si>
  <si>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</si>
  <si>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</si>
  <si>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</si>
  <si>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Critical Axis (deg.)</t>
  </si>
  <si>
    <t>N.A. Shift (in)</t>
  </si>
  <si>
    <r>
      <t>∑F</t>
    </r>
    <r>
      <rPr>
        <b/>
        <vertAlign val="subscript"/>
        <sz val="10"/>
        <color theme="3"/>
        <rFont val="Calibri"/>
        <family val="2"/>
        <scheme val="minor"/>
      </rPr>
      <t>N.A.</t>
    </r>
    <r>
      <rPr>
        <b/>
        <sz val="10"/>
        <color theme="3"/>
        <rFont val="Calibri"/>
        <family val="2"/>
        <scheme val="minor"/>
      </rPr>
      <t xml:space="preserve"> (kip)</t>
    </r>
  </si>
  <si>
    <t>Summary</t>
  </si>
  <si>
    <t>Overall</t>
  </si>
  <si>
    <t>Material</t>
  </si>
  <si>
    <t>Fy (ksi)</t>
  </si>
  <si>
    <t>Fu (ksi)</t>
  </si>
  <si>
    <t>Matl ID</t>
  </si>
  <si>
    <t>Default?</t>
  </si>
  <si>
    <t>A36</t>
  </si>
  <si>
    <t>A36M-42</t>
  </si>
  <si>
    <t>A36M-45</t>
  </si>
  <si>
    <t>A36M-50</t>
  </si>
  <si>
    <t>A500-50</t>
  </si>
  <si>
    <t>A514-GR100</t>
  </si>
  <si>
    <t>A53-B-35</t>
  </si>
  <si>
    <t>A53-B-42</t>
  </si>
  <si>
    <t>A572-50</t>
  </si>
  <si>
    <t>A572-55</t>
  </si>
  <si>
    <t>A572-60</t>
  </si>
  <si>
    <t>A572-65</t>
  </si>
  <si>
    <t>A607-60</t>
  </si>
  <si>
    <t>A607-65</t>
  </si>
  <si>
    <t>A615-75</t>
  </si>
  <si>
    <t>S-128</t>
  </si>
  <si>
    <t>S-22</t>
  </si>
  <si>
    <t>* Values are auto-calculated, but user may overwrite with AISC tabulated data.</t>
  </si>
  <si>
    <t>x</t>
  </si>
  <si>
    <t>User-Defined         Capacity Inputs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</si>
  <si>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</si>
  <si>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Flexural Buckling</t>
  </si>
  <si>
    <t>Flexural Torsional Buckling</t>
  </si>
  <si>
    <t>Diameter (in)</t>
  </si>
  <si>
    <t>[Channel]Web Thickness (in)</t>
  </si>
  <si>
    <t>[Channel] Flange Thickness (in)</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</si>
  <si>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</si>
  <si>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</si>
  <si>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</si>
  <si>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r>
      <t>Gross Area (in</t>
    </r>
    <r>
      <rPr>
        <vertAlign val="superscript"/>
        <sz val="10"/>
        <rFont val="Arial"/>
        <family val="2"/>
      </rPr>
      <t>2</t>
    </r>
    <r>
      <rPr>
        <sz val="10"/>
        <rFont val="Arial"/>
        <family val="2"/>
      </rPr>
      <t>)</t>
    </r>
  </si>
  <si>
    <t>Tension Only?</t>
  </si>
  <si>
    <r>
      <t>I</t>
    </r>
    <r>
      <rPr>
        <vertAlign val="subscript"/>
        <sz val="10"/>
        <rFont val="Arial"/>
        <family val="2"/>
      </rPr>
      <t>x</t>
    </r>
  </si>
  <si>
    <r>
      <rPr>
        <sz val="12"/>
        <rFont val="Arial"/>
        <family val="2"/>
      </rPr>
      <t>r</t>
    </r>
    <r>
      <rPr>
        <vertAlign val="subscript"/>
        <sz val="12"/>
        <rFont val="Arial"/>
        <family val="2"/>
      </rPr>
      <t>x</t>
    </r>
  </si>
  <si>
    <r>
      <t>I</t>
    </r>
    <r>
      <rPr>
        <vertAlign val="subscript"/>
        <sz val="10"/>
        <rFont val="Arial"/>
        <family val="2"/>
      </rPr>
      <t>y</t>
    </r>
  </si>
  <si>
    <r>
      <rPr>
        <sz val="12"/>
        <rFont val="Arial"/>
        <family val="2"/>
      </rPr>
      <t>r</t>
    </r>
    <r>
      <rPr>
        <vertAlign val="subscript"/>
        <sz val="12"/>
        <rFont val="Arial"/>
        <family val="2"/>
      </rPr>
      <t>y</t>
    </r>
  </si>
  <si>
    <r>
      <t>L</t>
    </r>
    <r>
      <rPr>
        <vertAlign val="subscript"/>
        <sz val="10"/>
        <rFont val="Arial"/>
        <family val="2"/>
      </rPr>
      <t>u</t>
    </r>
    <r>
      <rPr>
        <sz val="10"/>
        <rFont val="Arial"/>
        <family val="2"/>
      </rPr>
      <t xml:space="preserve"> (in)</t>
    </r>
  </si>
  <si>
    <r>
      <t>Effective Length Factor K</t>
    </r>
    <r>
      <rPr>
        <vertAlign val="subscript"/>
        <sz val="14"/>
        <rFont val="Arial"/>
        <family val="2"/>
      </rPr>
      <t>x</t>
    </r>
  </si>
  <si>
    <r>
      <t>Effective Length Factor K</t>
    </r>
    <r>
      <rPr>
        <vertAlign val="subscript"/>
        <sz val="14"/>
        <rFont val="Arial"/>
        <family val="2"/>
      </rPr>
      <t>y</t>
    </r>
  </si>
  <si>
    <t>Bolt Hole Size (mm)</t>
  </si>
  <si>
    <r>
      <t>Net Area (in</t>
    </r>
    <r>
      <rPr>
        <vertAlign val="superscript"/>
        <sz val="10"/>
        <rFont val="Arial"/>
        <family val="2"/>
      </rPr>
      <t>2</t>
    </r>
    <r>
      <rPr>
        <sz val="10"/>
        <rFont val="Arial"/>
        <family val="2"/>
      </rPr>
      <t>)</t>
    </r>
  </si>
  <si>
    <t>Shear Lag (U)</t>
  </si>
  <si>
    <t>Bottom End Connection Type</t>
  </si>
  <si>
    <t>Rev. F Bottom Connection Capacity (kips)</t>
  </si>
  <si>
    <t>Rev. G Bottom Connection Capacity (kips)</t>
  </si>
  <si>
    <t>Rev. H Bottom Connection Capacity (kips)</t>
  </si>
  <si>
    <t>Bottom End Connection Bolt Type</t>
  </si>
  <si>
    <r>
      <t xml:space="preserve">Threads Included (N) or Excluded (X) </t>
    </r>
    <r>
      <rPr>
        <sz val="10"/>
        <color theme="0"/>
        <rFont val="Arial"/>
        <family val="2"/>
      </rPr>
      <t>(Bottom)</t>
    </r>
  </si>
  <si>
    <t># of End Connection Bolts          (Bottom)</t>
  </si>
  <si>
    <r>
      <t>End Connection Bolt Spacing (in)</t>
    </r>
    <r>
      <rPr>
        <sz val="10"/>
        <color theme="0"/>
        <rFont val="Arial"/>
        <family val="2"/>
      </rPr>
      <t xml:space="preserve"> (B)</t>
    </r>
  </si>
  <si>
    <r>
      <t>End Connection Edge Distance (in)</t>
    </r>
    <r>
      <rPr>
        <sz val="10"/>
        <color theme="0"/>
        <rFont val="Arial"/>
        <family val="2"/>
      </rPr>
      <t xml:space="preserve"> (B)</t>
    </r>
  </si>
  <si>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</si>
  <si>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</si>
  <si>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</si>
  <si>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r>
      <t>Bottom L</t>
    </r>
    <r>
      <rPr>
        <vertAlign val="subscript"/>
        <sz val="10"/>
        <rFont val="Arial"/>
        <family val="2"/>
      </rPr>
      <t>i</t>
    </r>
    <r>
      <rPr>
        <sz val="10"/>
        <rFont val="Arial"/>
        <family val="2"/>
      </rPr>
      <t xml:space="preserve"> (Rev. F)</t>
    </r>
  </si>
  <si>
    <t>Bottom Connected to Flange/Base Plate?</t>
  </si>
  <si>
    <t>Bottom Weld Grade (ksi)</t>
  </si>
  <si>
    <t>Bottom Transverse (Horizontal) Weld</t>
  </si>
  <si>
    <t>Bottom Transverse Weld Length</t>
  </si>
  <si>
    <t>Bottom Transverse Weld Groove Depth (in)</t>
  </si>
  <si>
    <t>Bottom Transverse Weld Groove Angle (degrees)</t>
  </si>
  <si>
    <t>Bottom Transverse Weld Fillet Size (in)</t>
  </si>
  <si>
    <t>Bottom Transverse Weld Effective Throat</t>
  </si>
  <si>
    <t>Bottom Longitudinal (Vertical) Weld</t>
  </si>
  <si>
    <t>Bottom Longitudinal Weld Length</t>
  </si>
  <si>
    <t>Bottom Longitudinal Weld Fillet Size (in)</t>
  </si>
  <si>
    <t>Bottom Longitudinal Weld Effective Throat</t>
  </si>
  <si>
    <t>Top End Connection Same?</t>
  </si>
  <si>
    <t>Top End Connection Type</t>
  </si>
  <si>
    <t>Rev. F Top Connection Capacity (kips)</t>
  </si>
  <si>
    <t>Rev. G Top Connection Capacity (kips)</t>
  </si>
  <si>
    <t>Rev. H Top Connection Capacity (kips)</t>
  </si>
  <si>
    <t>Top End Connection Bolt Type</t>
  </si>
  <si>
    <t>Threads Included (N) or Excluded (X) (Top)</t>
  </si>
  <si>
    <t># of End Connection Bolts          (Top)</t>
  </si>
  <si>
    <r>
      <t xml:space="preserve">End Connection Bolt Spacing (in) </t>
    </r>
    <r>
      <rPr>
        <sz val="10"/>
        <color theme="0"/>
        <rFont val="Arial"/>
        <family val="2"/>
      </rPr>
      <t>(T)</t>
    </r>
  </si>
  <si>
    <r>
      <t xml:space="preserve">End Connection Edge Distance (in) </t>
    </r>
    <r>
      <rPr>
        <sz val="10"/>
        <color theme="0"/>
        <rFont val="Arial"/>
        <family val="2"/>
      </rPr>
      <t>(T)</t>
    </r>
  </si>
  <si>
    <t>Top Lc,e</t>
  </si>
  <si>
    <t>Top Lc,i</t>
  </si>
  <si>
    <t>Top Le (Rev. F)</t>
  </si>
  <si>
    <t>Top Li (Rev. F)</t>
  </si>
  <si>
    <t>Top Connected to Flange/Base Plate?</t>
  </si>
  <si>
    <t>Top Weld Grade (ksi)</t>
  </si>
  <si>
    <t>Top Transverse (Horizontal) Weld</t>
  </si>
  <si>
    <t>Top Transverse Weld Length</t>
  </si>
  <si>
    <t>Top Transverse Weld Groove Depth (in)</t>
  </si>
  <si>
    <t>Top Transverse Weld Groove Angle (degrees)</t>
  </si>
  <si>
    <t>Top Transverse Weld Fillet Size (in)</t>
  </si>
  <si>
    <t>Top Transverse Weld Effective Throat</t>
  </si>
  <si>
    <t>Top Longitudinal (Vertical) Weld</t>
  </si>
  <si>
    <t>Top Longitudinal Weld Length</t>
  </si>
  <si>
    <t>Top Longitudinal Weld Fillet Size (in)</t>
  </si>
  <si>
    <t>Top Longitudinal Weld Effective Throat</t>
  </si>
  <si>
    <t>Connection Length (in) [Channels]</t>
  </si>
  <si>
    <t>Bottom Connection Length + Edge Dist (in)</t>
  </si>
  <si>
    <t>Top Connection Length + Edge Dist (in)</t>
  </si>
  <si>
    <t>Effective B (in)</t>
  </si>
  <si>
    <t>Effective H (in)</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</si>
  <si>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</si>
  <si>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</si>
  <si>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r>
      <t>C</t>
    </r>
    <r>
      <rPr>
        <vertAlign val="subscript"/>
        <sz val="12"/>
        <rFont val="Arial"/>
        <family val="2"/>
      </rPr>
      <t>c</t>
    </r>
  </si>
  <si>
    <r>
      <t>F</t>
    </r>
    <r>
      <rPr>
        <vertAlign val="subscript"/>
        <sz val="12"/>
        <rFont val="Arial"/>
        <family val="2"/>
      </rPr>
      <t>ax</t>
    </r>
  </si>
  <si>
    <r>
      <t>F</t>
    </r>
    <r>
      <rPr>
        <vertAlign val="subscript"/>
        <sz val="12"/>
        <rFont val="Arial"/>
        <family val="2"/>
      </rPr>
      <t>ay</t>
    </r>
  </si>
  <si>
    <r>
      <t>λ</t>
    </r>
    <r>
      <rPr>
        <vertAlign val="subscript"/>
        <sz val="12"/>
        <rFont val="Calibri"/>
        <family val="2"/>
      </rPr>
      <t>cx</t>
    </r>
  </si>
  <si>
    <r>
      <t>λ</t>
    </r>
    <r>
      <rPr>
        <vertAlign val="subscript"/>
        <sz val="12"/>
        <rFont val="Calibri"/>
        <family val="2"/>
      </rPr>
      <t>cy</t>
    </r>
  </si>
  <si>
    <r>
      <t>F</t>
    </r>
    <r>
      <rPr>
        <vertAlign val="subscript"/>
        <sz val="12"/>
        <rFont val="Arial"/>
        <family val="2"/>
      </rPr>
      <t>cr,x</t>
    </r>
  </si>
  <si>
    <r>
      <t>F</t>
    </r>
    <r>
      <rPr>
        <vertAlign val="subscript"/>
        <sz val="12"/>
        <rFont val="Arial"/>
        <family val="2"/>
      </rPr>
      <t>cr,y</t>
    </r>
  </si>
  <si>
    <r>
      <rPr>
        <sz val="12"/>
        <rFont val="Arial"/>
        <family val="2"/>
      </rPr>
      <t>F'</t>
    </r>
    <r>
      <rPr>
        <vertAlign val="subscript"/>
        <sz val="12"/>
        <rFont val="Arial"/>
        <family val="2"/>
      </rPr>
      <t>y</t>
    </r>
  </si>
  <si>
    <t>Rev. F Compression Capacity x-x (kips)</t>
  </si>
  <si>
    <t>Rev. F Compression Capacity y-y (kips)</t>
  </si>
  <si>
    <t>Rev. F Tension Yield Capacity (kips)</t>
  </si>
  <si>
    <t>Rev. F Tension Rupture Capacity (kips)</t>
  </si>
  <si>
    <t>Rev. F Shear Capacity (kips)</t>
  </si>
  <si>
    <t>Rev. F Bolt Shear Capacity (Bottom)   (kips)</t>
  </si>
  <si>
    <t>Rev. F Bolt Shear Capacity   (Top)        (kips)</t>
  </si>
  <si>
    <t>Rev. F Bolt-Shaft Bearing Capacity (Bottom)                No Deformation (*t*Fu kips)</t>
  </si>
  <si>
    <t>Rev. F Bolt-Shaft Bearing Capacity (Bottom) Deformation (*t*Fu kips)</t>
  </si>
  <si>
    <t>Rev. F Bolt-Shaft Bearing Capacity (Top)                       No Deformation (*t*Fu kips)</t>
  </si>
  <si>
    <t>Rev. F Bolt-Shaft Bearing Capacity (Top)                        Deformation (*t*Fu kips)</t>
  </si>
  <si>
    <t>Rev. F Bolt-Reinf. Bearing Capacity (Bottom)            No Deformation (kips)</t>
  </si>
  <si>
    <t>Rev. F Bolt-Reinf. Bearing Capacity (Bottom)               Deformation (kips)</t>
  </si>
  <si>
    <t>Rev. F Bolt-Reinf. Bearing Capacity (Top)                  No Deformation (kips)</t>
  </si>
  <si>
    <t>Rev. F Bolt-Reinf. Bearing Capacity (Top)               Deformation (kips)</t>
  </si>
  <si>
    <t>Rev. F Bottom Transverse Weld Strength</t>
  </si>
  <si>
    <t>Rev. F Bottom Longitudinal Weld Strength</t>
  </si>
  <si>
    <t>Rev. F Top Transverse Weld Strength</t>
  </si>
  <si>
    <t>Rev. F Top Longitudinal Weld Strength</t>
  </si>
  <si>
    <t>Rev. G Compression Capacity x-x (kips)</t>
  </si>
  <si>
    <t>Rev. G Compression Capacity y-y (kips)</t>
  </si>
  <si>
    <t>Rev. G Tension Yield Capacity (kips)</t>
  </si>
  <si>
    <t>Rev. G Tension Rupture Capacity (kips)</t>
  </si>
  <si>
    <t>Rev. G Shear Capacity (kips)</t>
  </si>
  <si>
    <t>Rev. G Bolt Shear Capacity (Bottom) (kips)</t>
  </si>
  <si>
    <t>Rev. G Bolt Shear Capacity (Top)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</si>
  <si>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</si>
  <si>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</si>
  <si>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</si>
  <si>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</si>
  <si>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Rev. G Bolt-Reinf. Bearing Capacity (Bottom)            No Deformation (kips)</t>
  </si>
  <si>
    <t>Rev. G Bolt-Reinf. Bearing Capacity (Bottom)               Deformation (kips)</t>
  </si>
  <si>
    <t>Rev. G Bolt-Reinf. Bearing Capacity (Top)                  No Deformation (kips)</t>
  </si>
  <si>
    <t>Rev. G Bolt-Reinf. Bearing Capacity (Top)               Deformation (kips)</t>
  </si>
  <si>
    <t>Rev. G Bottom Transverse Weld Strength</t>
  </si>
  <si>
    <t>Rev. G Bottom Longitudinal Weld Strength</t>
  </si>
  <si>
    <t>Rev. G Top Transverse Weld Strength</t>
  </si>
  <si>
    <t>Rev. G Top Longitudinal Weld Strength</t>
  </si>
  <si>
    <t>Channel Height, h</t>
  </si>
  <si>
    <t>Channel Flange Width, b</t>
  </si>
  <si>
    <t>Channel inside depth, T</t>
  </si>
  <si>
    <t>Channel web thickness, tw</t>
  </si>
  <si>
    <t>Channel flange thickness, tf</t>
  </si>
  <si>
    <t>λf</t>
  </si>
  <si>
    <r>
      <rPr>
        <sz val="10"/>
        <rFont val="Calibri"/>
        <family val="2"/>
      </rPr>
      <t>λ</t>
    </r>
    <r>
      <rPr>
        <sz val="10"/>
        <rFont val="Arial"/>
        <family val="2"/>
      </rPr>
      <t>w</t>
    </r>
  </si>
  <si>
    <t>E, (ksi)</t>
  </si>
  <si>
    <t>λrf</t>
  </si>
  <si>
    <r>
      <rPr>
        <sz val="10"/>
        <rFont val="Calibri"/>
        <family val="2"/>
      </rPr>
      <t>λ</t>
    </r>
    <r>
      <rPr>
        <sz val="10"/>
        <rFont val="Arial"/>
        <family val="2"/>
      </rPr>
      <t>rw</t>
    </r>
  </si>
  <si>
    <t>Fy, (ksi)</t>
  </si>
  <si>
    <t>Lcx (in)</t>
  </si>
  <si>
    <t>Lcy (in)</t>
  </si>
  <si>
    <t>rx (in)</t>
  </si>
  <si>
    <t>ry (in)</t>
  </si>
  <si>
    <t>Lcx/rx</t>
  </si>
  <si>
    <t>Lcy/ry</t>
  </si>
  <si>
    <t>Fex, FB (ksi)</t>
  </si>
  <si>
    <t>Fey, FB (ksi)</t>
  </si>
  <si>
    <t>Fcr Limit</t>
  </si>
  <si>
    <t>Fcrx (ksi)</t>
  </si>
  <si>
    <t>Fcry (ksi)</t>
  </si>
  <si>
    <t>Pnx, FB (kip)</t>
  </si>
  <si>
    <t>Pny, FB (kip)</t>
  </si>
  <si>
    <t>yo</t>
  </si>
  <si>
    <t>b</t>
  </si>
  <si>
    <t>h</t>
  </si>
  <si>
    <t>t</t>
  </si>
  <si>
    <t>eo</t>
  </si>
  <si>
    <t>x(bar)</t>
  </si>
  <si>
    <t>xo</t>
  </si>
  <si>
    <t>Ix (FTB)</t>
  </si>
  <si>
    <t>Iy (FTB)</t>
  </si>
  <si>
    <t>Ag</t>
  </si>
  <si>
    <t>ro^2(bar)</t>
  </si>
  <si>
    <t>Lz</t>
  </si>
  <si>
    <t>Kz</t>
  </si>
  <si>
    <t>Lcz</t>
  </si>
  <si>
    <t>J</t>
  </si>
  <si>
    <t>H2</t>
  </si>
  <si>
    <t>G</t>
  </si>
  <si>
    <t>Cw</t>
  </si>
  <si>
    <t>Fez</t>
  </si>
  <si>
    <t>Fey</t>
  </si>
  <si>
    <t>Fe (FTB)</t>
  </si>
  <si>
    <t>Fcr(FTB)</t>
  </si>
  <si>
    <t>Fcr</t>
  </si>
  <si>
    <t>c1</t>
  </si>
  <si>
    <t>c2</t>
  </si>
  <si>
    <t>Fel(f)</t>
  </si>
  <si>
    <t>Fel(w)</t>
  </si>
  <si>
    <t>be</t>
  </si>
  <si>
    <t>he</t>
  </si>
  <si>
    <t>Ae</t>
  </si>
  <si>
    <t>Pn</t>
  </si>
  <si>
    <t>Rev. H Compression Capacity x-x (kips)</t>
  </si>
  <si>
    <t>Rev. H Compression Capacity y-y (kips)</t>
  </si>
  <si>
    <t>Rev. H Tension Yield Capacity (kips)</t>
  </si>
  <si>
    <t>Rev. H Tension Rupture Capacity (kips)</t>
  </si>
  <si>
    <t>Rev. H Shear Capacity (kips)</t>
  </si>
  <si>
    <t>Lb(bottom)</t>
  </si>
  <si>
    <t>Rb(bottom)</t>
  </si>
  <si>
    <t>Rev. H Bolt Shear Capacity (Bottom) (kips)</t>
  </si>
  <si>
    <t>Lb(top)</t>
  </si>
  <si>
    <t>Rb(top)</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</si>
  <si>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</si>
  <si>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</si>
  <si>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</si>
  <si>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</si>
  <si>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</si>
  <si>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</si>
  <si>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</si>
  <si>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</si>
  <si>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</si>
  <si>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</si>
  <si>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</si>
  <si>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</si>
  <si>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</si>
  <si>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Reinf ID</t>
  </si>
  <si>
    <t>100FP-040075</t>
  </si>
  <si>
    <t>plate</t>
  </si>
  <si>
    <t>No</t>
  </si>
  <si>
    <t>Bolted</t>
  </si>
  <si>
    <t>PC 8.8 - M20 (100)</t>
  </si>
  <si>
    <t>N</t>
  </si>
  <si>
    <t>Yes</t>
  </si>
  <si>
    <t>100FP-040100</t>
  </si>
  <si>
    <t>100FP-050100</t>
  </si>
  <si>
    <t>100FP-060100</t>
  </si>
  <si>
    <t>100FP-070100</t>
  </si>
  <si>
    <t>100FP-070150</t>
  </si>
  <si>
    <t>100FP-080100</t>
  </si>
  <si>
    <t>100FP-080150</t>
  </si>
  <si>
    <t>100FP-090150</t>
  </si>
  <si>
    <t>100FP-100150</t>
  </si>
  <si>
    <t>CCI-AFP-040075</t>
  </si>
  <si>
    <t>CCI-AFP-040125</t>
  </si>
  <si>
    <t>CCI-AFP-045100</t>
  </si>
  <si>
    <t>CCI-AFP-050125</t>
  </si>
  <si>
    <t>CCI-AFP-060100</t>
  </si>
  <si>
    <t>CCI-AFP-065125</t>
  </si>
  <si>
    <t>CCI-AFP-085125</t>
  </si>
  <si>
    <t>CCI-SFP-040075</t>
  </si>
  <si>
    <t>CCI-SFP-040125</t>
  </si>
  <si>
    <t>CCI-SFP-045100</t>
  </si>
  <si>
    <t>CCI-SFP-050125</t>
  </si>
  <si>
    <t>CCI-SFP-060100</t>
  </si>
  <si>
    <t>CCI-SFP-065125</t>
  </si>
  <si>
    <t>CCI-SFP-085125</t>
  </si>
  <si>
    <t>CCI-WAFP-040075</t>
  </si>
  <si>
    <t>Welded</t>
  </si>
  <si>
    <t>CJP Groove</t>
  </si>
  <si>
    <t>None</t>
  </si>
  <si>
    <t>CCI-WAFP-040125</t>
  </si>
  <si>
    <t>CCI-WAFP-045100</t>
  </si>
  <si>
    <t>CCI-WAFP-050125</t>
  </si>
  <si>
    <t>CCI-WAFP-060100</t>
  </si>
  <si>
    <t>CCI-WAFP-065125</t>
  </si>
  <si>
    <t>CCI-WAFP-085125</t>
  </si>
  <si>
    <t>CCI-WSFP-040075</t>
  </si>
  <si>
    <t>CCI-WSFP-040125</t>
  </si>
  <si>
    <t>CCI-WSFP-045100</t>
  </si>
  <si>
    <t>CCI-WSFP-050125</t>
  </si>
  <si>
    <t>CCI-WSFP-060100</t>
  </si>
  <si>
    <t>CCI-WSFP-065125</t>
  </si>
  <si>
    <t>CCI-WSFP-085125</t>
  </si>
  <si>
    <t>MP3-03 (1.1875in)</t>
  </si>
  <si>
    <t>channel</t>
  </si>
  <si>
    <t>MP3-03 (1.25in)</t>
  </si>
  <si>
    <t>MP3-04 (1.1875in)</t>
  </si>
  <si>
    <t>MP3-04 (1.25in)</t>
  </si>
  <si>
    <t>MP3-05 (1.1875in)</t>
  </si>
  <si>
    <t>MP3-05 (1.25in)</t>
  </si>
  <si>
    <t>MP3-06 (1.1875in)</t>
  </si>
  <si>
    <t>MP3-06 (1.25in)</t>
  </si>
  <si>
    <t>MP3-08 (1.1875in)</t>
  </si>
  <si>
    <t>MP3-08 (1.25in)</t>
  </si>
  <si>
    <t>MS-400 (1.1875")</t>
  </si>
  <si>
    <t>MS-400 (1.25")</t>
  </si>
  <si>
    <t>MS-450 (1.1875")</t>
  </si>
  <si>
    <t>MS-450 (1.25")</t>
  </si>
  <si>
    <t>MS-600 (1.1875")</t>
  </si>
  <si>
    <t>MS-600 (1.25")</t>
  </si>
  <si>
    <t>MS-650 (1.1875")</t>
  </si>
  <si>
    <t>MS-650 (1.25")</t>
  </si>
  <si>
    <t>MS-850 (1.1875")</t>
  </si>
  <si>
    <t>MS-850 (1.25")</t>
  </si>
  <si>
    <t>Bolt Name</t>
  </si>
  <si>
    <t>Bolt Diameter (in)</t>
  </si>
  <si>
    <t>Bolt Diameter (mm)</t>
  </si>
  <si>
    <t>Area of Bolt (in2)</t>
  </si>
  <si>
    <t>Bolt Fu (ksi)</t>
  </si>
  <si>
    <t>Sleeve Outer Diameter (in)</t>
  </si>
  <si>
    <t>Sleeve Inner Diameter (in)</t>
  </si>
  <si>
    <t>Sleeve Area (in2)</t>
  </si>
  <si>
    <t>Sleeve Fu (ksi)</t>
  </si>
  <si>
    <r>
      <t>Rev. F F</t>
    </r>
    <r>
      <rPr>
        <vertAlign val="subscript"/>
        <sz val="10"/>
        <rFont val="Arial"/>
        <family val="2"/>
      </rPr>
      <t>VN</t>
    </r>
  </si>
  <si>
    <r>
      <t>Rev. F F</t>
    </r>
    <r>
      <rPr>
        <vertAlign val="subscript"/>
        <sz val="10"/>
        <rFont val="Arial"/>
        <family val="2"/>
      </rPr>
      <t>VX</t>
    </r>
  </si>
  <si>
    <r>
      <t>Rev. F R</t>
    </r>
    <r>
      <rPr>
        <vertAlign val="subscript"/>
        <sz val="10"/>
        <rFont val="Arial"/>
        <family val="2"/>
      </rPr>
      <t>N</t>
    </r>
  </si>
  <si>
    <r>
      <t>Rev. F R</t>
    </r>
    <r>
      <rPr>
        <vertAlign val="subscript"/>
        <sz val="10"/>
        <rFont val="Arial"/>
        <family val="2"/>
      </rPr>
      <t>X</t>
    </r>
  </si>
  <si>
    <r>
      <t>Rev. F Sleeve F</t>
    </r>
    <r>
      <rPr>
        <vertAlign val="subscript"/>
        <sz val="10"/>
        <rFont val="Arial"/>
        <family val="2"/>
      </rPr>
      <t>VX</t>
    </r>
  </si>
  <si>
    <r>
      <t>Rev. F Sleeve R</t>
    </r>
    <r>
      <rPr>
        <vertAlign val="subscript"/>
        <sz val="10"/>
        <rFont val="Arial"/>
        <family val="2"/>
      </rPr>
      <t>N</t>
    </r>
  </si>
  <si>
    <r>
      <t>Rev. G F</t>
    </r>
    <r>
      <rPr>
        <vertAlign val="subscript"/>
        <sz val="10"/>
        <rFont val="Arial"/>
        <family val="2"/>
      </rPr>
      <t>NVN</t>
    </r>
  </si>
  <si>
    <r>
      <t>Rev. G F</t>
    </r>
    <r>
      <rPr>
        <vertAlign val="subscript"/>
        <sz val="10"/>
        <rFont val="Arial"/>
        <family val="2"/>
      </rPr>
      <t>NVX</t>
    </r>
  </si>
  <si>
    <r>
      <t>Rev. G ΦR</t>
    </r>
    <r>
      <rPr>
        <vertAlign val="subscript"/>
        <sz val="10"/>
        <rFont val="Arial"/>
        <family val="2"/>
      </rPr>
      <t>NN</t>
    </r>
  </si>
  <si>
    <r>
      <t>Rev. G ΦR</t>
    </r>
    <r>
      <rPr>
        <vertAlign val="subscript"/>
        <sz val="10"/>
        <rFont val="Arial"/>
        <family val="2"/>
      </rPr>
      <t>NX</t>
    </r>
  </si>
  <si>
    <r>
      <t>Rev. G Sleeve F</t>
    </r>
    <r>
      <rPr>
        <vertAlign val="subscript"/>
        <sz val="10"/>
        <rFont val="Arial"/>
        <family val="2"/>
      </rPr>
      <t>NVX</t>
    </r>
  </si>
  <si>
    <r>
      <t>Rev. G Sleeve ΦR</t>
    </r>
    <r>
      <rPr>
        <vertAlign val="subscript"/>
        <sz val="10"/>
        <rFont val="Arial"/>
        <family val="2"/>
      </rPr>
      <t>NX</t>
    </r>
  </si>
  <si>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</si>
  <si>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</si>
  <si>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</si>
  <si>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</si>
  <si>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</si>
  <si>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</si>
  <si>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F Bolt (N) + Sleeve Shear Capacity</t>
  </si>
  <si>
    <t>Rev. F Bolt (X) + Sleeve Shear Capacity</t>
  </si>
  <si>
    <t>Rev. G Bolt (N) + Sleeve Shear Capacity</t>
  </si>
  <si>
    <t>Rev. G Bolt (X) + Sleeve Shear Capacity</t>
  </si>
  <si>
    <t>Rev. H Bolt (N) Capacity</t>
  </si>
  <si>
    <t>Rev. H Bolt (X) Capacity</t>
  </si>
  <si>
    <t>Rev. H Shear Sleeve Capacity</t>
  </si>
  <si>
    <t>Rev. H Bolt (N) + Sleeve Shear Capacity</t>
  </si>
  <si>
    <t>Rev. H Bolt (X) + Sleeve Shear Capacity</t>
  </si>
  <si>
    <t>Rev. H Apply Connection Length Reduction Factor (Rb)?</t>
  </si>
  <si>
    <t>Bolt ID</t>
  </si>
  <si>
    <t>-</t>
  </si>
  <si>
    <t>Legacy AJAX 20mm bolt with Aero 100 ksi sleeve</t>
  </si>
  <si>
    <t>PC 8.8 - M20 (120)</t>
  </si>
  <si>
    <t>Legacy AJAX 20mm bolt with Aero 120 ksi sleeve</t>
  </si>
  <si>
    <t>AJAX - M20 x 2.5</t>
  </si>
  <si>
    <t>New AJAX 20mm per ENG-STD-10183</t>
  </si>
  <si>
    <t>AJAX - M20 x 2.5 (Hi Shear Sleeve)</t>
  </si>
  <si>
    <t>New AJAX 20mm with "Hi Shear" Sleeve per ENG-STD-10183</t>
  </si>
  <si>
    <t>NexGen2 - M20</t>
  </si>
  <si>
    <t>NexGen2 20mm PC8.8 bolt</t>
  </si>
  <si>
    <t>FORGBolt - M20 (A)</t>
  </si>
  <si>
    <t>FORGBolt (Group A) 22mm PC8.8 bolt</t>
  </si>
  <si>
    <t>FORGBolt - M20 (B)</t>
  </si>
  <si>
    <t>FORGBolt (Group B) 22mm PC10.9 bolt</t>
  </si>
  <si>
    <t>Huck BOM Bolt - 5/8"</t>
  </si>
  <si>
    <t>Huck BOM 5/8" dia per ENG-STD-10183</t>
  </si>
  <si>
    <t>BoxBolt - 5/8"</t>
  </si>
  <si>
    <t>BoxBolt 5/8" dia per ENG-STD-10183</t>
  </si>
  <si>
    <t>Hollo Bolt  - 5/8"</t>
  </si>
  <si>
    <t>Hollo Bolt 5/8" dia per ENG-STD-10183</t>
  </si>
  <si>
    <t>21</t>
  </si>
  <si>
    <t>30</t>
  </si>
  <si>
    <t>Notes:</t>
  </si>
  <si>
    <t xml:space="preserve">         The capacities of bolts with manufacturer-specified working loads can be manually entered in any of the seven rightmost columns, as necessary.  Rev. F capacities should not include the allowable stress increase factor.</t>
  </si>
  <si>
    <t xml:space="preserve">         Other than the bolt capacity, the only other required input is the "Sleeve Outer Diameter," which is necessary for bolt bearing calculations.</t>
  </si>
  <si>
    <r>
      <rPr>
        <sz val="10"/>
        <rFont val="Arial"/>
        <family val="2"/>
      </rPr>
      <t xml:space="preserve">         See </t>
    </r>
    <r>
      <rPr>
        <u/>
        <sz val="10"/>
        <color theme="10"/>
        <rFont val="Arial"/>
        <family val="2"/>
      </rPr>
      <t>ENG-STD-10183</t>
    </r>
    <r>
      <rPr>
        <sz val="10"/>
        <rFont val="Arial"/>
        <family val="2"/>
      </rPr>
      <t xml:space="preserve"> for further information</t>
    </r>
  </si>
  <si>
    <t>Calculations</t>
  </si>
  <si>
    <t>Input Data</t>
  </si>
  <si>
    <t>---------------- for testing purposes ---------------</t>
  </si>
  <si>
    <t>Rotation (degrees)</t>
  </si>
  <si>
    <t>Axial</t>
  </si>
  <si>
    <t>Bending</t>
  </si>
  <si>
    <t>Shear</t>
  </si>
  <si>
    <t>Tower</t>
  </si>
  <si>
    <t>Reinf</t>
  </si>
  <si>
    <r>
      <t>f</t>
    </r>
    <r>
      <rPr>
        <vertAlign val="subscript"/>
        <sz val="11"/>
        <rFont val="Calibri"/>
        <family val="2"/>
      </rPr>
      <t>y</t>
    </r>
    <r>
      <rPr>
        <sz val="11"/>
        <rFont val="Calibri"/>
        <family val="2"/>
      </rPr>
      <t xml:space="preserve"> pole (ksi)</t>
    </r>
  </si>
  <si>
    <t>sub elements</t>
  </si>
  <si>
    <r>
      <t>f</t>
    </r>
    <r>
      <rPr>
        <vertAlign val="subscript"/>
        <sz val="11"/>
        <rFont val="Calibri"/>
        <family val="2"/>
      </rPr>
      <t>u</t>
    </r>
    <r>
      <rPr>
        <sz val="11"/>
        <rFont val="Calibri"/>
        <family val="2"/>
      </rPr>
      <t xml:space="preserve"> pole (ksi)</t>
    </r>
  </si>
  <si>
    <r>
      <t>P</t>
    </r>
    <r>
      <rPr>
        <vertAlign val="subscript"/>
        <sz val="11"/>
        <rFont val="Calibri"/>
        <family val="2"/>
      </rPr>
      <t xml:space="preserve">u </t>
    </r>
  </si>
  <si>
    <r>
      <t>V</t>
    </r>
    <r>
      <rPr>
        <vertAlign val="subscript"/>
        <sz val="11"/>
        <rFont val="Calibri"/>
        <family val="2"/>
      </rPr>
      <t xml:space="preserve">u </t>
    </r>
  </si>
  <si>
    <t>elements</t>
  </si>
  <si>
    <t># of sides</t>
  </si>
  <si>
    <r>
      <t>φP</t>
    </r>
    <r>
      <rPr>
        <vertAlign val="subscript"/>
        <sz val="11"/>
        <rFont val="Calibri"/>
        <family val="2"/>
      </rPr>
      <t>n</t>
    </r>
  </si>
  <si>
    <r>
      <t>φV</t>
    </r>
    <r>
      <rPr>
        <vertAlign val="subscript"/>
        <sz val="11"/>
        <rFont val="Calibri"/>
        <family val="2"/>
      </rPr>
      <t>n</t>
    </r>
  </si>
  <si>
    <t>S*f'y</t>
  </si>
  <si>
    <t>Outer Diameter (in)</t>
  </si>
  <si>
    <t>Thickness (in)</t>
  </si>
  <si>
    <r>
      <t>P</t>
    </r>
    <r>
      <rPr>
        <vertAlign val="subscript"/>
        <sz val="11"/>
        <rFont val="Calibri"/>
        <family val="2"/>
      </rPr>
      <t>u</t>
    </r>
    <r>
      <rPr>
        <sz val="11"/>
        <rFont val="Calibri"/>
        <family val="2"/>
      </rPr>
      <t xml:space="preserve"> (kips)</t>
    </r>
  </si>
  <si>
    <t>Interaction:</t>
  </si>
  <si>
    <t xml:space="preserve">Critical Element:  </t>
  </si>
  <si>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</si>
  <si>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</si>
  <si>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</si>
  <si>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t>(for welded connection checks)</t>
  </si>
  <si>
    <t>Rev. F</t>
  </si>
  <si>
    <t>Rev. G/H</t>
  </si>
  <si>
    <t>Rev. G Table 4-8 (Add. 2) /Rev. H Table 4-8</t>
  </si>
  <si>
    <t>max stress (total section)</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</si>
  <si>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</si>
  <si>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</si>
  <si>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t>Rev. G Table 4-8</t>
  </si>
  <si>
    <t>Max Pole Stress</t>
  </si>
  <si>
    <r>
      <t>∆</t>
    </r>
    <r>
      <rPr>
        <sz val="14"/>
        <rFont val="Arial"/>
        <family val="2"/>
      </rPr>
      <t>Y</t>
    </r>
    <r>
      <rPr>
        <vertAlign val="subscript"/>
        <sz val="14"/>
        <rFont val="Arial"/>
        <family val="2"/>
      </rPr>
      <t>c</t>
    </r>
    <r>
      <rPr>
        <sz val="14"/>
        <rFont val="Arial"/>
        <family val="2"/>
      </rPr>
      <t xml:space="preserve"> =</t>
    </r>
  </si>
  <si>
    <t>geometric</t>
  </si>
  <si>
    <r>
      <t>f</t>
    </r>
    <r>
      <rPr>
        <vertAlign val="subscript"/>
        <sz val="11"/>
        <rFont val="Calibri"/>
        <family val="2"/>
      </rPr>
      <t>B</t>
    </r>
  </si>
  <si>
    <r>
      <t>f'</t>
    </r>
    <r>
      <rPr>
        <b/>
        <vertAlign val="subscript"/>
        <sz val="11"/>
        <rFont val="Calibri"/>
        <family val="2"/>
      </rPr>
      <t>y</t>
    </r>
    <r>
      <rPr>
        <b/>
        <sz val="11"/>
        <rFont val="Calibri"/>
        <family val="2"/>
      </rPr>
      <t xml:space="preserve"> (pole only)</t>
    </r>
  </si>
  <si>
    <t># of Sides</t>
  </si>
  <si>
    <r>
      <t>f'</t>
    </r>
    <r>
      <rPr>
        <vertAlign val="subscript"/>
        <sz val="11"/>
        <rFont val="Calibri"/>
        <family val="2"/>
      </rPr>
      <t>y</t>
    </r>
  </si>
  <si>
    <t>Max Reinf. Stress</t>
  </si>
  <si>
    <r>
      <t>∆</t>
    </r>
    <r>
      <rPr>
        <sz val="14"/>
        <rFont val="Arial"/>
        <family val="2"/>
      </rPr>
      <t>Y</t>
    </r>
    <r>
      <rPr>
        <vertAlign val="subscript"/>
        <sz val="14"/>
        <rFont val="Arial"/>
        <family val="2"/>
      </rPr>
      <t>NA</t>
    </r>
    <r>
      <rPr>
        <sz val="14"/>
        <rFont val="Arial"/>
        <family val="2"/>
      </rPr>
      <t xml:space="preserve"> =</t>
    </r>
  </si>
  <si>
    <t>forces</t>
  </si>
  <si>
    <r>
      <t>F</t>
    </r>
    <r>
      <rPr>
        <vertAlign val="subscript"/>
        <sz val="11"/>
        <rFont val="Calibri"/>
        <family val="2"/>
      </rPr>
      <t>B</t>
    </r>
  </si>
  <si>
    <r>
      <t>f'</t>
    </r>
    <r>
      <rPr>
        <vertAlign val="subscript"/>
        <sz val="11"/>
        <rFont val="Calibri"/>
        <family val="2"/>
      </rPr>
      <t>y</t>
    </r>
    <r>
      <rPr>
        <sz val="11"/>
        <rFont val="Calibri"/>
        <family val="2"/>
      </rPr>
      <t xml:space="preserve"> (limited to elastic)</t>
    </r>
  </si>
  <si>
    <r>
      <rPr>
        <sz val="11"/>
        <rFont val="Calibri"/>
        <family val="2"/>
      </rPr>
      <t>∆</t>
    </r>
    <r>
      <rPr>
        <sz val="11"/>
        <rFont val="Arial"/>
        <family val="2"/>
      </rPr>
      <t>θ</t>
    </r>
  </si>
  <si>
    <r>
      <t>∆</t>
    </r>
    <r>
      <rPr>
        <sz val="14"/>
        <rFont val="Arial"/>
        <family val="2"/>
      </rPr>
      <t>Y</t>
    </r>
    <r>
      <rPr>
        <vertAlign val="subscript"/>
        <sz val="14"/>
        <rFont val="Arial"/>
        <family val="2"/>
      </rPr>
      <t>NA</t>
    </r>
    <r>
      <rPr>
        <sz val="14"/>
        <rFont val="Arial"/>
        <family val="2"/>
      </rPr>
      <t xml:space="preserve"> - ∆Yc =</t>
    </r>
  </si>
  <si>
    <r>
      <t>f'</t>
    </r>
    <r>
      <rPr>
        <vertAlign val="subscript"/>
        <sz val="11"/>
        <rFont val="Calibri"/>
        <family val="2"/>
      </rPr>
      <t>y</t>
    </r>
    <r>
      <rPr>
        <sz val="11"/>
        <rFont val="Calibri"/>
        <family val="2"/>
      </rPr>
      <t xml:space="preserve"> (plastic permitted)</t>
    </r>
  </si>
  <si>
    <t>OR</t>
  </si>
  <si>
    <t>Rev. F Table 5</t>
  </si>
  <si>
    <r>
      <t>f'</t>
    </r>
    <r>
      <rPr>
        <b/>
        <vertAlign val="subscript"/>
        <sz val="11"/>
        <rFont val="Calibri"/>
        <family val="2"/>
      </rPr>
      <t>y</t>
    </r>
    <r>
      <rPr>
        <b/>
        <sz val="11"/>
        <rFont val="Calibri"/>
        <family val="2"/>
      </rPr>
      <t xml:space="preserve"> reinforcements</t>
    </r>
  </si>
  <si>
    <t>case 1</t>
  </si>
  <si>
    <t>center of side</t>
  </si>
  <si>
    <t>case 2</t>
  </si>
  <si>
    <t>inside of side</t>
  </si>
  <si>
    <t>∑F =</t>
  </si>
  <si>
    <t>Compact</t>
  </si>
  <si>
    <t>case 3</t>
  </si>
  <si>
    <t>flat width center</t>
  </si>
  <si>
    <r>
      <t>8</t>
    </r>
    <r>
      <rPr>
        <sz val="11"/>
        <rFont val="Calibri"/>
        <family val="2"/>
      </rPr>
      <t>→18</t>
    </r>
  </si>
  <si>
    <t>y plastic</t>
  </si>
  <si>
    <t>case 4</t>
  </si>
  <si>
    <t>flat width inside</t>
  </si>
  <si>
    <t>c (total)</t>
  </si>
  <si>
    <t>Noncompact</t>
  </si>
  <si>
    <t>Round Pole</t>
  </si>
  <si>
    <t>c (pole)</t>
  </si>
  <si>
    <t>Apply Rev. H Section 15.5:</t>
  </si>
  <si>
    <t>D/t</t>
  </si>
  <si>
    <t>c (reinforcements)</t>
  </si>
  <si>
    <t>E/fy</t>
  </si>
  <si>
    <r>
      <t>M</t>
    </r>
    <r>
      <rPr>
        <vertAlign val="subscript"/>
        <sz val="11"/>
        <rFont val="Calibri"/>
        <family val="2"/>
        <scheme val="minor"/>
      </rPr>
      <t>u</t>
    </r>
  </si>
  <si>
    <t>Rev. H Pole Shear</t>
  </si>
  <si>
    <t>y2</t>
  </si>
  <si>
    <t>c</t>
  </si>
  <si>
    <t>F</t>
  </si>
  <si>
    <t>theta</t>
  </si>
  <si>
    <t>Slope of stress plot</t>
  </si>
  <si>
    <t>Z</t>
  </si>
  <si>
    <r>
      <t>φM</t>
    </r>
    <r>
      <rPr>
        <vertAlign val="subscript"/>
        <sz val="11"/>
        <rFont val="Calibri"/>
        <family val="2"/>
      </rPr>
      <t>n</t>
    </r>
  </si>
  <si>
    <r>
      <t>F</t>
    </r>
    <r>
      <rPr>
        <vertAlign val="subscript"/>
        <sz val="10"/>
        <rFont val="Arial"/>
        <family val="2"/>
      </rPr>
      <t>nv1</t>
    </r>
  </si>
  <si>
    <t>flat width (w/ bend)</t>
  </si>
  <si>
    <t>Load Z Normalization:</t>
  </si>
  <si>
    <t>S</t>
  </si>
  <si>
    <r>
      <t>F</t>
    </r>
    <r>
      <rPr>
        <vertAlign val="subscript"/>
        <sz val="10"/>
        <rFont val="Arial"/>
        <family val="2"/>
      </rPr>
      <t>nv2</t>
    </r>
  </si>
  <si>
    <t>y(plastic)</t>
  </si>
  <si>
    <t>Mn (plastic permitted)</t>
  </si>
  <si>
    <r>
      <t>F</t>
    </r>
    <r>
      <rPr>
        <vertAlign val="subscript"/>
        <sz val="10"/>
        <rFont val="Arial"/>
        <family val="2"/>
      </rPr>
      <t>nv</t>
    </r>
  </si>
  <si>
    <r>
      <t>I</t>
    </r>
    <r>
      <rPr>
        <vertAlign val="subscript"/>
        <sz val="14"/>
        <rFont val="Calibri"/>
        <family val="2"/>
      </rPr>
      <t>total</t>
    </r>
  </si>
  <si>
    <t>Mn (limited to elastic)</t>
  </si>
  <si>
    <t>E or P</t>
  </si>
  <si>
    <t>Elastic</t>
  </si>
  <si>
    <r>
      <t>I</t>
    </r>
    <r>
      <rPr>
        <vertAlign val="subscript"/>
        <sz val="14"/>
        <rFont val="Calibri"/>
        <family val="2"/>
      </rPr>
      <t>pole</t>
    </r>
  </si>
  <si>
    <t>f'y bending</t>
  </si>
  <si>
    <r>
      <t>A</t>
    </r>
    <r>
      <rPr>
        <vertAlign val="subscript"/>
        <sz val="14"/>
        <rFont val="Calibri"/>
        <family val="2"/>
      </rPr>
      <t>total</t>
    </r>
  </si>
  <si>
    <t>f'y compression</t>
  </si>
  <si>
    <t>Mpole</t>
  </si>
  <si>
    <r>
      <t>A</t>
    </r>
    <r>
      <rPr>
        <vertAlign val="subscript"/>
        <sz val="14"/>
        <rFont val="Calibri"/>
        <family val="2"/>
      </rPr>
      <t>pole</t>
    </r>
  </si>
  <si>
    <t>Reduced Mn for reinf. controlling</t>
  </si>
  <si>
    <t>Target</t>
  </si>
  <si>
    <r>
      <rPr>
        <sz val="11"/>
        <rFont val="Calibri"/>
        <family val="2"/>
      </rPr>
      <t>∆</t>
    </r>
    <r>
      <rPr>
        <sz val="10"/>
        <rFont val="Arial"/>
        <family val="2"/>
      </rPr>
      <t>Y</t>
    </r>
    <r>
      <rPr>
        <vertAlign val="subscript"/>
        <sz val="10"/>
        <rFont val="Arial"/>
        <family val="2"/>
      </rPr>
      <t>N.A.</t>
    </r>
  </si>
  <si>
    <t>Mc/I</t>
  </si>
  <si>
    <r>
      <t>I</t>
    </r>
    <r>
      <rPr>
        <vertAlign val="subscript"/>
        <sz val="11"/>
        <rFont val="Calibri"/>
        <family val="2"/>
        <scheme val="minor"/>
      </rPr>
      <t>unreinforced pole</t>
    </r>
  </si>
  <si>
    <t>NOT USED: SEE SUB-ELEMENTS -&gt;</t>
  </si>
  <si>
    <t>Moment of Inertia</t>
  </si>
  <si>
    <t>Geometric Layout of Elements</t>
  </si>
  <si>
    <t>for correct c (non-rectangular reinforcement)</t>
  </si>
  <si>
    <t>Bolts</t>
  </si>
  <si>
    <t>Welded Connection</t>
  </si>
  <si>
    <t>Connection Capacity Input</t>
  </si>
  <si>
    <t>Compression</t>
  </si>
  <si>
    <t>Shear Capacity</t>
  </si>
  <si>
    <t>Tensile Capacity</t>
  </si>
  <si>
    <t>f'y</t>
  </si>
  <si>
    <t>Controlling</t>
  </si>
  <si>
    <r>
      <t>y</t>
    </r>
    <r>
      <rPr>
        <vertAlign val="subscript"/>
        <sz val="11"/>
        <rFont val="Calibri"/>
        <family val="2"/>
        <scheme val="minor"/>
      </rPr>
      <t>p</t>
    </r>
    <r>
      <rPr>
        <sz val="11"/>
        <rFont val="Calibri"/>
        <family val="2"/>
        <scheme val="minor"/>
      </rPr>
      <t xml:space="preserve"> Reinf.</t>
    </r>
  </si>
  <si>
    <t>Max Slope Stress Plot</t>
  </si>
  <si>
    <t>Component Stress Ratio</t>
  </si>
  <si>
    <t>Total Forces in Elements and Resultant Moments</t>
  </si>
  <si>
    <t>Total Forces in Sub-elements and Resultant Moments</t>
  </si>
  <si>
    <t>FLAT</t>
  </si>
  <si>
    <t>rotation</t>
  </si>
  <si>
    <r>
      <t>Δ(</t>
    </r>
    <r>
      <rPr>
        <sz val="11"/>
        <rFont val="Arial"/>
        <family val="2"/>
      </rPr>
      <t>θ to y-axis)</t>
    </r>
  </si>
  <si>
    <t>Area</t>
  </si>
  <si>
    <t>d(y0)</t>
  </si>
  <si>
    <t>A*d0</t>
  </si>
  <si>
    <t>d(yc)</t>
  </si>
  <si>
    <t>Ixc</t>
  </si>
  <si>
    <t>Iyc</t>
  </si>
  <si>
    <t>Ic</t>
  </si>
  <si>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</si>
  <si>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</si>
  <si>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</si>
  <si>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</si>
  <si>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</si>
  <si>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</si>
  <si>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t>Bolt Shear</t>
  </si>
  <si>
    <t>Bolt Bearing - Shaft</t>
  </si>
  <si>
    <t>Bolt Bearing - Reinf</t>
  </si>
  <si>
    <t>Transverse</t>
  </si>
  <si>
    <t>Longitudinal</t>
  </si>
  <si>
    <t>Fillet Weld Group?</t>
  </si>
  <si>
    <t>Axial Capacity</t>
  </si>
  <si>
    <t>Yield</t>
  </si>
  <si>
    <t>Rupture</t>
  </si>
  <si>
    <t>Weld Connection</t>
  </si>
  <si>
    <t>F'y Elastic</t>
  </si>
  <si>
    <t>F'y Comp</t>
  </si>
  <si>
    <t>F'y Tens Y</t>
  </si>
  <si>
    <t>F'y Tens R</t>
  </si>
  <si>
    <t>d(1)</t>
  </si>
  <si>
    <t>d(2)</t>
  </si>
  <si>
    <t>stress (1)</t>
  </si>
  <si>
    <t>stress (2)</t>
  </si>
  <si>
    <t>Force in element</t>
  </si>
  <si>
    <t>Moment arm</t>
  </si>
  <si>
    <t>Moment</t>
  </si>
  <si>
    <t>F1</t>
  </si>
  <si>
    <t>F2</t>
  </si>
  <si>
    <t>F3</t>
  </si>
  <si>
    <t>F4</t>
  </si>
  <si>
    <t>D1</t>
  </si>
  <si>
    <t>D2</t>
  </si>
  <si>
    <t>D3</t>
  </si>
  <si>
    <t>D4</t>
  </si>
  <si>
    <r>
      <t>M</t>
    </r>
    <r>
      <rPr>
        <vertAlign val="subscript"/>
        <sz val="11"/>
        <rFont val="Calibri"/>
        <family val="2"/>
      </rPr>
      <t>n</t>
    </r>
    <r>
      <rPr>
        <sz val="11"/>
        <rFont val="Calibri"/>
        <family val="2"/>
      </rPr>
      <t xml:space="preserve"> Element</t>
    </r>
  </si>
  <si>
    <t>Centroid</t>
  </si>
  <si>
    <t>difference</t>
  </si>
  <si>
    <t>For c only</t>
  </si>
  <si>
    <t>For forces</t>
  </si>
  <si>
    <t>End Connection</t>
  </si>
  <si>
    <t>Bottom Weld</t>
  </si>
  <si>
    <t>Top Weld</t>
  </si>
  <si>
    <t>Channels (dimensions)</t>
  </si>
  <si>
    <t>Reinforcement #</t>
  </si>
  <si>
    <t>Reinforcement Name</t>
  </si>
  <si>
    <t>width</t>
  </si>
  <si>
    <t>thickness</t>
  </si>
  <si>
    <t>y0 (N.A.)</t>
  </si>
  <si>
    <t>A gross</t>
  </si>
  <si>
    <t>A net</t>
  </si>
  <si>
    <t>centroid</t>
  </si>
  <si>
    <t>Equivalent Ix</t>
  </si>
  <si>
    <t>Equivatlent Iy</t>
  </si>
  <si>
    <t>Lu</t>
  </si>
  <si>
    <t>connection length</t>
  </si>
  <si>
    <t>Hole Size (in)</t>
  </si>
  <si>
    <t>Fy</t>
  </si>
  <si>
    <t>Fu</t>
  </si>
  <si>
    <t>Tension Only</t>
  </si>
  <si>
    <t>Bottom?</t>
  </si>
  <si>
    <t>Top?</t>
  </si>
  <si>
    <t>Bottom Trans Weld Length</t>
  </si>
  <si>
    <t>Bottom Trans Weld Type</t>
  </si>
  <si>
    <t>Bottom Long Weld Length</t>
  </si>
  <si>
    <t>Base/Flange Connection?</t>
  </si>
  <si>
    <t>Trans Weld Strength</t>
  </si>
  <si>
    <t>Trans Reinf Strength</t>
  </si>
  <si>
    <t>Trans Base/Flange Strength</t>
  </si>
  <si>
    <t>Trans Pole Strength</t>
  </si>
  <si>
    <t>Long Weld Strength</t>
  </si>
  <si>
    <t>Long Reinf Strength</t>
  </si>
  <si>
    <t>Long Pole Strength</t>
  </si>
  <si>
    <t>Top Trans Weld Length</t>
  </si>
  <si>
    <t>Top Trans Weld Type</t>
  </si>
  <si>
    <t>Top Long Weld Length</t>
  </si>
  <si>
    <t>t_web</t>
  </si>
  <si>
    <t>base/flange grade req'd</t>
  </si>
  <si>
    <t>h_flange</t>
  </si>
  <si>
    <t>t_flange</t>
  </si>
  <si>
    <t>y_bar</t>
  </si>
  <si>
    <t>Area (adjusted for tension only)</t>
  </si>
  <si>
    <t>X</t>
  </si>
  <si>
    <t>SUM =</t>
  </si>
  <si>
    <r>
      <t>Σ(Area</t>
    </r>
    <r>
      <rPr>
        <vertAlign val="subscript"/>
        <sz val="11"/>
        <rFont val="Calibri"/>
        <family val="2"/>
      </rPr>
      <t>i</t>
    </r>
    <r>
      <rPr>
        <sz val="11"/>
        <rFont val="Calibri"/>
        <family val="2"/>
      </rPr>
      <t>) =</t>
    </r>
  </si>
  <si>
    <t>vba</t>
  </si>
  <si>
    <t>^(used in macros)</t>
  </si>
  <si>
    <t>Instructions:  Click "Critical Axis" button to plot stress ratio vs. angle of rotation.</t>
  </si>
  <si>
    <t>Rotation</t>
  </si>
  <si>
    <t>Rating</t>
  </si>
  <si>
    <t>Control Panel</t>
  </si>
  <si>
    <t>Worksheet Visibility</t>
  </si>
  <si>
    <t>Worksheet Protection</t>
  </si>
  <si>
    <t>Logo Settings</t>
  </si>
  <si>
    <t>Additional Outputs</t>
  </si>
  <si>
    <t>Error Handling:</t>
  </si>
  <si>
    <t>Elevations Reversed</t>
  </si>
  <si>
    <t>Number of tower sections</t>
  </si>
  <si>
    <t>Calculations worksheet: Auto input mode</t>
  </si>
  <si>
    <t>Calculations worksheet: Manual input mode</t>
  </si>
  <si>
    <r>
      <t xml:space="preserve">The current step in the "Results" page process </t>
    </r>
    <r>
      <rPr>
        <sz val="11"/>
        <color indexed="8"/>
        <rFont val="Calibri"/>
        <family val="2"/>
      </rPr>
      <t>→</t>
    </r>
  </si>
  <si>
    <t>Back button:</t>
  </si>
  <si>
    <t>Next Button:</t>
  </si>
  <si>
    <t>Current:</t>
  </si>
  <si>
    <t>Number of sections to analyze</t>
  </si>
  <si>
    <t>Results still valid</t>
  </si>
  <si>
    <t>Section is reinforced</t>
  </si>
  <si>
    <t>Check Connections?</t>
  </si>
  <si>
    <t>Deformation Allowed?</t>
  </si>
  <si>
    <t>Thickness still valid</t>
  </si>
  <si>
    <t>number of sides</t>
  </si>
  <si>
    <t>Elevation to plot</t>
  </si>
  <si>
    <t>Which "reinforcement details" rows to show:</t>
  </si>
  <si>
    <t>Show the "N/A" row</t>
  </si>
  <si>
    <t>Line number for TNX integration</t>
  </si>
  <si>
    <t>Directory path of TNX file</t>
  </si>
  <si>
    <t>Show Headers</t>
  </si>
  <si>
    <t>Page 2</t>
  </si>
  <si>
    <t>TNX Geometry Input</t>
  </si>
  <si>
    <t>Page 3</t>
  </si>
  <si>
    <t>Page 4</t>
  </si>
  <si>
    <t>Analysis Results</t>
  </si>
  <si>
    <t>Page 5</t>
  </si>
  <si>
    <t>Additional Calculations</t>
  </si>
  <si>
    <t>pwd</t>
  </si>
  <si>
    <t>Directory path of exported TNX file</t>
  </si>
  <si>
    <t>Section forces input row # of next value</t>
  </si>
  <si>
    <t>Total number of lines in "TNX Forces" worksheet</t>
  </si>
  <si>
    <t>_x000C_</t>
  </si>
  <si>
    <t>Analysis Date (footer)</t>
  </si>
  <si>
    <t>Using stored tnx data for the import tnx function called by the export tnx function</t>
  </si>
  <si>
    <t>Iterate to find neutral axis (for tension-only)</t>
  </si>
  <si>
    <t>Progress Bar Increment</t>
  </si>
  <si>
    <t>Check section capacity every ___ degrees.</t>
  </si>
  <si>
    <t>Perform design check for ineffective modifications</t>
  </si>
  <si>
    <t>Forced section break at __ ft</t>
  </si>
  <si>
    <t>Minimum Section Length</t>
  </si>
  <si>
    <t>Interference Assistant On</t>
  </si>
  <si>
    <t>Input Interferences</t>
  </si>
  <si>
    <t>Include other reinforcement as interference</t>
  </si>
  <si>
    <t>Original Reinf Config</t>
  </si>
  <si>
    <t>Max slope</t>
  </si>
  <si>
    <t>angle</t>
  </si>
  <si>
    <t>offset</t>
  </si>
  <si>
    <t>Elevation</t>
  </si>
  <si>
    <t>Thickness</t>
  </si>
  <si>
    <t>BP/Flange Plate Details</t>
  </si>
  <si>
    <t>Individual Reinforcement Ratings</t>
  </si>
  <si>
    <t>MAX</t>
  </si>
  <si>
    <t>CASE</t>
  </si>
  <si>
    <t>Reinforcement welded to base/flange plate at current elevation</t>
  </si>
  <si>
    <t>Previous cross section elevation (cell AR8 in "Input" worksheet)</t>
  </si>
  <si>
    <t>Cross section tool.  Toggles a custom elevation input in the "Calculations" worksheet.</t>
  </si>
  <si>
    <t>Wind Pressure Multiplier of 0.95 used in any pole section.  This will assign all new pole sections 0.95.</t>
  </si>
  <si>
    <t>CCIpole Import - Overwrite geometry with TNX data?</t>
  </si>
  <si>
    <t>TNX Re-synced after analysis?</t>
  </si>
  <si>
    <t>Imported CCIpole filepath</t>
  </si>
  <si>
    <t>Calcs Modified?</t>
  </si>
  <si>
    <t>pole_structure_id</t>
  </si>
  <si>
    <t>Imported from EDS?</t>
  </si>
  <si>
    <t>Lap Splice Start Elevation (ft)</t>
  </si>
  <si>
    <t>Taper</t>
  </si>
  <si>
    <t>Elevations Not to Plot</t>
  </si>
  <si>
    <t>Bend Radius</t>
  </si>
  <si>
    <t>Inside diameter of section</t>
  </si>
  <si>
    <t>Splice Length in inches</t>
  </si>
  <si>
    <t>1.5 Times of the inside diameter of section</t>
  </si>
  <si>
    <t>Is Splice less than 1.5D?</t>
  </si>
  <si>
    <t>Splice/Inside Diameter of Section</t>
  </si>
  <si>
    <t>Reduction Factor</t>
  </si>
  <si>
    <t>Derated Material Strength</t>
  </si>
  <si>
    <t>Bottom</t>
  </si>
  <si>
    <t>Top</t>
  </si>
  <si>
    <t>r</t>
  </si>
  <si>
    <t>[File Info]</t>
  </si>
  <si>
    <t>[Common]</t>
  </si>
  <si>
    <t>DesignStandardSeries=TIA/EIA</t>
  </si>
  <si>
    <t>UnitsSystem=US</t>
  </si>
  <si>
    <t>ClientName=Crown Castle</t>
  </si>
  <si>
    <t>VersionUsed=8.1.1.0</t>
  </si>
  <si>
    <t>[US Units]</t>
  </si>
  <si>
    <t>Length=ft</t>
  </si>
  <si>
    <t>Coordinate=ft</t>
  </si>
  <si>
    <t>Force=K</t>
  </si>
  <si>
    <t>Moment=kip-ft</t>
  </si>
  <si>
    <t>Properties=in</t>
  </si>
  <si>
    <t>Velocity=mph</t>
  </si>
  <si>
    <t>VelocityPrec=0</t>
  </si>
  <si>
    <t>Displacement=in</t>
  </si>
  <si>
    <t>DisplacementPrec=3</t>
  </si>
  <si>
    <t>Mass=lb</t>
  </si>
  <si>
    <t>MassPrec=3</t>
  </si>
  <si>
    <t>Acceleration=G</t>
  </si>
  <si>
    <t>Stress=ksi</t>
  </si>
  <si>
    <t>StressPrec=3</t>
  </si>
  <si>
    <t>Density=pcf</t>
  </si>
  <si>
    <t>UnitWt=plf</t>
  </si>
  <si>
    <t>UnitWtPrec=3</t>
  </si>
  <si>
    <t>Strength=ksi</t>
  </si>
  <si>
    <t>Modulus=ksi</t>
  </si>
  <si>
    <t>Temperature=F</t>
  </si>
  <si>
    <t>Printer=in</t>
  </si>
  <si>
    <t>PrinterPrec=3</t>
  </si>
  <si>
    <t>Rotation=deg</t>
  </si>
  <si>
    <t>Spacing=ft</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</si>
  <si>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</si>
  <si>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</si>
  <si>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</si>
  <si>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</si>
  <si>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</si>
  <si>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</si>
  <si>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</si>
  <si>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</si>
  <si>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</si>
  <si>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</si>
  <si>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</si>
  <si>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</si>
  <si>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</si>
  <si>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</si>
  <si>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</si>
  <si>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</si>
  <si>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</si>
  <si>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</si>
  <si>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</si>
  <si>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</si>
  <si>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</si>
  <si>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</si>
  <si>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</si>
  <si>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</si>
  <si>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</si>
  <si>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</si>
  <si>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</si>
  <si>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</si>
  <si>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</si>
  <si>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</si>
  <si>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</si>
  <si>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</si>
  <si>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</si>
  <si>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</si>
  <si>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</si>
  <si>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</si>
  <si>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</si>
  <si>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</si>
  <si>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</si>
  <si>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</si>
  <si>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</si>
  <si>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</si>
  <si>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</si>
  <si>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</si>
  <si>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</si>
  <si>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</si>
  <si>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</si>
  <si>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</si>
  <si>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</si>
  <si>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</si>
  <si>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</si>
  <si>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</si>
  <si>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UBCSeismicZone=4</t>
  </si>
  <si>
    <t>UBCSeismicI=1</t>
  </si>
  <si>
    <t>UBCSeismicS=1</t>
  </si>
  <si>
    <t>UBCSeismicRw=8</t>
  </si>
  <si>
    <t>UBCWindExposureCategory=B</t>
  </si>
  <si>
    <t>UBCWindI=1</t>
  </si>
  <si>
    <t>UBCWindSpeed=70</t>
  </si>
  <si>
    <t>UBCWindOpenDoor=No</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</si>
  <si>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</si>
  <si>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</si>
  <si>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</si>
  <si>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</si>
  <si>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</si>
  <si>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</si>
  <si>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</si>
  <si>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</si>
  <si>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</si>
  <si>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</si>
  <si>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</si>
  <si>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</si>
  <si>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</si>
  <si>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</si>
  <si>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</si>
  <si>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</si>
  <si>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</si>
  <si>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</si>
  <si>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</si>
  <si>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</si>
  <si>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</si>
  <si>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</si>
  <si>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</si>
  <si>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</si>
  <si>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</si>
  <si>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</si>
  <si>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</si>
  <si>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</si>
  <si>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</si>
  <si>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BOCAConcentratedForce=0</t>
  </si>
  <si>
    <t>BOCASnowI=1</t>
  </si>
  <si>
    <t>BOCASnowCe=0.7</t>
  </si>
  <si>
    <t>BOCAIsGarage=No</t>
  </si>
  <si>
    <t>BOCAUsePostal=Yes</t>
  </si>
  <si>
    <t>[Application]</t>
  </si>
  <si>
    <t>[Databases]</t>
  </si>
  <si>
    <t>MemberMatFile=STEEL_GRADE</t>
  </si>
  <si>
    <t>MatValues=65000 80000 29000000 11200000 6.5e-006 0.283565999</t>
  </si>
  <si>
    <t>MatName=A36</t>
  </si>
  <si>
    <t>MatValues=36000 58000 29000000 11194000 6.5e-006 0.283564814814815</t>
  </si>
  <si>
    <t>BoltMatFile=STEEL_GRADE</t>
  </si>
  <si>
    <t>MatName=A325N</t>
  </si>
  <si>
    <t>MatValues=120000 90000 48000</t>
  </si>
  <si>
    <t>[Structure]</t>
  </si>
  <si>
    <t>sReportJobType=0</t>
  </si>
  <si>
    <t>sReportSiteHistory=&lt;~~&gt;</t>
  </si>
  <si>
    <t>sReportTowerType=Monopole</t>
  </si>
  <si>
    <t>sReportHQPhoneNumber=</t>
  </si>
  <si>
    <t>sReportEmailAddress=</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</si>
  <si>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</si>
  <si>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</si>
  <si>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</si>
  <si>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</si>
  <si>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</si>
  <si>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sReportAppurt1Note7=</t>
  </si>
  <si>
    <t>sReportAppurt2Note1=Existing Equipment</t>
  </si>
  <si>
    <t>sReportAppurt2Note2=Reserved Equipment</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</si>
  <si>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</si>
  <si>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</si>
  <si>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</si>
  <si>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</si>
  <si>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</si>
  <si>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</si>
  <si>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</si>
  <si>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</si>
  <si>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BaseElevation=0.000000</t>
  </si>
  <si>
    <t>Lambda=10.000000</t>
  </si>
  <si>
    <t>WindSpeedService=60.000000</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</si>
  <si>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</si>
  <si>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</si>
  <si>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</si>
  <si>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</si>
  <si>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</si>
  <si>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</si>
  <si>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</si>
  <si>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</si>
  <si>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</si>
  <si>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</si>
  <si>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</si>
  <si>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</si>
  <si>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</si>
  <si>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</si>
  <si>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</si>
  <si>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</si>
  <si>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</si>
  <si>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</si>
  <si>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</si>
  <si>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</si>
  <si>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</si>
  <si>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</si>
  <si>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</si>
  <si>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</si>
  <si>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</si>
  <si>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</si>
  <si>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</si>
  <si>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</si>
  <si>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</si>
  <si>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</si>
  <si>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</si>
  <si>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</si>
  <si>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</si>
  <si>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</si>
  <si>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</si>
  <si>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</si>
  <si>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</si>
  <si>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</si>
  <si>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</si>
  <si>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</si>
  <si>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</si>
  <si>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</si>
  <si>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</si>
  <si>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</si>
  <si>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</si>
  <si>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</si>
  <si>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</si>
  <si>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</si>
  <si>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</si>
  <si>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</si>
  <si>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</si>
  <si>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</si>
  <si>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</si>
  <si>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</si>
  <si>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</si>
  <si>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</si>
  <si>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</si>
  <si>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</si>
  <si>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</si>
  <si>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</si>
  <si>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</si>
  <si>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</si>
  <si>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</si>
  <si>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</si>
  <si>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</si>
  <si>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</si>
  <si>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</si>
  <si>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</si>
  <si>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</si>
  <si>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</si>
  <si>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</si>
  <si>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</si>
  <si>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</si>
  <si>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</si>
  <si>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</si>
  <si>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</si>
  <si>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</si>
  <si>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</si>
  <si>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</si>
  <si>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</si>
  <si>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</si>
  <si>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</si>
  <si>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UseLegLoads=No</t>
  </si>
  <si>
    <t>ERIDesignMode=Check Sections</t>
  </si>
  <si>
    <t>WindZone=2</t>
  </si>
  <si>
    <t>StructureCategory=1</t>
  </si>
  <si>
    <t>RiskCategory=1</t>
  </si>
  <si>
    <t>TopoCategory=0</t>
  </si>
  <si>
    <t>RSMTopographicFeature=0</t>
  </si>
  <si>
    <t>RSM_L=0.000000</t>
  </si>
  <si>
    <t>RSM_X=0.000000</t>
  </si>
  <si>
    <t>CrestHeight=0.000000</t>
  </si>
  <si>
    <t>TIA_222_H_TopoFeatureDownwind=No</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</si>
  <si>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</si>
  <si>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</si>
  <si>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</si>
  <si>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</si>
  <si>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</si>
  <si>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</si>
  <si>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</si>
  <si>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</si>
  <si>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</si>
  <si>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</si>
  <si>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</si>
  <si>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</si>
  <si>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AntennaBraceType=X Brace</t>
  </si>
  <si>
    <t>AntennaNumSections=1</t>
  </si>
  <si>
    <t>AntennaNumSesctions=1</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</si>
  <si>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</si>
  <si>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</si>
  <si>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</si>
  <si>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</si>
  <si>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</si>
  <si>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</si>
  <si>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</si>
  <si>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</si>
  <si>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</si>
  <si>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</si>
  <si>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</si>
  <si>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</si>
  <si>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</si>
  <si>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</si>
  <si>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</si>
  <si>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</si>
  <si>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</si>
  <si>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</si>
  <si>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</si>
  <si>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</si>
  <si>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</si>
  <si>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</si>
  <si>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</si>
  <si>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</si>
  <si>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</si>
  <si>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</si>
  <si>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</si>
  <si>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</si>
  <si>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</si>
  <si>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</si>
  <si>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</si>
  <si>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</si>
  <si>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</si>
  <si>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</si>
  <si>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</si>
  <si>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</si>
  <si>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</si>
  <si>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</si>
  <si>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</si>
  <si>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</si>
  <si>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</si>
  <si>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</si>
  <si>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</si>
  <si>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</si>
  <si>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</si>
  <si>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</si>
  <si>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</si>
  <si>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</si>
  <si>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</si>
  <si>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</si>
  <si>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</si>
  <si>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</si>
  <si>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</si>
  <si>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</si>
  <si>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</si>
  <si>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</si>
  <si>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</si>
  <si>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</si>
  <si>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</si>
  <si>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</si>
  <si>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</si>
  <si>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</si>
  <si>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</si>
  <si>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</si>
  <si>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</si>
  <si>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</si>
  <si>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</si>
  <si>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</si>
  <si>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</si>
  <si>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</si>
  <si>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</si>
  <si>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</si>
  <si>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</si>
  <si>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</si>
  <si>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</si>
  <si>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</si>
  <si>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</si>
  <si>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</si>
  <si>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</si>
  <si>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</si>
  <si>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</si>
  <si>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</si>
  <si>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</si>
  <si>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</si>
  <si>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</si>
  <si>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</si>
  <si>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</si>
  <si>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</si>
  <si>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</si>
  <si>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</si>
  <si>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</si>
  <si>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</si>
  <si>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</si>
  <si>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</si>
  <si>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</si>
  <si>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</si>
  <si>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</si>
  <si>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</si>
  <si>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</si>
  <si>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</si>
  <si>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</si>
  <si>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</si>
  <si>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</si>
  <si>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</si>
  <si>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</si>
  <si>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</si>
  <si>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</si>
  <si>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</si>
  <si>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</si>
  <si>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</si>
  <si>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</si>
  <si>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</si>
  <si>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</si>
  <si>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</si>
  <si>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</si>
  <si>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</si>
  <si>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</si>
  <si>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</si>
  <si>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</si>
  <si>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</si>
  <si>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</si>
  <si>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</si>
  <si>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</si>
  <si>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</si>
  <si>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</si>
  <si>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</si>
  <si>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</si>
  <si>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</si>
  <si>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</si>
  <si>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</si>
  <si>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</si>
  <si>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</si>
  <si>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</si>
  <si>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</si>
  <si>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</si>
  <si>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</si>
  <si>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</si>
  <si>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</si>
  <si>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</si>
  <si>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</si>
  <si>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</si>
  <si>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</si>
  <si>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</si>
  <si>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</si>
  <si>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</si>
  <si>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</si>
  <si>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</si>
  <si>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</si>
  <si>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</si>
  <si>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</si>
  <si>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</si>
  <si>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</si>
  <si>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</si>
  <si>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</si>
  <si>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</si>
  <si>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</si>
  <si>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</si>
  <si>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</si>
  <si>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</si>
  <si>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</si>
  <si>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</si>
  <si>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</si>
  <si>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</si>
  <si>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</si>
  <si>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</si>
  <si>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</si>
  <si>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</si>
  <si>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</si>
  <si>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</si>
  <si>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</si>
  <si>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</si>
  <si>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</si>
  <si>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</si>
  <si>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</si>
  <si>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</si>
  <si>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</si>
  <si>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</si>
  <si>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</si>
  <si>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</si>
  <si>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</si>
  <si>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</si>
  <si>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</si>
  <si>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</si>
  <si>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</si>
  <si>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</si>
  <si>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</si>
  <si>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</si>
  <si>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</si>
  <si>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</si>
  <si>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</si>
  <si>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</si>
  <si>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</si>
  <si>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</si>
  <si>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</si>
  <si>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</si>
  <si>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</si>
  <si>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</si>
  <si>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</si>
  <si>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</si>
  <si>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</si>
  <si>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</si>
  <si>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</si>
  <si>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</si>
  <si>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</si>
  <si>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</si>
  <si>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</si>
  <si>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</si>
  <si>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</si>
  <si>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</si>
  <si>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</si>
  <si>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</si>
  <si>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</si>
  <si>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</si>
  <si>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</si>
  <si>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</si>
  <si>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</si>
  <si>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</si>
  <si>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</si>
  <si>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</si>
  <si>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</si>
  <si>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</si>
  <si>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</si>
  <si>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</si>
  <si>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</si>
  <si>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</si>
  <si>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</si>
  <si>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</si>
  <si>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</si>
  <si>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</si>
  <si>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</si>
  <si>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</si>
  <si>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AntennaRec=2</t>
  </si>
  <si>
    <t>AntennaTaperPoleNumSides=12</t>
  </si>
  <si>
    <t>AntennaTaperPoleGrade=65</t>
  </si>
  <si>
    <t>AntennaRec=3</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</si>
  <si>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</si>
  <si>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</si>
  <si>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</si>
  <si>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</si>
  <si>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</si>
  <si>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</si>
  <si>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</si>
  <si>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</si>
  <si>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</si>
  <si>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</si>
  <si>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</si>
  <si>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</si>
  <si>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</si>
  <si>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</si>
  <si>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</si>
  <si>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</si>
  <si>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</si>
  <si>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</si>
  <si>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</si>
  <si>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</si>
  <si>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</si>
  <si>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</si>
  <si>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</si>
  <si>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</si>
  <si>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</si>
  <si>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</si>
  <si>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</si>
  <si>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</si>
  <si>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</si>
  <si>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</si>
  <si>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</si>
  <si>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</si>
  <si>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</si>
  <si>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</si>
  <si>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</si>
  <si>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</si>
  <si>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</si>
  <si>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</si>
  <si>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</si>
  <si>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</si>
  <si>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</si>
  <si>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BasePlateDataEmbedmentLength=24.000000</t>
  </si>
  <si>
    <t>BasePlateDataGroutSpace=2.000000</t>
  </si>
  <si>
    <t>BasePlateDataThick=0.000000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</si>
  <si>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</si>
  <si>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</si>
  <si>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</si>
  <si>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</si>
  <si>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</si>
  <si>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</si>
  <si>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</si>
  <si>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FtgDataSpreadFtgDepth=0.000000</t>
  </si>
  <si>
    <t>FtgDataSpreadFtgWidth=8.000000</t>
  </si>
  <si>
    <t>FtgDataSpreadFtgThickness=24.000000</t>
  </si>
  <si>
    <t>FtgDataTieSpacing=12.000000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</si>
  <si>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</si>
  <si>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</si>
  <si>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</si>
  <si>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</si>
  <si>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</si>
  <si>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</si>
  <si>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</si>
  <si>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</si>
  <si>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</si>
  <si>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</si>
  <si>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</si>
  <si>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</si>
  <si>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</si>
  <si>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</si>
  <si>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</si>
  <si>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</si>
  <si>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</si>
  <si>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</si>
  <si>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</si>
  <si>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</si>
  <si>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</si>
  <si>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</si>
  <si>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</si>
  <si>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</si>
  <si>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</si>
  <si>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</si>
  <si>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</si>
  <si>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</si>
  <si>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</si>
  <si>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</si>
  <si>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</si>
  <si>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</si>
  <si>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</si>
  <si>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</si>
  <si>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</si>
  <si>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</si>
  <si>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</si>
  <si>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</si>
  <si>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</si>
  <si>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</si>
  <si>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</si>
  <si>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</si>
  <si>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</si>
  <si>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</si>
  <si>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</si>
  <si>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</si>
  <si>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</si>
  <si>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</si>
  <si>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</si>
  <si>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</si>
  <si>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</si>
  <si>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</si>
  <si>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</si>
  <si>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</si>
  <si>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</si>
  <si>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</si>
  <si>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</si>
  <si>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</si>
  <si>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</si>
  <si>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</si>
  <si>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</si>
  <si>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</si>
  <si>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</si>
  <si>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</si>
  <si>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</si>
  <si>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</si>
  <si>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</si>
  <si>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</si>
  <si>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</si>
  <si>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</si>
  <si>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</si>
  <si>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</si>
  <si>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</si>
  <si>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</si>
  <si>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</si>
  <si>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</si>
  <si>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</si>
  <si>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</si>
  <si>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</si>
  <si>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</si>
  <si>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</si>
  <si>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</si>
  <si>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</si>
  <si>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</si>
  <si>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</si>
  <si>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</si>
  <si>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</si>
  <si>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</si>
  <si>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</si>
  <si>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</si>
  <si>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</si>
  <si>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</si>
  <si>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</si>
  <si>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</si>
  <si>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</si>
  <si>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</si>
  <si>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</si>
  <si>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</si>
  <si>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</si>
  <si>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</si>
  <si>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</si>
  <si>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</si>
  <si>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</si>
  <si>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</si>
  <si>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</si>
  <si>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</si>
  <si>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</si>
  <si>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</si>
  <si>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</si>
  <si>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</si>
  <si>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</si>
  <si>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</si>
  <si>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</si>
  <si>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</si>
  <si>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</si>
  <si>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</si>
  <si>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</si>
  <si>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</si>
  <si>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</si>
  <si>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</si>
  <si>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</si>
  <si>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</si>
  <si>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</si>
  <si>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</si>
  <si>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</si>
  <si>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</si>
  <si>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</si>
  <si>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</si>
  <si>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</si>
  <si>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</si>
  <si>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</si>
  <si>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</si>
  <si>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</si>
  <si>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</si>
  <si>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</si>
  <si>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</si>
  <si>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</si>
  <si>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</si>
  <si>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</si>
  <si>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</si>
  <si>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</si>
  <si>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</si>
  <si>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</si>
  <si>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</si>
  <si>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</si>
  <si>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</si>
  <si>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</si>
  <si>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</si>
  <si>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</si>
  <si>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</si>
  <si>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</si>
  <si>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</si>
  <si>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</si>
  <si>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</si>
  <si>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</si>
  <si>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</si>
  <si>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</si>
  <si>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</si>
  <si>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</si>
  <si>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</si>
  <si>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</si>
  <si>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</si>
  <si>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</si>
  <si>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</si>
  <si>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</si>
  <si>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</si>
  <si>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</si>
  <si>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</si>
  <si>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</si>
  <si>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</si>
  <si>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</si>
  <si>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</si>
  <si>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</si>
  <si>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</si>
  <si>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</si>
  <si>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</si>
  <si>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</si>
  <si>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</si>
  <si>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</si>
  <si>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</si>
  <si>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</si>
  <si>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</si>
  <si>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</si>
  <si>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</si>
  <si>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</si>
  <si>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</si>
  <si>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</si>
  <si>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</si>
  <si>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</si>
  <si>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</si>
  <si>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</si>
  <si>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</si>
  <si>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</si>
  <si>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</si>
  <si>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</si>
  <si>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</si>
  <si>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</si>
  <si>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</si>
  <si>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FeedLineRec=4</t>
  </si>
  <si>
    <t>FeedLineFace=1</t>
  </si>
  <si>
    <t>FeedLineRec=5</t>
  </si>
  <si>
    <t>FeedLineRec=6</t>
  </si>
  <si>
    <t>FeedLineRec=7</t>
  </si>
  <si>
    <t>FeedLineEnabled=No</t>
  </si>
  <si>
    <t>FeedLineDatabase=miscl</t>
  </si>
  <si>
    <t>FeedLineRec=8</t>
  </si>
  <si>
    <t>FeedLineRec=9</t>
  </si>
  <si>
    <t>FeedLineRec=10</t>
  </si>
  <si>
    <t>FeedLineRec=11</t>
  </si>
  <si>
    <t>FeedLineRec=12</t>
  </si>
  <si>
    <t>FeedLineClassificationCategory=Proposed</t>
  </si>
  <si>
    <t>FeedLineNum=3</t>
  </si>
  <si>
    <t>FeedLineNumPerRow=3</t>
  </si>
  <si>
    <t>FeedLineComponentType=Inside Pole</t>
  </si>
  <si>
    <t>FeedLineRec=13</t>
  </si>
  <si>
    <t>FeedLineRec=14</t>
  </si>
  <si>
    <t>FeedLineDatabase=andrew</t>
  </si>
  <si>
    <t>FeedLineClassificationCategory=Existing</t>
  </si>
  <si>
    <t>FeedLineNum=12</t>
  </si>
  <si>
    <t>FeedLineRec=15</t>
  </si>
  <si>
    <t>FeedLineDatabase=commscope</t>
  </si>
  <si>
    <t>FeedLineRec=16</t>
  </si>
  <si>
    <t>FeedLineRec=17</t>
  </si>
  <si>
    <t>FeedLineRec=18</t>
  </si>
  <si>
    <t>FeedLineRec=19</t>
  </si>
  <si>
    <t>FeedLineRec=20</t>
  </si>
  <si>
    <t>FeedLineRec=21</t>
  </si>
  <si>
    <t>FeedLineRec=22</t>
  </si>
  <si>
    <t>FeedLineRec=23</t>
  </si>
  <si>
    <t>FeedLineRec=24</t>
  </si>
  <si>
    <t>FeedLineRec=25</t>
  </si>
  <si>
    <t>FeedLineRec=26</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</si>
  <si>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</si>
  <si>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</si>
  <si>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</si>
  <si>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</si>
  <si>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</si>
  <si>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</si>
  <si>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</si>
  <si>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</si>
  <si>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</si>
  <si>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</si>
  <si>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</si>
  <si>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</si>
  <si>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</si>
  <si>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</si>
  <si>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</si>
  <si>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</si>
  <si>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</si>
  <si>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</si>
  <si>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</si>
  <si>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</si>
  <si>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</si>
  <si>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</si>
  <si>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</si>
  <si>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</si>
  <si>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</si>
  <si>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</si>
  <si>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</si>
  <si>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</si>
  <si>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</si>
  <si>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</si>
  <si>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</si>
  <si>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</si>
  <si>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</si>
  <si>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</si>
  <si>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</si>
  <si>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</si>
  <si>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</si>
  <si>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</si>
  <si>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</si>
  <si>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</si>
  <si>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</si>
  <si>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</si>
  <si>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</si>
  <si>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</si>
  <si>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</si>
  <si>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</si>
  <si>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</si>
  <si>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</si>
  <si>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</si>
  <si>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</si>
  <si>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</si>
  <si>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</si>
  <si>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</si>
  <si>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TowerLoadType=Antenna</t>
  </si>
  <si>
    <t>TowerLoadClassificationCategory=Proposed</t>
  </si>
  <si>
    <t>TowerLoadFace=2</t>
  </si>
  <si>
    <t>TowerOffsetType=From Leg</t>
  </si>
  <si>
    <t>TowerOffsetDist=48.000000</t>
  </si>
  <si>
    <t>TowerLoadShieldingFactorKaNoIce=0.9000</t>
  </si>
  <si>
    <t>TowerLoadShieldingFactorKaIce=0.9000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</si>
  <si>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</si>
  <si>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</si>
  <si>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</si>
  <si>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</si>
  <si>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</si>
  <si>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</si>
  <si>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</si>
  <si>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</si>
  <si>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</si>
  <si>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</si>
  <si>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</si>
  <si>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</si>
  <si>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</si>
  <si>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</si>
  <si>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TowerLoadType=Other</t>
  </si>
  <si>
    <t>TowerLoadRec=13</t>
  </si>
  <si>
    <t>TowerLoadRec=14</t>
  </si>
  <si>
    <t>TowerLoadRec=15</t>
  </si>
  <si>
    <t>TowerLoadRec=16</t>
  </si>
  <si>
    <t>TowerLoadRec=17</t>
  </si>
  <si>
    <t>TowerLoadRec=18</t>
  </si>
  <si>
    <t>TowerLoadWtIce=0.092974</t>
  </si>
  <si>
    <t>TowerLoadRec=19</t>
  </si>
  <si>
    <t>TowerLoadRec=20</t>
  </si>
  <si>
    <t>TowerLoadRec=21</t>
  </si>
  <si>
    <t>TowerLoadEnabled=No</t>
  </si>
  <si>
    <t>TowerLoadType=Mount</t>
  </si>
  <si>
    <t>TowerLoadRec=22</t>
  </si>
  <si>
    <t>TowerLoadDatabase=tower mounts</t>
  </si>
  <si>
    <t>TowerLoadRec=23</t>
  </si>
  <si>
    <t>TowerLoadRec=24</t>
  </si>
  <si>
    <t>TowerLoadWtNoIce=0.065000</t>
  </si>
  <si>
    <t>TowerLoadWtIce_1=0.093000</t>
  </si>
  <si>
    <t>TowerLoadRec=25</t>
  </si>
  <si>
    <t>TowerLoadRec=26</t>
  </si>
  <si>
    <t>TowerLoadClassificationCategory=Existing</t>
  </si>
  <si>
    <t>TowerLoadNum=2</t>
  </si>
  <si>
    <t>TowerVertOffset=3.000000</t>
  </si>
  <si>
    <t>TowerLoadShieldingFactorKaNoIce=0.8000</t>
  </si>
  <si>
    <t>TowerLoadShieldingFactorKaIce=0.8000</t>
  </si>
  <si>
    <t>TowerLoadCaAaNoIce=4.090000</t>
  </si>
  <si>
    <t>TowerLoadCaAaIce_Side=3.680000</t>
  </si>
  <si>
    <t>TowerLoadRec=27</t>
  </si>
  <si>
    <t>TowerLoadRec=28</t>
  </si>
  <si>
    <t>TowerLoadRec=29</t>
  </si>
  <si>
    <t>TowerLoadDescription=RRUS 32</t>
  </si>
  <si>
    <t>TowerVertOffset=2.000000</t>
  </si>
  <si>
    <t>TowerLoadWtIce=0.077392</t>
  </si>
  <si>
    <t>TowerLoadWtIce_1=0.102930</t>
  </si>
  <si>
    <t>TowerLoadWtIce_2=0.164585</t>
  </si>
  <si>
    <t>TowerLoadWtIce_4=0.335651</t>
  </si>
  <si>
    <t>TowerLoadRec=30</t>
  </si>
  <si>
    <t>TowerLoadRec=31</t>
  </si>
  <si>
    <t>TowerLoadRec=32</t>
  </si>
  <si>
    <t>TowerLoadDatabase=raycap</t>
  </si>
  <si>
    <t>TowerOffsetDist=12.000000</t>
  </si>
  <si>
    <t>TowerLoadRec=33</t>
  </si>
  <si>
    <t>TowerLoadRec=34</t>
  </si>
  <si>
    <t>TowerLoadRec=35</t>
  </si>
  <si>
    <t>NumUserForceRecs=0</t>
  </si>
  <si>
    <t>ReportInputCosts=No</t>
  </si>
  <si>
    <t>ReportInputGeometry=Yes</t>
  </si>
  <si>
    <t>ReportInputOptions=Yes</t>
  </si>
  <si>
    <t>ReportInputMap=No</t>
  </si>
  <si>
    <t>CostReportOutputType=No Cost Output</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</si>
  <si>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</si>
  <si>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</si>
  <si>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</si>
  <si>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</si>
  <si>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</si>
  <si>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</si>
  <si>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</si>
  <si>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</si>
  <si>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</si>
  <si>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</si>
  <si>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</si>
  <si>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</si>
  <si>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</si>
  <si>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ReportPrintStressChecks=Yes</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</si>
  <si>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</si>
  <si>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</si>
  <si>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</si>
  <si>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</si>
  <si>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</si>
  <si>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</si>
  <si>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</si>
  <si>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</si>
  <si>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</si>
  <si>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</si>
  <si>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</si>
  <si>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</si>
  <si>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</si>
  <si>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</si>
  <si>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</si>
  <si>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</si>
  <si>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</si>
  <si>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EnforceAllOffsetsVer2=Yes</t>
  </si>
  <si>
    <t>LegBoltsAtTop=No</t>
  </si>
  <si>
    <t>PrintMonopoleAtIncrements=No</t>
  </si>
  <si>
    <t>UseTIA222Exemptions_MinBracingResistance=No</t>
  </si>
  <si>
    <t>UseTIA222Exemptions_TensionSplice=No</t>
  </si>
  <si>
    <t>IgnoreKLryFor60DegAngleLegs=No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</si>
  <si>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</si>
  <si>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</si>
  <si>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</si>
  <si>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</si>
  <si>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</si>
  <si>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</si>
  <si>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</si>
  <si>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</si>
  <si>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</si>
  <si>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</si>
  <si>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</si>
  <si>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</si>
  <si>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</si>
  <si>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</si>
  <si>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</si>
  <si>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</si>
  <si>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</si>
  <si>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</si>
  <si>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</si>
  <si>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</si>
  <si>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</si>
  <si>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</si>
  <si>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</si>
  <si>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</si>
  <si>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</si>
  <si>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</si>
  <si>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</si>
  <si>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</si>
  <si>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</si>
  <si>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</si>
  <si>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</si>
  <si>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</si>
  <si>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</si>
  <si>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</si>
  <si>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</si>
  <si>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</si>
  <si>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</si>
  <si>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</si>
  <si>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</si>
  <si>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</si>
  <si>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</si>
  <si>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</si>
  <si>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</si>
  <si>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</si>
  <si>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</si>
  <si>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</si>
  <si>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</si>
  <si>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</si>
  <si>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</si>
  <si>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</si>
  <si>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</si>
  <si>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</si>
  <si>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</si>
  <si>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</si>
  <si>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</si>
  <si>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</si>
  <si>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</si>
  <si>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</si>
  <si>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</si>
  <si>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</si>
  <si>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</si>
  <si>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</si>
  <si>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</si>
  <si>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</si>
  <si>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</si>
  <si>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</si>
  <si>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</si>
  <si>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</si>
  <si>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</si>
  <si>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</si>
  <si>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</si>
  <si>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</si>
  <si>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</si>
  <si>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</si>
  <si>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</si>
  <si>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</si>
  <si>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</si>
  <si>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</si>
  <si>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</si>
  <si>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</si>
  <si>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{.{&lt;123&gt;}.}</t>
  </si>
  <si>
    <t>Place "123" data here.</t>
  </si>
  <si>
    <t>{.{~123~}.}</t>
  </si>
  <si>
    <t>{.{&lt;dfdf&gt;}.}</t>
  </si>
  <si>
    <t>Place "dfdf" data here.</t>
  </si>
  <si>
    <t>{.{~dfdf~}.}</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</si>
  <si>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</si>
  <si>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</si>
  <si>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</si>
  <si>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</si>
  <si>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</si>
  <si>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</si>
  <si>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</si>
  <si>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</si>
  <si>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</si>
  <si>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</si>
  <si>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</si>
  <si>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</si>
  <si>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</si>
  <si>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</si>
  <si>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</si>
  <si>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</si>
  <si>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</si>
  <si>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</si>
  <si>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</si>
  <si>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</si>
  <si>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</si>
  <si>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17 1</t>
  </si>
  <si>
    <t>3 1 1 3 3 1</t>
  </si>
  <si>
    <t>[Segments]</t>
  </si>
  <si>
    <t>#master_element number_of_internal_nodes</t>
  </si>
  <si>
    <t>#internal_node1 internal_node2 falseTE: node is - if end of span....</t>
  </si>
  <si>
    <t>[Material]</t>
  </si>
  <si>
    <t>#mat activity</t>
  </si>
  <si>
    <t>#description</t>
  </si>
  <si>
    <t>#emod poiss thermal mden wden</t>
  </si>
  <si>
    <t>1 1</t>
  </si>
  <si>
    <t>29000 29000 29000 0.295337 0.295337 6.5e-006 15.2293 490.002</t>
  </si>
  <si>
    <t>2 1</t>
  </si>
  <si>
    <t>3 1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</si>
  <si>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</si>
  <si>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</si>
  <si>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</si>
  <si>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</si>
  <si>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</si>
  <si>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</si>
  <si>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</si>
  <si>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</si>
  <si>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</si>
  <si>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</si>
  <si>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</si>
  <si>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</si>
  <si>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</si>
  <si>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</si>
  <si>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</si>
  <si>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2 1 1</t>
  </si>
  <si>
    <t>3 1 1</t>
  </si>
  <si>
    <t>[Combinations]</t>
  </si>
  <si>
    <t>#comb_number activity</t>
  </si>
  <si>
    <t>#list_of_factors</t>
  </si>
  <si>
    <t>Dead Only</t>
  </si>
  <si>
    <t>1.0*1</t>
  </si>
  <si>
    <t>1.2 Dead+1.0 Wind 0 deg - No Ice</t>
  </si>
  <si>
    <t>1.2*1,1.0*2</t>
  </si>
  <si>
    <t>0.9 Dead+1.0 Wind 0 deg - No Ice</t>
  </si>
  <si>
    <t>0.9*1,1.0*2</t>
  </si>
  <si>
    <t>4 1</t>
  </si>
  <si>
    <t>1.2 Dead+1.0 Wind 30 deg - No Ice</t>
  </si>
  <si>
    <t>1.2*1,1.0*3</t>
  </si>
  <si>
    <t>5 1</t>
  </si>
  <si>
    <t>0.9 Dead+1.0 Wind 30 deg - No Ice</t>
  </si>
  <si>
    <t>0.9*1,1.0*3</t>
  </si>
  <si>
    <t>6 1</t>
  </si>
  <si>
    <t>1.2 Dead+1.0 Wind 60 deg - No Ice</t>
  </si>
  <si>
    <t>1.2*1,1.0*4</t>
  </si>
  <si>
    <t>7 1</t>
  </si>
  <si>
    <t>0.9 Dead+1.0 Wind 60 deg - No Ice</t>
  </si>
  <si>
    <t>0.9*1,1.0*4</t>
  </si>
  <si>
    <t>8 1</t>
  </si>
  <si>
    <t>1.2 Dead+1.0 Wind 90 deg - No Ice</t>
  </si>
  <si>
    <t>1.2*1,1.0*5</t>
  </si>
  <si>
    <t>9 1</t>
  </si>
  <si>
    <t>0.9 Dead+1.0 Wind 90 deg - No Ice</t>
  </si>
  <si>
    <t>0.9*1,1.0*5</t>
  </si>
  <si>
    <t>10 1</t>
  </si>
  <si>
    <t>1.2 Dead+1.0 Wind 120 deg - No Ice</t>
  </si>
  <si>
    <t>1.2*1,1.0*6</t>
  </si>
  <si>
    <t>11 1</t>
  </si>
  <si>
    <t>0.9 Dead+1.0 Wind 120 deg - No Ice</t>
  </si>
  <si>
    <t>0.9*1,1.0*6</t>
  </si>
  <si>
    <t>12 1</t>
  </si>
  <si>
    <t>1.2 Dead+1.0 Wind 150 deg - No Ice</t>
  </si>
  <si>
    <t>1.2*1,1.0*7</t>
  </si>
  <si>
    <t>13 1</t>
  </si>
  <si>
    <t>0.9 Dead+1.0 Wind 150 deg - No Ice</t>
  </si>
  <si>
    <t>0.9*1,1.0*7</t>
  </si>
  <si>
    <t>14 1</t>
  </si>
  <si>
    <t>1.2 Dead+1.0 Wind 180 deg - No Ice</t>
  </si>
  <si>
    <t>1.2*1,1.0*8</t>
  </si>
  <si>
    <t>15 1</t>
  </si>
  <si>
    <t>0.9 Dead+1.0 Wind 180 deg - No Ice</t>
  </si>
  <si>
    <t>0.9*1,1.0*8</t>
  </si>
  <si>
    <t>16 1</t>
  </si>
  <si>
    <t>1.2 Dead+1.0 Wind 210 deg - No Ice</t>
  </si>
  <si>
    <t>1.2*1,1.0*9</t>
  </si>
  <si>
    <t>0.9 Dead+1.0 Wind 210 deg - No Ice</t>
  </si>
  <si>
    <t>0.9*1,1.0*9</t>
  </si>
  <si>
    <t>18 1</t>
  </si>
  <si>
    <t>1.2 Dead+1.0 Wind 240 deg - No Ice</t>
  </si>
  <si>
    <t>1.2*1,1.0*10</t>
  </si>
  <si>
    <t>19 1</t>
  </si>
  <si>
    <t>0.9 Dead+1.0 Wind 240 deg - No Ice</t>
  </si>
  <si>
    <t>0.9*1,1.0*10</t>
  </si>
  <si>
    <t>20 1</t>
  </si>
  <si>
    <t>1.2 Dead+1.0 Wind 270 deg - No Ice</t>
  </si>
  <si>
    <t>1.2*1,1.0*11</t>
  </si>
  <si>
    <t>21 1</t>
  </si>
  <si>
    <t>0.9 Dead+1.0 Wind 270 deg - No Ice</t>
  </si>
  <si>
    <t>0.9*1,1.0*11</t>
  </si>
  <si>
    <t>22 1</t>
  </si>
  <si>
    <t>1.2 Dead+1.0 Wind 300 deg - No Ice</t>
  </si>
  <si>
    <t>1.2*1,1.0*12</t>
  </si>
  <si>
    <t>23 1</t>
  </si>
  <si>
    <t>0.9 Dead+1.0 Wind 300 deg - No Ice</t>
  </si>
  <si>
    <t>0.9*1,1.0*12</t>
  </si>
  <si>
    <t>24 1</t>
  </si>
  <si>
    <t>1.2 Dead+1.0 Wind 330 deg - No Ice</t>
  </si>
  <si>
    <t>1.2*1,1.0*13</t>
  </si>
  <si>
    <t>25 1</t>
  </si>
  <si>
    <t>0.9 Dead+1.0 Wind 330 deg - No Ice</t>
  </si>
  <si>
    <t>0.9*1,1.0*13</t>
  </si>
  <si>
    <t>26 1</t>
  </si>
  <si>
    <t>Dead+Wind 0 deg - Service</t>
  </si>
  <si>
    <t>27 1</t>
  </si>
  <si>
    <t>Dead+Wind 30 deg - Service</t>
  </si>
  <si>
    <t>28 1</t>
  </si>
  <si>
    <t>Dead+Wind 60 deg - Service</t>
  </si>
  <si>
    <t>29 1</t>
  </si>
  <si>
    <t>Dead+Wind 90 deg - Service</t>
  </si>
  <si>
    <t>30 1</t>
  </si>
  <si>
    <t>Dead+Wind 120 deg - Service</t>
  </si>
  <si>
    <t>31 1</t>
  </si>
  <si>
    <t>Dead+Wind 150 deg - Service</t>
  </si>
  <si>
    <t>32 1</t>
  </si>
  <si>
    <t>Dead+Wind 180 deg - Service</t>
  </si>
  <si>
    <t>33 1</t>
  </si>
  <si>
    <t>Dead+Wind 210 deg - Service</t>
  </si>
  <si>
    <t>34 1</t>
  </si>
  <si>
    <t>Dead+Wind 240 deg - Service</t>
  </si>
  <si>
    <t>35 1</t>
  </si>
  <si>
    <t>Dead+Wind 270 deg - Service</t>
  </si>
  <si>
    <t>36 1</t>
  </si>
  <si>
    <t>Dead+Wind 300 deg - Service</t>
  </si>
  <si>
    <t>37 1</t>
  </si>
  <si>
    <t>Dead+Wind 330 deg - Service</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</si>
  <si>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</si>
  <si>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</si>
  <si>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</si>
  <si>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</si>
  <si>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</si>
  <si>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</si>
  <si>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</si>
  <si>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</si>
  <si>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</si>
  <si>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</si>
  <si>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</si>
  <si>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</si>
  <si>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</si>
  <si>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</si>
  <si>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</si>
  <si>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</si>
  <si>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</si>
  <si>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</si>
  <si>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</si>
  <si>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</si>
  <si>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</si>
  <si>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</si>
  <si>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</si>
  <si>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</si>
  <si>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</si>
  <si>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</si>
  <si>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</si>
  <si>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</si>
  <si>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</si>
  <si>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</si>
  <si>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</si>
  <si>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Service Wind 0 deg</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</si>
  <si>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</si>
  <si>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</si>
  <si>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</si>
  <si>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</si>
  <si>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</si>
  <si>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</si>
  <si>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</si>
  <si>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</si>
  <si>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</si>
  <si>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</si>
  <si>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</si>
  <si>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</si>
  <si>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</si>
  <si>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</si>
  <si>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</si>
  <si>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</si>
  <si>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</si>
  <si>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</si>
  <si>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</si>
  <si>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</si>
  <si>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</si>
  <si>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</si>
  <si>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</si>
  <si>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</si>
  <si>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</si>
  <si>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</si>
  <si>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</si>
  <si>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</si>
  <si>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</si>
  <si>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</si>
  <si>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</si>
  <si>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</si>
  <si>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</si>
  <si>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</si>
  <si>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</si>
  <si>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</si>
  <si>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</si>
  <si>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</si>
  <si>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</si>
  <si>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</si>
  <si>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</si>
  <si>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</si>
  <si>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</si>
  <si>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</si>
  <si>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</si>
  <si>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</si>
  <si>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</si>
  <si>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</si>
  <si>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</si>
  <si>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</si>
  <si>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</si>
  <si>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</si>
  <si>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</si>
  <si>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</si>
  <si>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</si>
  <si>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</si>
  <si>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</si>
  <si>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</si>
  <si>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</si>
  <si>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</si>
  <si>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</si>
  <si>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</si>
  <si>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</si>
  <si>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</si>
  <si>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Rows Added</t>
  </si>
  <si>
    <t>Delete Start</t>
  </si>
  <si>
    <t>Delete End</t>
  </si>
  <si>
    <t>Total Lines</t>
  </si>
  <si>
    <t>Row H</t>
  </si>
  <si>
    <t>Row I</t>
  </si>
  <si>
    <t>Row J</t>
  </si>
  <si>
    <t>Row K</t>
  </si>
  <si>
    <t>Row L</t>
  </si>
  <si>
    <t>Row M</t>
  </si>
  <si>
    <t>Row N</t>
  </si>
  <si>
    <t>Row P</t>
  </si>
  <si>
    <t>Row Q</t>
  </si>
  <si>
    <t>Row R</t>
  </si>
  <si>
    <t>Row T</t>
  </si>
  <si>
    <t>Rev G</t>
  </si>
  <si>
    <r>
      <t>φ</t>
    </r>
    <r>
      <rPr>
        <vertAlign val="subscript"/>
        <sz val="10"/>
        <rFont val="Calibri"/>
        <family val="2"/>
      </rPr>
      <t>f</t>
    </r>
  </si>
  <si>
    <r>
      <t>Ω</t>
    </r>
    <r>
      <rPr>
        <vertAlign val="subscript"/>
        <sz val="10"/>
        <rFont val="Calibri"/>
        <family val="2"/>
      </rPr>
      <t>bolt</t>
    </r>
  </si>
  <si>
    <r>
      <t>φ</t>
    </r>
    <r>
      <rPr>
        <vertAlign val="subscript"/>
        <sz val="10"/>
        <rFont val="Calibri"/>
        <family val="2"/>
      </rPr>
      <t>c</t>
    </r>
  </si>
  <si>
    <t>ASIF</t>
  </si>
  <si>
    <r>
      <t>φ</t>
    </r>
    <r>
      <rPr>
        <vertAlign val="subscript"/>
        <sz val="10"/>
        <rFont val="Arial"/>
        <family val="2"/>
      </rPr>
      <t>t,y</t>
    </r>
  </si>
  <si>
    <r>
      <t>φ</t>
    </r>
    <r>
      <rPr>
        <vertAlign val="subscript"/>
        <sz val="10"/>
        <rFont val="Arial"/>
        <family val="2"/>
      </rPr>
      <t>t,r</t>
    </r>
  </si>
  <si>
    <r>
      <t>φ</t>
    </r>
    <r>
      <rPr>
        <vertAlign val="subscript"/>
        <sz val="10"/>
        <rFont val="Arial"/>
        <family val="2"/>
      </rPr>
      <t>v</t>
    </r>
  </si>
  <si>
    <r>
      <t>φ</t>
    </r>
    <r>
      <rPr>
        <vertAlign val="subscript"/>
        <sz val="10"/>
        <rFont val="Arial"/>
        <family val="2"/>
      </rPr>
      <t>bolt shear</t>
    </r>
  </si>
  <si>
    <r>
      <t>φ</t>
    </r>
    <r>
      <rPr>
        <vertAlign val="subscript"/>
        <sz val="10"/>
        <rFont val="Arial"/>
        <family val="2"/>
      </rPr>
      <t>bolt bearing</t>
    </r>
  </si>
  <si>
    <r>
      <t>φ</t>
    </r>
    <r>
      <rPr>
        <vertAlign val="subscript"/>
        <sz val="10"/>
        <rFont val="Arial"/>
        <family val="2"/>
      </rPr>
      <t>weld shear</t>
    </r>
  </si>
  <si>
    <r>
      <t>φ</t>
    </r>
    <r>
      <rPr>
        <vertAlign val="subscript"/>
        <sz val="10"/>
        <rFont val="Arial"/>
        <family val="2"/>
      </rPr>
      <t>weld tension</t>
    </r>
  </si>
  <si>
    <r>
      <t>φ</t>
    </r>
    <r>
      <rPr>
        <vertAlign val="subscript"/>
        <sz val="10"/>
        <rFont val="Arial"/>
        <family val="2"/>
      </rPr>
      <t>shear yield</t>
    </r>
  </si>
  <si>
    <r>
      <t>φ</t>
    </r>
    <r>
      <rPr>
        <vertAlign val="subscript"/>
        <sz val="10"/>
        <rFont val="Arial"/>
        <family val="2"/>
      </rPr>
      <t>shear rupture</t>
    </r>
  </si>
  <si>
    <t>POLE</t>
  </si>
  <si>
    <t># Sides</t>
  </si>
  <si>
    <t>OD</t>
  </si>
  <si>
    <t>ID</t>
  </si>
  <si>
    <t>N.A. Shift</t>
  </si>
  <si>
    <t>P-to-P D</t>
  </si>
  <si>
    <t>REINFORCEMENT</t>
  </si>
  <si>
    <t>Channels</t>
  </si>
  <si>
    <t>Round</t>
  </si>
  <si>
    <t>#</t>
  </si>
  <si>
    <t>xO</t>
  </si>
  <si>
    <t>yO</t>
  </si>
  <si>
    <t>x1</t>
  </si>
  <si>
    <t>y1</t>
  </si>
  <si>
    <t>x2</t>
  </si>
  <si>
    <t>x3</t>
  </si>
  <si>
    <t>y3</t>
  </si>
  <si>
    <t>x4</t>
  </si>
  <si>
    <t>y4</t>
  </si>
  <si>
    <t>x5</t>
  </si>
  <si>
    <t>y5</t>
  </si>
  <si>
    <t>x6</t>
  </si>
  <si>
    <t>y6</t>
  </si>
  <si>
    <t>x7</t>
  </si>
  <si>
    <t>y7</t>
  </si>
  <si>
    <t>x8</t>
  </si>
  <si>
    <t>y8</t>
  </si>
  <si>
    <t>xO_cut_out</t>
  </si>
  <si>
    <t>yO_cut_out</t>
  </si>
  <si>
    <t>cut_out_t</t>
  </si>
  <si>
    <t>cut_out_w</t>
  </si>
  <si>
    <t>radius</t>
  </si>
  <si>
    <t>flat #</t>
  </si>
  <si>
    <t>Num of sides</t>
  </si>
  <si>
    <t>Group</t>
  </si>
  <si>
    <t>Flat</t>
  </si>
  <si>
    <t>Reinforcement?</t>
  </si>
  <si>
    <t>Diameter</t>
  </si>
  <si>
    <t>in   =</t>
  </si>
  <si>
    <t>pixels</t>
  </si>
  <si>
    <t>Flat Width</t>
  </si>
  <si>
    <t>Flat Rotation</t>
  </si>
  <si>
    <t>degrees</t>
  </si>
  <si>
    <t xml:space="preserve">Reinforcement  </t>
  </si>
  <si>
    <t>Width</t>
  </si>
  <si>
    <t>x0</t>
  </si>
  <si>
    <t>y0</t>
  </si>
  <si>
    <t xml:space="preserve">     </t>
  </si>
  <si>
    <t>Scale</t>
  </si>
  <si>
    <t>Factor</t>
  </si>
  <si>
    <t>Calibration</t>
  </si>
  <si>
    <t>xc,18</t>
  </si>
  <si>
    <t>yc,18</t>
  </si>
  <si>
    <t>do,18</t>
  </si>
  <si>
    <t>di,18</t>
  </si>
  <si>
    <t>Revisions!B40:B60</t>
  </si>
  <si>
    <t>Note: The Revision can be a single cell range or multiple cells in a single column range.</t>
  </si>
  <si>
    <t>CCIpole</t>
  </si>
  <si>
    <t>Note: search term is not case-sensitive</t>
  </si>
  <si>
    <t>Range Description</t>
  </si>
  <si>
    <t>Default Sheet Name</t>
  </si>
  <si>
    <t>5.0.2</t>
  </si>
  <si>
    <t>5.0.1</t>
  </si>
  <si>
    <t>5.0.0</t>
  </si>
  <si>
    <t>4.6.5</t>
  </si>
  <si>
    <t>4.6.4</t>
  </si>
  <si>
    <t>4.6.3</t>
  </si>
  <si>
    <t>4.6.2</t>
  </si>
  <si>
    <t>4.6.1</t>
  </si>
  <si>
    <t>4.6.0</t>
  </si>
  <si>
    <t>4.5.8</t>
  </si>
  <si>
    <t>4.5.7</t>
  </si>
  <si>
    <t>4.5.6</t>
  </si>
  <si>
    <t>4.5.5</t>
  </si>
  <si>
    <t>4.5.4</t>
  </si>
  <si>
    <t>4.5.3</t>
  </si>
  <si>
    <t>4.5.2</t>
  </si>
  <si>
    <t>4.5.1</t>
  </si>
  <si>
    <t>4.5.0</t>
  </si>
  <si>
    <t>4.4.1</t>
  </si>
  <si>
    <t>4.4.0</t>
  </si>
  <si>
    <t>4.3.0</t>
  </si>
  <si>
    <t>4.2.2</t>
  </si>
  <si>
    <t>4.2.1</t>
  </si>
  <si>
    <t>4.2.0</t>
  </si>
  <si>
    <t>4.1.1</t>
  </si>
  <si>
    <t>4.1.0</t>
  </si>
  <si>
    <t>4.0.1</t>
  </si>
  <si>
    <t>Acceptable Formats</t>
  </si>
  <si>
    <t>Example</t>
  </si>
  <si>
    <t>Notes</t>
  </si>
  <si>
    <t>TIA Revision</t>
  </si>
  <si>
    <t>Input</t>
  </si>
  <si>
    <t>U3:U3</t>
  </si>
  <si>
    <t>Sheet Name'!Address</t>
  </si>
  <si>
    <t>Revision History!E1:E1 or 'Revision History'!E1:E1</t>
  </si>
  <si>
    <t>BU</t>
  </si>
  <si>
    <t>R4:R4</t>
  </si>
  <si>
    <t>Sheet Name'!Named_Range</t>
  </si>
  <si>
    <t>Revision History!Revision or Revision History!E1:E1</t>
  </si>
  <si>
    <t>WO</t>
  </si>
  <si>
    <t>R5:R5</t>
  </si>
  <si>
    <t>Named_Range</t>
  </si>
  <si>
    <t>Revision</t>
  </si>
  <si>
    <t>This method will only work for globaly defined ranges</t>
  </si>
  <si>
    <t xml:space="preserve">Geometry (Length, Splice, Sides) </t>
  </si>
  <si>
    <t>G8:R17</t>
  </si>
  <si>
    <t>Geometry (Top Dia)</t>
  </si>
  <si>
    <t>S8:S8</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</si>
  <si>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</si>
  <si>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Geometry (Bot Dia, thickness)</t>
  </si>
  <si>
    <t>W8:AD17</t>
  </si>
  <si>
    <t>Geometry (Bend Radius)</t>
  </si>
  <si>
    <t>AE8:AE17</t>
  </si>
  <si>
    <t>Geometry (Material)</t>
  </si>
  <si>
    <t>AI8:AI17</t>
  </si>
  <si>
    <t>Reinf (Elevations)</t>
  </si>
  <si>
    <t>C21:J50</t>
  </si>
  <si>
    <t>Reinf (Model)</t>
  </si>
  <si>
    <t>N21:N50</t>
  </si>
  <si>
    <t>Reinf (Locations)</t>
  </si>
  <si>
    <t>Interferences (Elevations)</t>
  </si>
  <si>
    <t>C52:Q81</t>
  </si>
  <si>
    <t>Interferences (Locations)</t>
  </si>
  <si>
    <t>U52:AL81</t>
  </si>
  <si>
    <t>Elevation View</t>
  </si>
  <si>
    <t>AR8:AR8</t>
  </si>
  <si>
    <t>Rotation View</t>
  </si>
  <si>
    <t>AZ8:AZ8</t>
  </si>
  <si>
    <t>BB8:BB8</t>
  </si>
  <si>
    <t>Custom Materials</t>
  </si>
  <si>
    <t>Materials</t>
  </si>
  <si>
    <t>B20:D30</t>
  </si>
  <si>
    <t>Standard Reinf Bolt Selections</t>
  </si>
  <si>
    <t>Reinforcements</t>
  </si>
  <si>
    <t>B3:CB60</t>
  </si>
  <si>
    <t>B3:CB52</t>
  </si>
  <si>
    <t>Custom Reinforcement Inputs</t>
  </si>
  <si>
    <t>B61:CB83</t>
  </si>
  <si>
    <t>B53:CB83</t>
  </si>
  <si>
    <t>Incremement Length</t>
  </si>
  <si>
    <t>Results</t>
  </si>
  <si>
    <t>G3:G3</t>
  </si>
  <si>
    <t>Section 15.5 Option</t>
  </si>
  <si>
    <t>F27:F27</t>
  </si>
  <si>
    <t>Load Z Option</t>
  </si>
  <si>
    <t>F30:F30</t>
  </si>
  <si>
    <t>Custom Bolts</t>
  </si>
  <si>
    <t>B15:AM22</t>
  </si>
  <si>
    <t>B6:AJ13</t>
  </si>
  <si>
    <t>Options (Analysis Degrees)</t>
  </si>
  <si>
    <t>Macro References</t>
  </si>
  <si>
    <t>A36:A36</t>
  </si>
  <si>
    <t>Options (Check Connections)</t>
  </si>
  <si>
    <t>A9:A9</t>
  </si>
  <si>
    <t>Options (Allow Deformation)</t>
  </si>
  <si>
    <t>A10:A10</t>
  </si>
  <si>
    <t>Options (Ineffective Mods)</t>
  </si>
  <si>
    <t>A37:A37</t>
  </si>
  <si>
    <t>Options (Use Flange Data)</t>
  </si>
  <si>
    <t>G74:G74</t>
  </si>
  <si>
    <t>Flange Data</t>
  </si>
  <si>
    <t>I74:J83</t>
  </si>
  <si>
    <t>TNX Data</t>
  </si>
  <si>
    <t>Raw TNX File</t>
  </si>
  <si>
    <t>A:A</t>
  </si>
  <si>
    <t>Description of Change</t>
  </si>
  <si>
    <t>Date</t>
  </si>
  <si>
    <t>Created By</t>
  </si>
  <si>
    <t>Approved By</t>
  </si>
  <si>
    <t>Current Version:</t>
  </si>
  <si>
    <t>1.0</t>
  </si>
  <si>
    <t>Initial Release</t>
  </si>
  <si>
    <t>AJunstrom</t>
  </si>
  <si>
    <t>JKim</t>
  </si>
  <si>
    <t>●  Added chronos file import function.</t>
  </si>
  <si>
    <t>●  Added logic so that the tool will not select an elevation within or at the very bottom of a lap splice to be a critical section.  The purpose is to avoid an error encountered in TNX when solving the model.</t>
  </si>
  <si>
    <t>●  Minor formatting changes.</t>
  </si>
  <si>
    <t>●  Increased the number of reinforcement sections that can be entered (from 10 to 30).</t>
  </si>
  <si>
    <t>●  Modified the import forces function to utilize the .MPAUX output file, which is new in tnxTower version 6.1.4.1.  The import forces function is compatible with tnxTower versions 6.1.4.1 or later.</t>
  </si>
  <si>
    <t>JHuwel</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</si>
  <si>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</si>
  <si>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Allow tension-only reinforcement sections.</t>
  </si>
  <si>
    <t xml:space="preserve">●  Allow reinforcements to be installed directly on top of each other ("piggy-back").  The tool only allows two reinforcement sections to occupy a flat at any given elevation (i.e a user cannot model 3 sections on top of each other). </t>
  </si>
  <si>
    <t>●  Enhanced the tnxTower integration functions tby allowing users to export multiple times without having to import a tnx file each time.</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</si>
  <si>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</si>
  <si>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</si>
  <si>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</si>
  <si>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</si>
  <si>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</si>
  <si>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</si>
  <si>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</si>
  <si>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</si>
  <si>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</si>
  <si>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</si>
  <si>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Added a welded connection check, which calculates the weld strength along with the strength of the affected connecting members (e.g. pole, base/flange plate, reinforcing plate).</t>
  </si>
  <si>
    <t>●  Added two new connection types:  "Capacity Input" and "None."  "Capacity Input" can be used for nonstandard connections in which external calculations are required.  "None" can be selected to simply not evaluate a given reinforcing member's connection.</t>
  </si>
  <si>
    <t>●  Fixed a bug in the calculations for top welded connections that have a longitudinal weld.</t>
  </si>
  <si>
    <t>●  Fixed a bug that caused the "Interference Assistant" to sometimes stop working.</t>
  </si>
  <si>
    <t>●  Fixed a bug in the "Ineffective Mod Check" function.</t>
  </si>
  <si>
    <t>●  Made improvements in the user interface.</t>
  </si>
  <si>
    <t>2.5.1</t>
  </si>
  <si>
    <t>●  Bug fixes.</t>
  </si>
  <si>
    <t>3.0.0</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</si>
  <si>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</si>
  <si>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3.1.0</t>
  </si>
  <si>
    <t>●  Added the ability to model lateral offsets on a polygonal pole flat.</t>
  </si>
  <si>
    <t>●  Added the ability to place reinforcement on the corners of polygonal poles.</t>
  </si>
  <si>
    <t>●  Updated the cross-section plot to be a to-scale graphic of the reinforced pole.</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</si>
  <si>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</si>
  <si>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</si>
  <si>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</si>
  <si>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</si>
  <si>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</si>
  <si>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</si>
  <si>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</si>
  <si>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</si>
  <si>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</si>
  <si>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4.0.0</t>
  </si>
  <si>
    <t>● Added Rev H functionality
● Updated Rev G bolt capacity to follow Addendum 1 and 2 (0.45 and 0.55 factor on equations from Section 4.9.6.3)</t>
  </si>
  <si>
    <t>BMihalko</t>
  </si>
  <si>
    <t>●  Corrected a data validation issue that prevented users from adding custom channel shapes.</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</si>
  <si>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</si>
  <si>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  When importing a model that uses 0.95 for the Wind Pressure Multipliers, added logic that will include the 0.95 factors in the exported model.</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</si>
  <si>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</si>
  <si>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 Improved macro runtime speed.
● Fixed a bug that prevented user from selecting custom reinforcement entered in any of the bottom 10 rows of the Reinforcements database.</t>
  </si>
  <si>
    <t>● Corrected a VLOOKUP statement in the "Calculations" worksheet column AC, which impacted user-defined connection capacities in Rev. H.</t>
  </si>
  <si>
    <t>● Incorporated "Load Z" toggle for Revisions F and G.</t>
  </si>
  <si>
    <t>● Added new Crown flat plate options in the database.
● In Rev. H, previously the shear sleeve was not being multiplied by the Rb factor.  Corrected this issue.</t>
  </si>
  <si>
    <t>● Adjusted format of buttons on various tabs to repair bug experienced on certain PCs</t>
  </si>
  <si>
    <t>IMiller</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</si>
  <si>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</si>
  <si>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MRudolph</t>
  </si>
  <si>
    <t>● Added validation to import functionality for standard reinforcement names changing between versions
● Adjusted Combine PDF function to not reference Acrobat directly
● Updated Import macro so that custom pole materials can be utilized correctly</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</si>
  <si>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</si>
  <si>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</si>
  <si>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</si>
  <si>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</si>
  <si>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 Updated logic for Rev H shear capacity of round poles. Should no longer error out at 0ft elevation check.</t>
  </si>
  <si>
    <t>● Updated the initialization code to bypass the warning if opening from a web address (this happens when opening a file still syncing from SharePoint).</t>
  </si>
  <si>
    <t>● Updated the Additional Calculations table header to include "100% Max. Allowable" when Rev. H Section 15.5 option is selected.
● Added A500-46 (46/62 ksi) as a default steel grade option.
● Corrected default E value for certain custom reinforcement rows.</t>
  </si>
  <si>
    <t>● Updated column BV on Calculations tab for slight error when calculating c distance which did not impact results.
● Added worksheet change macro which highlights and records any manually overwritten calculations.
● Tool should now be importing all analysis options (including hole deformation) from previous tools.
● Added additional worksheets and VBA to format data in tool to be compatible with internal databases. 
● Added a "Use stored Base /Flange Plate information" option to the tool to allow for the import of flange plate steel grades from CCIplate or previous CCIpole tools.
● Adjusted the line in Export_TNX_File macro which was trying to open the newly created tnx file, so now it just produces a msgbox to users letting them know the file had been created.
● Adjusted Export_TNX_File macro so that screen updating gets turned back on at the end of the macro.
● (Internal Database) Changed Fy assumption of flange/base plates for weld checks to 36ksi to be conservative when running with internal database for the first time SA. Subsequent files created using internal database data will pull from CCIplate info.
● Updated column GJ on the Reinforcements tab to referernce TRUE instead of "Yes" from the Bolts tab for Rb value.
● Updated G4 calculation on TNX Integration tab to account for both options ("[EndOverwrite]" and "[End Application]").
● Updated Lap_Check macro for an error which could cause there to be multiple 0ft elevations in the reinforced geometry which prevented the eri to be created.
● Updated Fu to be 60ksi for A53-B-35 to be consistent with AISC and CCIplate.</t>
  </si>
  <si>
    <t>● Updated the Results tab and the Lap Check function to not create a modified geometry with 2 subsequent sections within a slip splice. This would cause an error when attempting to create the geometry otherwise.</t>
  </si>
  <si>
    <t>● Corrected a typo within the Lap Check function which could cause an error within tnx.</t>
  </si>
  <si>
    <t>SheetName</t>
  </si>
  <si>
    <t>CellRange</t>
  </si>
  <si>
    <t>CellName</t>
  </si>
  <si>
    <t>Override</t>
  </si>
  <si>
    <t>LastRow</t>
  </si>
  <si>
    <t>pole.pole</t>
  </si>
  <si>
    <t>bus_num</t>
  </si>
  <si>
    <t>structure_id</t>
  </si>
  <si>
    <t>upper_structure_type</t>
  </si>
  <si>
    <t>analysis_deg</t>
  </si>
  <si>
    <t>geom_increment_length</t>
  </si>
  <si>
    <t>tool_version</t>
  </si>
  <si>
    <t>check_connections</t>
  </si>
  <si>
    <t>hole_deformation</t>
  </si>
  <si>
    <t>ineff_mod_check</t>
  </si>
  <si>
    <t>modified</t>
  </si>
  <si>
    <t>flange_data</t>
  </si>
  <si>
    <t>modified_person_id</t>
  </si>
  <si>
    <t>process_stage</t>
  </si>
  <si>
    <t>valid_from</t>
  </si>
  <si>
    <t>valid_to</t>
  </si>
  <si>
    <t>TIA</t>
  </si>
  <si>
    <t>Load Z</t>
  </si>
  <si>
    <t>Section 15.5_H</t>
  </si>
  <si>
    <t>*Added code to "Export_TNX_File" sub to populate "upper_structure_type" field</t>
  </si>
  <si>
    <t>*these values should be entered into the tool but generated from Structure Class data</t>
  </si>
  <si>
    <t>pole.sections</t>
  </si>
  <si>
    <t>pole_id</t>
  </si>
  <si>
    <t>local_section_id</t>
  </si>
  <si>
    <t>elev_bot</t>
  </si>
  <si>
    <t>elev_top</t>
  </si>
  <si>
    <t>length_section</t>
  </si>
  <si>
    <t>length_splice</t>
  </si>
  <si>
    <t>num_sides</t>
  </si>
  <si>
    <t>diam_bot</t>
  </si>
  <si>
    <t>diam_top</t>
  </si>
  <si>
    <t>wall_thickness</t>
  </si>
  <si>
    <t>bend_radius</t>
  </si>
  <si>
    <t>matl_id</t>
  </si>
  <si>
    <t>local_matl_id</t>
  </si>
  <si>
    <t>pole_type</t>
  </si>
  <si>
    <t>section_name</t>
  </si>
  <si>
    <t>socket_length</t>
  </si>
  <si>
    <t>weight_mult</t>
  </si>
  <si>
    <t>wp_mult</t>
  </si>
  <si>
    <t>af_factor</t>
  </si>
  <si>
    <t>ar_factor</t>
  </si>
  <si>
    <t>round_area_ratio</t>
  </si>
  <si>
    <t>flat_area_ratio</t>
  </si>
  <si>
    <t>*Should come from ERI file</t>
  </si>
  <si>
    <t>pole.reinforced_sections</t>
  </si>
  <si>
    <t>pole_type and socket_length added to match with pole_section table</t>
  </si>
  <si>
    <r>
      <t xml:space="preserve">Do we need </t>
    </r>
    <r>
      <rPr>
        <b/>
        <sz val="10"/>
        <rFont val="Arial"/>
        <family val="2"/>
      </rPr>
      <t>pole_structure_id</t>
    </r>
  </si>
  <si>
    <t>*Missing from Results Tab</t>
  </si>
  <si>
    <t>pole.reinforcements</t>
  </si>
  <si>
    <t>local_group_id</t>
  </si>
  <si>
    <t>elev_bot_actual</t>
  </si>
  <si>
    <t>elev_bot_eff</t>
  </si>
  <si>
    <t>elev_top_actual</t>
  </si>
  <si>
    <t>elev_top_eff</t>
  </si>
  <si>
    <t>reinf_id</t>
  </si>
  <si>
    <t>local_reinf_id</t>
  </si>
  <si>
    <t>qty</t>
  </si>
  <si>
    <t>pole.reinforcement_details</t>
  </si>
  <si>
    <t>group_id</t>
  </si>
  <si>
    <t>local_reinforcement_id</t>
  </si>
  <si>
    <t>pole_flat</t>
  </si>
  <si>
    <t>horizontal_offset</t>
  </si>
  <si>
    <t>note</t>
  </si>
  <si>
    <t>reinf_group_id</t>
  </si>
  <si>
    <t>pole.interferences</t>
  </si>
  <si>
    <t>description</t>
  </si>
  <si>
    <t>pole.interference_details</t>
  </si>
  <si>
    <t>local_interference_id</t>
  </si>
  <si>
    <t>pole_reinf_section_results</t>
  </si>
  <si>
    <t>section_id</t>
  </si>
  <si>
    <t>section_reinforced</t>
  </si>
  <si>
    <t>controlling_component</t>
  </si>
  <si>
    <t>pole_rating</t>
  </si>
  <si>
    <t>controlling_rating</t>
  </si>
  <si>
    <t>result_lkup_value</t>
  </si>
  <si>
    <t>rating</t>
  </si>
  <si>
    <t>Do we need a lookup table?</t>
  </si>
  <si>
    <t>result_lkup_id</t>
  </si>
  <si>
    <t>Reinf1 Bolt Shear</t>
  </si>
  <si>
    <t>Reinforcement Bolt Shearing</t>
  </si>
  <si>
    <t>Reinf3 Tension Rupture</t>
  </si>
  <si>
    <t>Overall (Results col BN)</t>
  </si>
  <si>
    <t>RNFBSH</t>
  </si>
  <si>
    <t>Just store overall rating, not applied/allowable forces</t>
  </si>
  <si>
    <t>Not storing MOI &amp; Areas &amp; Mu Pu Vu</t>
  </si>
  <si>
    <t>TABLE NO LONGER EXISTS WITHIN DB. ALL NECESSARY RESULT DATA STORED WITHIN "pole_reinf_results" TABLE</t>
  </si>
  <si>
    <t>pole.reinforcement_results</t>
  </si>
  <si>
    <t>work_order_seq_num</t>
  </si>
  <si>
    <t>result_lkup</t>
  </si>
  <si>
    <t>NULL</t>
  </si>
  <si>
    <t>Pole Interaction</t>
  </si>
  <si>
    <t>Tension</t>
  </si>
  <si>
    <t>Bolt</t>
  </si>
  <si>
    <t>Comp</t>
  </si>
  <si>
    <t>Updated CCIpole run_analysis macro to output the ind reinf group controlling check</t>
  </si>
  <si>
    <t>Just storing the overall rating, not applied/allowable forces</t>
  </si>
  <si>
    <t>gen.pole_matls</t>
  </si>
  <si>
    <t>name</t>
  </si>
  <si>
    <t>fy</t>
  </si>
  <si>
    <t>fu</t>
  </si>
  <si>
    <t>ind_default</t>
  </si>
  <si>
    <t>Showing only "custom" materials</t>
  </si>
  <si>
    <t>gen.pole_bolts</t>
  </si>
  <si>
    <t>local_bolt_id</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</si>
  <si>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</si>
  <si>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</si>
  <si>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</si>
  <si>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</si>
  <si>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</si>
  <si>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</si>
  <si>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</si>
  <si>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</si>
  <si>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</si>
  <si>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</si>
  <si>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</si>
  <si>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</si>
  <si>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</si>
  <si>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Storing only "custom" bolts</t>
  </si>
  <si>
    <t>gen.pole_reinforcements</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</si>
  <si>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</si>
  <si>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</si>
  <si>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</si>
  <si>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</si>
  <si>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</si>
  <si>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</si>
  <si>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</si>
  <si>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</si>
  <si>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</si>
  <si>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</si>
  <si>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</si>
  <si>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</si>
  <si>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</si>
  <si>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</si>
  <si>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</si>
  <si>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</si>
  <si>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</si>
  <si>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</si>
  <si>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</si>
  <si>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</si>
  <si>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bolt_id_bot</t>
  </si>
  <si>
    <t>local_bolt_id_bot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</si>
  <si>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</si>
  <si>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</si>
  <si>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</si>
  <si>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</si>
  <si>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</si>
  <si>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</si>
  <si>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</si>
  <si>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</si>
  <si>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</si>
  <si>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</si>
  <si>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</si>
  <si>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</si>
  <si>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</si>
  <si>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</si>
  <si>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</si>
  <si>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</si>
  <si>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</si>
  <si>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</si>
  <si>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</si>
  <si>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</si>
  <si>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</si>
  <si>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bolt_id_top</t>
  </si>
  <si>
    <t>local_bolt_id_top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</si>
  <si>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</si>
  <si>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</si>
  <si>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</si>
  <si>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</si>
  <si>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</si>
  <si>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</si>
  <si>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</si>
  <si>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</si>
  <si>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</si>
  <si>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</si>
  <si>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</si>
  <si>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</si>
  <si>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</si>
  <si>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</si>
  <si>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</si>
  <si>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</si>
  <si>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</si>
  <si>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</si>
  <si>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</si>
  <si>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</si>
  <si>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</si>
  <si>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</si>
  <si>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</si>
  <si>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</si>
  <si>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</si>
  <si>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</si>
  <si>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</si>
  <si>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</si>
  <si>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</si>
  <si>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</si>
  <si>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</si>
  <si>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</si>
  <si>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</si>
  <si>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</si>
  <si>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</si>
  <si>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</si>
  <si>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</si>
  <si>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</si>
  <si>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</si>
  <si>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</si>
  <si>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</si>
  <si>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</si>
  <si>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</si>
  <si>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</si>
  <si>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</si>
  <si>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</si>
  <si>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</si>
  <si>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</si>
  <si>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</si>
  <si>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</si>
  <si>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</si>
  <si>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</si>
  <si>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</si>
  <si>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</si>
  <si>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</si>
  <si>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</si>
  <si>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</si>
  <si>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</si>
  <si>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</si>
  <si>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</si>
  <si>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</si>
  <si>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</si>
  <si>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</si>
  <si>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</si>
  <si>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</si>
  <si>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</si>
  <si>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</si>
  <si>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</si>
  <si>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</si>
  <si>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</si>
  <si>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</si>
  <si>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</si>
  <si>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</si>
  <si>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</si>
  <si>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</si>
  <si>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</si>
  <si>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Storing only "custom" reinforcements</t>
  </si>
  <si>
    <t>5.0.3</t>
  </si>
  <si>
    <t>● Updated the macros which are used to draw the reinforcement configuration cross section to avoid an issue with MS Excel v2307 and later.</t>
  </si>
  <si>
    <t>TS 1.25x6.00 1-2 PJP</t>
  </si>
  <si>
    <t>TS 1.25x3.75 1-2 PJP</t>
  </si>
  <si>
    <t>TS 1.25x4.50 1-2 PJP</t>
  </si>
  <si>
    <t>TS 1.25x3.00 1-2 PJP</t>
  </si>
  <si>
    <t>MP3-05 1.25in MOD</t>
  </si>
  <si>
    <t>TS 1.25x3.00 5-8 PJP</t>
  </si>
  <si>
    <t>TS 1.25x4.50 CJP</t>
  </si>
  <si>
    <t>TS 1.25x3.75 CJP</t>
  </si>
  <si>
    <t>2.25 AR</t>
  </si>
  <si>
    <t>0</t>
  </si>
  <si>
    <t>A500-46</t>
  </si>
  <si>
    <t>A193-B7</t>
  </si>
  <si>
    <t>n/a</t>
  </si>
  <si>
    <t>4</t>
  </si>
  <si>
    <t>45</t>
  </si>
  <si>
    <t>1</t>
  </si>
  <si>
    <t>5</t>
  </si>
  <si>
    <t>6</t>
  </si>
  <si>
    <t>12</t>
  </si>
  <si>
    <t>15</t>
  </si>
  <si>
    <t>27</t>
  </si>
  <si>
    <t>39</t>
  </si>
  <si>
    <t>#VALUE!</t>
  </si>
  <si>
    <t>Fillet</t>
  </si>
  <si>
    <t>20</t>
  </si>
  <si>
    <t>10</t>
  </si>
  <si>
    <t>3</t>
  </si>
  <si>
    <t>2</t>
  </si>
  <si>
    <t>29</t>
  </si>
  <si>
    <t>PJP Groove</t>
  </si>
  <si>
    <t>solid round</t>
  </si>
  <si>
    <t>d08e0d3</t>
  </si>
  <si>
    <t>ProjectName=Dog Pound (BU 875046)</t>
  </si>
  <si>
    <t>ProjectNumber=TEP No. 45456.714482</t>
  </si>
  <si>
    <t>CreatedBy=Joey Meinerding</t>
  </si>
  <si>
    <t>CreatedOn=Thu Feb 13 14:17:15 2014</t>
  </si>
  <si>
    <t>LastUsedBy=VPM</t>
  </si>
  <si>
    <t>LastUsedOn=Mon Jun 27 15:55:42 2022</t>
  </si>
  <si>
    <t>LengthPrec=2</t>
  </si>
  <si>
    <t>CoordinatePrec=2</t>
  </si>
  <si>
    <t>Load=plf</t>
  </si>
  <si>
    <t>MomentPrec=2</t>
  </si>
  <si>
    <t>PropertiesPrec=4</t>
  </si>
  <si>
    <t>Pressure=psf</t>
  </si>
  <si>
    <t>PressurePrec=0</t>
  </si>
  <si>
    <t>DensityPrec=0</t>
  </si>
  <si>
    <t>SpacingPrec=2</t>
  </si>
  <si>
    <t>Rotation=rad</t>
  </si>
  <si>
    <t>PreCompositeConstructionLoad=10</t>
  </si>
  <si>
    <t>ConstructionLoad=10</t>
  </si>
  <si>
    <t>PreCompositeDeadLoad=10</t>
  </si>
  <si>
    <t>PostCompositeDeadLoad=10</t>
  </si>
  <si>
    <t>RoofLiveLoad=20</t>
  </si>
  <si>
    <t>FloorLiveLoad=40</t>
  </si>
  <si>
    <t>SnowLoad=20</t>
  </si>
  <si>
    <t>WindLoad=20</t>
  </si>
  <si>
    <t>UBCSnowLoad=20</t>
  </si>
  <si>
    <t>SBCCISnowLoad=20</t>
  </si>
  <si>
    <t>BOCASnowLoad=20</t>
  </si>
  <si>
    <t>MatName=A607-65</t>
  </si>
  <si>
    <t>MatName=A607-60</t>
  </si>
  <si>
    <t>MatValues=60000 75000 29000000 11200000 6.5e-006 0.283565999</t>
  </si>
  <si>
    <t>ViewerUserName=VPM</t>
  </si>
  <si>
    <t>ViewerCompanyName=Tower Engineering Professionals</t>
  </si>
  <si>
    <t>ViewerStreetAddress=326 Tryon Road</t>
  </si>
  <si>
    <t>ViewerCityState=Raleigh, NC 27603</t>
  </si>
  <si>
    <t>ViewerPhone=(919) 661-6351</t>
  </si>
  <si>
    <t>ViewerFAX=(919) 661-6350</t>
  </si>
  <si>
    <t>ViewerLogo=Tower Engineering Professionals</t>
  </si>
  <si>
    <t>ViewerCompanyBitmap=TEPLogo</t>
  </si>
  <si>
    <t>sReportProjectNumber=37516-0872.003.7805</t>
  </si>
  <si>
    <t>sReportCarrierName=Verizon Wireless</t>
  </si>
  <si>
    <t>sReportCarrierSiteNumber=295748</t>
  </si>
  <si>
    <t>sReportCarrierSiteName=North Kingstown 5, RI</t>
  </si>
  <si>
    <t>sReportSiteAddress=395 Hamilton-Allenton Rd, North Kingstown, Washington County, RI</t>
  </si>
  <si>
    <t>sReportLatitudeDegree=41.000000</t>
  </si>
  <si>
    <t>sReportLatitudeMinute=32.000000</t>
  </si>
  <si>
    <t>sReportLatitudeSecond=49.370000</t>
  </si>
  <si>
    <t>sReportLongitudeDegree=-71.000000</t>
  </si>
  <si>
    <t>sReportLongitudeMinute=27.000000</t>
  </si>
  <si>
    <t>sReportLongitudeSecond=29.080000</t>
  </si>
  <si>
    <t>sReportLocalCodeRequirement=</t>
  </si>
  <si>
    <t>sReportTowerManufacturer=SUMMIT</t>
  </si>
  <si>
    <t>sReportMonthManufactured=</t>
  </si>
  <si>
    <t>sReportYearManufactured=0</t>
  </si>
  <si>
    <t>sReportOriginalSpeed=0.000000</t>
  </si>
  <si>
    <t>sReportOriginalCode=</t>
  </si>
  <si>
    <t>sReportEngrName=Jared Smith, E.I.</t>
  </si>
  <si>
    <t>sReportEngrTitle=Structural Designer</t>
  </si>
  <si>
    <t>sReportLogoPath=</t>
  </si>
  <si>
    <t>sReportCCiContactName=Kevin Morrow</t>
  </si>
  <si>
    <t>sReportCCiAddress1=3530 Toringdon Way Suite 300</t>
  </si>
  <si>
    <t>sReportCCiAddress2=Charlotte, NC 28277</t>
  </si>
  <si>
    <t>sReportCCiBUNumber=875046</t>
  </si>
  <si>
    <t>sReportCCiSiteName=DOG POUND</t>
  </si>
  <si>
    <t>sReportCCiJDENumber=347775</t>
  </si>
  <si>
    <t>sReportCCiWONumber=1322437</t>
  </si>
  <si>
    <t>sReportCCiPONumber=967392</t>
  </si>
  <si>
    <t>sReportCCiAppNumber=312027</t>
  </si>
  <si>
    <t>sReportCCiRevNumber=17</t>
  </si>
  <si>
    <t>sReportDocsProvided=4-GEOTECHNICAL REPORTS&lt;~~&gt;&lt;~~&gt;1515292&lt;~~&gt;CCISITES</t>
  </si>
  <si>
    <t>sReportDocsProvided=4-POST-MODIFICATION INSPECTION&lt;~~&gt;&lt;~~&gt;4320980&lt;~~&gt;CCISITES</t>
  </si>
  <si>
    <t>sReportDocsProvided=4-TOWER FOUNDATION DRAWINGS/DESIGN/SPECS&lt;~~&gt;&lt;~~&gt;2059825&lt;~~&gt;CCISITES</t>
  </si>
  <si>
    <t>sReportDocsProvided=4-TOWER MANUFACTURER DRAWINGS&lt;~~&gt;&lt;~~&gt;2053087&lt;~~&gt;CCISITES</t>
  </si>
  <si>
    <t>sReportDocsProvided=4-TOWER REINFORCEMENT DESIGN/DRAWINGS/DATA&lt;~~&gt;&lt;~~&gt;2409653&lt;~~&gt;CCISITES</t>
  </si>
  <si>
    <t>sReportRecommendations=&lt;~~&gt;</t>
  </si>
  <si>
    <t>sReportAppurt1=112&lt;~~&gt;112&lt;~~&gt;1&lt;~~&gt;alcatel lucent&lt;~~&gt;B13 RRH4X30-4R&lt;~~&gt;&lt;~~&gt;&lt;~~&gt;&lt;~~&gt;&lt;~~&gt;Proposed</t>
  </si>
  <si>
    <t>sReportAppurt1=112&lt;~~&gt;112&lt;~~&gt;1&lt;~~&gt;alcatel lucent&lt;~~&gt;B25 RRH4x30-4R&lt;~~&gt;&lt;~~&gt;&lt;~~&gt;&lt;~~&gt;&lt;~~&gt;Proposed</t>
  </si>
  <si>
    <t>sReportAppurt1=112&lt;~~&gt;112&lt;~~&gt;1&lt;~~&gt;alcatel lucent&lt;~~&gt;B66A RRH4X45&lt;~~&gt;&lt;~~&gt;&lt;~~&gt;&lt;~~&gt;&lt;~~&gt;Proposed</t>
  </si>
  <si>
    <t>sReportAppurt1=112&lt;~~&gt;112&lt;~~&gt;2&lt;~~&gt;commscope&lt;~~&gt;HBXX-6516DS-A2M&lt;~~&gt;&lt;~~&gt;&lt;~~&gt;&lt;~~&gt;&lt;~~&gt;Proposed</t>
  </si>
  <si>
    <t>sReportAppurt1=112&lt;~~&gt;112&lt;~~&gt;2&lt;~~&gt;commscope&lt;~~&gt;LNX-6514DS-A1M&lt;~~&gt;&lt;~~&gt;&lt;~~&gt;&lt;~~&gt;&lt;~~&gt;Proposed</t>
  </si>
  <si>
    <t>sReportAppurt1=112&lt;~~&gt;112&lt;~~&gt;1&lt;~~&gt;rfs celwave&lt;~~&gt;DB-B1-6C-12AB-0Z&lt;~~&gt;&lt;~~&gt;&lt;~~&gt;&lt;~~&gt;&lt;~~&gt;Proposed</t>
  </si>
  <si>
    <t>sReportAppurt1=112&lt;~~&gt;112&lt;~~&gt;1&lt;~~&gt;tower mounts (cci)&lt;~~&gt;Platform Mount [LP 1301-1]&lt;~~&gt;&lt;~~&gt;&lt;~~&gt;&lt;~~&gt;&lt;~~&gt;Proposed</t>
  </si>
  <si>
    <t>sReportAppurt2=142&lt;~~&gt;142&lt;~~&gt;1&lt;~~&gt;rfs celwave&lt;~~&gt;APXVSPP18-C-A20 w/ Mount Pipe&lt;~~&gt;&lt;~~&gt;&lt;~~&gt;&lt;~~&gt;1&lt;~~&gt;Existing-C</t>
  </si>
  <si>
    <t>sReportAppurt2=142&lt;~~&gt;142&lt;~~&gt;1&lt;~~&gt;tower mounts (cci)&lt;~~&gt;Platform Mount [LP 1201-1]&lt;~~&gt;&lt;~~&gt;&lt;~~&gt;&lt;~~&gt;1&lt;~~&gt;Existing</t>
  </si>
  <si>
    <t>sReportAppurt2=140&lt;~~&gt;141&lt;~~&gt;1&lt;~~&gt;alcatel lucent&lt;~~&gt;PCS 1900MHz 4x45W-65MHz&lt;~~&gt;&lt;~~&gt;&lt;~~&gt;&lt;~~&gt;1&lt;~~&gt;Existing-C</t>
  </si>
  <si>
    <t>sReportAppurt2=140&lt;~~&gt;140&lt;~~&gt;1&lt;~~&gt;alcatel lucent&lt;~~&gt;800MHz 2X50W RRH W/FILTER&lt;~~&gt;&lt;~~&gt;&lt;~~&gt;&lt;~~&gt;1&lt;~~&gt;Existing-C</t>
  </si>
  <si>
    <t>sReportAppurt2=140&lt;~~&gt;140&lt;~~&gt;1&lt;~~&gt;tower mounts (cci)&lt;~~&gt;Side Arm Mount [SO 102-3]&lt;~~&gt;&lt;~~&gt;&lt;~~&gt;&lt;~~&gt;1&lt;~~&gt;Existing</t>
  </si>
  <si>
    <t>sReportAppurt2=131&lt;~~&gt;132&lt;~~&gt;1&lt;~~&gt;andrew&lt;~~&gt;SBNH-1D6565C w/ Mount Pipe&lt;~~&gt;&lt;~~&gt;&lt;~~&gt;&lt;~~&gt;1&lt;~~&gt;Existing-C</t>
  </si>
  <si>
    <t>sReportAppurt2=131&lt;~~&gt;132&lt;~~&gt;1&lt;~~&gt;cci antennas&lt;~~&gt;HPA-65R-BUU-H8 w/ Mount Pipe&lt;~~&gt;&lt;~~&gt;&lt;~~&gt;&lt;~~&gt;2&lt;~~&gt;Reserved</t>
  </si>
  <si>
    <t>sReportAppurt2=131&lt;~~&gt;132&lt;~~&gt;1&lt;~~&gt;ericsson&lt;~~&gt;RRUS-11&lt;~~&gt;&lt;~~&gt;&lt;~~&gt;&lt;~~&gt;1&lt;~~&gt;Existing-C</t>
  </si>
  <si>
    <t>sReportAppurt2=131&lt;~~&gt;132&lt;~~&gt;1&lt;~~&gt;ericsson&lt;~~&gt;RRUS12/RRUS A2&lt;~~&gt;&lt;~~&gt;&lt;~~&gt;&lt;~~&gt;2&lt;~~&gt;Reserved</t>
  </si>
  <si>
    <t>sReportAppurt2=131&lt;~~&gt;132&lt;~~&gt;2&lt;~~&gt;kathrein&lt;~~&gt;800 10121 w/ Mount Pipe&lt;~~&gt;&lt;~~&gt;&lt;~~&gt;&lt;~~&gt;1&lt;~~&gt;Existing-C</t>
  </si>
  <si>
    <t>sReportAppurt2=131&lt;~~&gt;132&lt;~~&gt;4&lt;~~&gt;kathrein&lt;~~&gt;860 10025&lt;~~&gt;&lt;~~&gt;&lt;~~&gt;&lt;~~&gt;1&lt;~~&gt;Existing-C</t>
  </si>
  <si>
    <t>sReportAppurt2=131&lt;~~&gt;132&lt;~~&gt;2&lt;~~&gt;powerwave technologies&lt;~~&gt;TT08-19DB111-001&lt;~~&gt;&lt;~~&gt;&lt;~~&gt;&lt;~~&gt;1&lt;~~&gt;Existing-C</t>
  </si>
  <si>
    <t>sReportAppurt2=131&lt;~~&gt;132&lt;~~&gt;1&lt;~~&gt;powerwave technologies&lt;~~&gt;P65-17-XLH-RR w/ Mount Pipe&lt;~~&gt;&lt;~~&gt;&lt;~~&gt;&lt;~~&gt;1&lt;~~&gt;Existing-C</t>
  </si>
  <si>
    <t>sReportAppurt2=131&lt;~~&gt;132&lt;~~&gt;1&lt;~~&gt;raycap&lt;~~&gt;DC6-48-60-18-8F&lt;~~&gt;&lt;~~&gt;&lt;~~&gt;&lt;~~&gt;1&lt;~~&gt;Existing-C</t>
  </si>
  <si>
    <t>sReportAppurt2=131&lt;~~&gt;131&lt;~~&gt;1&lt;~~&gt;tower mounts (cci)&lt;~~&gt;Platform Mount [LP 1201-1]&lt;~~&gt;&lt;~~&gt;&lt;~~&gt;&lt;~~&gt;1&lt;~~&gt;Existing</t>
  </si>
  <si>
    <t>sReportAppurt2=120&lt;~~&gt;122&lt;~~&gt;1&lt;~~&gt;commscope&lt;~~&gt;LNX-6515DS-A1M w/ Mount Pipe&lt;~~&gt;&lt;~~&gt;&lt;~~&gt;&lt;~~&gt;1&lt;~~&gt;Existing-C</t>
  </si>
  <si>
    <t>sReportAppurt2=120&lt;~~&gt;122&lt;~~&gt;1&lt;~~&gt;ericsson&lt;~~&gt;KRY 112 144/1&lt;~~&gt;&lt;~~&gt;&lt;~~&gt;&lt;~~&gt;1&lt;~~&gt;Existing-C</t>
  </si>
  <si>
    <t>sReportAppurt2=120&lt;~~&gt;122&lt;~~&gt;1&lt;~~&gt;ericsson&lt;~~&gt;RRUS 11 B12&lt;~~&gt;&lt;~~&gt;&lt;~~&gt;&lt;~~&gt;1&lt;~~&gt;Existing-C</t>
  </si>
  <si>
    <t>sReportAppurt2=120&lt;~~&gt;122&lt;~~&gt;1&lt;~~&gt;ericsson&lt;~~&gt;ERICSSON AIR 21 B2A B4P w/ Mount Pipe&lt;~~&gt;&lt;~~&gt;&lt;~~&gt;&lt;~~&gt;1&lt;~~&gt;Existing-C</t>
  </si>
  <si>
    <t>sReportAppurt2=120&lt;~~&gt;122&lt;~~&gt;1&lt;~~&gt;ericsson&lt;~~&gt;ERICSSON AIR 21 B4A B2P w/ Mount Pipe&lt;~~&gt;&lt;~~&gt;&lt;~~&gt;&lt;~~&gt;1&lt;~~&gt;Existing-C</t>
  </si>
  <si>
    <t>sReportAppurt2=120&lt;~~&gt;120&lt;~~&gt;1&lt;~~&gt;tower mounts (cci)&lt;~~&gt;Platform Mount [LP 401-1]&lt;~~&gt;&lt;~~&gt;&lt;~~&gt;&lt;~~&gt;1&lt;~~&gt;Existing</t>
  </si>
  <si>
    <t>sReportAppurt2=112&lt;~~&gt;112&lt;~~&gt;1&lt;~~&gt;kathrein&lt;~~&gt;800 10504 w/ Mount Pipe&lt;~~&gt;&lt;~~&gt;&lt;~~&gt;&lt;~~&gt;1&lt;~~&gt;Abandoned-I</t>
  </si>
  <si>
    <t>sReportAppurt2=112&lt;~~&gt;112&lt;~~&gt;1&lt;~~&gt;tower mounts (cci)&lt;~~&gt;T-Arm Mount [TA 602-3]&lt;~~&gt;&lt;~~&gt;&lt;~~&gt;&lt;~~&gt;7&lt;~~&gt;Temporary</t>
  </si>
  <si>
    <t>sReportAppurt2=80&lt;~~&gt;82&lt;~~&gt;1&lt;~~&gt;andrew&lt;~~&gt;GPS-QBW-26N&lt;~~&gt;&lt;~~&gt;&lt;~~&gt;&lt;~~&gt;1&lt;~~&gt;Existing-C</t>
  </si>
  <si>
    <t>sReportAppurt2=80&lt;~~&gt;80&lt;~~&gt;1&lt;~~&gt;tower mounts (cci)&lt;~~&gt;Side Arm Mount [SO 701-1]&lt;~~&gt;&lt;~~&gt;&lt;~~&gt;&lt;~~&gt;1&lt;~~&gt;Existing</t>
  </si>
  <si>
    <t>sReportAppurt2=&lt;~~&gt;&lt;~~&gt;&lt;~~&gt;&lt;~~&gt;&lt;~~&gt;&lt;~~&gt;&lt;~~&gt;&lt;~~&gt;1&lt;~~&gt;</t>
  </si>
  <si>
    <t>sReportAppurt2=&lt;~~&gt;&lt;~~&gt;&lt;~~&gt;&lt;~~&gt;&lt;~~&gt;&lt;~~&gt;&lt;~~&gt;&lt;~~&gt;2&lt;~~&gt;</t>
  </si>
  <si>
    <t>sReportAddlCapacity=Anchor Rods&lt;~~&gt;&lt;~~&gt;&lt;~~&gt;&lt;~~&gt;&lt;~~&gt;Yes</t>
  </si>
  <si>
    <t>sReportAddlCapacity=Base Plate&lt;~~&gt;&lt;~~&gt;&lt;~~&gt;&lt;~~&gt;&lt;~~&gt;Yes</t>
  </si>
  <si>
    <t>sReportAddlCapacity=Base Foundation&lt;~~&gt;&lt;~~&gt;&lt;~~&gt;&lt;~~&gt;&lt;~~&gt;Yes</t>
  </si>
  <si>
    <t>sReportAddlCapacity=Base Foundation Soil Interaction&lt;~~&gt;&lt;~~&gt;&lt;~~&gt;&lt;~~&gt;&lt;~~&gt;Yes</t>
  </si>
  <si>
    <t>sReportAssumption=Tower and structures were built in accordance with the manufacturer’s specifications.</t>
  </si>
  <si>
    <t>sReportAssumption=The tower and structures have been maintained in accordance with the manufacturer’s specification.</t>
  </si>
  <si>
    <t>sReportAssumption=The configuration of antennas, transmission cables, mounts and other appurtenances are as specified in Tables 1 and 2 and the referenced drawings.</t>
  </si>
  <si>
    <t>sReportAssumption=When applicable, transmission cables are considered as structural components for calculating wind loads as allowed by TIA/EIA-222-F.</t>
  </si>
  <si>
    <t>sReportAppurt1Note1=Existing Equipment</t>
  </si>
  <si>
    <t>sReportAppurt1Note2=Reserved Equipment</t>
  </si>
  <si>
    <t>sReportAppurt1Note3=MLA Equipment Controlling</t>
  </si>
  <si>
    <t>sReportAppurt1Note4=SLA equipment controlling</t>
  </si>
  <si>
    <t>sReportAppurt1Note5=Existing and Reserved Equipment Controlling</t>
  </si>
  <si>
    <t>sReportAppurt1Note6=Equipment to be Removed</t>
  </si>
  <si>
    <t>sReportAppurt2Note3=MLA Equipment Controlling</t>
  </si>
  <si>
    <t>sReportAppurt2Note4=SLA Equipment Controlling</t>
  </si>
  <si>
    <t>sReportAppurt2Note5=MLA/SLA Equipment Not Controlling</t>
  </si>
  <si>
    <t>sReportAppurt2Note6=Equipment To Be Removed</t>
  </si>
  <si>
    <t>OverallHeight=142.000000</t>
  </si>
  <si>
    <t>TowerTopFaceWidth=2.500000</t>
  </si>
  <si>
    <t>TowerBaseFaceWidth=2.500000</t>
  </si>
  <si>
    <t>WindSpeed=129.000000</t>
  </si>
  <si>
    <t>WindSpeedIce=50.000000</t>
  </si>
  <si>
    <t>IceThickness=1.000000</t>
  </si>
  <si>
    <t>CSA_S37_RefVelPress=9.398400</t>
  </si>
  <si>
    <t>AntennaPoleEmod=29000.000000</t>
  </si>
  <si>
    <t>IncludeCapacityNote=No</t>
  </si>
  <si>
    <t>AllowStressRatio=1.000000</t>
  </si>
  <si>
    <t>AllowAntStressRatio=1.000000</t>
  </si>
  <si>
    <t>UseCodeStressRatio=Yes</t>
  </si>
  <si>
    <t>WindExposure=0</t>
  </si>
  <si>
    <t>BaseElevAboveSeaLevel=61.000000</t>
  </si>
  <si>
    <t>TIA_222_H_AnnexS_Ratio=1.050000</t>
  </si>
  <si>
    <t>NumAntennaRecs=51</t>
  </si>
  <si>
    <t>AntennaHeight=142.000000</t>
  </si>
  <si>
    <t>AntennaDiagonalSpacing=0.000000</t>
  </si>
  <si>
    <t>AntennaDiagonalSpacingEx=0.000000</t>
  </si>
  <si>
    <t>AntennaSectionLength=5.000000</t>
  </si>
  <si>
    <t>AntennaHasKBraceEndPanels=Yes</t>
  </si>
  <si>
    <t>AntennaHasHorizontals=No</t>
  </si>
  <si>
    <t>AntennaLongHorizontalType=Flat Bar</t>
  </si>
  <si>
    <t>AntennaLongHorizontalSize=</t>
  </si>
  <si>
    <t>AntennaShortHorizontalType=Flat Bar</t>
  </si>
  <si>
    <t>AntennaShortHorizontalSize=</t>
  </si>
  <si>
    <t>AntennaTaperPoleTopDiameter=16.000000</t>
  </si>
  <si>
    <t>AntennaTaperPoleBotDiameter=17.050211</t>
  </si>
  <si>
    <t>AntennaTaperPoleWallThickness=0.250000</t>
  </si>
  <si>
    <t>AntennaTaperPoleBendRadius=1.000000</t>
  </si>
  <si>
    <t>AntennaTaperPoleMatlGrade=A607-65</t>
  </si>
  <si>
    <t>AntennaHeight=137.000000</t>
  </si>
  <si>
    <t>AntennaTaperPoleTopDiameter=17.050211</t>
  </si>
  <si>
    <t>AntennaTaperPoleBotDiameter=18.100421</t>
  </si>
  <si>
    <t>AntennaHeight=132.000000</t>
  </si>
  <si>
    <t>AntennaTaperPoleTopDiameter=18.100421</t>
  </si>
  <si>
    <t>AntennaTaperPoleBotDiameter=19.150632</t>
  </si>
  <si>
    <t>AntennaRec=4</t>
  </si>
  <si>
    <t>AntennaHeight=127.000000</t>
  </si>
  <si>
    <t>AntennaTaperPoleTopDiameter=19.150632</t>
  </si>
  <si>
    <t>AntennaTaperPoleBotDiameter=20.200842</t>
  </si>
  <si>
    <t>AntennaRec=5</t>
  </si>
  <si>
    <t>AntennaHeight=122.000000</t>
  </si>
  <si>
    <t>AntennaTaperPoleTopDiameter=20.200842</t>
  </si>
  <si>
    <t>AntennaTaperPoleBotDiameter=21.251053</t>
  </si>
  <si>
    <t>AntennaRec=6</t>
  </si>
  <si>
    <t>AntennaHeight=117.000000</t>
  </si>
  <si>
    <t>AntennaTaperPoleTopDiameter=21.251053</t>
  </si>
  <si>
    <t>AntennaTaperPoleBotDiameter=22.301263</t>
  </si>
  <si>
    <t>AntennaRec=7</t>
  </si>
  <si>
    <t>AntennaHeight=112.000000</t>
  </si>
  <si>
    <t>AntennaSectionLength=3.920000</t>
  </si>
  <si>
    <t>AntennaTaperPoleTopDiameter=22.301263</t>
  </si>
  <si>
    <t>AntennaTaperPoleBotDiameter=23.124628</t>
  </si>
  <si>
    <t>AntennaRec=8</t>
  </si>
  <si>
    <t>AntennaHeight=108.080000</t>
  </si>
  <si>
    <t>AntennaSectionLength=0.250000</t>
  </si>
  <si>
    <t>AntennaTaperPoleTopDiameter=23.124628</t>
  </si>
  <si>
    <t>AntennaTaperPoleBotDiameter=23.177139</t>
  </si>
  <si>
    <t>AntennaTaperPoleWallThickness=0.537500</t>
  </si>
  <si>
    <t>AntennaTaperPoleBendRadius=2.150000</t>
  </si>
  <si>
    <t>AntennaSWMult=0.904222</t>
  </si>
  <si>
    <t>AntennaRec=9</t>
  </si>
  <si>
    <t>AntennaHeight=107.830000</t>
  </si>
  <si>
    <t>AntennaTaperPoleTopDiameter=23.177139</t>
  </si>
  <si>
    <t>AntennaTaperPoleBotDiameter=24.227349</t>
  </si>
  <si>
    <t>AntennaTaperPoleWallThickness=0.512500</t>
  </si>
  <si>
    <t>AntennaTaperPoleBendRadius=2.050000</t>
  </si>
  <si>
    <t>AntennaSWMult=0.926937</t>
  </si>
  <si>
    <t>AntennaRec=10</t>
  </si>
  <si>
    <t>AntennaHeight=102.830000</t>
  </si>
  <si>
    <t>AntennaTaperPoleTopDiameter=24.227349</t>
  </si>
  <si>
    <t>AntennaTaperPoleBotDiameter=25.277560</t>
  </si>
  <si>
    <t>AntennaTaperPoleWallThickness=0.500000</t>
  </si>
  <si>
    <t>AntennaTaperPoleBendRadius=2.000000</t>
  </si>
  <si>
    <t>AntennaSWMult=0.930553</t>
  </si>
  <si>
    <t>AntennaRec=11</t>
  </si>
  <si>
    <t>AntennaHeight=97.830000</t>
  </si>
  <si>
    <t>AntennaSectionLength=3.330000</t>
  </si>
  <si>
    <t>AntennaPoleSpliceLength=3.250000</t>
  </si>
  <si>
    <t>AntennaTaperPoleTopDiameter=25.277560</t>
  </si>
  <si>
    <t>AntennaTaperPoleBotDiameter=25.977000</t>
  </si>
  <si>
    <t>AntennaSWMult=0.930261</t>
  </si>
  <si>
    <t>AntennaRec=12</t>
  </si>
  <si>
    <t>AntennaHeight=97.750000</t>
  </si>
  <si>
    <t>AntennaTaperPoleTopDiameter=24.794363</t>
  </si>
  <si>
    <t>AntennaTaperPoleBotDiameter=25.844547</t>
  </si>
  <si>
    <t>AntennaTaperPoleWallThickness=0.562500</t>
  </si>
  <si>
    <t>AntennaTaperPoleBendRadius=2.250000</t>
  </si>
  <si>
    <t>AntennaSWMult=0.931731</t>
  </si>
  <si>
    <t>AntennaRec=13</t>
  </si>
  <si>
    <t>AntennaHeight=92.750000</t>
  </si>
  <si>
    <t>AntennaSectionLength=2.170000</t>
  </si>
  <si>
    <t>AntennaTaperPoleTopDiameter=25.844547</t>
  </si>
  <si>
    <t>AntennaTaperPoleBotDiameter=26.300327</t>
  </si>
  <si>
    <t>AntennaSWMult=0.925069</t>
  </si>
  <si>
    <t>AntennaRec=14</t>
  </si>
  <si>
    <t>AntennaHeight=90.580000</t>
  </si>
  <si>
    <t>AntennaTaperPoleTopDiameter=26.300327</t>
  </si>
  <si>
    <t>AntennaTaperPoleBotDiameter=26.352836</t>
  </si>
  <si>
    <t>AntennaSWMult=0.924317</t>
  </si>
  <si>
    <t>AntennaRec=15</t>
  </si>
  <si>
    <t>AntennaHeight=90.330000</t>
  </si>
  <si>
    <t>AntennaTaperPoleTopDiameter=26.352836</t>
  </si>
  <si>
    <t>AntennaTaperPoleBotDiameter=27.403020</t>
  </si>
  <si>
    <t>AntennaTaperPoleWallThickness=0.550000</t>
  </si>
  <si>
    <t>AntennaTaperPoleBendRadius=2.200000</t>
  </si>
  <si>
    <t>AntennaSWMult=0.930135</t>
  </si>
  <si>
    <t>AntennaRec=16</t>
  </si>
  <si>
    <t>AntennaHeight=85.330000</t>
  </si>
  <si>
    <t>AntennaSectionLength=2.330000</t>
  </si>
  <si>
    <t>AntennaTaperPoleTopDiameter=27.403020</t>
  </si>
  <si>
    <t>AntennaTaperPoleBotDiameter=27.892406</t>
  </si>
  <si>
    <t>AntennaSWMult=0.944705</t>
  </si>
  <si>
    <t>AntennaRec=17</t>
  </si>
  <si>
    <t>AntennaHeight=83.000000</t>
  </si>
  <si>
    <t>AntennaTaperPoleTopDiameter=27.892406</t>
  </si>
  <si>
    <t>AntennaTaperPoleBotDiameter=27.944915</t>
  </si>
  <si>
    <t>AntennaTaperPoleWallThickness=0.787500</t>
  </si>
  <si>
    <t>AntennaTaperPoleBendRadius=3.150000</t>
  </si>
  <si>
    <t>AntennaSWMult=0.912013</t>
  </si>
  <si>
    <t>AntennaRec=18</t>
  </si>
  <si>
    <t>AntennaHeight=82.750000</t>
  </si>
  <si>
    <t>AntennaTaperPoleTopDiameter=27.944915</t>
  </si>
  <si>
    <t>AntennaTaperPoleBotDiameter=28.995099</t>
  </si>
  <si>
    <t>AntennaTaperPoleWallThickness=0.762500</t>
  </si>
  <si>
    <t>AntennaTaperPoleBendRadius=3.050000</t>
  </si>
  <si>
    <t>AntennaSWMult=0.921289</t>
  </si>
  <si>
    <t>AntennaRec=19</t>
  </si>
  <si>
    <t>AntennaHeight=77.750000</t>
  </si>
  <si>
    <t>AntennaTaperPoleTopDiameter=28.995099</t>
  </si>
  <si>
    <t>AntennaTaperPoleBotDiameter=30.045283</t>
  </si>
  <si>
    <t>AntennaTaperPoleWallThickness=0.737500</t>
  </si>
  <si>
    <t>AntennaTaperPoleBendRadius=2.950000</t>
  </si>
  <si>
    <t>AntennaSWMult=0.932758</t>
  </si>
  <si>
    <t>AntennaRec=20</t>
  </si>
  <si>
    <t>AntennaHeight=72.750000</t>
  </si>
  <si>
    <t>AntennaSectionLength=3.830000</t>
  </si>
  <si>
    <t>AntennaTaperPoleTopDiameter=30.045283</t>
  </si>
  <si>
    <t>AntennaTaperPoleBotDiameter=30.849724</t>
  </si>
  <si>
    <t>AntennaSWMult=0.919160</t>
  </si>
  <si>
    <t>AntennaRec=21</t>
  </si>
  <si>
    <t>AntennaHeight=68.920000</t>
  </si>
  <si>
    <t>AntennaTaperPoleTopDiameter=30.849724</t>
  </si>
  <si>
    <t>AntennaTaperPoleBotDiameter=30.902233</t>
  </si>
  <si>
    <t>AntennaTaperPoleWallThickness=0.837500</t>
  </si>
  <si>
    <t>AntennaTaperPoleBendRadius=3.350000</t>
  </si>
  <si>
    <t>AntennaSWMult=0.919540</t>
  </si>
  <si>
    <t>AntennaRec=22</t>
  </si>
  <si>
    <t>AntennaHeight=68.670000</t>
  </si>
  <si>
    <t>AntennaSectionLength=1.670000</t>
  </si>
  <si>
    <t>AntennaTaperPoleTopDiameter=30.902233</t>
  </si>
  <si>
    <t>AntennaTaperPoleBotDiameter=31.252994</t>
  </si>
  <si>
    <t>AntennaSWMult=0.913238</t>
  </si>
  <si>
    <t>AntennaRec=23</t>
  </si>
  <si>
    <t>AntennaHeight=67.000000</t>
  </si>
  <si>
    <t>AntennaTaperPoleTopDiameter=31.252994</t>
  </si>
  <si>
    <t>AntennaTaperPoleBotDiameter=31.305503</t>
  </si>
  <si>
    <t>AntennaTaperPoleWallThickness=0.612500</t>
  </si>
  <si>
    <t>AntennaTaperPoleBendRadius=2.450000</t>
  </si>
  <si>
    <t>AntennaSWMult=0.940518</t>
  </si>
  <si>
    <t>AntennaRec=24</t>
  </si>
  <si>
    <t>AntennaHeight=66.750000</t>
  </si>
  <si>
    <t>AntennaTaperPoleTopDiameter=31.305503</t>
  </si>
  <si>
    <t>AntennaTaperPoleBotDiameter=32.355687</t>
  </si>
  <si>
    <t>AntennaTaperPoleWallThickness=0.600000</t>
  </si>
  <si>
    <t>AntennaTaperPoleBendRadius=2.400000</t>
  </si>
  <si>
    <t>AntennaSWMult=0.945207</t>
  </si>
  <si>
    <t>AntennaRec=25</t>
  </si>
  <si>
    <t>AntennaHeight=61.750000</t>
  </si>
  <si>
    <t>AntennaTaperPoleTopDiameter=32.355687</t>
  </si>
  <si>
    <t>AntennaTaperPoleBotDiameter=32.408197</t>
  </si>
  <si>
    <t>AntennaSWMult=0.944506</t>
  </si>
  <si>
    <t>AntennaRec=26</t>
  </si>
  <si>
    <t>AntennaHeight=61.500000</t>
  </si>
  <si>
    <t>AntennaTaperPoleTopDiameter=32.408197</t>
  </si>
  <si>
    <t>AntennaTaperPoleBotDiameter=32.460706</t>
  </si>
  <si>
    <t>AntennaSWMult=1.010999</t>
  </si>
  <si>
    <t>AntennaRec=27</t>
  </si>
  <si>
    <t>AntennaHeight=61.250000</t>
  </si>
  <si>
    <t>AntennaTaperPoleTopDiameter=32.460706</t>
  </si>
  <si>
    <t>AntennaTaperPoleBotDiameter=32.513215</t>
  </si>
  <si>
    <t>AntennaTaperPoleWallThickness=0.637500</t>
  </si>
  <si>
    <t>AntennaTaperPoleBendRadius=2.550000</t>
  </si>
  <si>
    <t>AntennaSWMult=0.944235</t>
  </si>
  <si>
    <t>AntennaRec=28</t>
  </si>
  <si>
    <t>AntennaHeight=61.000000</t>
  </si>
  <si>
    <t>AntennaSectionLength=0.420000</t>
  </si>
  <si>
    <t>AntennaTaperPoleTopDiameter=32.513215</t>
  </si>
  <si>
    <t>AntennaTaperPoleBotDiameter=32.601430</t>
  </si>
  <si>
    <t>AntennaSWMult=0.942982</t>
  </si>
  <si>
    <t>AntennaRec=29</t>
  </si>
  <si>
    <t>AntennaHeight=60.580000</t>
  </si>
  <si>
    <t>AntennaTaperPoleTopDiameter=32.601430</t>
  </si>
  <si>
    <t>AntennaTaperPoleBotDiameter=32.653940</t>
  </si>
  <si>
    <t>AntennaSWMult=0.942240</t>
  </si>
  <si>
    <t>AntennaRec=30</t>
  </si>
  <si>
    <t>AntennaHeight=60.330000</t>
  </si>
  <si>
    <t>AntennaSectionLength=7.080000</t>
  </si>
  <si>
    <t>AntennaPoleSpliceLength=4.500000</t>
  </si>
  <si>
    <t>AntennaTaperPoleTopDiameter=32.653940</t>
  </si>
  <si>
    <t>AntennaTaperPoleBotDiameter=34.141000</t>
  </si>
  <si>
    <t>AntennaSWMult=0.934716</t>
  </si>
  <si>
    <t>AntennaRec=31</t>
  </si>
  <si>
    <t>AntennaHeight=57.750000</t>
  </si>
  <si>
    <t>AntennaTaperPoleTopDiameter=32.570834</t>
  </si>
  <si>
    <t>AntennaTaperPoleBotDiameter=33.620936</t>
  </si>
  <si>
    <t>AntennaTaperPoleWallThickness=0.700000</t>
  </si>
  <si>
    <t>AntennaTaperPoleBendRadius=2.800000</t>
  </si>
  <si>
    <t>AntennaTaperPoleGrade=60</t>
  </si>
  <si>
    <t>AntennaTaperPoleMatlGrade=A607-60</t>
  </si>
  <si>
    <t>AntennaSWMult=0.936967</t>
  </si>
  <si>
    <t>AntennaRec=32</t>
  </si>
  <si>
    <t>AntennaHeight=52.750000</t>
  </si>
  <si>
    <t>AntennaTaperPoleTopDiameter=33.620936</t>
  </si>
  <si>
    <t>AntennaTaperPoleBotDiameter=34.671038</t>
  </si>
  <si>
    <t>AntennaTaperPoleWallThickness=0.675000</t>
  </si>
  <si>
    <t>AntennaTaperPoleBendRadius=2.700000</t>
  </si>
  <si>
    <t>AntennaSWMult=0.958102</t>
  </si>
  <si>
    <t>AntennaRec=33</t>
  </si>
  <si>
    <t>AntennaHeight=47.750000</t>
  </si>
  <si>
    <t>AntennaSectionLength=3.670000</t>
  </si>
  <si>
    <t>AntennaTaperPoleTopDiameter=34.671038</t>
  </si>
  <si>
    <t>AntennaTaperPoleBotDiameter=35.441812</t>
  </si>
  <si>
    <t>AntennaSWMult=0.949178</t>
  </si>
  <si>
    <t>AntennaRec=34</t>
  </si>
  <si>
    <t>AntennaHeight=44.080000</t>
  </si>
  <si>
    <t>AntennaTaperPoleTopDiameter=35.441812</t>
  </si>
  <si>
    <t>AntennaTaperPoleBotDiameter=35.494317</t>
  </si>
  <si>
    <t>AntennaSWMult=0.948584</t>
  </si>
  <si>
    <t>AntennaRec=35</t>
  </si>
  <si>
    <t>AntennaHeight=43.830000</t>
  </si>
  <si>
    <t>AntennaTaperPoleTopDiameter=35.494317</t>
  </si>
  <si>
    <t>AntennaTaperPoleBotDiameter=36.544419</t>
  </si>
  <si>
    <t>AntennaTaperPoleWallThickness=0.662500</t>
  </si>
  <si>
    <t>AntennaTaperPoleBendRadius=2.650000</t>
  </si>
  <si>
    <t>AntennaSWMult=0.954426</t>
  </si>
  <si>
    <t>AntennaRec=36</t>
  </si>
  <si>
    <t>AntennaHeight=38.830000</t>
  </si>
  <si>
    <t>AntennaTaperPoleTopDiameter=36.544419</t>
  </si>
  <si>
    <t>AntennaTaperPoleBotDiameter=37.594521</t>
  </si>
  <si>
    <t>AntennaTaperPoleWallThickness=0.650000</t>
  </si>
  <si>
    <t>AntennaTaperPoleBendRadius=2.600000</t>
  </si>
  <si>
    <t>AntennaSWMult=0.961199</t>
  </si>
  <si>
    <t>AntennaRec=37</t>
  </si>
  <si>
    <t>AntennaHeight=33.830000</t>
  </si>
  <si>
    <t>AntennaSectionLength=8.830000</t>
  </si>
  <si>
    <t>AntennaPoleSpliceLength=5.000000</t>
  </si>
  <si>
    <t>AntennaTaperPoleTopDiameter=37.594521</t>
  </si>
  <si>
    <t>AntennaTaperPoleBotDiameter=39.449000</t>
  </si>
  <si>
    <t>AntennaSWMult=0.953011</t>
  </si>
  <si>
    <t>AntennaRec=38</t>
  </si>
  <si>
    <t>AntennaHeight=30.000000</t>
  </si>
  <si>
    <t>AntennaSectionLength=6.000000</t>
  </si>
  <si>
    <t>AntennaTaperPoleTopDiameter=37.648898</t>
  </si>
  <si>
    <t>AntennaTaperPoleBotDiameter=38.909119</t>
  </si>
  <si>
    <t>AntennaTaperPoleWallThickness=0.725000</t>
  </si>
  <si>
    <t>AntennaTaperPoleBendRadius=2.900000</t>
  </si>
  <si>
    <t>AntennaSWMult=0.946639</t>
  </si>
  <si>
    <t>AntennaRec=39</t>
  </si>
  <si>
    <t>AntennaHeight=24.000000</t>
  </si>
  <si>
    <t>AntennaSectionLength=1.500000</t>
  </si>
  <si>
    <t>AntennaTaperPoleTopDiameter=38.909119</t>
  </si>
  <si>
    <t>AntennaTaperPoleBotDiameter=39.224174</t>
  </si>
  <si>
    <t>AntennaSWMult=0.943125</t>
  </si>
  <si>
    <t>AntennaRec=40</t>
  </si>
  <si>
    <t>AntennaHeight=22.500000</t>
  </si>
  <si>
    <t>AntennaTaperPoleTopDiameter=39.224174</t>
  </si>
  <si>
    <t>AntennaTaperPoleBotDiameter=39.276683</t>
  </si>
  <si>
    <t>AntennaTaperPoleWallThickness=0.850000</t>
  </si>
  <si>
    <t>AntennaTaperPoleBendRadius=3.400000</t>
  </si>
  <si>
    <t>AntennaSWMult=0.914145</t>
  </si>
  <si>
    <t>AntennaRec=41</t>
  </si>
  <si>
    <t>AntennaHeight=22.250000</t>
  </si>
  <si>
    <t>AntennaTaperPoleTopDiameter=39.276683</t>
  </si>
  <si>
    <t>AntennaTaperPoleBotDiameter=40.047518</t>
  </si>
  <si>
    <t>AntennaSWMult=0.904844</t>
  </si>
  <si>
    <t>AntennaRec=42</t>
  </si>
  <si>
    <t>AntennaHeight=18.580000</t>
  </si>
  <si>
    <t>AntennaTaperPoleTopDiameter=40.047518</t>
  </si>
  <si>
    <t>AntennaTaperPoleBotDiameter=40.100027</t>
  </si>
  <si>
    <t>AntennaTaperPoleWallThickness=0.712500</t>
  </si>
  <si>
    <t>AntennaTaperPoleBendRadius=2.850000</t>
  </si>
  <si>
    <t>AntennaSWMult=0.981092</t>
  </si>
  <si>
    <t>AntennaRec=43</t>
  </si>
  <si>
    <t>AntennaHeight=18.330000</t>
  </si>
  <si>
    <t>AntennaTaperPoleTopDiameter=40.100027</t>
  </si>
  <si>
    <t>AntennaTaperPoleBotDiameter=40.152536</t>
  </si>
  <si>
    <t>AntennaSWMult=0.980487</t>
  </si>
  <si>
    <t>AntennaRec=44</t>
  </si>
  <si>
    <t>AntennaHeight=18.080000</t>
  </si>
  <si>
    <t>AntennaTaperPoleTopDiameter=40.152536</t>
  </si>
  <si>
    <t>AntennaTaperPoleBotDiameter=40.205045</t>
  </si>
  <si>
    <t>AntennaSWMult=0.963293</t>
  </si>
  <si>
    <t>AntennaRec=45</t>
  </si>
  <si>
    <t>AntennaHeight=17.830000</t>
  </si>
  <si>
    <t>AntennaTaperPoleTopDiameter=40.205045</t>
  </si>
  <si>
    <t>AntennaTaperPoleBotDiameter=41.255229</t>
  </si>
  <si>
    <t>AntennaSWMult=0.968134</t>
  </si>
  <si>
    <t>AntennaRec=46</t>
  </si>
  <si>
    <t>AntennaHeight=12.830000</t>
  </si>
  <si>
    <t>AntennaTaperPoleTopDiameter=41.255229</t>
  </si>
  <si>
    <t>AntennaTaperPoleBotDiameter=42.305412</t>
  </si>
  <si>
    <t>AntennaSWMult=0.973775</t>
  </si>
  <si>
    <t>AntennaRec=47</t>
  </si>
  <si>
    <t>AntennaHeight=7.830000</t>
  </si>
  <si>
    <t>AntennaSectionLength=2.000000</t>
  </si>
  <si>
    <t>AntennaTaperPoleTopDiameter=42.305412</t>
  </si>
  <si>
    <t>AntennaTaperPoleBotDiameter=42.725486</t>
  </si>
  <si>
    <t>AntennaSWMult=0.969396</t>
  </si>
  <si>
    <t>AntennaRec=48</t>
  </si>
  <si>
    <t>AntennaHeight=5.830000</t>
  </si>
  <si>
    <t>AntennaTaperPoleTopDiameter=42.725486</t>
  </si>
  <si>
    <t>AntennaTaperPoleBotDiameter=42.777995</t>
  </si>
  <si>
    <t>AntennaSWMult=0.995086</t>
  </si>
  <si>
    <t>AntennaRec=49</t>
  </si>
  <si>
    <t>AntennaHeight=5.580000</t>
  </si>
  <si>
    <t>AntennaSectionLength=4.830000</t>
  </si>
  <si>
    <t>AntennaTaperPoleTopDiameter=42.777995</t>
  </si>
  <si>
    <t>AntennaTaperPoleBotDiameter=43.792472</t>
  </si>
  <si>
    <t>AntennaSWMult=0.984745</t>
  </si>
  <si>
    <t>AntennaRec=50</t>
  </si>
  <si>
    <t>AntennaHeight=0.750000</t>
  </si>
  <si>
    <t>AntennaTaperPoleTopDiameter=43.792472</t>
  </si>
  <si>
    <t>AntennaTaperPoleBotDiameter=43.844982</t>
  </si>
  <si>
    <t>AntennaTaperPoleWallThickness=0.975000</t>
  </si>
  <si>
    <t>AntennaTaperPoleBendRadius=3.900000</t>
  </si>
  <si>
    <t>AntennaSWMult=0.815904</t>
  </si>
  <si>
    <t>AntennaRec=51</t>
  </si>
  <si>
    <t>AntennaHeight=0.500000</t>
  </si>
  <si>
    <t>AntennaSectionLength=0.500000</t>
  </si>
  <si>
    <t>AntennaTaperPoleTopDiameter=43.844982</t>
  </si>
  <si>
    <t>AntennaTaperPoleBotDiameter=43.950000</t>
  </si>
  <si>
    <t>AntennaSWMult=0.814850</t>
  </si>
  <si>
    <t>BasePlateDataAnchorBoltCircle=48.000000</t>
  </si>
  <si>
    <t>BasePlateDataInnerDiameter=42.500000</t>
  </si>
  <si>
    <t>BasePlateDataOuterDiameter=52.500000</t>
  </si>
  <si>
    <t>FtgDataSpreadPierWidth=52.500000</t>
  </si>
  <si>
    <t>FtgDataAllowBrgPressure=3000.000000</t>
  </si>
  <si>
    <t>FtgDataConcretefpc=4.000000</t>
  </si>
  <si>
    <t>NumFeedLineRecs=55</t>
  </si>
  <si>
    <t>FeedLineDescription=***Miscl***</t>
  </si>
  <si>
    <t>FeedLineComponentType=Ar (CfAe)</t>
  </si>
  <si>
    <t>FeedLineDescription=Safety Line 3/8</t>
  </si>
  <si>
    <t>FeedLineComponentType=Surface Ar (CaAa)</t>
  </si>
  <si>
    <t>FeedLineWidth=0.375000</t>
  </si>
  <si>
    <t>FeedLinePerimeter=1.180000</t>
  </si>
  <si>
    <t>FeedLineCaAaNoIce=0.037500</t>
  </si>
  <si>
    <t>FeedLineCaAaIce=0.137496</t>
  </si>
  <si>
    <t>FeedLineCaAaIce_1=0.237504</t>
  </si>
  <si>
    <t>FeedLineCaAaIce_2=0.437496</t>
  </si>
  <si>
    <t>FeedLineCaAaIce_4=0.837504</t>
  </si>
  <si>
    <t>FeedLineWtNoIce=0.220000</t>
  </si>
  <si>
    <t>FeedLineWtIce=0.750000</t>
  </si>
  <si>
    <t>FeedLineWtIce_1=1.280000</t>
  </si>
  <si>
    <t>FeedLineWtIce_2=2.340000</t>
  </si>
  <si>
    <t>FeedLineWtIce_4=4.460000</t>
  </si>
  <si>
    <t>FeedLinePerimeterOffsetStartFrac=0.500000</t>
  </si>
  <si>
    <t>FeedLinePerimeterOffsetEndFrac=0.500000</t>
  </si>
  <si>
    <t>FeedLineEndHt=142.000000</t>
  </si>
  <si>
    <t>FeedLineDescription=***142***</t>
  </si>
  <si>
    <t>FeedLineDatabase=rfs celwave</t>
  </si>
  <si>
    <t>FeedLineDescription=HB158-21U6S24-xxM_TMO(1-5/8)</t>
  </si>
  <si>
    <t>FeedLineClassificationCategory=Reserved</t>
  </si>
  <si>
    <t>FeedLineNote=1-5/8</t>
  </si>
  <si>
    <t>FeedLineWidth=1.996000</t>
  </si>
  <si>
    <t>FeedLinePerimeter=6.270620</t>
  </si>
  <si>
    <t>FeedLineWtNoIce=2.499996</t>
  </si>
  <si>
    <t>FeedLineWtIce=2.499996</t>
  </si>
  <si>
    <t>FeedLineWtIce_1=2.499996</t>
  </si>
  <si>
    <t>FeedLineWtIce_2=2.499996</t>
  </si>
  <si>
    <t>FeedLineWtIce_4=2.499996</t>
  </si>
  <si>
    <t>FeedLineDescription=HB114-1-08U4-M5J(1 1/4")</t>
  </si>
  <si>
    <t>FeedLineNote=TBR</t>
  </si>
  <si>
    <t>FeedLineNum=4</t>
  </si>
  <si>
    <t>FeedLineWtNoIce=1.080000</t>
  </si>
  <si>
    <t>FeedLineWtIce=1.080000</t>
  </si>
  <si>
    <t>FeedLineWtIce_1=1.080000</t>
  </si>
  <si>
    <t>FeedLineWtIce_2=1.080000</t>
  </si>
  <si>
    <t>FeedLineWtIce_4=1.080000</t>
  </si>
  <si>
    <t>FeedLineDescription=***131***</t>
  </si>
  <si>
    <t>FeedLineDescription=LDF7-50A(1-5/8")</t>
  </si>
  <si>
    <t>FeedLineWidth=1.980000</t>
  </si>
  <si>
    <t>FeedLinePerimeter=6.220350</t>
  </si>
  <si>
    <t>FeedLineWtNoIce=0.820000</t>
  </si>
  <si>
    <t>FeedLineWtIce=0.820000</t>
  </si>
  <si>
    <t>FeedLineWtIce_1=0.820000</t>
  </si>
  <si>
    <t>FeedLineWtIce_2=0.820000</t>
  </si>
  <si>
    <t>FeedLineWtIce_4=0.820000</t>
  </si>
  <si>
    <t>FeedLineEndHt=131.000000</t>
  </si>
  <si>
    <t>FeedLineDatabase=rosenberger leoni</t>
  </si>
  <si>
    <t>FeedLineDescription=FB-L98B-034-XXX(3/8")</t>
  </si>
  <si>
    <t>FeedLineNote=3/8</t>
  </si>
  <si>
    <t>FeedLineNum=2</t>
  </si>
  <si>
    <t>FeedLineWidth=0.393700</t>
  </si>
  <si>
    <t>FeedLinePerimeter=1.236850</t>
  </si>
  <si>
    <t>FeedLineWtNoIce=0.057000</t>
  </si>
  <si>
    <t>FeedLineWtIce=0.057000</t>
  </si>
  <si>
    <t>FeedLineWtIce_1=0.057000</t>
  </si>
  <si>
    <t>FeedLineWtIce_2=0.057000</t>
  </si>
  <si>
    <t>FeedLineWtIce_4=0.057000</t>
  </si>
  <si>
    <t>FeedLineDescription=PWRT-608-S(13/16)</t>
  </si>
  <si>
    <t>FeedLineNote=13/16</t>
  </si>
  <si>
    <t>FeedLineNum=6</t>
  </si>
  <si>
    <t>FeedLineNumPerRow=6</t>
  </si>
  <si>
    <t>FeedLineWidth=0.820000</t>
  </si>
  <si>
    <t>FeedLinePerimeter=2.576110</t>
  </si>
  <si>
    <t>FeedLineWtNoIce=0.620000</t>
  </si>
  <si>
    <t>FeedLineWtIce=0.620000</t>
  </si>
  <si>
    <t>FeedLineWtIce_1=0.620000</t>
  </si>
  <si>
    <t>FeedLineWtIce_2=0.620000</t>
  </si>
  <si>
    <t>FeedLineWtIce_4=0.620000</t>
  </si>
  <si>
    <t>FeedLineClearSpacing=0.820000</t>
  </si>
  <si>
    <t>FeedLineRowClearSpacing=0.820000</t>
  </si>
  <si>
    <t>FeedLineDescription=FB-L98B-002-75000(3/8)</t>
  </si>
  <si>
    <t>FeedLineNote=AT&amp;T</t>
  </si>
  <si>
    <t>FeedLineWtNoIce=0.058600</t>
  </si>
  <si>
    <t>FeedLineWtIce=0.058600</t>
  </si>
  <si>
    <t>FeedLineWtIce_1=0.058600</t>
  </si>
  <si>
    <t>FeedLineWtIce_2=0.058600</t>
  </si>
  <si>
    <t>FeedLineWtIce_4=0.058600</t>
  </si>
  <si>
    <t>FeedLineDescription=WR-VG86ST-BRD( 3/4)</t>
  </si>
  <si>
    <t>FeedLineWidth=0.774000</t>
  </si>
  <si>
    <t>FeedLinePerimeter=2.431590</t>
  </si>
  <si>
    <t>FeedLineWtNoIce=0.590000</t>
  </si>
  <si>
    <t>FeedLineWtIce=0.590000</t>
  </si>
  <si>
    <t>FeedLineWtIce_1=0.590000</t>
  </si>
  <si>
    <t>FeedLineWtIce_2=0.590000</t>
  </si>
  <si>
    <t>FeedLineWtIce_4=0.590000</t>
  </si>
  <si>
    <t>FeedLineDescription=2" Flexible Conduit</t>
  </si>
  <si>
    <t>FeedLineNumPerRow=2</t>
  </si>
  <si>
    <t>FeedLineWidth=2.000000</t>
  </si>
  <si>
    <t>FeedLinePerimeter=6.283185</t>
  </si>
  <si>
    <t>FeedLineWtNoIce=0.340000</t>
  </si>
  <si>
    <t>FeedLineWtIce=0.340000</t>
  </si>
  <si>
    <t>FeedLineWtIce_1=0.340000</t>
  </si>
  <si>
    <t>FeedLineWtIce_2=0.340000</t>
  </si>
  <si>
    <t>FeedLineWtIce_4=0.340000</t>
  </si>
  <si>
    <t>FeedLineDescription=***120***</t>
  </si>
  <si>
    <t>FeedLineDescription=LCF158-50A(1-5/8")</t>
  </si>
  <si>
    <t>FeedLineWtNoIce=0.800000</t>
  </si>
  <si>
    <t>FeedLineWtIce=0.800000</t>
  </si>
  <si>
    <t>FeedLineWtIce_1=0.800000</t>
  </si>
  <si>
    <t>FeedLineWtIce_2=0.800000</t>
  </si>
  <si>
    <t>FeedLineWtIce_4=0.800000</t>
  </si>
  <si>
    <t>FeedLineEndHt=120.000000</t>
  </si>
  <si>
    <t>FeedLineDescription=FLC 114-50J(1-1/4")</t>
  </si>
  <si>
    <t>FeedLineNum=7</t>
  </si>
  <si>
    <t>FeedLineWtNoIce=0.700000</t>
  </si>
  <si>
    <t>FeedLineWtIce=0.700000</t>
  </si>
  <si>
    <t>FeedLineWtIce_1=0.700000</t>
  </si>
  <si>
    <t>FeedLineWtIce_2=0.700000</t>
  </si>
  <si>
    <t>FeedLineWtIce_4=0.700000</t>
  </si>
  <si>
    <t>FeedLineDescription=***112***</t>
  </si>
  <si>
    <t>FeedLineDescription=HB158-1-08U8-S8J18( 1-5/8)</t>
  </si>
  <si>
    <t>FeedLineCaAaNoIce=0.198000</t>
  </si>
  <si>
    <t>FeedLineCaAaIce=0.297996</t>
  </si>
  <si>
    <t>FeedLineCaAaIce_1=0.398004</t>
  </si>
  <si>
    <t>FeedLineCaAaIce_2=0.597996</t>
  </si>
  <si>
    <t>FeedLineCaAaIce_4=0.998004</t>
  </si>
  <si>
    <t>FeedLineWtNoIce=1.299996</t>
  </si>
  <si>
    <t>FeedLineWtIce=2.814948</t>
  </si>
  <si>
    <t>FeedLineWtIce_1=4.940760</t>
  </si>
  <si>
    <t>FeedLineWtIce_2=11.024976</t>
  </si>
  <si>
    <t>FeedLineWtIce_4=30.523800</t>
  </si>
  <si>
    <t>FeedLinePerimeterOffsetStartFrac=-0.500000</t>
  </si>
  <si>
    <t>FeedLinePerimeterOffsetEndFrac=-0.500000</t>
  </si>
  <si>
    <t>FeedLineEndHt=112.000000</t>
  </si>
  <si>
    <t>FeedLineDescription=***102***</t>
  </si>
  <si>
    <t>FeedLineDatabase=cui</t>
  </si>
  <si>
    <t>FeedLineDescription=CU12PSM9P6XXX(1-1/2)</t>
  </si>
  <si>
    <t>FeedLineNote=1-1/2</t>
  </si>
  <si>
    <t>FeedLineWidth=1.600000</t>
  </si>
  <si>
    <t>FeedLinePerimeter=5.026550</t>
  </si>
  <si>
    <t>FeedLineCaAaNoIce=0.159996</t>
  </si>
  <si>
    <t>FeedLineCaAaIce=0.260004</t>
  </si>
  <si>
    <t>FeedLineCaAaIce_1=0.360000</t>
  </si>
  <si>
    <t>FeedLineCaAaIce_2=0.560004</t>
  </si>
  <si>
    <t>FeedLineCaAaIce_4=0.960000</t>
  </si>
  <si>
    <t>FeedLineWtNoIce=2.349996</t>
  </si>
  <si>
    <t>FeedLineWtIce=3.632820</t>
  </si>
  <si>
    <t>FeedLineWtIce_1=5.526504</t>
  </si>
  <si>
    <t>FeedLineWtIce_2=11.146464</t>
  </si>
  <si>
    <t>FeedLineWtIce_4=29.716800</t>
  </si>
  <si>
    <t>FeedLineEndHt=102.000000</t>
  </si>
  <si>
    <t>FeedLineDescription=***80***</t>
  </si>
  <si>
    <t>FeedLineDescription=LDF4-50A(1/2)</t>
  </si>
  <si>
    <t>FeedLineNote=1/2</t>
  </si>
  <si>
    <t>FeedLineWidth=0.625000</t>
  </si>
  <si>
    <t>FeedLinePerimeter=1.963500</t>
  </si>
  <si>
    <t>FeedLineWtNoIce=0.150000</t>
  </si>
  <si>
    <t>FeedLineWtIce=0.150000</t>
  </si>
  <si>
    <t>FeedLineWtIce_1=0.150000</t>
  </si>
  <si>
    <t>FeedLineWtIce_2=0.150000</t>
  </si>
  <si>
    <t>FeedLineWtIce_4=0.150000</t>
  </si>
  <si>
    <t>FeedLineEndHt=80.000000</t>
  </si>
  <si>
    <t>FeedLineDescription=***Mods***</t>
  </si>
  <si>
    <t>FeedLineDescription=MP3-05 (1.25in) (MOD)</t>
  </si>
  <si>
    <t>FeedLineNote=Flat 2</t>
  </si>
  <si>
    <t>FeedLineWidth=5.330000</t>
  </si>
  <si>
    <t>FeedLinePerimeter=14.840000</t>
  </si>
  <si>
    <t>FeedLinePerimeterOffsetStartFrac=-0.250000</t>
  </si>
  <si>
    <t>FeedLinePerimeterOffsetEndFrac=-0.250000</t>
  </si>
  <si>
    <t>FeedLineEndHt=25.000000</t>
  </si>
  <si>
    <t>FeedLineNote=Flat 12</t>
  </si>
  <si>
    <t>FeedLineDescription=MP3-06 (1.25in)</t>
  </si>
  <si>
    <t>FeedLineNote=Flat 5</t>
  </si>
  <si>
    <t>FeedLineWidth=6.890000</t>
  </si>
  <si>
    <t>FeedLinePerimeter=19.000000</t>
  </si>
  <si>
    <t>FeedLineEndHt=30.580000</t>
  </si>
  <si>
    <t>FeedLineNote=Flat 9</t>
  </si>
  <si>
    <t>FeedLineRec=29</t>
  </si>
  <si>
    <t>FeedLineRec=30</t>
  </si>
  <si>
    <t>FeedLineNote=Flat 1</t>
  </si>
  <si>
    <t>FeedLineStartHt=15.580000</t>
  </si>
  <si>
    <t>FeedLineRec=31</t>
  </si>
  <si>
    <t>FeedLineRec=32</t>
  </si>
  <si>
    <t>FeedLineDescription=MP3-05 (1.25in)</t>
  </si>
  <si>
    <t>FeedLineStartHt=30.580000</t>
  </si>
  <si>
    <t>FeedLineEndHt=110.800000</t>
  </si>
  <si>
    <t>FeedLineRec=33</t>
  </si>
  <si>
    <t>FeedLineEndHt=110.580000</t>
  </si>
  <si>
    <t>FeedLineRec=34</t>
  </si>
  <si>
    <t>FeedLineRec=35</t>
  </si>
  <si>
    <t>FeedLineRec=36</t>
  </si>
  <si>
    <t>FeedLineDescription=MP3-04 (1.25in)</t>
  </si>
  <si>
    <t>FeedLineNote=Flat 3</t>
  </si>
  <si>
    <t>FeedLineStartHt=5.580000</t>
  </si>
  <si>
    <t>FeedLineEndHt=45.580000</t>
  </si>
  <si>
    <t>FeedLineRec=37</t>
  </si>
  <si>
    <t>FeedLineNote=Flat 11</t>
  </si>
  <si>
    <t>FeedLineRec=38</t>
  </si>
  <si>
    <t>FeedLineRec=39</t>
  </si>
  <si>
    <t>FeedLineNote=Flat 6</t>
  </si>
  <si>
    <t>FeedLineEndHt=19.580000</t>
  </si>
  <si>
    <t>FeedLineRec=40</t>
  </si>
  <si>
    <t>FeedLineRec=41</t>
  </si>
  <si>
    <t>FeedLineNote=Flat 7</t>
  </si>
  <si>
    <t>FeedLineRec=42</t>
  </si>
  <si>
    <t>FeedLineRec=43</t>
  </si>
  <si>
    <t>FeedLineStartHt=42.750000</t>
  </si>
  <si>
    <t>FeedLineEndHt=62.750000</t>
  </si>
  <si>
    <t>FeedLineRec=44</t>
  </si>
  <si>
    <t>FeedLineNote=Flat 10</t>
  </si>
  <si>
    <t>FeedLineRec=45</t>
  </si>
  <si>
    <t>FeedLineRec=46</t>
  </si>
  <si>
    <t>FeedLineStartHt=43.000000</t>
  </si>
  <si>
    <t>FeedLineEndHt=63.000000</t>
  </si>
  <si>
    <t>FeedLineRec=47</t>
  </si>
  <si>
    <t>FeedLineRec=48</t>
  </si>
  <si>
    <t>FeedLineStartHt=60.420000</t>
  </si>
  <si>
    <t>FeedLineEndHt=70.420000</t>
  </si>
  <si>
    <t>FeedLineRec=49</t>
  </si>
  <si>
    <t>FeedLineRec=50</t>
  </si>
  <si>
    <t>FeedLineRec=51</t>
  </si>
  <si>
    <t>FeedLineRec=52</t>
  </si>
  <si>
    <t>FeedLineDescription=(Area) CCI-65FP-060100 (H)</t>
  </si>
  <si>
    <t>FeedLineWidth=6.000000</t>
  </si>
  <si>
    <t>FeedLinePerimeter=14.000000</t>
  </si>
  <si>
    <t>FeedLineStartHt=65.000000</t>
  </si>
  <si>
    <t>FeedLineEndHt=85.000000</t>
  </si>
  <si>
    <t>FeedLineRec=53</t>
  </si>
  <si>
    <t>FeedLineRec=54</t>
  </si>
  <si>
    <t>FeedLineRec=55</t>
  </si>
  <si>
    <t>NumTowerLoadRecs=166</t>
  </si>
  <si>
    <t>TowerLoadDescription=***142***</t>
  </si>
  <si>
    <t>TowerLoadDatabase=ericsson_cfd</t>
  </si>
  <si>
    <t>TowerLoadClassificationCategory=Reserved</t>
  </si>
  <si>
    <t>TowerLoadNote=SPRINT PCS</t>
  </si>
  <si>
    <t>TowerOffsetType=From Centroid-Leg</t>
  </si>
  <si>
    <t>TowerVertOffset=1.000000</t>
  </si>
  <si>
    <t>TowerLoadCaAaNoIce=5.190000</t>
  </si>
  <si>
    <t>TowerLoadCaAaIce=5.590000</t>
  </si>
  <si>
    <t>TowerLoadCaAaIce_1=6.020000</t>
  </si>
  <si>
    <t>TowerLoadCaAaIce_2=6.900000</t>
  </si>
  <si>
    <t>TowerLoadCaAaIce_4=8.860000</t>
  </si>
  <si>
    <t>TowerLoadCaAaNoIce_Side=2.710000</t>
  </si>
  <si>
    <t>TowerLoadCaAaIce_Side=3.040000</t>
  </si>
  <si>
    <t>TowerLoadCaAaIce_Side_1=3.380000</t>
  </si>
  <si>
    <t>TowerLoadCaAaIce_Side_2=4.120000</t>
  </si>
  <si>
    <t>TowerLoadCaAaIce_Side_4=5.770000</t>
  </si>
  <si>
    <t>TowerLoadWtNoIce=0.128370</t>
  </si>
  <si>
    <t>TowerLoadWtIce=0.174020</t>
  </si>
  <si>
    <t>TowerLoadWtIce_1=0.226570</t>
  </si>
  <si>
    <t>TowerLoadWtIce_2=0.353820</t>
  </si>
  <si>
    <t>TowerLoadWtIce_4=0.706550</t>
  </si>
  <si>
    <t>TowerLoadStartHt=142.000000</t>
  </si>
  <si>
    <t>TowerLoadEndHt=142.000000</t>
  </si>
  <si>
    <t>TowerLoadDescription=4003_840590966_TMO w/ Mount Pipe</t>
  </si>
  <si>
    <t>TowerLoadCaAaNoIce=20.117511</t>
  </si>
  <si>
    <t>TowerLoadCaAaIce=20.865515</t>
  </si>
  <si>
    <t>TowerLoadCaAaIce_1=21.622369</t>
  </si>
  <si>
    <t>TowerLoadCaAaIce_2=23.071449</t>
  </si>
  <si>
    <t>TowerLoadCaAaIce_4=26.063937</t>
  </si>
  <si>
    <t>TowerLoadCaAaNoIce_Side=9.780882</t>
  </si>
  <si>
    <t>TowerLoadCaAaIce_Side=11.297803</t>
  </si>
  <si>
    <t>TowerLoadCaAaIce_Side_1=12.838799</t>
  </si>
  <si>
    <t>TowerLoadCaAaIce_Side_2=15.173189</t>
  </si>
  <si>
    <t>TowerLoadCaAaIce_Side_4=20.024161</t>
  </si>
  <si>
    <t>TowerLoadWtNoIce=0.170000</t>
  </si>
  <si>
    <t>TowerLoadWtIce=0.296942</t>
  </si>
  <si>
    <t>TowerLoadWtIce_1=0.435940</t>
  </si>
  <si>
    <t>TowerLoadWtIce_2=0.750312</t>
  </si>
  <si>
    <t>TowerLoadWtIce_4=1.565426</t>
  </si>
  <si>
    <t>TowerLoadDatabase=rfs celwave_cfd</t>
  </si>
  <si>
    <t>TowerLoadDescription=APXVLL19P_43-C-A20_TMO w/ Mount Pipe</t>
  </si>
  <si>
    <t>TowerLoadCaAaNoIce=5.080000</t>
  </si>
  <si>
    <t>TowerLoadCaAaIce_1=6.100000</t>
  </si>
  <si>
    <t>TowerLoadCaAaIce_2=7.170000</t>
  </si>
  <si>
    <t>TowerLoadCaAaIce_4=9.440000</t>
  </si>
  <si>
    <t>TowerLoadCaAaNoIce_Side=3.200000</t>
  </si>
  <si>
    <t>TowerLoadCaAaIce_Side_1=4.170000</t>
  </si>
  <si>
    <t>TowerLoadCaAaIce_Side_2=5.190000</t>
  </si>
  <si>
    <t>TowerLoadCaAaIce_Side_4=7.370000</t>
  </si>
  <si>
    <t>TowerLoadWtNoIce=0.075140</t>
  </si>
  <si>
    <t>TowerLoadWtIce=0.131890</t>
  </si>
  <si>
    <t>TowerLoadWtIce_1=0.199630</t>
  </si>
  <si>
    <t>TowerLoadWtIce_2=0.369510</t>
  </si>
  <si>
    <t>TowerLoadWtIce_4=0.856580</t>
  </si>
  <si>
    <t>TowerLoadDescription=AIR 6419 B41_TMO w/ Mount Pipe</t>
  </si>
  <si>
    <t>TowerLoadCaAaNoIce=6.580000</t>
  </si>
  <si>
    <t>TowerLoadCaAaIce=7.060000</t>
  </si>
  <si>
    <t>TowerLoadCaAaIce_1=7.570000</t>
  </si>
  <si>
    <t>TowerLoadCaAaIce_2=8.620000</t>
  </si>
  <si>
    <t>TowerLoadCaAaIce_4=10.920000</t>
  </si>
  <si>
    <t>TowerLoadCaAaNoIce_Side=3.500000</t>
  </si>
  <si>
    <t>TowerLoadCaAaIce_Side=3.900000</t>
  </si>
  <si>
    <t>TowerLoadCaAaIce_Side_1=4.320000</t>
  </si>
  <si>
    <t>TowerLoadCaAaIce_Side_2=5.200000</t>
  </si>
  <si>
    <t>TowerLoadCaAaIce_Side_4=7.160000</t>
  </si>
  <si>
    <t>TowerLoadWtNoIce=0.111200</t>
  </si>
  <si>
    <t>TowerLoadWtIce=0.161860</t>
  </si>
  <si>
    <t>TowerLoadWtIce_1=0.219850</t>
  </si>
  <si>
    <t>TowerLoadWtIce_2=0.359230</t>
  </si>
  <si>
    <t>TowerLoadWtIce_4=0.741280</t>
  </si>
  <si>
    <t>TowerLoadCaAaNoIce=14.690000</t>
  </si>
  <si>
    <t>TowerLoadCaAaIce=15.460000</t>
  </si>
  <si>
    <t>TowerLoadCaAaIce_1=16.230000</t>
  </si>
  <si>
    <t>TowerLoadCaAaIce_2=17.820000</t>
  </si>
  <si>
    <t>TowerLoadCaAaIce_4=21.140000</t>
  </si>
  <si>
    <t>TowerLoadCaAaNoIce_Side=6.870000</t>
  </si>
  <si>
    <t>TowerLoadCaAaIce_Side=7.550000</t>
  </si>
  <si>
    <t>TowerLoadCaAaIce_Side_1=8.250000</t>
  </si>
  <si>
    <t>TowerLoadCaAaIce_Side_2=9.670000</t>
  </si>
  <si>
    <t>TowerLoadCaAaIce_Side_4=12.670000</t>
  </si>
  <si>
    <t>TowerLoadWtNoIce=0.182780</t>
  </si>
  <si>
    <t>TowerLoadWtIce=0.310530</t>
  </si>
  <si>
    <t>TowerLoadWtIce_1=0.452680</t>
  </si>
  <si>
    <t>TowerLoadWtIce_2=0.781580</t>
  </si>
  <si>
    <t>TowerLoadWtIce_4=1.627510</t>
  </si>
  <si>
    <t>TowerLoadDescription=APXVTM14-ALU-I20 w/ Mount Pipe</t>
  </si>
  <si>
    <t>TowerLoadNote=TBR</t>
  </si>
  <si>
    <t>TowerOffsetType=From Centroid-Face</t>
  </si>
  <si>
    <t>TowerLateralOffset=-2.000000</t>
  </si>
  <si>
    <t>TowerAzimuthAdjustment=-10.000000</t>
  </si>
  <si>
    <t>TowerLoadCaAaIce=4.480000</t>
  </si>
  <si>
    <t>TowerLoadCaAaIce_1=4.880000</t>
  </si>
  <si>
    <t>TowerLoadCaAaIce_2=5.710000</t>
  </si>
  <si>
    <t>TowerLoadCaAaIce_4=7.510000</t>
  </si>
  <si>
    <t>TowerLoadCaAaNoIce_Side=2.860000</t>
  </si>
  <si>
    <t>TowerLoadCaAaIce_Side=3.230000</t>
  </si>
  <si>
    <t>TowerLoadCaAaIce_Side_1=3.610000</t>
  </si>
  <si>
    <t>TowerLoadCaAaIce_Side_2=4.400000</t>
  </si>
  <si>
    <t>TowerLoadCaAaIce_Side_4=6.110000</t>
  </si>
  <si>
    <t>TowerLoadWtNoIce=0.077030</t>
  </si>
  <si>
    <t>TowerLoadWtIce=0.126700</t>
  </si>
  <si>
    <t>TowerLoadWtIce_1=0.185310</t>
  </si>
  <si>
    <t>TowerLoadWtIce_2=0.330730</t>
  </si>
  <si>
    <t>TowerLoadWtIce_4=0.744130</t>
  </si>
  <si>
    <t>TowerAzimuthAdjustment=20.000000</t>
  </si>
  <si>
    <t>TowerAzimuthAdjustment=30.000000</t>
  </si>
  <si>
    <t>TowerLoadDescription=APXVSPP18-C-A20 w/ Mount Pipe</t>
  </si>
  <si>
    <t>TowerLateralOffset=2.000000</t>
  </si>
  <si>
    <t>TowerLoadCaAaNoIce=4.600000</t>
  </si>
  <si>
    <t>TowerLoadCaAaIce=5.050000</t>
  </si>
  <si>
    <t>TowerLoadCaAaIce_1=5.500000</t>
  </si>
  <si>
    <t>TowerLoadCaAaIce_2=6.440000</t>
  </si>
  <si>
    <t>TowerLoadCaAaIce_4=8.450000</t>
  </si>
  <si>
    <t>TowerLoadCaAaNoIce_Side=4.010000</t>
  </si>
  <si>
    <t>TowerLoadCaAaIce_Side=4.450000</t>
  </si>
  <si>
    <t>TowerLoadCaAaIce_Side_1=4.890000</t>
  </si>
  <si>
    <t>TowerLoadCaAaIce_Side_2=5.820000</t>
  </si>
  <si>
    <t>TowerLoadCaAaIce_Side_4=7.790000</t>
  </si>
  <si>
    <t>TowerLoadWtNoIce=0.095090</t>
  </si>
  <si>
    <t>TowerLoadWtIce=0.159530</t>
  </si>
  <si>
    <t>TowerLoadWtIce_1=0.234770</t>
  </si>
  <si>
    <t>TowerLoadWtIce_2=0.419060</t>
  </si>
  <si>
    <t>TowerLoadWtIce_4=0.932630</t>
  </si>
  <si>
    <t>TowerLoadDescription=**</t>
  </si>
  <si>
    <t>TowerLoadDescription=Radio 4480_TMOV2</t>
  </si>
  <si>
    <t>TowerLoadCaAaNoIce=2.878333</t>
  </si>
  <si>
    <t>TowerLoadCaAaIce=3.091481</t>
  </si>
  <si>
    <t>TowerLoadCaAaIce_1=3.312037</t>
  </si>
  <si>
    <t>TowerLoadCaAaIce_2=3.775370</t>
  </si>
  <si>
    <t>TowerLoadCaAaIce_4=4.790926</t>
  </si>
  <si>
    <t>TowerLoadCaAaNoIce_Side=1.397068</t>
  </si>
  <si>
    <t>TowerLoadCaAaIce_Side=1.558333</t>
  </si>
  <si>
    <t>TowerLoadCaAaIce_Side_1=1.726595</t>
  </si>
  <si>
    <t>TowerLoadCaAaIce_Side_2=2.089815</t>
  </si>
  <si>
    <t>TowerLoadCaAaIce_Side_4=2.923148</t>
  </si>
  <si>
    <t>TowerLoadWtNoIce=0.080000</t>
  </si>
  <si>
    <t>TowerLoadWtIce=0.102854</t>
  </si>
  <si>
    <t>TowerLoadWtIce_1=0.127832</t>
  </si>
  <si>
    <t>TowerLoadWtIce_2=0.187938</t>
  </si>
  <si>
    <t>TowerLoadWtIce_4=0.354194</t>
  </si>
  <si>
    <t>TowerLoadDescription=RADIO 4460 B2/B25 B66_TMO</t>
  </si>
  <si>
    <t>TowerLoadCaAaNoIce=2.139167</t>
  </si>
  <si>
    <t>TowerLoadCaAaIce=2.321204</t>
  </si>
  <si>
    <t>TowerLoadCaAaIce_1=2.510648</t>
  </si>
  <si>
    <t>TowerLoadCaAaIce_2=2.911759</t>
  </si>
  <si>
    <t>TowerLoadCaAaIce_4=3.802870</t>
  </si>
  <si>
    <t>TowerLoadCaAaNoIce_Side=1.685833</t>
  </si>
  <si>
    <t>TowerLoadCaAaIce_Side=1.850093</t>
  </si>
  <si>
    <t>TowerLoadCaAaIce_Side_1=2.021759</t>
  </si>
  <si>
    <t>TowerLoadCaAaIce_Side_2=2.387315</t>
  </si>
  <si>
    <t>TowerLoadCaAaIce_Side_4=3.207315</t>
  </si>
  <si>
    <t>TowerLoadWtNoIce=0.110000</t>
  </si>
  <si>
    <t>TowerLoadWtIce=0.131157</t>
  </si>
  <si>
    <t>TowerLoadWtIce_1=0.156360</t>
  </si>
  <si>
    <t>TowerLoadWtIce_2=0.216682</t>
  </si>
  <si>
    <t>TowerLoadWtIce_4=0.382438</t>
  </si>
  <si>
    <t>TowerLoadDatabase=alcatel lucent</t>
  </si>
  <si>
    <t>TowerLoadDescription=TD-RRH8X20-25</t>
  </si>
  <si>
    <t>TowerLoadCaAaNoIce=3.704167</t>
  </si>
  <si>
    <t>TowerLoadCaAaIce=3.946204</t>
  </si>
  <si>
    <t>TowerLoadCaAaIce_1=4.195648</t>
  </si>
  <si>
    <t>TowerLoadCaAaIce_2=4.716759</t>
  </si>
  <si>
    <t>TowerLoadCaAaIce_4=5.847870</t>
  </si>
  <si>
    <t>TowerLoadCaAaNoIce_Side=1.293910</t>
  </si>
  <si>
    <t>TowerLoadCaAaIce_Side=1.464641</t>
  </si>
  <si>
    <t>TowerLoadCaAaIce_Side_1=1.642367</t>
  </si>
  <si>
    <t>TowerLoadCaAaIce_Side_2=2.018808</t>
  </si>
  <si>
    <t>TowerLoadCaAaIce_Side_4=2.855639</t>
  </si>
  <si>
    <t>TowerLoadWtNoIce=0.070000</t>
  </si>
  <si>
    <t>TowerLoadWtIce=0.089937</t>
  </si>
  <si>
    <t>TowerLoadWtIce_1=0.117219</t>
  </si>
  <si>
    <t>TowerLoadWtIce_2=0.182593</t>
  </si>
  <si>
    <t>TowerLoadWtIce_4=0.362030</t>
  </si>
  <si>
    <t>TowerLoadDatabase=pipe</t>
  </si>
  <si>
    <t>TowerLoadDescription=2.4" Dia. x 6-ft</t>
  </si>
  <si>
    <t>TowerLoadType=&lt;unassigned&gt;</t>
  </si>
  <si>
    <t>TowerLoadCaAaNoIce=1.425000</t>
  </si>
  <si>
    <t>TowerLoadCaAaIce=1.924981</t>
  </si>
  <si>
    <t>TowerLoadCaAaIce_1=2.293943</t>
  </si>
  <si>
    <t>TowerLoadCaAaIce_2=3.059645</t>
  </si>
  <si>
    <t>TowerLoadCaAaIce_4=4.702160</t>
  </si>
  <si>
    <t>TowerLoadCaAaNoIce_Side=1.425000</t>
  </si>
  <si>
    <t>TowerLoadCaAaIce_Side=1.924981</t>
  </si>
  <si>
    <t>TowerLoadCaAaIce_Side_1=2.293943</t>
  </si>
  <si>
    <t>TowerLoadCaAaIce_Side_2=3.059645</t>
  </si>
  <si>
    <t>TowerLoadCaAaIce_Side_4=4.702160</t>
  </si>
  <si>
    <t>TowerLoadWtNoIce=0.020000</t>
  </si>
  <si>
    <t>TowerLoadWtIce=0.032787</t>
  </si>
  <si>
    <t>TowerLoadWtIce_1=0.047674</t>
  </si>
  <si>
    <t>TowerLoadWtIce_2=0.090239</t>
  </si>
  <si>
    <t>TowerLoadWtIce_4=0.230803</t>
  </si>
  <si>
    <t>TowerLoadRec=36</t>
  </si>
  <si>
    <t>TowerLoadRec=37</t>
  </si>
  <si>
    <t>TowerLoadDatabase=tower mounts (cci)</t>
  </si>
  <si>
    <t>TowerLoadDescription=Platform Mount [LP 1201-1]</t>
  </si>
  <si>
    <t>TowerAppurtSymbol=T-Frames/3 Antenna</t>
  </si>
  <si>
    <t>TowerLoadCaAaNoIce=18.380000</t>
  </si>
  <si>
    <t>TowerLoadCaAaIce=22.110000</t>
  </si>
  <si>
    <t>TowerLoadCaAaIce_1=25.870000</t>
  </si>
  <si>
    <t>TowerLoadCaAaIce_2=33.470000</t>
  </si>
  <si>
    <t>TowerLoadCaAaIce_4=48.880000</t>
  </si>
  <si>
    <t>TowerLoadCaAaNoIce_Side=18.380000</t>
  </si>
  <si>
    <t>TowerLoadCaAaIce_Side=22.110000</t>
  </si>
  <si>
    <t>TowerLoadCaAaIce_Side_1=25.870000</t>
  </si>
  <si>
    <t>TowerLoadCaAaIce_Side_2=33.470000</t>
  </si>
  <si>
    <t>TowerLoadCaAaIce_Side_4=48.880000</t>
  </si>
  <si>
    <t>TowerLoadWtNoIce=2.100000</t>
  </si>
  <si>
    <t>TowerLoadWtIce=2.651920</t>
  </si>
  <si>
    <t>TowerLoadWtIce_1=3.263010</t>
  </si>
  <si>
    <t>TowerLoadWtIce_2=4.662440</t>
  </si>
  <si>
    <t>TowerLoadWtIce_4=8.168320</t>
  </si>
  <si>
    <t>TowerLoadRec=38</t>
  </si>
  <si>
    <t>TowerLoadDescription=2.4" x 8' Pipe</t>
  </si>
  <si>
    <t>TowerLoadCaAaNoIce=1.899803</t>
  </si>
  <si>
    <t>TowerLoadCaAaIce=2.731656</t>
  </si>
  <si>
    <t>TowerLoadCaAaIce_1=3.415571</t>
  </si>
  <si>
    <t>TowerLoadCaAaIce_2=4.455466</t>
  </si>
  <si>
    <t>TowerLoadCaAaIce_4=6.735244</t>
  </si>
  <si>
    <t>TowerLoadCaAaNoIce_Side=1.900001</t>
  </si>
  <si>
    <t>TowerLoadCaAaIce_Side=2.731941</t>
  </si>
  <si>
    <t>TowerLoadCaAaIce_Side_1=3.415925</t>
  </si>
  <si>
    <t>TowerLoadCaAaIce_Side_2=4.455924</t>
  </si>
  <si>
    <t>TowerLoadCaAaIce_Side_4=6.735921</t>
  </si>
  <si>
    <t>TowerLoadWtNoIce=0.030000</t>
  </si>
  <si>
    <t>TowerLoadWtIce=0.050342</t>
  </si>
  <si>
    <t>TowerLoadWtIce_1=0.073752</t>
  </si>
  <si>
    <t>TowerLoadWtIce_2=0.131398</t>
  </si>
  <si>
    <t>TowerLoadWtIce_4=0.327456</t>
  </si>
  <si>
    <t>TowerLoadRec=39</t>
  </si>
  <si>
    <t>TowerLoadRec=40</t>
  </si>
  <si>
    <t>TowerLoadRec=41</t>
  </si>
  <si>
    <t>TowerLoadDescription=Perfect Vision PV-LPPGS-12M-HR2-AP1 Platform Mount</t>
  </si>
  <si>
    <t>TowerLoadNote=LP 303-1_HR-1</t>
  </si>
  <si>
    <t>TowerLoadCaAaNoIce=17.090000</t>
  </si>
  <si>
    <t>TowerLoadCaAaIce=21.470000</t>
  </si>
  <si>
    <t>TowerLoadCaAaIce_1=25.720000</t>
  </si>
  <si>
    <t>TowerLoadCaAaIce_2=33.960000</t>
  </si>
  <si>
    <t>TowerLoadCaAaIce_4=50.020000</t>
  </si>
  <si>
    <t>TowerLoadCaAaNoIce_Side=17.090000</t>
  </si>
  <si>
    <t>TowerLoadCaAaIce_Side=21.470000</t>
  </si>
  <si>
    <t>TowerLoadCaAaIce_Side_1=25.720000</t>
  </si>
  <si>
    <t>TowerLoadCaAaIce_Side_2=33.960000</t>
  </si>
  <si>
    <t>TowerLoadCaAaIce_Side_4=50.020000</t>
  </si>
  <si>
    <t>TowerLoadWtNoIce=1.495000</t>
  </si>
  <si>
    <t>TowerLoadWtIce=1.880760</t>
  </si>
  <si>
    <t>TowerLoadWtIce_1=2.345760</t>
  </si>
  <si>
    <t>TowerLoadWtIce_2=3.518170</t>
  </si>
  <si>
    <t>TowerLoadWtIce_4=6.865330</t>
  </si>
  <si>
    <t>TowerLoadRec=42</t>
  </si>
  <si>
    <t>TowerLoadRec=43</t>
  </si>
  <si>
    <t>TowerLoadDescription=***140***</t>
  </si>
  <si>
    <t>TowerLoadRec=44</t>
  </si>
  <si>
    <t>TowerLoadDescription=800MHZ 2X50W RRH W/FILTER</t>
  </si>
  <si>
    <t>TowerAppurtSymbol=&lt;AutoSense&gt;</t>
  </si>
  <si>
    <t>TowerLoadCaAaNoIce=2.058333</t>
  </si>
  <si>
    <t>TowerLoadCaAaIce=2.239815</t>
  </si>
  <si>
    <t>TowerLoadCaAaIce_1=2.428704</t>
  </si>
  <si>
    <t>TowerLoadCaAaIce_2=2.828704</t>
  </si>
  <si>
    <t>TowerLoadCaAaIce_4=3.717593</t>
  </si>
  <si>
    <t>TowerLoadCaAaNoIce_Side=1.931667</t>
  </si>
  <si>
    <t>TowerLoadCaAaIce_Side=2.108704</t>
  </si>
  <si>
    <t>TowerLoadCaAaIce_Side_1=2.293148</t>
  </si>
  <si>
    <t>TowerLoadCaAaIce_Side_2=2.684259</t>
  </si>
  <si>
    <t>TowerLoadCaAaIce_Side_4=3.555370</t>
  </si>
  <si>
    <t>TowerLoadWtNoIce=0.060000</t>
  </si>
  <si>
    <t>TowerLoadWtIce=0.086121</t>
  </si>
  <si>
    <t>TowerLoadWtIce_1=0.111302</t>
  </si>
  <si>
    <t>TowerLoadWtIce_2=0.171619</t>
  </si>
  <si>
    <t>TowerLoadWtIce_4=0.337519</t>
  </si>
  <si>
    <t>TowerLoadStartHt=140.000000</t>
  </si>
  <si>
    <t>TowerLoadEndHt=140.000000</t>
  </si>
  <si>
    <t>TowerLoadRec=45</t>
  </si>
  <si>
    <t>TowerLoadRec=46</t>
  </si>
  <si>
    <t>TowerLoadRec=47</t>
  </si>
  <si>
    <t>TowerLoadDescription=PCS 1900MHZ 4X45W-65MHZ</t>
  </si>
  <si>
    <t>TowerLoadCaAaNoIce=2.321750</t>
  </si>
  <si>
    <t>TowerLoadCaAaIce=2.526565</t>
  </si>
  <si>
    <t>TowerLoadCaAaIce_1=2.738787</t>
  </si>
  <si>
    <t>TowerLoadCaAaIce_2=3.185454</t>
  </si>
  <si>
    <t>TowerLoadCaAaIce_4=4.167676</t>
  </si>
  <si>
    <t>TowerLoadCaAaNoIce_Side=2.238083</t>
  </si>
  <si>
    <t>TowerLoadCaAaIce_Side=2.440676</t>
  </si>
  <si>
    <t>TowerLoadCaAaIce_Side_1=2.650676</t>
  </si>
  <si>
    <t>TowerLoadCaAaIce_Side_2=3.092898</t>
  </si>
  <si>
    <t>TowerLoadCaAaIce_Side_4=4.066231</t>
  </si>
  <si>
    <t>TowerLoadWtIce=0.083134</t>
  </si>
  <si>
    <t>TowerLoadWtIce_1=0.109502</t>
  </si>
  <si>
    <t>TowerLoadWtIce_2=0.172719</t>
  </si>
  <si>
    <t>TowerLoadWtIce_4=0.346520</t>
  </si>
  <si>
    <t>TowerLoadRec=48</t>
  </si>
  <si>
    <t>TowerLoadRec=49</t>
  </si>
  <si>
    <t>TowerLoadRec=50</t>
  </si>
  <si>
    <t>TowerLoadDescription=Pipe Mount [PM 601-3]</t>
  </si>
  <si>
    <t>TowerAppurtSymbol=6' Omni</t>
  </si>
  <si>
    <t>TowerLoadCaAaNoIce=3.170000</t>
  </si>
  <si>
    <t>TowerLoadCaAaIce=3.790000</t>
  </si>
  <si>
    <t>TowerLoadCaAaIce_1=4.420000</t>
  </si>
  <si>
    <t>TowerLoadCaAaIce_2=5.760000</t>
  </si>
  <si>
    <t>TowerLoadCaAaIce_4=8.690000</t>
  </si>
  <si>
    <t>TowerLoadCaAaNoIce_Side=3.170000</t>
  </si>
  <si>
    <t>TowerLoadCaAaIce_Side=3.790000</t>
  </si>
  <si>
    <t>TowerLoadCaAaIce_Side_1=4.420000</t>
  </si>
  <si>
    <t>TowerLoadCaAaIce_Side_2=5.760000</t>
  </si>
  <si>
    <t>TowerLoadCaAaIce_Side_4=8.690000</t>
  </si>
  <si>
    <t>TowerLoadWtNoIce=0.195000</t>
  </si>
  <si>
    <t>TowerLoadWtIce=0.232410</t>
  </si>
  <si>
    <t>TowerLoadWtIce_1=0.279000</t>
  </si>
  <si>
    <t>TowerLoadWtIce_2=0.401460</t>
  </si>
  <si>
    <t>TowerLoadWtIce_4=0.776550</t>
  </si>
  <si>
    <t>TowerLoadRec=51</t>
  </si>
  <si>
    <t>TowerLoadRec=52</t>
  </si>
  <si>
    <t>TowerLoadDescription=***131***</t>
  </si>
  <si>
    <t>TowerLoadRec=53</t>
  </si>
  <si>
    <t>TowerLoadDatabase=cci antennas</t>
  </si>
  <si>
    <t>TowerLoadDescription=TPA65R-BU8DA-K w/ Mount Pipe</t>
  </si>
  <si>
    <t>TowerLoadNote=AT&amp;T</t>
  </si>
  <si>
    <t>TowerLoadCaAaNoIce=18.108611</t>
  </si>
  <si>
    <t>TowerLoadCaAaIce=18.843043</t>
  </si>
  <si>
    <t>TowerLoadCaAaIce_1=19.586322</t>
  </si>
  <si>
    <t>TowerLoadCaAaIce_2=21.008443</t>
  </si>
  <si>
    <t>TowerLoadCaAaIce_4=23.946624</t>
  </si>
  <si>
    <t>TowerLoadCaAaNoIce_Side=10.259722</t>
  </si>
  <si>
    <t>TowerLoadCaAaIce_Side=11.781289</t>
  </si>
  <si>
    <t>TowerLoadCaAaIce_Side_1=13.326929</t>
  </si>
  <si>
    <t>TowerLoadCaAaIce_Side_2=15.671605</t>
  </si>
  <si>
    <t>TowerLoadCaAaIce_Side_4=20.539738</t>
  </si>
  <si>
    <t>TowerLoadWtNoIce=0.120000</t>
  </si>
  <si>
    <t>TowerLoadWtIce=0.241239</t>
  </si>
  <si>
    <t>TowerLoadWtIce_1=0.373069</t>
  </si>
  <si>
    <t>TowerLoadWtIce_2=0.672705</t>
  </si>
  <si>
    <t>TowerLoadWtIce_4=1.456775</t>
  </si>
  <si>
    <t>TowerLoadStartHt=131.000000</t>
  </si>
  <si>
    <t>TowerLoadEndHt=131.000000</t>
  </si>
  <si>
    <t>TowerLoadRec=54</t>
  </si>
  <si>
    <t>TowerLoadRec=55</t>
  </si>
  <si>
    <t>TowerLoadRec=56</t>
  </si>
  <si>
    <t>TowerLoadDescription=AIR 6419 B77G_CCIV3 w/ Mount Pipe</t>
  </si>
  <si>
    <t>TowerLoadCaAaNoIce=3.790000</t>
  </si>
  <si>
    <t>TowerLoadCaAaIce=4.140000</t>
  </si>
  <si>
    <t>TowerLoadCaAaIce_1=4.510000</t>
  </si>
  <si>
    <t>TowerLoadCaAaIce_2=5.290000</t>
  </si>
  <si>
    <t>TowerLoadCaAaIce_4=7.010000</t>
  </si>
  <si>
    <t>TowerLoadCaAaNoIce_Side=2.150000</t>
  </si>
  <si>
    <t>TowerLoadCaAaIce_Side=2.450000</t>
  </si>
  <si>
    <t>TowerLoadCaAaIce_Side_1=2.760000</t>
  </si>
  <si>
    <t>TowerLoadCaAaIce_Side_2=3.430000</t>
  </si>
  <si>
    <t>TowerLoadCaAaIce_Side_4=4.940000</t>
  </si>
  <si>
    <t>TowerLoadWtNoIce=0.068530</t>
  </si>
  <si>
    <t>TowerLoadWtIce=0.104180</t>
  </si>
  <si>
    <t>TowerLoadWtIce_1=0.146140</t>
  </si>
  <si>
    <t>TowerLoadWtIce_2=0.250400</t>
  </si>
  <si>
    <t>TowerLoadWtIce_4=0.549970</t>
  </si>
  <si>
    <t>TowerLoadRec=57</t>
  </si>
  <si>
    <t>TowerLoadRec=58</t>
  </si>
  <si>
    <t>TowerLoadRec=59</t>
  </si>
  <si>
    <t>TowerLoadDescription=AIR 6449 B77D_CCVI2 w/ Mount Pipe</t>
  </si>
  <si>
    <t>TowerVertOffset=-1.000000</t>
  </si>
  <si>
    <t>TowerLoadCaAaNoIce=3.580000</t>
  </si>
  <si>
    <t>TowerLoadCaAaIce=3.920000</t>
  </si>
  <si>
    <t>TowerLoadCaAaIce_1=4.270000</t>
  </si>
  <si>
    <t>TowerLoadCaAaIce_2=5.020000</t>
  </si>
  <si>
    <t>TowerLoadCaAaIce_4=6.680000</t>
  </si>
  <si>
    <t>TowerLoadCaAaNoIce_Side=2.310000</t>
  </si>
  <si>
    <t>TowerLoadCaAaIce_Side=2.600000</t>
  </si>
  <si>
    <t>TowerLoadCaAaIce_Side_1=2.910000</t>
  </si>
  <si>
    <t>TowerLoadCaAaIce_Side_2=3.570000</t>
  </si>
  <si>
    <t>TowerLoadCaAaIce_Side_4=5.060000</t>
  </si>
  <si>
    <t>TowerLoadWtNoIce=0.094520</t>
  </si>
  <si>
    <t>TowerLoadWtIce=0.130390</t>
  </si>
  <si>
    <t>TowerLoadWtIce_1=0.172530</t>
  </si>
  <si>
    <t>TowerLoadWtIce_2=0.277000</t>
  </si>
  <si>
    <t>TowerLoadWtIce_4=0.576440</t>
  </si>
  <si>
    <t>TowerLoadRec=60</t>
  </si>
  <si>
    <t>TowerLoadRec=61</t>
  </si>
  <si>
    <t>TowerLoadRec=62</t>
  </si>
  <si>
    <t>TowerLoadDatabase=kathrein_cfd</t>
  </si>
  <si>
    <t>TowerLoadDescription=80010966 w/ Mount Pipe</t>
  </si>
  <si>
    <t>TowerLoadCaAaNoIce=14.610000</t>
  </si>
  <si>
    <t>TowerLoadCaAaIce=15.470000</t>
  </si>
  <si>
    <t>TowerLoadCaAaIce_1=16.350000</t>
  </si>
  <si>
    <t>TowerLoadCaAaIce_2=18.140000</t>
  </si>
  <si>
    <t>TowerLoadCaAaIce_4=21.910000</t>
  </si>
  <si>
    <t>TowerLoadCaAaNoIce_Side=6.840000</t>
  </si>
  <si>
    <t>TowerLoadCaAaIce_Side=7.630000</t>
  </si>
  <si>
    <t>TowerLoadCaAaIce_Side_1=8.420000</t>
  </si>
  <si>
    <t>TowerLoadCaAaIce_Side_2=10.060000</t>
  </si>
  <si>
    <t>TowerLoadCaAaIce_Side_4=13.500000</t>
  </si>
  <si>
    <t>TowerLoadWtNoIce=0.158610</t>
  </si>
  <si>
    <t>TowerLoadWtIce=0.266740</t>
  </si>
  <si>
    <t>TowerLoadWtIce_1=0.388920</t>
  </si>
  <si>
    <t>TowerLoadWtIce_2=0.676830</t>
  </si>
  <si>
    <t>TowerLoadWtIce_4=1.436550</t>
  </si>
  <si>
    <t>TowerLoadRec=63</t>
  </si>
  <si>
    <t>TowerLoadRec=64</t>
  </si>
  <si>
    <t>TowerLoadRec=65</t>
  </si>
  <si>
    <t>TowerLoadDatabase=cci antennas_cfd</t>
  </si>
  <si>
    <t>TowerLoadDescription=HPA-65R-BUU-H8 w/ Mount Pipe</t>
  </si>
  <si>
    <t>TowerLoadCaAaNoIce=12.250000</t>
  </si>
  <si>
    <t>TowerLoadCaAaIce=13.190000</t>
  </si>
  <si>
    <t>TowerLoadCaAaIce_1=14.160000</t>
  </si>
  <si>
    <t>TowerLoadCaAaIce_2=16.140000</t>
  </si>
  <si>
    <t>TowerLoadCaAaIce_4=20.310000</t>
  </si>
  <si>
    <t>TowerLoadCaAaNoIce_Side=8.330000</t>
  </si>
  <si>
    <t>TowerLoadCaAaIce_Side=9.230000</t>
  </si>
  <si>
    <t>TowerLoadCaAaIce_Side_1=10.150000</t>
  </si>
  <si>
    <t>TowerLoadCaAaIce_Side_2=12.050000</t>
  </si>
  <si>
    <t>TowerLoadCaAaIce_Side_4=16.050000</t>
  </si>
  <si>
    <t>TowerLoadWtNoIce=0.104810</t>
  </si>
  <si>
    <t>TowerLoadWtIce=0.194010</t>
  </si>
  <si>
    <t>TowerLoadWtIce_1=0.296540</t>
  </si>
  <si>
    <t>TowerLoadWtIce_2=0.542980</t>
  </si>
  <si>
    <t>TowerLoadWtIce_4=1.211110</t>
  </si>
  <si>
    <t>TowerLoadRec=66</t>
  </si>
  <si>
    <t>TowerLateralOffset=6.000000</t>
  </si>
  <si>
    <t>TowerLoadRec=67</t>
  </si>
  <si>
    <t>TowerLoadRec=68</t>
  </si>
  <si>
    <t>TowerLoadDescription=800 10121 w/ Mount Pipe</t>
  </si>
  <si>
    <t>TowerLoadCaAaNoIce=3.600000</t>
  </si>
  <si>
    <t>TowerLoadCaAaIce=4.000000</t>
  </si>
  <si>
    <t>TowerLoadCaAaIce_4=7.170000</t>
  </si>
  <si>
    <t>TowerLoadCaAaNoIce_Side=2.950000</t>
  </si>
  <si>
    <t>TowerLoadCaAaIce_Side=3.340000</t>
  </si>
  <si>
    <t>TowerLoadCaAaIce_Side_1=3.740000</t>
  </si>
  <si>
    <t>TowerLoadCaAaIce_Side_2=4.590000</t>
  </si>
  <si>
    <t>TowerLoadCaAaIce_Side_4=6.420000</t>
  </si>
  <si>
    <t>TowerLoadWtNoIce=0.071580</t>
  </si>
  <si>
    <t>TowerLoadWtIce=0.114650</t>
  </si>
  <si>
    <t>TowerLoadWtIce_1=0.166320</t>
  </si>
  <si>
    <t>TowerLoadWtIce_2=0.296850</t>
  </si>
  <si>
    <t>TowerLoadWtIce_4=0.676430</t>
  </si>
  <si>
    <t>TowerLoadRec=69</t>
  </si>
  <si>
    <t>TowerLoadRec=70</t>
  </si>
  <si>
    <t>TowerLoadRec=71</t>
  </si>
  <si>
    <t>TowerLoadRec=72</t>
  </si>
  <si>
    <t>TowerLateralOffset=-6.000000</t>
  </si>
  <si>
    <t>TowerLoadCaAaNoIce=2.857053</t>
  </si>
  <si>
    <t>TowerLoadCaAaIce=3.082979</t>
  </si>
  <si>
    <t>TowerLoadCaAaIce_1=3.316313</t>
  </si>
  <si>
    <t>TowerLoadCaAaIce_2=3.805201</t>
  </si>
  <si>
    <t>TowerLoadCaAaIce_4=4.871868</t>
  </si>
  <si>
    <t>TowerLoadCaAaNoIce_Side=1.776599</t>
  </si>
  <si>
    <t>TowerLoadCaAaIce_Side=1.967677</t>
  </si>
  <si>
    <t>TowerLoadCaAaIce_Side_1=2.165752</t>
  </si>
  <si>
    <t>TowerLoadCaAaIce_Side_2=2.582887</t>
  </si>
  <si>
    <t>TowerLoadCaAaIce_Side_4=3.501110</t>
  </si>
  <si>
    <t>TowerLoadRec=73</t>
  </si>
  <si>
    <t>TowerLoadRec=74</t>
  </si>
  <si>
    <t>TowerLoadRec=75</t>
  </si>
  <si>
    <t>TowerLoadDescription=RRUS 4478 B14_CCIV2</t>
  </si>
  <si>
    <t>TowerLoadCaAaNoIce=2.021167</t>
  </si>
  <si>
    <t>TowerLoadCaAaIce=2.199870</t>
  </si>
  <si>
    <t>TowerLoadCaAaIce_1=2.385981</t>
  </si>
  <si>
    <t>TowerLoadCaAaIce_2=2.780426</t>
  </si>
  <si>
    <t>TowerLoadCaAaIce_4=3.658204</t>
  </si>
  <si>
    <t>TowerLoadCaAaNoIce_Side=1.245883</t>
  </si>
  <si>
    <t>TowerLoadCaAaIce_Side=1.396031</t>
  </si>
  <si>
    <t>TowerLoadCaAaIce_Side_1=1.553587</t>
  </si>
  <si>
    <t>TowerLoadCaAaIce_Side_2=1.890920</t>
  </si>
  <si>
    <t>TowerLoadCaAaIce_Side_4=2.654476</t>
  </si>
  <si>
    <t>TowerLoadWtIce=0.077013</t>
  </si>
  <si>
    <t>TowerLoadWtIce_1=0.097398</t>
  </si>
  <si>
    <t>TowerLoadWtIce_2=0.147259</t>
  </si>
  <si>
    <t>TowerLoadWtIce_4=0.288795</t>
  </si>
  <si>
    <t>TowerLoadRec=76</t>
  </si>
  <si>
    <t>TowerLoadRec=77</t>
  </si>
  <si>
    <t>TowerLoadRec=78</t>
  </si>
  <si>
    <t>TowerLoadDescription=DC6-48-60-18-8F</t>
  </si>
  <si>
    <t>TowerLoadCaAaNoIce=2.039583</t>
  </si>
  <si>
    <t>TowerLoadCaAaIce=2.228009</t>
  </si>
  <si>
    <t>TowerLoadCaAaIce_1=2.423843</t>
  </si>
  <si>
    <t>TowerLoadCaAaIce_2=2.837731</t>
  </si>
  <si>
    <t>TowerLoadCaAaIce_4=3.754398</t>
  </si>
  <si>
    <t>TowerLoadCaAaNoIce_Side=2.039583</t>
  </si>
  <si>
    <t>TowerLoadCaAaIce_Side=2.228009</t>
  </si>
  <si>
    <t>TowerLoadCaAaIce_Side_1=2.423843</t>
  </si>
  <si>
    <t>TowerLoadCaAaIce_Side_2=2.837731</t>
  </si>
  <si>
    <t>TowerLoadCaAaIce_Side_4=3.754398</t>
  </si>
  <si>
    <t>TowerLoadWtIce=0.040151</t>
  </si>
  <si>
    <t>TowerLoadWtIce_1=0.064465</t>
  </si>
  <si>
    <t>TowerLoadWtIce_2=0.123057</t>
  </si>
  <si>
    <t>TowerLoadWtIce_4=0.285548</t>
  </si>
  <si>
    <t>TowerLoadRec=79</t>
  </si>
  <si>
    <t>TowerLoadRec=80</t>
  </si>
  <si>
    <t>TowerLoadDescription=RRUS 4449 B5/B12</t>
  </si>
  <si>
    <t>TowerLoadCaAaNoIce=1.967508</t>
  </si>
  <si>
    <t>TowerLoadCaAaIce=2.143934</t>
  </si>
  <si>
    <t>TowerLoadCaAaIce_1=2.327768</t>
  </si>
  <si>
    <t>TowerLoadCaAaIce_2=2.717656</t>
  </si>
  <si>
    <t>TowerLoadCaAaIce_4=3.586323</t>
  </si>
  <si>
    <t>TowerLoadCaAaNoIce_Side=1.408133</t>
  </si>
  <si>
    <t>TowerLoadCaAaIce_Side=1.563726</t>
  </si>
  <si>
    <t>TowerLoadCaAaIce_Side_1=1.726726</t>
  </si>
  <si>
    <t>TowerLoadCaAaIce_Side_2=2.074948</t>
  </si>
  <si>
    <t>TowerLoadCaAaIce_Side_4=2.860281</t>
  </si>
  <si>
    <t>TowerLoadWtIce=0.089509</t>
  </si>
  <si>
    <t>TowerLoadWtIce_1=0.110838</t>
  </si>
  <si>
    <t>TowerLoadWtIce_2=0.162740</t>
  </si>
  <si>
    <t>TowerLoadWtIce_4=0.308956</t>
  </si>
  <si>
    <t>TowerLoadRec=81</t>
  </si>
  <si>
    <t>TowerLoadRec=82</t>
  </si>
  <si>
    <t>TowerLoadRec=83</t>
  </si>
  <si>
    <t>TowerLoadDescription=RRUS 8843 B2/B66A</t>
  </si>
  <si>
    <t>TowerLoadCaAaNoIce=1.639000</t>
  </si>
  <si>
    <t>TowerLoadCaAaIce=1.798815</t>
  </si>
  <si>
    <t>TowerLoadCaAaIce_1=1.966037</t>
  </si>
  <si>
    <t>TowerLoadCaAaIce_2=2.322704</t>
  </si>
  <si>
    <t>TowerLoadCaAaIce_4=3.124926</t>
  </si>
  <si>
    <t>TowerLoadCaAaNoIce_Side=1.353417</t>
  </si>
  <si>
    <t>TowerLoadCaAaIce_Side=1.500454</t>
  </si>
  <si>
    <t>TowerLoadCaAaIce_Side_1=1.654898</t>
  </si>
  <si>
    <t>TowerLoadCaAaIce_Side_2=1.986009</t>
  </si>
  <si>
    <t>TowerLoadCaAaIce_Side_4=2.737120</t>
  </si>
  <si>
    <t>TowerLoadWtIce=0.089596</t>
  </si>
  <si>
    <t>TowerLoadWtIce_1=0.109915</t>
  </si>
  <si>
    <t>TowerLoadWtIce_2=0.159496</t>
  </si>
  <si>
    <t>TowerLoadWtIce_4=0.299881</t>
  </si>
  <si>
    <t>TowerLoadRec=84</t>
  </si>
  <si>
    <t>TowerLoadRec=85</t>
  </si>
  <si>
    <t>TowerLoadRec=86</t>
  </si>
  <si>
    <t>TowerLoadDescription=RRUS-32 B30</t>
  </si>
  <si>
    <t>TowerLoadCaAaNoIce=3.313917</t>
  </si>
  <si>
    <t>TowerLoadCaAaIce=3.557620</t>
  </si>
  <si>
    <t>TowerLoadCaAaIce_1=3.808731</t>
  </si>
  <si>
    <t>TowerLoadCaAaIce_2=4.333176</t>
  </si>
  <si>
    <t>TowerLoadCaAaIce_4=5.470954</t>
  </si>
  <si>
    <t>TowerLoadCaAaNoIce_Side=2.423838</t>
  </si>
  <si>
    <t>TowerLoadCaAaIce_Side=2.638262</t>
  </si>
  <si>
    <t>TowerLoadCaAaIce_Side_1=2.859682</t>
  </si>
  <si>
    <t>TowerLoadCaAaIce_Side_2=3.323509</t>
  </si>
  <si>
    <t>TowerLoadCaAaIce_Side_4=4.355231</t>
  </si>
  <si>
    <t>TowerLoadWtIce=0.104928</t>
  </si>
  <si>
    <t>TowerLoadWtIce_1=0.136466</t>
  </si>
  <si>
    <t>TowerLoadWtIce_2=0.211150</t>
  </si>
  <si>
    <t>TowerLoadWtIce_4=0.412396</t>
  </si>
  <si>
    <t>TowerLoadRec=87</t>
  </si>
  <si>
    <t>TowerLoadRec=88</t>
  </si>
  <si>
    <t>TowerLoadRec=89</t>
  </si>
  <si>
    <t>TowerLoadDatabase=powerwave technologies</t>
  </si>
  <si>
    <t>TowerLoadDescription=TT08-19DB111-001</t>
  </si>
  <si>
    <t>TowerLoadCaAaNoIce=0.792833</t>
  </si>
  <si>
    <t>TowerLoadCaAaIce=0.912648</t>
  </si>
  <si>
    <t>TowerLoadCaAaIce_1=1.039870</t>
  </si>
  <si>
    <t>TowerLoadCaAaIce_2=1.316537</t>
  </si>
  <si>
    <t>TowerLoadCaAaIce_4=1.958759</t>
  </si>
  <si>
    <t>TowerLoadCaAaNoIce_Side=0.642068</t>
  </si>
  <si>
    <t>TowerLoadCaAaIce_Side=0.751593</t>
  </si>
  <si>
    <t>TowerLoadCaAaIce_Side_1=0.871593</t>
  </si>
  <si>
    <t>TowerLoadCaAaIce_Side_2=1.133815</t>
  </si>
  <si>
    <t>TowerLoadCaAaIce_Side_4=1.747148</t>
  </si>
  <si>
    <t>TowerLoadWtIce=0.029625</t>
  </si>
  <si>
    <t>TowerLoadWtIce_1=0.039150</t>
  </si>
  <si>
    <t>TowerLoadWtIce_2=0.064674</t>
  </si>
  <si>
    <t>TowerLoadWtIce_4=0.147067</t>
  </si>
  <si>
    <t>TowerLoadRec=90</t>
  </si>
  <si>
    <t>TowerLoadRec=91</t>
  </si>
  <si>
    <t>TowerLoadRec=92</t>
  </si>
  <si>
    <t>TowerLoadRec=93</t>
  </si>
  <si>
    <t>TowerLoadDescription=12.5-ft Walkway</t>
  </si>
  <si>
    <t>TowerLoadNote=RMQP-12-H5</t>
  </si>
  <si>
    <t>TowerVertOffset=-2.000000</t>
  </si>
  <si>
    <t>TowerLoadShieldingFactorKaNoIce=0.7500</t>
  </si>
  <si>
    <t>TowerLoadShieldingFactorKaIce=0.7500</t>
  </si>
  <si>
    <t>TowerLoadCaAaNoIce=2.100000</t>
  </si>
  <si>
    <t>TowerLoadCaAaIce=2.814815</t>
  </si>
  <si>
    <t>TowerLoadCaAaIce_1=3.537037</t>
  </si>
  <si>
    <t>TowerLoadCaAaIce_2=5.003704</t>
  </si>
  <si>
    <t>TowerLoadCaAaIce_4=8.025926</t>
  </si>
  <si>
    <t>TowerLoadCaAaNoIce_Side=0.200000</t>
  </si>
  <si>
    <t>TowerLoadCaAaIce_Side=0.281481</t>
  </si>
  <si>
    <t>TowerLoadCaAaIce_Side_1=0.370370</t>
  </si>
  <si>
    <t>TowerLoadCaAaIce_Side_2=0.570370</t>
  </si>
  <si>
    <t>TowerLoadCaAaIce_Side_4=1.059259</t>
  </si>
  <si>
    <t>TowerLoadWtIce=0.184814</t>
  </si>
  <si>
    <t>TowerLoadWtIce_1=0.256596</t>
  </si>
  <si>
    <t>TowerLoadWtIce_2=0.428744</t>
  </si>
  <si>
    <t>TowerLoadWtIce_4=0.892819</t>
  </si>
  <si>
    <t>TowerLoadRec=94</t>
  </si>
  <si>
    <t>TowerLoadRec=95</t>
  </si>
  <si>
    <t>TowerLoadRec=96</t>
  </si>
  <si>
    <t>TowerLoadDescription=Platform Mount [LP 303-1]</t>
  </si>
  <si>
    <t>TowerAppurtSymbol=T-Frames/4 Antenna</t>
  </si>
  <si>
    <t>TowerLoadCaAaIce=18.010000</t>
  </si>
  <si>
    <t>TowerLoadCaAaIce_1=21.340000</t>
  </si>
  <si>
    <t>TowerLoadCaAaIce_2=28.080000</t>
  </si>
  <si>
    <t>TowerLoadCaAaIce_4=41.830000</t>
  </si>
  <si>
    <t>TowerLoadCaAaNoIce_Side=14.690000</t>
  </si>
  <si>
    <t>TowerLoadCaAaIce_Side=18.010000</t>
  </si>
  <si>
    <t>TowerLoadCaAaIce_Side_1=21.340000</t>
  </si>
  <si>
    <t>TowerLoadCaAaIce_Side_2=28.080000</t>
  </si>
  <si>
    <t>TowerLoadCaAaIce_Side_4=41.830000</t>
  </si>
  <si>
    <t>TowerLoadWtNoIce=1.250000</t>
  </si>
  <si>
    <t>TowerLoadWtIce=1.568940</t>
  </si>
  <si>
    <t>TowerLoadWtIce_1=1.942010</t>
  </si>
  <si>
    <t>TowerLoadWtIce_2=2.852170</t>
  </si>
  <si>
    <t>TowerLoadWtIce_4=5.339910</t>
  </si>
  <si>
    <t>TowerLoadRec=97</t>
  </si>
  <si>
    <t>TowerLoadRec=98</t>
  </si>
  <si>
    <t>TowerLoadDescription=***120***</t>
  </si>
  <si>
    <t>TowerLoadRec=99</t>
  </si>
  <si>
    <t>TowerLoadDescription=ERICSSON AIR 21 B2A B4P w/ Mount Pipe</t>
  </si>
  <si>
    <t>TowerLoadCaAaNoIce=3.140000</t>
  </si>
  <si>
    <t>TowerLoadCaAaIce=3.450000</t>
  </si>
  <si>
    <t>TowerLoadCaAaIce_1=3.770000</t>
  </si>
  <si>
    <t>TowerLoadCaAaIce_2=4.430000</t>
  </si>
  <si>
    <t>TowerLoadCaAaIce_4=5.870000</t>
  </si>
  <si>
    <t>TowerLoadCaAaNoIce_Side=2.590000</t>
  </si>
  <si>
    <t>TowerLoadCaAaIce_Side=2.880000</t>
  </si>
  <si>
    <t>TowerLoadCaAaIce_Side_1=3.190000</t>
  </si>
  <si>
    <t>TowerLoadCaAaIce_Side_2=3.840000</t>
  </si>
  <si>
    <t>TowerLoadCaAaIce_Side_4=5.230000</t>
  </si>
  <si>
    <t>TowerLoadWtNoIce=0.112220</t>
  </si>
  <si>
    <t>TowerLoadWtIce=0.164140</t>
  </si>
  <si>
    <t>TowerLoadWtIce_1=0.225040</t>
  </si>
  <si>
    <t>TowerLoadWtIce_2=0.375140</t>
  </si>
  <si>
    <t>TowerLoadWtIce_4=0.798310</t>
  </si>
  <si>
    <t>TowerLoadStartHt=120.000000</t>
  </si>
  <si>
    <t>TowerLoadEndHt=120.000000</t>
  </si>
  <si>
    <t>TowerLoadRec=100</t>
  </si>
  <si>
    <t>TowerLoadRec=101</t>
  </si>
  <si>
    <t>TowerLoadRec=102</t>
  </si>
  <si>
    <t>TowerLoadDatabase=commscope_cfd</t>
  </si>
  <si>
    <t>TowerLoadDescription=LNX-6515DS-A1M w/ Mount Pipe</t>
  </si>
  <si>
    <t>TowerLoadCaAaNoIce=5.310000</t>
  </si>
  <si>
    <t>TowerLoadCaAaIce=5.800000</t>
  </si>
  <si>
    <t>TowerLoadCaAaIce_1=6.300000</t>
  </si>
  <si>
    <t>TowerLoadCaAaIce_2=7.330000</t>
  </si>
  <si>
    <t>TowerLoadCaAaIce_4=9.490000</t>
  </si>
  <si>
    <t>TowerLoadCaAaNoIce_Side=4.270000</t>
  </si>
  <si>
    <t>TowerLoadCaAaIce_Side=4.750000</t>
  </si>
  <si>
    <t>TowerLoadCaAaIce_Side_1=5.240000</t>
  </si>
  <si>
    <t>TowerLoadCaAaIce_Side_2=6.240000</t>
  </si>
  <si>
    <t>TowerLoadCaAaIce_Side_4=8.370000</t>
  </si>
  <si>
    <t>TowerLoadWtNoIce=0.083390</t>
  </si>
  <si>
    <t>TowerLoadWtIce=0.165430</t>
  </si>
  <si>
    <t>TowerLoadWtIce_1=0.261080</t>
  </si>
  <si>
    <t>TowerLoadWtIce_2=0.494590</t>
  </si>
  <si>
    <t>TowerLoadWtIce_4=1.140210</t>
  </si>
  <si>
    <t>TowerLoadRec=103</t>
  </si>
  <si>
    <t>TowerLoadRec=104</t>
  </si>
  <si>
    <t>TowerLoadRec=105</t>
  </si>
  <si>
    <t>TowerLoadDescription=ERICSSON AIR 21 B4A B2P w/ Mount Pipe</t>
  </si>
  <si>
    <t>TowerLoadWtNoIce=0.111120</t>
  </si>
  <si>
    <t>TowerLoadWtIce=0.163040</t>
  </si>
  <si>
    <t>TowerLoadWtIce_1=0.223940</t>
  </si>
  <si>
    <t>TowerLoadWtIce_2=0.374040</t>
  </si>
  <si>
    <t>TowerLoadWtIce_4=0.797210</t>
  </si>
  <si>
    <t>TowerLoadRec=106</t>
  </si>
  <si>
    <t>TowerLoadRec=107</t>
  </si>
  <si>
    <t>TowerLoadRec=108</t>
  </si>
  <si>
    <t>TowerLoadRec=109</t>
  </si>
  <si>
    <t>TowerLoadDescription=KRY 112 144/1</t>
  </si>
  <si>
    <t>TowerLoadCaAaNoIce=0.350000</t>
  </si>
  <si>
    <t>TowerLoadCaAaIce=0.425926</t>
  </si>
  <si>
    <t>TowerLoadCaAaIce_1=0.509259</t>
  </si>
  <si>
    <t>TowerLoadCaAaIce_2=0.698148</t>
  </si>
  <si>
    <t>TowerLoadCaAaIce_4=1.164815</t>
  </si>
  <si>
    <t>TowerLoadCaAaNoIce_Side=0.175000</t>
  </si>
  <si>
    <t>TowerLoadCaAaIce_Side=0.234259</t>
  </si>
  <si>
    <t>TowerLoadCaAaIce_Side_1=0.300926</t>
  </si>
  <si>
    <t>TowerLoadCaAaIce_Side_2=0.456481</t>
  </si>
  <si>
    <t>TowerLoadCaAaIce_Side_4=0.856481</t>
  </si>
  <si>
    <t>TowerLoadWtNoIce=0.010000</t>
  </si>
  <si>
    <t>TowerLoadWtIce=0.014176</t>
  </si>
  <si>
    <t>TowerLoadWtIce_1=0.018583</t>
  </si>
  <si>
    <t>TowerLoadWtIce_2=0.031870</t>
  </si>
  <si>
    <t>TowerLoadWtIce_4=0.081778</t>
  </si>
  <si>
    <t>TowerLoadRec=110</t>
  </si>
  <si>
    <t>TowerLoadRec=111</t>
  </si>
  <si>
    <t>TowerLoadRec=112</t>
  </si>
  <si>
    <t>TowerLoadDescription=RRUS 11 B12</t>
  </si>
  <si>
    <t>TowerLoadCaAaNoIce=2.790833</t>
  </si>
  <si>
    <t>TowerLoadCaAaIce=2.998426</t>
  </si>
  <si>
    <t>TowerLoadCaAaIce_1=3.213426</t>
  </si>
  <si>
    <t>TowerLoadCaAaIce_2=3.665648</t>
  </si>
  <si>
    <t>TowerLoadCaAaIce_4=4.658981</t>
  </si>
  <si>
    <t>TowerLoadCaAaNoIce_Side=1.192336</t>
  </si>
  <si>
    <t>TowerLoadCaAaIce_Side=1.339548</t>
  </si>
  <si>
    <t>TowerLoadCaAaIce_Side_1=1.495704</t>
  </si>
  <si>
    <t>TowerLoadCaAaIce_Side_2=1.839037</t>
  </si>
  <si>
    <t>TowerLoadCaAaIce_Side_4=2.614593</t>
  </si>
  <si>
    <t>TowerLoadWtNoIce=0.050000</t>
  </si>
  <si>
    <t>TowerLoadWtIce=0.071572</t>
  </si>
  <si>
    <t>TowerLoadWtIce_1=0.095483</t>
  </si>
  <si>
    <t>TowerLoadWtIce_2=0.153203</t>
  </si>
  <si>
    <t>TowerLoadWtIce_4=0.313677</t>
  </si>
  <si>
    <t>TowerLoadRec=113</t>
  </si>
  <si>
    <t>TowerLoadRec=114</t>
  </si>
  <si>
    <t>TowerLoadRec=115</t>
  </si>
  <si>
    <t>TowerLoadRec=116</t>
  </si>
  <si>
    <t>TowerLoadRec=117</t>
  </si>
  <si>
    <t>TowerLoadRec=118</t>
  </si>
  <si>
    <t>TowerLoadRec=119</t>
  </si>
  <si>
    <t>TowerLoadDescription=Platform Mount [LP 403-1]</t>
  </si>
  <si>
    <t>TowerLoadCaAaNoIce=18.940000</t>
  </si>
  <si>
    <t>TowerLoadCaAaIce=23.310000</t>
  </si>
  <si>
    <t>TowerLoadCaAaIce_1=27.740000</t>
  </si>
  <si>
    <t>TowerLoadCaAaIce_2=36.770000</t>
  </si>
  <si>
    <t>TowerLoadCaAaIce_4=55.490000</t>
  </si>
  <si>
    <t>TowerLoadCaAaNoIce_Side=18.940000</t>
  </si>
  <si>
    <t>TowerLoadCaAaIce_Side=23.310000</t>
  </si>
  <si>
    <t>TowerLoadCaAaIce_Side_1=27.740000</t>
  </si>
  <si>
    <t>TowerLoadCaAaIce_Side_2=36.770000</t>
  </si>
  <si>
    <t>TowerLoadCaAaIce_Side_4=55.490000</t>
  </si>
  <si>
    <t>TowerLoadWtNoIce=1.500000</t>
  </si>
  <si>
    <t>TowerLoadWtIce=1.901740</t>
  </si>
  <si>
    <t>TowerLoadWtIce_1=2.373850</t>
  </si>
  <si>
    <t>TowerLoadWtIce_2=3.530110</t>
  </si>
  <si>
    <t>TowerLoadWtIce_4=6.697470</t>
  </si>
  <si>
    <t>TowerLoadRec=120</t>
  </si>
  <si>
    <t>TowerLoadRec=121</t>
  </si>
  <si>
    <t>TowerLoadDescription=***112***</t>
  </si>
  <si>
    <t>TowerLoadRec=122</t>
  </si>
  <si>
    <t>TowerLoadDescription=HBXX-6516DS-A2M</t>
  </si>
  <si>
    <t>TowerLoadNote=VERIZON</t>
  </si>
  <si>
    <t>TowerLoadCaAaIce=5.730000</t>
  </si>
  <si>
    <t>TowerLoadCaAaIce_1=6.290000</t>
  </si>
  <si>
    <t>TowerLoadCaAaIce_2=7.460000</t>
  </si>
  <si>
    <t>TowerLoadCaAaIce_4=10.000000</t>
  </si>
  <si>
    <t>TowerLoadCaAaNoIce_Side=2.900000</t>
  </si>
  <si>
    <t>TowerLoadCaAaIce_Side=3.390000</t>
  </si>
  <si>
    <t>TowerLoadCaAaIce_Side_1=3.910000</t>
  </si>
  <si>
    <t>TowerLoadCaAaIce_Side_2=4.990000</t>
  </si>
  <si>
    <t>TowerLoadCaAaIce_Side_4=7.340000</t>
  </si>
  <si>
    <t>TowerLoadWtNoIce=0.030600</t>
  </si>
  <si>
    <t>TowerLoadWtIce=0.065930</t>
  </si>
  <si>
    <t>TowerLoadWtIce_1=0.105940</t>
  </si>
  <si>
    <t>TowerLoadWtIce_2=0.200840</t>
  </si>
  <si>
    <t>TowerLoadWtIce_4=0.455490</t>
  </si>
  <si>
    <t>TowerLoadStartHt=112.000000</t>
  </si>
  <si>
    <t>TowerLoadEndHt=112.000000</t>
  </si>
  <si>
    <t>TowerLoadRec=123</t>
  </si>
  <si>
    <t>TowerLoadRec=124</t>
  </si>
  <si>
    <t>TowerLoadRec=125</t>
  </si>
  <si>
    <t>TowerLoadDatabase=vzw</t>
  </si>
  <si>
    <t>TowerLoadDescription=Sub6 Antenna - VZS01</t>
  </si>
  <si>
    <t>TowerLoadCaAaNoIce=4.700227</t>
  </si>
  <si>
    <t>TowerLoadCaAaIce=4.988264</t>
  </si>
  <si>
    <t>TowerLoadCaAaIce_1=5.283708</t>
  </si>
  <si>
    <t>TowerLoadCaAaIce_2=5.896819</t>
  </si>
  <si>
    <t>TowerLoadCaAaIce_4=7.211930</t>
  </si>
  <si>
    <t>TowerLoadCaAaNoIce_Side=1.843963</t>
  </si>
  <si>
    <t>TowerLoadCaAaIce_Side=2.066735</t>
  </si>
  <si>
    <t>TowerLoadCaAaIce_Side_1=2.296504</t>
  </si>
  <si>
    <t>TowerLoadCaAaIce_Side_2=2.777028</t>
  </si>
  <si>
    <t>TowerLoadCaAaIce_Side_4=3.822028</t>
  </si>
  <si>
    <t>TowerLoadWtNoIce=0.090000</t>
  </si>
  <si>
    <t>TowerLoadWtIce=0.116387</t>
  </si>
  <si>
    <t>TowerLoadWtIce_1=0.149543</t>
  </si>
  <si>
    <t>TowerLoadWtIce_2=0.228239</t>
  </si>
  <si>
    <t>TowerLoadWtIce_4=0.440613</t>
  </si>
  <si>
    <t>TowerLoadRec=126</t>
  </si>
  <si>
    <t>TowerLoadRec=127</t>
  </si>
  <si>
    <t>TowerLoadRec=128</t>
  </si>
  <si>
    <t>TowerLoadDatabase=jma wireless_cfd</t>
  </si>
  <si>
    <t>TowerLoadDescription=MX08FRO660-02</t>
  </si>
  <si>
    <t>TowerLoadCaAaNoIce=6.520000</t>
  </si>
  <si>
    <t>TowerLoadCaAaIce=7.050000</t>
  </si>
  <si>
    <t>TowerLoadCaAaIce_1=7.600000</t>
  </si>
  <si>
    <t>TowerLoadCaAaIce_2=8.720000</t>
  </si>
  <si>
    <t>TowerLoadCaAaIce_4=11.110000</t>
  </si>
  <si>
    <t>TowerLoadCaAaNoIce_Side=4.480000</t>
  </si>
  <si>
    <t>TowerLoadCaAaIce_Side=4.980000</t>
  </si>
  <si>
    <t>TowerLoadCaAaIce_Side_1=5.500000</t>
  </si>
  <si>
    <t>TowerLoadCaAaIce_Side_2=6.560000</t>
  </si>
  <si>
    <t>TowerLoadCaAaIce_Side_4=8.840000</t>
  </si>
  <si>
    <t>TowerLoadWtIce=0.134450</t>
  </si>
  <si>
    <t>TowerLoadWtIce_1=0.210440</t>
  </si>
  <si>
    <t>TowerLoadWtIce_2=0.382850</t>
  </si>
  <si>
    <t>TowerLoadWtIce_4=0.814810</t>
  </si>
  <si>
    <t>TowerLoadRec=129</t>
  </si>
  <si>
    <t>TowerLoadRec=130</t>
  </si>
  <si>
    <t>TowerLoadRec=131</t>
  </si>
  <si>
    <t>TowerLoadRec=132</t>
  </si>
  <si>
    <t>TowerLoadDescription=DB-B1-6C-12AB-0Z</t>
  </si>
  <si>
    <t>TowerLoadCaAaNoIce=3.792241</t>
  </si>
  <si>
    <t>TowerLoadCaAaIce=4.044056</t>
  </si>
  <si>
    <t>TowerLoadCaAaIce_1=4.303278</t>
  </si>
  <si>
    <t>TowerLoadCaAaIce_2=4.843945</t>
  </si>
  <si>
    <t>TowerLoadCaAaIce_4=6.014167</t>
  </si>
  <si>
    <t>TowerLoadCaAaNoIce_Side=2.513740</t>
  </si>
  <si>
    <t>TowerLoadCaAaIce_Side=2.726958</t>
  </si>
  <si>
    <t>TowerLoadCaAaIce_Side_1=2.947172</t>
  </si>
  <si>
    <t>TowerLoadCaAaIce_Side_2=3.416828</t>
  </si>
  <si>
    <t>TowerLoadCaAaIce_Side_4=4.466606</t>
  </si>
  <si>
    <t>TowerLoadWtIce=0.063483</t>
  </si>
  <si>
    <t>TowerLoadWtIce_1=0.098724</t>
  </si>
  <si>
    <t>TowerLoadWtIce_2=0.181255</t>
  </si>
  <si>
    <t>TowerLoadWtIce_4=0.399960</t>
  </si>
  <si>
    <t>TowerLoadRec=133</t>
  </si>
  <si>
    <t>TowerLoadRec=134</t>
  </si>
  <si>
    <t>TowerLoadDatabase=samsung telecommunications</t>
  </si>
  <si>
    <t>TowerLoadDescription=RFV01U-D2A</t>
  </si>
  <si>
    <t>TowerLoadCaAaNoIce=1.875000</t>
  </si>
  <si>
    <t>TowerLoadCaAaIce=2.045370</t>
  </si>
  <si>
    <t>TowerLoadCaAaIce_1=2.223148</t>
  </si>
  <si>
    <t>TowerLoadCaAaIce_2=2.600926</t>
  </si>
  <si>
    <t>TowerLoadCaAaIce_4=3.445370</t>
  </si>
  <si>
    <t>TowerLoadCaAaNoIce_Side=1.012500</t>
  </si>
  <si>
    <t>TowerLoadCaAaIce_Side=1.144537</t>
  </si>
  <si>
    <t>TowerLoadCaAaIce_Side_1=1.283981</t>
  </si>
  <si>
    <t>TowerLoadCaAaIce_Side_2=1.585093</t>
  </si>
  <si>
    <t>TowerLoadCaAaIce_Side_4=2.276204</t>
  </si>
  <si>
    <t>TowerLoadWtIce=0.086734</t>
  </si>
  <si>
    <t>TowerLoadWtIce_1=0.105831</t>
  </si>
  <si>
    <t>TowerLoadWtIce_2=0.152796</t>
  </si>
  <si>
    <t>TowerLoadWtIce_4=0.287248</t>
  </si>
  <si>
    <t>TowerLoadRec=135</t>
  </si>
  <si>
    <t>TowerLoadRec=136</t>
  </si>
  <si>
    <t>TowerLoadRec=137</t>
  </si>
  <si>
    <t>TowerLoadDatabase=commscope</t>
  </si>
  <si>
    <t>TowerLoadDescription=CBC78T-DS-43-2X</t>
  </si>
  <si>
    <t>TowerLoadCaAaNoIce=0.368000</t>
  </si>
  <si>
    <t>TowerLoadCaAaIce=0.445593</t>
  </si>
  <si>
    <t>TowerLoadCaAaIce_1=0.530593</t>
  </si>
  <si>
    <t>TowerLoadCaAaIce_2=0.722815</t>
  </si>
  <si>
    <t>TowerLoadCaAaIce_4=1.196148</t>
  </si>
  <si>
    <t>TowerLoadCaAaNoIce_Side=0.512000</t>
  </si>
  <si>
    <t>TowerLoadCaAaIce_Side=0.604593</t>
  </si>
  <si>
    <t>TowerLoadCaAaIce_Side_1=0.704593</t>
  </si>
  <si>
    <t>TowerLoadCaAaIce_Side_2=0.926815</t>
  </si>
  <si>
    <t>TowerLoadCaAaIce_Side_4=1.460148</t>
  </si>
  <si>
    <t>TowerLoadWtIce=0.027043</t>
  </si>
  <si>
    <t>TowerLoadWtIce_1=0.035066</t>
  </si>
  <si>
    <t>TowerLoadWtIce_2=0.056924</t>
  </si>
  <si>
    <t>TowerLoadWtIce_4=0.129340</t>
  </si>
  <si>
    <t>TowerLoadRec=138</t>
  </si>
  <si>
    <t>TowerLoadRec=139</t>
  </si>
  <si>
    <t>TowerLoadRec=140</t>
  </si>
  <si>
    <t>TowerLoadDescription=RFV01U-D1A</t>
  </si>
  <si>
    <t>TowerLoadCaAaNoIce_Side=1.250000</t>
  </si>
  <si>
    <t>TowerLoadCaAaIce_Side=1.392593</t>
  </si>
  <si>
    <t>TowerLoadCaAaIce_Side_1=1.542593</t>
  </si>
  <si>
    <t>TowerLoadCaAaIce_Side_2=1.864815</t>
  </si>
  <si>
    <t>TowerLoadCaAaIce_Side_4=2.598148</t>
  </si>
  <si>
    <t>TowerLoadWtIce=0.102743</t>
  </si>
  <si>
    <t>TowerLoadWtIce_1=0.123872</t>
  </si>
  <si>
    <t>TowerLoadWtIce_2=0.175270</t>
  </si>
  <si>
    <t>TowerLoadWtIce_4=0.320067</t>
  </si>
  <si>
    <t>TowerLoadRec=141</t>
  </si>
  <si>
    <t>TowerLoadRec=142</t>
  </si>
  <si>
    <t>TowerLoadRec=143</t>
  </si>
  <si>
    <t>TowerLoadRec=144</t>
  </si>
  <si>
    <t>TowerLoadDescription=Platform Mount [LP 301-1]</t>
  </si>
  <si>
    <t>TowerLoadCaAaNoIce=23.810000</t>
  </si>
  <si>
    <t>TowerLoadCaAaIce=30.240000</t>
  </si>
  <si>
    <t>TowerLoadCaAaIce_1=36.330000</t>
  </si>
  <si>
    <t>TowerLoadCaAaIce_2=48.050000</t>
  </si>
  <si>
    <t>TowerLoadCaAaIce_4=72.310000</t>
  </si>
  <si>
    <t>TowerLoadCaAaNoIce_Side=23.810000</t>
  </si>
  <si>
    <t>TowerLoadCaAaIce_Side=30.240000</t>
  </si>
  <si>
    <t>TowerLoadCaAaIce_Side_1=36.330000</t>
  </si>
  <si>
    <t>TowerLoadCaAaIce_Side_2=48.050000</t>
  </si>
  <si>
    <t>TowerLoadCaAaIce_Side_4=72.310000</t>
  </si>
  <si>
    <t>TowerLoadWtNoIce=1.588500</t>
  </si>
  <si>
    <t>TowerLoadWtIce=2.099170</t>
  </si>
  <si>
    <t>TowerLoadWtIce_1=2.728320</t>
  </si>
  <si>
    <t>TowerLoadWtIce_2=4.339430</t>
  </si>
  <si>
    <t>TowerLoadWtIce_4=8.954270</t>
  </si>
  <si>
    <t>TowerLoadRec=145</t>
  </si>
  <si>
    <t>TowerLoadRec=146</t>
  </si>
  <si>
    <t>TowerLoadDescription=***102***</t>
  </si>
  <si>
    <t>TowerLoadRec=147</t>
  </si>
  <si>
    <t>TowerLoadDescription=MX08FRO665-21 w/ Mount Pipe</t>
  </si>
  <si>
    <t>TowerLoadNote=DISH NETWORK</t>
  </si>
  <si>
    <t>TowerLoadCaAaNoIce=8.010000</t>
  </si>
  <si>
    <t>TowerLoadCaAaIce=8.520000</t>
  </si>
  <si>
    <t>TowerLoadCaAaIce_1=9.040000</t>
  </si>
  <si>
    <t>TowerLoadCaAaIce_2=10.110000</t>
  </si>
  <si>
    <t>TowerLoadCaAaIce_4=12.380000</t>
  </si>
  <si>
    <t>TowerLoadCaAaNoIce_Side=4.230000</t>
  </si>
  <si>
    <t>TowerLoadCaAaIce_Side=4.690000</t>
  </si>
  <si>
    <t>TowerLoadCaAaIce_Side_1=5.160000</t>
  </si>
  <si>
    <t>TowerLoadCaAaIce_Side_2=6.120000</t>
  </si>
  <si>
    <t>TowerLoadCaAaIce_Side_4=8.190000</t>
  </si>
  <si>
    <t>TowerLoadWtNoIce=0.108090</t>
  </si>
  <si>
    <t>TowerLoadWtIce=0.194330</t>
  </si>
  <si>
    <t>TowerLoadWtIce_1=0.291900</t>
  </si>
  <si>
    <t>TowerLoadWtIce_2=0.522490</t>
  </si>
  <si>
    <t>TowerLoadWtIce_4=1.135090</t>
  </si>
  <si>
    <t>TowerLoadStartHt=102.000000</t>
  </si>
  <si>
    <t>TowerLoadEndHt=102.000000</t>
  </si>
  <si>
    <t>TowerLoadRec=148</t>
  </si>
  <si>
    <t>TowerLoadRec=149</t>
  </si>
  <si>
    <t>TowerLoadRec=150</t>
  </si>
  <si>
    <t>TowerLoadRec=151</t>
  </si>
  <si>
    <t>TowerLoadDatabase=fujitsu</t>
  </si>
  <si>
    <t>TowerLoadDescription=TA08025-B604</t>
  </si>
  <si>
    <t>TowerLoadCaAaNoIce=1.963500</t>
  </si>
  <si>
    <t>TowerLoadCaAaIce=2.137815</t>
  </si>
  <si>
    <t>TowerLoadCaAaIce_1=2.319537</t>
  </si>
  <si>
    <t>TowerLoadCaAaIce_2=2.705204</t>
  </si>
  <si>
    <t>TowerLoadCaAaIce_4=3.565426</t>
  </si>
  <si>
    <t>TowerLoadCaAaNoIce_Side=0.981127</t>
  </si>
  <si>
    <t>TowerLoadCaAaIce_Side=1.111664</t>
  </si>
  <si>
    <t>TowerLoadCaAaIce_Side_1=1.249608</t>
  </si>
  <si>
    <t>TowerLoadCaAaIce_Side_2=1.547719</t>
  </si>
  <si>
    <t>TowerLoadCaAaIce_Side_4=2.232830</t>
  </si>
  <si>
    <t>TowerLoadWtIce=0.080651</t>
  </si>
  <si>
    <t>TowerLoadWtIce_1=0.100097</t>
  </si>
  <si>
    <t>TowerLoadWtIce_2=0.147852</t>
  </si>
  <si>
    <t>TowerLoadWtIce_4=0.284257</t>
  </si>
  <si>
    <t>TowerLoadRec=152</t>
  </si>
  <si>
    <t>TowerLoadRec=153</t>
  </si>
  <si>
    <t>TowerLoadDescription=TA08025-B605</t>
  </si>
  <si>
    <t>TowerLoadCaAaNoIce_Side=1.129480</t>
  </si>
  <si>
    <t>TowerLoadCaAaIce_Side=1.266628</t>
  </si>
  <si>
    <t>TowerLoadCaAaIce_Side_1=1.411184</t>
  </si>
  <si>
    <t>TowerLoadCaAaIce_Side_2=1.722517</t>
  </si>
  <si>
    <t>TowerLoadCaAaIce_Side_4=2.434073</t>
  </si>
  <si>
    <t>TowerLoadWtIce_1=0.113720</t>
  </si>
  <si>
    <t>TowerLoadWtIce_2=0.164306</t>
  </si>
  <si>
    <t>TowerLoadWtIce_4=0.307300</t>
  </si>
  <si>
    <t>TowerLoadRec=154</t>
  </si>
  <si>
    <t>TowerLoadRec=155</t>
  </si>
  <si>
    <t>TowerLoadDescription=RDIDC-9181-PF-48</t>
  </si>
  <si>
    <t>TowerLoadCaAaNoIce=2.011874</t>
  </si>
  <si>
    <t>TowerLoadCaAaIce=2.188578</t>
  </si>
  <si>
    <t>TowerLoadCaAaIce_1=2.372689</t>
  </si>
  <si>
    <t>TowerLoadCaAaIce_2=2.763133</t>
  </si>
  <si>
    <t>TowerLoadCaAaIce_4=3.632911</t>
  </si>
  <si>
    <t>TowerLoadCaAaNoIce_Side=1.168185</t>
  </si>
  <si>
    <t>TowerLoadCaAaIce_Side=1.310944</t>
  </si>
  <si>
    <t>TowerLoadCaAaIce_Side_1=1.461111</t>
  </si>
  <si>
    <t>TowerLoadCaAaIce_Side_2=1.783666</t>
  </si>
  <si>
    <t>TowerLoadCaAaIce_Side_4=2.517666</t>
  </si>
  <si>
    <t>TowerLoadWtIce=0.039527</t>
  </si>
  <si>
    <t>TowerLoadWtIce_1=0.059966</t>
  </si>
  <si>
    <t>TowerLoadWtIce_2=0.109903</t>
  </si>
  <si>
    <t>TowerLoadWtIce_4=0.251468</t>
  </si>
  <si>
    <t>TowerLoadRec=156</t>
  </si>
  <si>
    <t>TowerLoadRec=157</t>
  </si>
  <si>
    <t>TowerLoadRec=158</t>
  </si>
  <si>
    <t>TowerLoadRec=159</t>
  </si>
  <si>
    <t>TowerLoadRec=160</t>
  </si>
  <si>
    <t>TowerLoadDescription=Commscope MC-PK8-DSH</t>
  </si>
  <si>
    <t>TowerAppurtSymbol=T-Frames/1 Antenna</t>
  </si>
  <si>
    <t>TowerLoadCaAaNoIce=34.240000</t>
  </si>
  <si>
    <t>TowerLoadCaAaIce=62.950000</t>
  </si>
  <si>
    <t>TowerLoadCaAaIce_1=91.660000</t>
  </si>
  <si>
    <t>TowerLoadCaAaIce_2=149.080000</t>
  </si>
  <si>
    <t>TowerLoadCaAaIce_4=263.920000</t>
  </si>
  <si>
    <t>TowerLoadCaAaNoIce_Side=34.240000</t>
  </si>
  <si>
    <t>TowerLoadCaAaIce_Side=62.950000</t>
  </si>
  <si>
    <t>TowerLoadCaAaIce_Side_1=91.660000</t>
  </si>
  <si>
    <t>TowerLoadCaAaIce_Side_2=149.080000</t>
  </si>
  <si>
    <t>TowerLoadCaAaIce_Side_4=263.920000</t>
  </si>
  <si>
    <t>TowerLoadWtNoIce=1.749000</t>
  </si>
  <si>
    <t>TowerLoadWtIce=2.099000</t>
  </si>
  <si>
    <t>TowerLoadWtIce_1=2.449000</t>
  </si>
  <si>
    <t>TowerLoadWtIce_2=3.149000</t>
  </si>
  <si>
    <t>TowerLoadWtIce_4=4.549000</t>
  </si>
  <si>
    <t>TowerLoadRec=161</t>
  </si>
  <si>
    <t>TowerLoadRec=162</t>
  </si>
  <si>
    <t>TowerLoadDescription=***80***</t>
  </si>
  <si>
    <t>TowerLoadRec=163</t>
  </si>
  <si>
    <t>TowerLoadDescription=GPS-QBW-26N</t>
  </si>
  <si>
    <t>TowerOffsetDist=24.000000</t>
  </si>
  <si>
    <t>TowerLoadCaAaNoIce=0.133333</t>
  </si>
  <si>
    <t>TowerLoadCaAaIce=0.182593</t>
  </si>
  <si>
    <t>TowerLoadCaAaIce_1=0.239259</t>
  </si>
  <si>
    <t>TowerLoadCaAaIce_2=0.374815</t>
  </si>
  <si>
    <t>TowerLoadCaAaIce_4=0.734815</t>
  </si>
  <si>
    <t>TowerLoadCaAaNoIce_Side=0.133333</t>
  </si>
  <si>
    <t>TowerLoadCaAaIce_Side=0.182593</t>
  </si>
  <si>
    <t>TowerLoadCaAaIce_Side_1=0.239259</t>
  </si>
  <si>
    <t>TowerLoadCaAaIce_Side_2=0.374815</t>
  </si>
  <si>
    <t>TowerLoadCaAaIce_Side_4=0.734815</t>
  </si>
  <si>
    <t>TowerLoadWtNoIce=0.000600</t>
  </si>
  <si>
    <t>TowerLoadWtIce=0.002371</t>
  </si>
  <si>
    <t>TowerLoadWtIce_1=0.005075</t>
  </si>
  <si>
    <t>TowerLoadWtIce_2=0.014061</t>
  </si>
  <si>
    <t>TowerLoadWtIce_4=0.051788</t>
  </si>
  <si>
    <t>TowerLoadStartHt=80.000000</t>
  </si>
  <si>
    <t>TowerLoadEndHt=80.000000</t>
  </si>
  <si>
    <t>TowerLoadRec=164</t>
  </si>
  <si>
    <t>TowerLoadRec=165</t>
  </si>
  <si>
    <t>TowerLoadDescription=Side Arm Mount [SO 701-1]</t>
  </si>
  <si>
    <t>TowerLoadCaAaNoIce=0.850000</t>
  </si>
  <si>
    <t>TowerLoadCaAaIce=1.140000</t>
  </si>
  <si>
    <t>TowerLoadCaAaIce_1=1.430000</t>
  </si>
  <si>
    <t>TowerLoadCaAaIce_2=2.010000</t>
  </si>
  <si>
    <t>TowerLoadCaAaIce_4=3.170000</t>
  </si>
  <si>
    <t>TowerLoadCaAaNoIce_Side=1.670000</t>
  </si>
  <si>
    <t>TowerLoadCaAaIce_Side=2.340000</t>
  </si>
  <si>
    <t>TowerLoadCaAaIce_Side_1=3.010000</t>
  </si>
  <si>
    <t>TowerLoadCaAaIce_Side_2=4.350000</t>
  </si>
  <si>
    <t>TowerLoadCaAaIce_Side_4=7.030000</t>
  </si>
  <si>
    <t>TowerLoadWtIce=0.079000</t>
  </si>
  <si>
    <t>TowerLoadWtIce_2=0.121000</t>
  </si>
  <si>
    <t>TowerLoadWtIce_4=0.177000</t>
  </si>
  <si>
    <t>TowerLoadRec=166</t>
  </si>
  <si>
    <t>TowerLoadDescription=*****</t>
  </si>
  <si>
    <t>NumDishRecs=0</t>
  </si>
  <si>
    <t>ReportMaxForces=No</t>
  </si>
  <si>
    <t>CapacityReportOutputType=No Capacity Output</t>
  </si>
  <si>
    <t>ReportPrintReactions=No</t>
  </si>
  <si>
    <t>ReportPrintBoltChecks=Yes</t>
  </si>
  <si>
    <t>State=Rhode Island</t>
  </si>
  <si>
    <t>County=Washington</t>
  </si>
  <si>
    <t>ASCE_7_10_WindData=Yes</t>
  </si>
  <si>
    <t>ASCE_7_10_ConvertWindToASD=Yes</t>
  </si>
  <si>
    <t>1 1 0 137 0</t>
  </si>
  <si>
    <t>2 1 0 138 0</t>
  </si>
  <si>
    <t>3 1 0 139 0</t>
  </si>
  <si>
    <t>4 1 0 140 0</t>
  </si>
  <si>
    <t>5 1 0 141 0</t>
  </si>
  <si>
    <t>6 1 0 142 0</t>
  </si>
  <si>
    <t>7 1 0 132 0</t>
  </si>
  <si>
    <t>8 1 0 133 0</t>
  </si>
  <si>
    <t>9 1 0 134 0</t>
  </si>
  <si>
    <t>10 1 0 135 0</t>
  </si>
  <si>
    <t>11 1 0 136 0</t>
  </si>
  <si>
    <t>12 1 0 127 0</t>
  </si>
  <si>
    <t>13 1 0 128 0</t>
  </si>
  <si>
    <t>14 1 0 129 0</t>
  </si>
  <si>
    <t>15 1 0 130 0</t>
  </si>
  <si>
    <t>16 1 0 131 0</t>
  </si>
  <si>
    <t>17 1 0 122 0</t>
  </si>
  <si>
    <t>18 1 0 123 0</t>
  </si>
  <si>
    <t>19 1 0 124 0</t>
  </si>
  <si>
    <t>20 1 0 125 0</t>
  </si>
  <si>
    <t>21 1 0 126 0</t>
  </si>
  <si>
    <t>22 1 0 117 0</t>
  </si>
  <si>
    <t>23 1 0 118 0</t>
  </si>
  <si>
    <t>24 1 0 119 0</t>
  </si>
  <si>
    <t>25 1 0 120 0</t>
  </si>
  <si>
    <t>26 1 0 121 0</t>
  </si>
  <si>
    <t>27 1 0 112 0</t>
  </si>
  <si>
    <t>28 1 0 113 0</t>
  </si>
  <si>
    <t>29 1 0 114 0</t>
  </si>
  <si>
    <t>30 1 0 115 0</t>
  </si>
  <si>
    <t>31 1 0 116 0</t>
  </si>
  <si>
    <t>32 1 0 108.08 0</t>
  </si>
  <si>
    <t>33 1 0 109.387 0</t>
  </si>
  <si>
    <t>34 1 0 110.693 0</t>
  </si>
  <si>
    <t>35 1 0 107.83 0</t>
  </si>
  <si>
    <t>36 1 0 102.83 0</t>
  </si>
  <si>
    <t>37 1 0 103.83 0</t>
  </si>
  <si>
    <t>38 1 0 104.83 0</t>
  </si>
  <si>
    <t>39 1 0 105.83 0</t>
  </si>
  <si>
    <t>40 1 0 106.83 0</t>
  </si>
  <si>
    <t>41 1 0 97.83 0</t>
  </si>
  <si>
    <t>42 1 0 98.83 0</t>
  </si>
  <si>
    <t>43 1 0 99.83 0</t>
  </si>
  <si>
    <t>44 1 0 100.83 0</t>
  </si>
  <si>
    <t>45 1 0 101.83 0</t>
  </si>
  <si>
    <t>46 1 0 94.5 0</t>
  </si>
  <si>
    <t>47 1 0 97.75 0</t>
  </si>
  <si>
    <t>48 1 0 92.75 0</t>
  </si>
  <si>
    <t>49 1 0 90.58 0</t>
  </si>
  <si>
    <t>50 1 0 91.665 0</t>
  </si>
  <si>
    <t>51 1 0 90.33 0</t>
  </si>
  <si>
    <t>52 1 0 85.33 0</t>
  </si>
  <si>
    <t>53 1 0 86.33 0</t>
  </si>
  <si>
    <t>54 1 0 87.33 0</t>
  </si>
  <si>
    <t>55 1 0 88.33 0</t>
  </si>
  <si>
    <t>56 1 0 89.33 0</t>
  </si>
  <si>
    <t>57 1 0 83 0</t>
  </si>
  <si>
    <t>58 1 0 84.165 0</t>
  </si>
  <si>
    <t>59 1 0 82.75 0</t>
  </si>
  <si>
    <t>60 1 0 77.75 0</t>
  </si>
  <si>
    <t>61 1 0 78.75 0</t>
  </si>
  <si>
    <t>62 1 0 79.75 0</t>
  </si>
  <si>
    <t>63 1 0 80.75 0</t>
  </si>
  <si>
    <t>64 1 0 81.75 0</t>
  </si>
  <si>
    <t>65 1 0 72.75 0</t>
  </si>
  <si>
    <t>66 1 0 73.75 0</t>
  </si>
  <si>
    <t>67 1 0 74.75 0</t>
  </si>
  <si>
    <t>68 1 0 75.75 0</t>
  </si>
  <si>
    <t>69 1 0 76.75 0</t>
  </si>
  <si>
    <t>70 1 0 68.92 0</t>
  </si>
  <si>
    <t>71 1 0 70.1967 0</t>
  </si>
  <si>
    <t>72 1 0 71.4733 0</t>
  </si>
  <si>
    <t>73 1 0 68.67 0</t>
  </si>
  <si>
    <t>74 1 0 67 0</t>
  </si>
  <si>
    <t>75 1 0 66.75 0</t>
  </si>
  <si>
    <t>76 1 0 61.75 0</t>
  </si>
  <si>
    <t>77 1 0 62.75 0</t>
  </si>
  <si>
    <t>78 1 0 63.75 0</t>
  </si>
  <si>
    <t>79 1 0 64.75 0</t>
  </si>
  <si>
    <t>80 1 0 65.75 0</t>
  </si>
  <si>
    <t>81 1 0 61.5 0</t>
  </si>
  <si>
    <t>82 1 0 61.25 0</t>
  </si>
  <si>
    <t>83 1 0 61 0</t>
  </si>
  <si>
    <t>84 1 0 60.58 0</t>
  </si>
  <si>
    <t>85 1 0 60.33 0</t>
  </si>
  <si>
    <t>86 1 0 53.25 0</t>
  </si>
  <si>
    <t>87 1 0 57.75 0</t>
  </si>
  <si>
    <t>88 1 0 59.04 0</t>
  </si>
  <si>
    <t>89 1 0 52.75 0</t>
  </si>
  <si>
    <t>90 1 0 47.75 0</t>
  </si>
  <si>
    <t>91 1 0 48.75 0</t>
  </si>
  <si>
    <t>92 1 0 49.75 0</t>
  </si>
  <si>
    <t>93 1 0 50.75 0</t>
  </si>
  <si>
    <t>94 1 0 51.75 0</t>
  </si>
  <si>
    <t>95 1 0 44.08 0</t>
  </si>
  <si>
    <t>96 1 0 45.3033 0</t>
  </si>
  <si>
    <t>97 1 0 46.5267 0</t>
  </si>
  <si>
    <t>98 1 0 43.83 0</t>
  </si>
  <si>
    <t>99 1 0 38.83 0</t>
  </si>
  <si>
    <t>100 1 0 39.83 0</t>
  </si>
  <si>
    <t>101 1 0 40.83 0</t>
  </si>
  <si>
    <t>102 1 0 41.83 0</t>
  </si>
  <si>
    <t>103 1 0 42.83 0</t>
  </si>
  <si>
    <t>104 1 0 33.83 0</t>
  </si>
  <si>
    <t>105 1 0 34.83 0</t>
  </si>
  <si>
    <t>106 1 0 35.83 0</t>
  </si>
  <si>
    <t>107 1 0 36.83 0</t>
  </si>
  <si>
    <t>108 1 0 37.83 0</t>
  </si>
  <si>
    <t>109 1 0 25 0</t>
  </si>
  <si>
    <t>110 1 0 30 0</t>
  </si>
  <si>
    <t>111 1 0 31.2767 0</t>
  </si>
  <si>
    <t>112 1 0 32.5533 0</t>
  </si>
  <si>
    <t>113 1 0 24 0</t>
  </si>
  <si>
    <t>114 1 0 22.5 0</t>
  </si>
  <si>
    <t>115 1 0 22.25 0</t>
  </si>
  <si>
    <t>116 1 0 18.58 0</t>
  </si>
  <si>
    <t>117 1 0 19.8033 0</t>
  </si>
  <si>
    <t>118 1 0 21.0267 0</t>
  </si>
  <si>
    <t>119 1 0 18.33 0</t>
  </si>
  <si>
    <t>120 1 0 18.08 0</t>
  </si>
  <si>
    <t>121 1 0 17.83 0</t>
  </si>
  <si>
    <t>122 1 0 12.83 0</t>
  </si>
  <si>
    <t>123 1 0 13.83 0</t>
  </si>
  <si>
    <t>124 1 0 14.83 0</t>
  </si>
  <si>
    <t>125 1 0 15.83 0</t>
  </si>
  <si>
    <t>126 1 0 16.83 0</t>
  </si>
  <si>
    <t>127 1 0 7.83 0</t>
  </si>
  <si>
    <t>128 1 0 8.83 0</t>
  </si>
  <si>
    <t>129 1 0 9.83 0</t>
  </si>
  <si>
    <t>130 1 0 10.83 0</t>
  </si>
  <si>
    <t>131 1 0 11.83 0</t>
  </si>
  <si>
    <t>132 1 0 5.83 0</t>
  </si>
  <si>
    <t>133 1 0 6.83 0</t>
  </si>
  <si>
    <t>134 1 0 5.58 0</t>
  </si>
  <si>
    <t>135 1 0 0.75 0</t>
  </si>
  <si>
    <t>136 1 0 1.9575 0</t>
  </si>
  <si>
    <t>137 1 0 3.165 0</t>
  </si>
  <si>
    <t>138 1 0 4.3725 0</t>
  </si>
  <si>
    <t>139 1 0 0.5 0</t>
  </si>
  <si>
    <t>140 1 0 0 0</t>
  </si>
  <si>
    <t>140 1 1 1 1 1 1 0 0 0 0 0 0 0 0 0 0 0 0 0</t>
  </si>
  <si>
    <t>7 2 3 0 0 0 0 0 0 0 0 0 0 0 0 0 0 0 0 0 0 0 0 0 0</t>
  </si>
  <si>
    <t>8 2 0 0 0 0 0 0 0 0 0 0 0 0 0 0 0 0 0 0 0 0 0 0 0</t>
  </si>
  <si>
    <t>9 2 0 0 0 0 0 0 0 0 0 0 0 0 0 0 0 0 0 0 0 0 0 0 0</t>
  </si>
  <si>
    <t>10 2 0 0 0 0 0 0 0 0 0 0 0 0 0 0 0 0 0 0 0 0 0 0 0</t>
  </si>
  <si>
    <t>11 2 0 0 0 0 0 0 0 0 0 0 0 0 0 0 0 0 0 0 0 0 0 0 0</t>
  </si>
  <si>
    <t>12 3 4 0 0 0 0 0 0 0 0 0 0 0 0 0 0 0 0 0 0 0 0 0 0</t>
  </si>
  <si>
    <t>13 3 0 0 0 0 0 0 0 0 0 0 0 0 0 0 0 0 0 0 0 0 0 0 0</t>
  </si>
  <si>
    <t>14 3 0 0 0 0 0 0 0 0 0 0 0 0 0 0 0 0 0 0 0 0 0 0 0</t>
  </si>
  <si>
    <t>15 3 0 0 0 0 0 0 0 0 0 0 0 0 0 0 0 0 0 0 0 0 0 0 0</t>
  </si>
  <si>
    <t>16 3 0 0 0 0 0 0 0 0 0 0 0 0 0 0 0 0 0 0 0 0 0 0 0</t>
  </si>
  <si>
    <t>17 4 5 0 0 0 0 0 0 0 0 0 0 0 0 0 0 0 0 0 0 0 0 0 0</t>
  </si>
  <si>
    <t>18 4 0 0 0 0 0 0 0 0 0 0 0 0 0 0 0 0 0 0 0 0 0 0 0</t>
  </si>
  <si>
    <t>19 4 0 0 0 0 0 0 0 0 0 0 0 0 0 0 0 0 0 0 0 0 0 0 0</t>
  </si>
  <si>
    <t>20 4 0 0 0 0 0 0 0 0 0 0 0 0 0 0 0 0 0 0 0 0 0 0 0</t>
  </si>
  <si>
    <t>21 4 0 0 0 0 0 0 0 0 0 0 0 0 0 0 0 0 0 0 0 0 0 0 0</t>
  </si>
  <si>
    <t>22 5 6 0 0 0 0 0 0 0 0 0 0 0 0 0 0 0 0 0 0 0 0 0 0</t>
  </si>
  <si>
    <t>23 5 0 0 0 0 0 0 0 0 0 0 0 0 0 0 0 0 0 0 0 0 0 0 0</t>
  </si>
  <si>
    <t>24 5 0 0 0 0 0 0 0 0 0 0 0 0 0 0 0 0 0 0 0 0 0 0 0</t>
  </si>
  <si>
    <t>25 5 0 0 0 0 0 0 0 0 0 0 0 0 0 0 0 0 0 0 0 0 0 0 0</t>
  </si>
  <si>
    <t>26 5 0 0 0 0 0 0 0 0 0 0 0 0 0 0 0 0 0 0 0 0 0 0 0</t>
  </si>
  <si>
    <t>27 6 7 0 0 0 0 0 0 0 0 0 0 0 0 0 0 0 0 0 0 0 0 0 0</t>
  </si>
  <si>
    <t>28 6 0 0 0 0 0 0 0 0 0 0 0 0 0 0 0 0 0 0 0 0 0 0 0</t>
  </si>
  <si>
    <t>29 6 0 0 0 0 0 0 0 0 0 0 0 0 0 0 0 0 0 0 0 0 0 0 0</t>
  </si>
  <si>
    <t>30 6 0 0 0 0 0 0 0 0 0 0 0 0 0 0 0 0 0 0 0 0 0 0 0</t>
  </si>
  <si>
    <t>31 6 0 0 0 0 0 0 0 0 0 0 0 0 0 0 0 0 0 0 0 0 0 0 0</t>
  </si>
  <si>
    <t>32 7 8 0 0 0 0 0 0 0 0 0 0 0 0 0 0 0 0 0 0 0 0 0 0</t>
  </si>
  <si>
    <t>33 7 0 0 0 0 0 0 0 0 0 0 0 0 0 0 0 0 0 0 0 0 0 0 0</t>
  </si>
  <si>
    <t>34 7 0 0 0 0 0 0 0 0 0 0 0 0 0 0 0 0 0 0 0 0 0 0 0</t>
  </si>
  <si>
    <t>35 8 9 0 0 0 0 0 0 0 0 0 0 0 0 0 0 0 0 0 0 0 0 0 0</t>
  </si>
  <si>
    <t>36 9 10 0 0 0 0 0 0 0 0 0 0 0 0 0 0 0 0 0 0 0 0 0 0</t>
  </si>
  <si>
    <t>37 9 0 0 0 0 0 0 0 0 0 0 0 0 0 0 0 0 0 0 0 0 0 0 0</t>
  </si>
  <si>
    <t>38 9 0 0 0 0 0 0 0 0 0 0 0 0 0 0 0 0 0 0 0 0 0 0 0</t>
  </si>
  <si>
    <t>39 9 0 0 0 0 0 0 0 0 0 0 0 0 0 0 0 0 0 0 0 0 0 0 0</t>
  </si>
  <si>
    <t>40 9 0 0 0 0 0 0 0 0 0 0 0 0 0 0 0 0 0 0 0 0 0 0 0</t>
  </si>
  <si>
    <t>41 10 11 0 0 0 0 0 0 0 0 0 0 0 0 0 0 0 0 0 0 0 0 0 0</t>
  </si>
  <si>
    <t>42 10 0 0 0 0 0 0 0 0 0 0 0 0 0 0 0 0 0 0 0 0 0 0 0</t>
  </si>
  <si>
    <t>43 10 0 0 0 0 0 0 0 0 0 0 0 0 0 0 0 0 0 0 0 0 0 0 0</t>
  </si>
  <si>
    <t>44 10 0 0 0 0 0 0 0 0 0 0 0 0 0 0 0 0 0 0 0 0 0 0 0</t>
  </si>
  <si>
    <t>45 10 0 0 0 0 0 0 0 0 0 0 0 0 0 0 0 0 0 0 0 0 0 0 0</t>
  </si>
  <si>
    <t>46 11 12 0 0 0 0 0 0 0 0 0 0 0 0 0 0 0 0 0 0 0 0 0 0</t>
  </si>
  <si>
    <t>47 11 12 0 0 0 0 0 0 0 0 0 0 0 0 0 0 0 0 0 0 0 0 0 0</t>
  </si>
  <si>
    <t>48 12 13 0 0 0 0 0 0 0 0 0 0 0 0 0 0 0 0 0 0 0 0 0 0</t>
  </si>
  <si>
    <t>49 13 14 0 0 0 0 0 0 0 0 0 0 0 0 0 0 0 0 0 0 0 0 0 0</t>
  </si>
  <si>
    <t>50 13 0 0 0 0 0 0 0 0 0 0 0 0 0 0 0 0 0 0 0 0 0 0 0</t>
  </si>
  <si>
    <t>51 14 15 0 0 0 0 0 0 0 0 0 0 0 0 0 0 0 0 0 0 0 0 0 0</t>
  </si>
  <si>
    <t>52 15 16 0 0 0 0 0 0 0 0 0 0 0 0 0 0 0 0 0 0 0 0 0 0</t>
  </si>
  <si>
    <t>53 15 0 0 0 0 0 0 0 0 0 0 0 0 0 0 0 0 0 0 0 0 0 0 0</t>
  </si>
  <si>
    <t>54 15 0 0 0 0 0 0 0 0 0 0 0 0 0 0 0 0 0 0 0 0 0 0 0</t>
  </si>
  <si>
    <t>55 15 0 0 0 0 0 0 0 0 0 0 0 0 0 0 0 0 0 0 0 0 0 0 0</t>
  </si>
  <si>
    <t>56 15 0 0 0 0 0 0 0 0 0 0 0 0 0 0 0 0 0 0 0 0 0 0 0</t>
  </si>
  <si>
    <t>57 16 17 0 0 0 0 0 0 0 0 0 0 0 0 0 0 0 0 0 0 0 0 0 0</t>
  </si>
  <si>
    <t>58 16 0 0 0 0 0 0 0 0 0 0 0 0 0 0 0 0 0 0 0 0 0 0 0</t>
  </si>
  <si>
    <t>59 17 18 0 0 0 0 0 0 0 0 0 0 0 0 0 0 0 0 0 0 0 0 0 0</t>
  </si>
  <si>
    <t>60 18 19 0 0 0 0 0 0 0 0 0 0 0 0 0 0 0 0 0 0 0 0 0 0</t>
  </si>
  <si>
    <t>61 18 0 0 0 0 0 0 0 0 0 0 0 0 0 0 0 0 0 0 0 0 0 0 0</t>
  </si>
  <si>
    <t>62 18 0 0 0 0 0 0 0 0 0 0 0 0 0 0 0 0 0 0 0 0 0 0 0</t>
  </si>
  <si>
    <t>63 18 0 0 0 0 0 0 0 0 0 0 0 0 0 0 0 0 0 0 0 0 0 0 0</t>
  </si>
  <si>
    <t>64 18 0 0 0 0 0 0 0 0 0 0 0 0 0 0 0 0 0 0 0 0 0 0 0</t>
  </si>
  <si>
    <t>65 19 20 0 0 0 0 0 0 0 0 0 0 0 0 0 0 0 0 0 0 0 0 0 0</t>
  </si>
  <si>
    <t>66 19 0 0 0 0 0 0 0 0 0 0 0 0 0 0 0 0 0 0 0 0 0 0 0</t>
  </si>
  <si>
    <t>67 19 0 0 0 0 0 0 0 0 0 0 0 0 0 0 0 0 0 0 0 0 0 0 0</t>
  </si>
  <si>
    <t>68 19 0 0 0 0 0 0 0 0 0 0 0 0 0 0 0 0 0 0 0 0 0 0 0</t>
  </si>
  <si>
    <t>69 19 0 0 0 0 0 0 0 0 0 0 0 0 0 0 0 0 0 0 0 0 0 0 0</t>
  </si>
  <si>
    <t>70 20 21 0 0 0 0 0 0 0 0 0 0 0 0 0 0 0 0 0 0 0 0 0 0</t>
  </si>
  <si>
    <t>71 20 0 0 0 0 0 0 0 0 0 0 0 0 0 0 0 0 0 0 0 0 0 0 0</t>
  </si>
  <si>
    <t>72 20 0 0 0 0 0 0 0 0 0 0 0 0 0 0 0 0 0 0 0 0 0 0 0</t>
  </si>
  <si>
    <t>73 21 22 0 0 0 0 0 0 0 0 0 0 0 0 0 0 0 0 0 0 0 0 0 0</t>
  </si>
  <si>
    <t>74 22 23 0 0 0 0 0 0 0 0 0 0 0 0 0 0 0 0 0 0 0 0 0 0</t>
  </si>
  <si>
    <t>75 23 24 0 0 0 0 0 0 0 0 0 0 0 0 0 0 0 0 0 0 0 0 0 0</t>
  </si>
  <si>
    <t>76 24 25 0 0 0 0 0 0 0 0 0 0 0 0 0 0 0 0 0 0 0 0 0 0</t>
  </si>
  <si>
    <t>77 24 0 0 0 0 0 0 0 0 0 0 0 0 0 0 0 0 0 0 0 0 0 0 0</t>
  </si>
  <si>
    <t>78 24 0 0 0 0 0 0 0 0 0 0 0 0 0 0 0 0 0 0 0 0 0 0 0</t>
  </si>
  <si>
    <t>79 24 0 0 0 0 0 0 0 0 0 0 0 0 0 0 0 0 0 0 0 0 0 0 0</t>
  </si>
  <si>
    <t>80 24 0 0 0 0 0 0 0 0 0 0 0 0 0 0 0 0 0 0 0 0 0 0 0</t>
  </si>
  <si>
    <t>81 25 26 0 0 0 0 0 0 0 0 0 0 0 0 0 0 0 0 0 0 0 0 0 0</t>
  </si>
  <si>
    <t>82 26 27 0 0 0 0 0 0 0 0 0 0 0 0 0 0 0 0 0 0 0 0 0 0</t>
  </si>
  <si>
    <t>83 27 28 0 0 0 0 0 0 0 0 0 0 0 0 0 0 0 0 0 0 0 0 0 0</t>
  </si>
  <si>
    <t>84 28 29 0 0 0 0 0 0 0 0 0 0 0 0 0 0 0 0 0 0 0 0 0 0</t>
  </si>
  <si>
    <t>85 29 30 0 0 0 0 0 0 0 0 0 0 0 0 0 0 0 0 0 0 0 0 0 0</t>
  </si>
  <si>
    <t>86 30 31 0 0 0 0 0 0 0 0 0 0 0 0 0 0 0 0 0 0 0 0 0 0</t>
  </si>
  <si>
    <t>87 30 31 0 0 0 0 0 0 0 0 0 0 0 0 0 0 0 0 0 0 0 0 0 0</t>
  </si>
  <si>
    <t>88 30 0 0 0 0 0 0 0 0 0 0 0 0 0 0 0 0 0 0 0 0 0 0 0</t>
  </si>
  <si>
    <t>89 31 32 0 0 0 0 0 0 0 0 0 0 0 0 0 0 0 0 0 0 0 0 0 0</t>
  </si>
  <si>
    <t>90 32 33 0 0 0 0 0 0 0 0 0 0 0 0 0 0 0 0 0 0 0 0 0 0</t>
  </si>
  <si>
    <t>91 32 0 0 0 0 0 0 0 0 0 0 0 0 0 0 0 0 0 0 0 0 0 0 0</t>
  </si>
  <si>
    <t>92 32 0 0 0 0 0 0 0 0 0 0 0 0 0 0 0 0 0 0 0 0 0 0 0</t>
  </si>
  <si>
    <t>93 32 0 0 0 0 0 0 0 0 0 0 0 0 0 0 0 0 0 0 0 0 0 0 0</t>
  </si>
  <si>
    <t>94 32 0 0 0 0 0 0 0 0 0 0 0 0 0 0 0 0 0 0 0 0 0 0 0</t>
  </si>
  <si>
    <t>95 33 34 0 0 0 0 0 0 0 0 0 0 0 0 0 0 0 0 0 0 0 0 0 0</t>
  </si>
  <si>
    <t>96 33 0 0 0 0 0 0 0 0 0 0 0 0 0 0 0 0 0 0 0 0 0 0 0</t>
  </si>
  <si>
    <t>97 33 0 0 0 0 0 0 0 0 0 0 0 0 0 0 0 0 0 0 0 0 0 0 0</t>
  </si>
  <si>
    <t>98 34 35 0 0 0 0 0 0 0 0 0 0 0 0 0 0 0 0 0 0 0 0 0 0</t>
  </si>
  <si>
    <t>99 35 36 0 0 0 0 0 0 0 0 0 0 0 0 0 0 0 0 0 0 0 0 0 0</t>
  </si>
  <si>
    <t>100 35 0 0 0 0 0 0 0 0 0 0 0 0 0 0 0 0 0 0 0 0 0 0 0</t>
  </si>
  <si>
    <t>101 35 0 0 0 0 0 0 0 0 0 0 0 0 0 0 0 0 0 0 0 0 0 0 0</t>
  </si>
  <si>
    <t>102 35 0 0 0 0 0 0 0 0 0 0 0 0 0 0 0 0 0 0 0 0 0 0 0</t>
  </si>
  <si>
    <t>103 35 0 0 0 0 0 0 0 0 0 0 0 0 0 0 0 0 0 0 0 0 0 0 0</t>
  </si>
  <si>
    <t>104 36 37 0 0 0 0 0 0 0 0 0 0 0 0 0 0 0 0 0 0 0 0 0 0</t>
  </si>
  <si>
    <t>105 36 0 0 0 0 0 0 0 0 0 0 0 0 0 0 0 0 0 0 0 0 0 0 0</t>
  </si>
  <si>
    <t>106 36 0 0 0 0 0 0 0 0 0 0 0 0 0 0 0 0 0 0 0 0 0 0 0</t>
  </si>
  <si>
    <t>107 36 0 0 0 0 0 0 0 0 0 0 0 0 0 0 0 0 0 0 0 0 0 0 0</t>
  </si>
  <si>
    <t>108 36 0 0 0 0 0 0 0 0 0 0 0 0 0 0 0 0 0 0 0 0 0 0 0</t>
  </si>
  <si>
    <t>109 37 38 0 0 0 0 0 0 0 0 0 0 0 0 0 0 0 0 0 0 0 0 0 0</t>
  </si>
  <si>
    <t>110 37 38 0 0 0 0 0 0 0 0 0 0 0 0 0 0 0 0 0 0 0 0 0 0</t>
  </si>
  <si>
    <t>111 37 0 0 0 0 0 0 0 0 0 0 0 0 0 0 0 0 0 0 0 0 0 0 0</t>
  </si>
  <si>
    <t>112 37 0 0 0 0 0 0 0 0 0 0 0 0 0 0 0 0 0 0 0 0 0 0 0</t>
  </si>
  <si>
    <t>113 38 39 0 0 0 0 0 0 0 0 0 0 0 0 0 0 0 0 0 0 0 0 0 0</t>
  </si>
  <si>
    <t>114 39 40 0 0 0 0 0 0 0 0 0 0 0 0 0 0 0 0 0 0 0 0 0 0</t>
  </si>
  <si>
    <t>115 40 41 0 0 0 0 0 0 0 0 0 0 0 0 0 0 0 0 0 0 0 0 0 0</t>
  </si>
  <si>
    <t>116 41 42 0 0 0 0 0 0 0 0 0 0 0 0 0 0 0 0 0 0 0 0 0 0</t>
  </si>
  <si>
    <t>117 41 0 0 0 0 0 0 0 0 0 0 0 0 0 0 0 0 0 0 0 0 0 0 0</t>
  </si>
  <si>
    <t>118 41 0 0 0 0 0 0 0 0 0 0 0 0 0 0 0 0 0 0 0 0 0 0 0</t>
  </si>
  <si>
    <t>119 42 43 0 0 0 0 0 0 0 0 0 0 0 0 0 0 0 0 0 0 0 0 0 0</t>
  </si>
  <si>
    <t>120 43 44 0 0 0 0 0 0 0 0 0 0 0 0 0 0 0 0 0 0 0 0 0 0</t>
  </si>
  <si>
    <t>121 44 45 0 0 0 0 0 0 0 0 0 0 0 0 0 0 0 0 0 0 0 0 0 0</t>
  </si>
  <si>
    <t>122 45 46 0 0 0 0 0 0 0 0 0 0 0 0 0 0 0 0 0 0 0 0 0 0</t>
  </si>
  <si>
    <t>123 45 0 0 0 0 0 0 0 0 0 0 0 0 0 0 0 0 0 0 0 0 0 0 0</t>
  </si>
  <si>
    <t>124 45 0 0 0 0 0 0 0 0 0 0 0 0 0 0 0 0 0 0 0 0 0 0 0</t>
  </si>
  <si>
    <t>125 45 0 0 0 0 0 0 0 0 0 0 0 0 0 0 0 0 0 0 0 0 0 0 0</t>
  </si>
  <si>
    <t>126 45 0 0 0 0 0 0 0 0 0 0 0 0 0 0 0 0 0 0 0 0 0 0 0</t>
  </si>
  <si>
    <t>127 46 47 0 0 0 0 0 0 0 0 0 0 0 0 0 0 0 0 0 0 0 0 0 0</t>
  </si>
  <si>
    <t>128 46 0 0 0 0 0 0 0 0 0 0 0 0 0 0 0 0 0 0 0 0 0 0 0</t>
  </si>
  <si>
    <t>129 46 0 0 0 0 0 0 0 0 0 0 0 0 0 0 0 0 0 0 0 0 0 0 0</t>
  </si>
  <si>
    <t>130 46 0 0 0 0 0 0 0 0 0 0 0 0 0 0 0 0 0 0 0 0 0 0 0</t>
  </si>
  <si>
    <t>131 46 0 0 0 0 0 0 0 0 0 0 0 0 0 0 0 0 0 0 0 0 0 0 0</t>
  </si>
  <si>
    <t>132 47 48 0 0 0 0 0 0 0 0 0 0 0 0 0 0 0 0 0 0 0 0 0 0</t>
  </si>
  <si>
    <t>133 47 0 0 0 0 0 0 0 0 0 0 0 0 0 0 0 0 0 0 0 0 0 0 0</t>
  </si>
  <si>
    <t>134 48 49 0 0 0 0 0 0 0 0 0 0 0 0 0 0 0 0 0 0 0 0 0 0</t>
  </si>
  <si>
    <t>135 49 50 0 0 0 0 0 0 0 0 0 0 0 0 0 0 0 0 0 0 0 0 0 0</t>
  </si>
  <si>
    <t>136 49 0 0 0 0 0 0 0 0 0 0 0 0 0 0 0 0 0 0 0 0 0 0 0</t>
  </si>
  <si>
    <t>137 49 0 0 0 0 0 0 0 0 0 0 0 0 0 0 0 0 0 0 0 0 0 0 0</t>
  </si>
  <si>
    <t>138 49 0 0 0 0 0 0 0 0 0 0 0 0 0 0 0 0 0 0 0 0 0 0 0</t>
  </si>
  <si>
    <t>139 50 51 0 0 0 0 0 0 0 0 0 0 0 0 0 0 0 0 0 0 0 0 0 0</t>
  </si>
  <si>
    <t>140 51 0 0 0 0 0 0 0 0 0 0 0 0 0 0 0 0 0 0 0 0 0 0 0</t>
  </si>
  <si>
    <t>1 6</t>
  </si>
  <si>
    <t>12 7</t>
  </si>
  <si>
    <t>4 1 1 4 4 1</t>
  </si>
  <si>
    <t>17 12</t>
  </si>
  <si>
    <t>5 1 1 5 5 1</t>
  </si>
  <si>
    <t>22 17</t>
  </si>
  <si>
    <t>6 1 1 6 6 1</t>
  </si>
  <si>
    <t>27 22</t>
  </si>
  <si>
    <t>7 1 1 7 7 1</t>
  </si>
  <si>
    <t>32 27</t>
  </si>
  <si>
    <t>8 1 1 8 8 1</t>
  </si>
  <si>
    <t>35 32</t>
  </si>
  <si>
    <t>9 1 1 9 9 1</t>
  </si>
  <si>
    <t>36 35</t>
  </si>
  <si>
    <t>10 1 1 10 10 1</t>
  </si>
  <si>
    <t>41 36</t>
  </si>
  <si>
    <t>11 1 1 11 11 1</t>
  </si>
  <si>
    <t>46 41</t>
  </si>
  <si>
    <t>12 1 1 12 12 1</t>
  </si>
  <si>
    <t>48 47</t>
  </si>
  <si>
    <t>13 1 1 13 13 1</t>
  </si>
  <si>
    <t>49 48</t>
  </si>
  <si>
    <t>14 1 1 14 14 1</t>
  </si>
  <si>
    <t>51 49</t>
  </si>
  <si>
    <t>15 1 1 15 15 1</t>
  </si>
  <si>
    <t>52 51</t>
  </si>
  <si>
    <t>16 1 1 16 16 1</t>
  </si>
  <si>
    <t>57 52</t>
  </si>
  <si>
    <t>17 1 1 17 17 1</t>
  </si>
  <si>
    <t>59 57</t>
  </si>
  <si>
    <t>18 1 1 18 18 1</t>
  </si>
  <si>
    <t>60 59</t>
  </si>
  <si>
    <t>19 1 1 19 19 1</t>
  </si>
  <si>
    <t>65 60</t>
  </si>
  <si>
    <t>20 1 1 20 20 1</t>
  </si>
  <si>
    <t>70 65</t>
  </si>
  <si>
    <t>21 1 1 21 21 1</t>
  </si>
  <si>
    <t>73 70</t>
  </si>
  <si>
    <t>22 1 1 22 22 1</t>
  </si>
  <si>
    <t>74 73</t>
  </si>
  <si>
    <t>23 1 1 23 23 1</t>
  </si>
  <si>
    <t>75 74</t>
  </si>
  <si>
    <t>24 1 1 24 24 1</t>
  </si>
  <si>
    <t>76 75</t>
  </si>
  <si>
    <t>25 1 1 25 25 1</t>
  </si>
  <si>
    <t>81 76</t>
  </si>
  <si>
    <t>26 1 1 26 26 1</t>
  </si>
  <si>
    <t>82 81</t>
  </si>
  <si>
    <t>27 1 1 27 27 1</t>
  </si>
  <si>
    <t>83 82</t>
  </si>
  <si>
    <t>28 1 1 28 28 1</t>
  </si>
  <si>
    <t>84 83</t>
  </si>
  <si>
    <t>29 1 1 29 29 1</t>
  </si>
  <si>
    <t>85 84</t>
  </si>
  <si>
    <t>30 1 1 30 30 1</t>
  </si>
  <si>
    <t>86 85</t>
  </si>
  <si>
    <t>31 1 1 31 31 1</t>
  </si>
  <si>
    <t>89 87</t>
  </si>
  <si>
    <t>32 1 1 32 32 1</t>
  </si>
  <si>
    <t>90 89</t>
  </si>
  <si>
    <t>33 1 1 33 33 1</t>
  </si>
  <si>
    <t>95 90</t>
  </si>
  <si>
    <t>34 1 1 34 34 1</t>
  </si>
  <si>
    <t>98 95</t>
  </si>
  <si>
    <t>35 1 1 35 35 1</t>
  </si>
  <si>
    <t>99 98</t>
  </si>
  <si>
    <t>36 1 1 36 36 1</t>
  </si>
  <si>
    <t>104 99</t>
  </si>
  <si>
    <t>37 1 1 37 37 1</t>
  </si>
  <si>
    <t>109 104</t>
  </si>
  <si>
    <t>38 1 1 38 38 1</t>
  </si>
  <si>
    <t>113 110</t>
  </si>
  <si>
    <t>39 1 1 39 39 1</t>
  </si>
  <si>
    <t>114 113</t>
  </si>
  <si>
    <t>40 1 1 40 40 1</t>
  </si>
  <si>
    <t>115 114</t>
  </si>
  <si>
    <t>41 1 1 41 41 1</t>
  </si>
  <si>
    <t>116 115</t>
  </si>
  <si>
    <t>42 1 1 42 42 1</t>
  </si>
  <si>
    <t>119 116</t>
  </si>
  <si>
    <t>43 1 1 43 43 1</t>
  </si>
  <si>
    <t>120 119</t>
  </si>
  <si>
    <t>44 1 1 44 44 1</t>
  </si>
  <si>
    <t>121 120</t>
  </si>
  <si>
    <t>45 1 1 45 45 1</t>
  </si>
  <si>
    <t>122 121</t>
  </si>
  <si>
    <t>46 1 1 46 46 1</t>
  </si>
  <si>
    <t>127 122</t>
  </si>
  <si>
    <t>47 1 1 47 47 1</t>
  </si>
  <si>
    <t>132 127</t>
  </si>
  <si>
    <t>48 1 1 48 48 1</t>
  </si>
  <si>
    <t>134 132</t>
  </si>
  <si>
    <t>49 1 1 49 49 1</t>
  </si>
  <si>
    <t>135 134</t>
  </si>
  <si>
    <t>50 1 1 50 50 1</t>
  </si>
  <si>
    <t>139 135</t>
  </si>
  <si>
    <t>51 1 1 51 51 1</t>
  </si>
  <si>
    <t>140 139</t>
  </si>
  <si>
    <t>[Conditions]</t>
  </si>
  <si>
    <t>#elem_number group temp</t>
  </si>
  <si>
    <t>#if groups 1-9 offsets: dx1 dy1 dz1 dx2 dy2 dz2</t>
  </si>
  <si>
    <t>#if group = 1, 2 (beam or npbeam)</t>
  </si>
  <si>
    <t>#  gamma release1 release2</t>
  </si>
  <si>
    <t>#  node1_stiffness_dx dy dz ox oy oz</t>
  </si>
  <si>
    <t>#  node2_stiffness_dx dy dz ox oy oz</t>
  </si>
  <si>
    <t>#if group = 3, 4, 8 (truss, strut, fuse)</t>
  </si>
  <si>
    <t>#  gamma</t>
  </si>
  <si>
    <t>#if group = 5, 6, 7 (hook, gap, slot)</t>
  </si>
  <si>
    <t>#  gamma gap</t>
  </si>
  <si>
    <t>#if group = 9 (cable)</t>
  </si>
  <si>
    <t>#  initial_tension unstressed_length</t>
  </si>
  <si>
    <t>1 1 50</t>
  </si>
  <si>
    <t>0 0 0 0 0 0</t>
  </si>
  <si>
    <t>0 0 0</t>
  </si>
  <si>
    <t>2 1 50</t>
  </si>
  <si>
    <t>3 1 50</t>
  </si>
  <si>
    <t>4 1 50</t>
  </si>
  <si>
    <t>5 1 50</t>
  </si>
  <si>
    <t>6 1 50</t>
  </si>
  <si>
    <t>7 1 50</t>
  </si>
  <si>
    <t>8 1 50</t>
  </si>
  <si>
    <t>9 1 50</t>
  </si>
  <si>
    <t>10 1 50</t>
  </si>
  <si>
    <t>11 1 50</t>
  </si>
  <si>
    <t>12 1 50</t>
  </si>
  <si>
    <t>13 1 50</t>
  </si>
  <si>
    <t>14 1 50</t>
  </si>
  <si>
    <t>15 1 50</t>
  </si>
  <si>
    <t>16 1 50</t>
  </si>
  <si>
    <t>17 1 50</t>
  </si>
  <si>
    <t>18 1 50</t>
  </si>
  <si>
    <t>19 1 50</t>
  </si>
  <si>
    <t>20 1 50</t>
  </si>
  <si>
    <t>21 1 50</t>
  </si>
  <si>
    <t>22 1 50</t>
  </si>
  <si>
    <t>23 1 50</t>
  </si>
  <si>
    <t>24 1 50</t>
  </si>
  <si>
    <t>25 1 50</t>
  </si>
  <si>
    <t>26 1 50</t>
  </si>
  <si>
    <t>27 1 50</t>
  </si>
  <si>
    <t>28 1 50</t>
  </si>
  <si>
    <t>29 1 50</t>
  </si>
  <si>
    <t>30 1 50</t>
  </si>
  <si>
    <t>31 1 50</t>
  </si>
  <si>
    <t>32 1 50</t>
  </si>
  <si>
    <t>33 1 50</t>
  </si>
  <si>
    <t>34 1 50</t>
  </si>
  <si>
    <t>35 1 50</t>
  </si>
  <si>
    <t>36 1 50</t>
  </si>
  <si>
    <t>37 1 50</t>
  </si>
  <si>
    <t>38 1 50</t>
  </si>
  <si>
    <t>39 1 50</t>
  </si>
  <si>
    <t>40 1 50</t>
  </si>
  <si>
    <t>41 1 50</t>
  </si>
  <si>
    <t>42 1 50</t>
  </si>
  <si>
    <t>43 1 50</t>
  </si>
  <si>
    <t>44 1 50</t>
  </si>
  <si>
    <t>45 1 50</t>
  </si>
  <si>
    <t>46 1 50</t>
  </si>
  <si>
    <t>47 1 50</t>
  </si>
  <si>
    <t>48 1 50</t>
  </si>
  <si>
    <t>49 1 50</t>
  </si>
  <si>
    <t>50 1 50</t>
  </si>
  <si>
    <t>51 1 50</t>
  </si>
  <si>
    <t>1 4</t>
  </si>
  <si>
    <t xml:space="preserve">2 3 4 5 </t>
  </si>
  <si>
    <t>2 4</t>
  </si>
  <si>
    <t xml:space="preserve">8 9 10 11 </t>
  </si>
  <si>
    <t>3 4</t>
  </si>
  <si>
    <t xml:space="preserve">13 14 15 16 </t>
  </si>
  <si>
    <t>4 4</t>
  </si>
  <si>
    <t xml:space="preserve">18 19 20 21 </t>
  </si>
  <si>
    <t>5 4</t>
  </si>
  <si>
    <t xml:space="preserve">23 24 25 26 </t>
  </si>
  <si>
    <t>6 4</t>
  </si>
  <si>
    <t xml:space="preserve">28 29 30 31 </t>
  </si>
  <si>
    <t>7 2</t>
  </si>
  <si>
    <t xml:space="preserve">33 34 </t>
  </si>
  <si>
    <t>9 4</t>
  </si>
  <si>
    <t xml:space="preserve">37 38 39 40 </t>
  </si>
  <si>
    <t>10 4</t>
  </si>
  <si>
    <t xml:space="preserve">42 43 44 45 </t>
  </si>
  <si>
    <t>-47</t>
  </si>
  <si>
    <t>-46</t>
  </si>
  <si>
    <t>50</t>
  </si>
  <si>
    <t>15 4</t>
  </si>
  <si>
    <t xml:space="preserve">53 54 55 56 </t>
  </si>
  <si>
    <t>58</t>
  </si>
  <si>
    <t>18 4</t>
  </si>
  <si>
    <t xml:space="preserve">61 62 63 64 </t>
  </si>
  <si>
    <t>19 4</t>
  </si>
  <si>
    <t xml:space="preserve">66 67 68 69 </t>
  </si>
  <si>
    <t>20 2</t>
  </si>
  <si>
    <t xml:space="preserve">71 72 </t>
  </si>
  <si>
    <t>24 4</t>
  </si>
  <si>
    <t xml:space="preserve">77 78 79 80 </t>
  </si>
  <si>
    <t>30 2</t>
  </si>
  <si>
    <t xml:space="preserve">-87 88 </t>
  </si>
  <si>
    <t>-86</t>
  </si>
  <si>
    <t>32 4</t>
  </si>
  <si>
    <t xml:space="preserve">91 92 93 94 </t>
  </si>
  <si>
    <t>33 2</t>
  </si>
  <si>
    <t xml:space="preserve">96 97 </t>
  </si>
  <si>
    <t>35 4</t>
  </si>
  <si>
    <t xml:space="preserve">100 101 102 103 </t>
  </si>
  <si>
    <t>36 4</t>
  </si>
  <si>
    <t xml:space="preserve">105 106 107 108 </t>
  </si>
  <si>
    <t>37 3</t>
  </si>
  <si>
    <t xml:space="preserve">-110 111 112 </t>
  </si>
  <si>
    <t>38 1</t>
  </si>
  <si>
    <t>-109</t>
  </si>
  <si>
    <t>41 2</t>
  </si>
  <si>
    <t xml:space="preserve">117 118 </t>
  </si>
  <si>
    <t>45 4</t>
  </si>
  <si>
    <t xml:space="preserve">123 124 125 126 </t>
  </si>
  <si>
    <t>46 4</t>
  </si>
  <si>
    <t xml:space="preserve">128 129 130 131 </t>
  </si>
  <si>
    <t>47 1</t>
  </si>
  <si>
    <t>133</t>
  </si>
  <si>
    <t>49 3</t>
  </si>
  <si>
    <t xml:space="preserve">136 137 138 </t>
  </si>
  <si>
    <t>TP17.0502x16x0.25-A607-65</t>
  </si>
  <si>
    <t>TP18.1004x17.0502x0.25-A607-65</t>
  </si>
  <si>
    <t>TP19.1506x18.1004x0.25-A607-65</t>
  </si>
  <si>
    <t>TP20.2008x19.1506x0.25-A607-65</t>
  </si>
  <si>
    <t>TP21.2511x20.2008x0.25-A607-65</t>
  </si>
  <si>
    <t>TP22.3013x21.2511x0.25-A607-65</t>
  </si>
  <si>
    <t>TP23.1246x22.3013x0.25-A607-65</t>
  </si>
  <si>
    <t>TP23.1771x23.1246x0.5375-A607-65</t>
  </si>
  <si>
    <t>TP24.2273x23.1771x0.5125-A607-65</t>
  </si>
  <si>
    <t>TP25.2776x24.2273x0.5-A607-65</t>
  </si>
  <si>
    <t>TP25.977x25.2776x0.5-A607-65</t>
  </si>
  <si>
    <t>TP25.8445x24.7944x0.5625-A607-65</t>
  </si>
  <si>
    <t>TP26.3003x25.8445x0.5625-A607-65</t>
  </si>
  <si>
    <t>TP26.3528x26.3003x0.5625-A607-65</t>
  </si>
  <si>
    <t>TP27.403x26.3528x0.55-A607-65</t>
  </si>
  <si>
    <t>TP27.8924x27.403x0.5375-A607-65</t>
  </si>
  <si>
    <t>TP27.9449x27.8924x0.7875-A607-65</t>
  </si>
  <si>
    <t>TP28.9951x27.9449x0.7625-A607-65</t>
  </si>
  <si>
    <t>TP30.0453x28.9951x0.7375-A607-65</t>
  </si>
  <si>
    <t>TP30.8497x30.0453x0.7375-A607-65</t>
  </si>
  <si>
    <t>TP30.9022x30.8497x0.8375-A607-65</t>
  </si>
  <si>
    <t>TP31.253x30.9022x0.8375-A607-65</t>
  </si>
  <si>
    <t>TP31.3055x31.253x0.6125-A607-65</t>
  </si>
  <si>
    <t>TP32.3557x31.3055x0.6-A607-65</t>
  </si>
  <si>
    <t>TP32.4082x32.3557x0.6-A607-65</t>
  </si>
  <si>
    <t>TP32.4607x32.4082x0.6-A607-65</t>
  </si>
  <si>
    <t>TP32.5132x32.4607x0.6375-A607-65</t>
  </si>
  <si>
    <t>TP32.6014x32.5132x0.6375-A607-65</t>
  </si>
  <si>
    <t>TP32.6539x32.6014x0.6375-A607-65</t>
  </si>
  <si>
    <t>TP34.141x32.6539x0.6375-A607-65</t>
  </si>
  <si>
    <t>TP33.6209x32.5708x0.7-A607-60</t>
  </si>
  <si>
    <t>TP34.671x33.6209x0.675-A607-60</t>
  </si>
  <si>
    <t>TP35.4418x34.671x0.675-A607-60</t>
  </si>
  <si>
    <t>TP35.4943x35.4418x0.675-A607-60</t>
  </si>
  <si>
    <t>TP36.5444x35.4943x0.6625-A607-60</t>
  </si>
  <si>
    <t>TP37.5945x36.5444x0.65-A607-60</t>
  </si>
  <si>
    <t>TP39.449x37.5945x0.65-A607-60</t>
  </si>
  <si>
    <t>TP38.9091x37.6489x0.725-A607-65</t>
  </si>
  <si>
    <t>39 1</t>
  </si>
  <si>
    <t>TP39.2242x38.9091x0.725-A607-65</t>
  </si>
  <si>
    <t>40 1</t>
  </si>
  <si>
    <t>TP39.2767x39.2242x0.85-A607-65</t>
  </si>
  <si>
    <t>41 1</t>
  </si>
  <si>
    <t>TP40.0475x39.2767x0.85-A607-65</t>
  </si>
  <si>
    <t>42 1</t>
  </si>
  <si>
    <t>TP40.1x40.0475x0.7125-A607-65</t>
  </si>
  <si>
    <t>43 1</t>
  </si>
  <si>
    <t>TP40.1525x40.1x0.7125-A607-65</t>
  </si>
  <si>
    <t>44 1</t>
  </si>
  <si>
    <t>TP40.205x40.1525x0.725-A607-65</t>
  </si>
  <si>
    <t>45 1</t>
  </si>
  <si>
    <t>TP41.2552x40.205x0.7125-A607-65</t>
  </si>
  <si>
    <t>46 1</t>
  </si>
  <si>
    <t>TP42.3054x41.2552x0.7-A607-65</t>
  </si>
  <si>
    <t>TP42.7255x42.3054x0.7-A607-65</t>
  </si>
  <si>
    <t>48 1</t>
  </si>
  <si>
    <t>TP42.778x42.7255x0.675-A607-65</t>
  </si>
  <si>
    <t>49 1</t>
  </si>
  <si>
    <t>TP43.7925x42.778x0.675-A607-65</t>
  </si>
  <si>
    <t>50 1</t>
  </si>
  <si>
    <t>TP43.845x43.7925x0.975-A607-65</t>
  </si>
  <si>
    <t>51 1</t>
  </si>
  <si>
    <t>TP43.95x43.845x0.975-A607-65</t>
  </si>
  <si>
    <t>TP17.0502x16x0.25</t>
  </si>
  <si>
    <t>13.5242 487.221 487.221 987.242 0 0 0 0</t>
  </si>
  <si>
    <t>TP18.1004x17.0502x0.25</t>
  </si>
  <si>
    <t>14.3696 584.423 584.423 1184.2 0 0 0 0</t>
  </si>
  <si>
    <t>TP19.1506x18.1004x0.25</t>
  </si>
  <si>
    <t>15.215 693.762 693.762 1405.75 0 0 0 0</t>
  </si>
  <si>
    <t>4 1 1</t>
  </si>
  <si>
    <t>TP20.2008x19.1506x0.25</t>
  </si>
  <si>
    <t>16.0604 815.954 815.954 1653.34 0 0 0 0</t>
  </si>
  <si>
    <t>5 1 1</t>
  </si>
  <si>
    <t>TP21.2511x20.2008x0.25</t>
  </si>
  <si>
    <t>16.9058 951.711 951.711 1928.42 0 0 0 0</t>
  </si>
  <si>
    <t>6 1 1</t>
  </si>
  <si>
    <t>TP22.3013x21.2511x0.25</t>
  </si>
  <si>
    <t>17.7513 1101.75 1101.75 2232.44 0 0 0 0</t>
  </si>
  <si>
    <t>7 1 1</t>
  </si>
  <si>
    <t>TP23.1246x22.3013x0.25</t>
  </si>
  <si>
    <t>18.4141 1229.83 1229.83 2491.96 0 0 0 0</t>
  </si>
  <si>
    <t>8 1 1</t>
  </si>
  <si>
    <t>TP23.1771x23.1246x0.5375</t>
  </si>
  <si>
    <t>39.1836 2563.47 2563.47 5194.29 0 0 0 0</t>
  </si>
  <si>
    <t>9 1 1</t>
  </si>
  <si>
    <t>TP24.2273x23.1771x0.5125</t>
  </si>
  <si>
    <t>39.1354 2809.29 2809.29 5692.39 0 0 0 0</t>
  </si>
  <si>
    <t>10 1 1</t>
  </si>
  <si>
    <t>TP25.2776x24.2273x0.5</t>
  </si>
  <si>
    <t>39.8919 3125.99 3125.99 6334.1 0 0 0 0</t>
  </si>
  <si>
    <t>11 1 1</t>
  </si>
  <si>
    <t>TP25.977x25.2776x0.5</t>
  </si>
  <si>
    <t>41.018 3398.26 3398.26 6885.8 0 0 0 0</t>
  </si>
  <si>
    <t>12 1 1</t>
  </si>
  <si>
    <t>TP25.8445x24.7944x0.5625</t>
  </si>
  <si>
    <t>45.7921 3735.95 3735.95 7570.05 0 0 0 0</t>
  </si>
  <si>
    <t>13 1 1</t>
  </si>
  <si>
    <t>TP26.3003x25.8445x0.5625</t>
  </si>
  <si>
    <t>46.6176 3941.67 3941.67 7986.89 0 0 0 0</t>
  </si>
  <si>
    <t>14 1 1</t>
  </si>
  <si>
    <t>TP26.3528x26.3003x0.5625</t>
  </si>
  <si>
    <t>46.7127 3965.84 3965.84 8035.87 0 0 0 0</t>
  </si>
  <si>
    <t>15 1 1</t>
  </si>
  <si>
    <t>TP27.403x26.3528x0.55</t>
  </si>
  <si>
    <t>47.5567 4377.07 4377.07 8869.14 0 0 0 0</t>
  </si>
  <si>
    <t>16 1 1</t>
  </si>
  <si>
    <t>TP27.8924x27.403x0.5375</t>
  </si>
  <si>
    <t>47.3445 4521.95 4521.95 9162.7 0 0 0 0</t>
  </si>
  <si>
    <t>17 1 1</t>
  </si>
  <si>
    <t>TP27.9449x27.8924x0.7875</t>
  </si>
  <si>
    <t>68.8644 6482.73 6482.73 13135.8 0 0 0 0</t>
  </si>
  <si>
    <t>18 1 1</t>
  </si>
  <si>
    <t>TP28.9951x27.9449x0.7625</t>
  </si>
  <si>
    <t>69.3181 7052.36 7052.36 14290 0 0 0 0</t>
  </si>
  <si>
    <t>19 1 1</t>
  </si>
  <si>
    <t>TP30.0453x28.9951x0.7375</t>
  </si>
  <si>
    <t>69.5987 7630.5 7630.5 15461.5 0 0 0 0</t>
  </si>
  <si>
    <t>20 1 1</t>
  </si>
  <si>
    <t>TP30.8497x30.0453x0.7375</t>
  </si>
  <si>
    <t>71.509 8276.23 8276.23 16769.9 0 0 0 0</t>
  </si>
  <si>
    <t>21 1 1</t>
  </si>
  <si>
    <t>TP30.9022x30.8497x0.8375</t>
  </si>
  <si>
    <t>81.0771 9354.03 9354.03 18953.8 0 0 0 0</t>
  </si>
  <si>
    <t>22 1 1</t>
  </si>
  <si>
    <t>TP31.253x30.9022x0.8375</t>
  </si>
  <si>
    <t>82.023 9685.26 9685.26 19625 0 0 0 0</t>
  </si>
  <si>
    <t>23 1 1</t>
  </si>
  <si>
    <t>TP31.3055x31.253x0.6125</t>
  </si>
  <si>
    <t>60.5343 7278.91 7278.91 14749 0 0 0 0</t>
  </si>
  <si>
    <t>24 1 1</t>
  </si>
  <si>
    <t>TP32.3557x31.3055x0.6</t>
  </si>
  <si>
    <t>61.352 7896.92 7896.92 16001.3 0 0 0 0</t>
  </si>
  <si>
    <t>25 1 1</t>
  </si>
  <si>
    <t>TP32.4082x32.3557x0.6</t>
  </si>
  <si>
    <t>61.4534 7936.16 7936.16 16080.8 0 0 0 0</t>
  </si>
  <si>
    <t>26 1 1</t>
  </si>
  <si>
    <t>TP32.4607x32.4082x0.6</t>
  </si>
  <si>
    <t>61.5549 7975.52 7975.52 16160.6 0 0 0 0</t>
  </si>
  <si>
    <t>27 1 1</t>
  </si>
  <si>
    <t>TP32.5132x32.4607x0.6375</t>
  </si>
  <si>
    <t>65.4329 8485.98 8485.98 17194.9 0 0 0 0</t>
  </si>
  <si>
    <t>28 1 1</t>
  </si>
  <si>
    <t>TP32.6014x32.5132x0.6375</t>
  </si>
  <si>
    <t>65.614 8556.63 8556.63 17338 0 0 0 0</t>
  </si>
  <si>
    <t>29 1 1</t>
  </si>
  <si>
    <t>TP32.6539x32.6014x0.6375</t>
  </si>
  <si>
    <t>65.7217 8598.86 8598.86 17423.6 0 0 0 0</t>
  </si>
  <si>
    <t>30 1 1</t>
  </si>
  <si>
    <t>TP34.141x32.6539x0.6375</t>
  </si>
  <si>
    <t>68.7743 9853.55 9853.55 19966 0 0 0 0</t>
  </si>
  <si>
    <t>31 1 1</t>
  </si>
  <si>
    <t>TP33.6209x32.5708x0.7</t>
  </si>
  <si>
    <t>74.2038 10264.9 10264.9 20799.5 0 0 0 0</t>
  </si>
  <si>
    <t>32 1 1</t>
  </si>
  <si>
    <t>TP34.671x33.6209x0.675</t>
  </si>
  <si>
    <t>73.8904 10900.1 10900.1 22086.6 0 0 0 0</t>
  </si>
  <si>
    <t>33 1 1</t>
  </si>
  <si>
    <t>TP35.4418x34.671x0.675</t>
  </si>
  <si>
    <t>75.5657 11658.4 11658.4 23623.1 0 0 0 0</t>
  </si>
  <si>
    <t>34 1 1</t>
  </si>
  <si>
    <t>TP35.4943x35.4418x0.675</t>
  </si>
  <si>
    <t>75.6798 11711.3 11711.3 23730.3 0 0 0 0</t>
  </si>
  <si>
    <t>35 1 1</t>
  </si>
  <si>
    <t>TP36.5444x35.4943x0.6625</t>
  </si>
  <si>
    <t>76.5451 12579.2 12579.2 25489 0 0 0 0</t>
  </si>
  <si>
    <t>36 1 1</t>
  </si>
  <si>
    <t>TP37.5945x36.5444x0.65</t>
  </si>
  <si>
    <t>77.3249 13471.2 13471.2 27296.2 0 0 0 0</t>
  </si>
  <si>
    <t>37 1 1</t>
  </si>
  <si>
    <t>TP39.449x37.5945x0.65</t>
  </si>
  <si>
    <t>81.2063 15603.3 15603.3 31616.5 0 0 0 0</t>
  </si>
  <si>
    <t>38 1 1</t>
  </si>
  <si>
    <t>TP38.9091x37.6489x0.725</t>
  </si>
  <si>
    <t>89.1408 16589.3 16589.3 33614.4 0 0 0 0</t>
  </si>
  <si>
    <t>39 1 1</t>
  </si>
  <si>
    <t>TP39.2242x38.9091x0.725</t>
  </si>
  <si>
    <t>89.8763 17003.3 17003.3 34453.4 0 0 0 0</t>
  </si>
  <si>
    <t>40 1 1</t>
  </si>
  <si>
    <t>TP39.2767x39.2242x0.85</t>
  </si>
  <si>
    <t>105.174 19822.5 19822.5 40165.9 0 0 0 0</t>
  </si>
  <si>
    <t>41 1 1</t>
  </si>
  <si>
    <t>TP40.0475x39.2767x0.85</t>
  </si>
  <si>
    <t>107.284 21039.6 21039.6 42631.8 0 0 0 0</t>
  </si>
  <si>
    <t>42 1 1</t>
  </si>
  <si>
    <t>TP40.1x40.0475x0.7125</t>
  </si>
  <si>
    <t>90.3648 17893.8 17893.8 36257.7 0 0 0 0</t>
  </si>
  <si>
    <t>43 1 1</t>
  </si>
  <si>
    <t>TP40.1525x40.1x0.7125</t>
  </si>
  <si>
    <t>90.4853 17965.5 17965.5 36402.9 0 0 0 0</t>
  </si>
  <si>
    <t>44 1 1</t>
  </si>
  <si>
    <t>TP40.205x40.1525x0.725</t>
  </si>
  <si>
    <t>92.1662 18336.3 18336.3 37154.4 0 0 0 0</t>
  </si>
  <si>
    <t>45 1 1</t>
  </si>
  <si>
    <t>TP41.2552x40.205x0.7125</t>
  </si>
  <si>
    <t>93.0152 19514.9 19514.9 39542.4 0 0 0 0</t>
  </si>
  <si>
    <t>46 1 1</t>
  </si>
  <si>
    <t>TP42.3054x41.2552x0.7</t>
  </si>
  <si>
    <t>93.7786 20720 20720 41984.3 0 0 0 0</t>
  </si>
  <si>
    <t>47 1 1</t>
  </si>
  <si>
    <t>TP42.7255x42.3054x0.7</t>
  </si>
  <si>
    <t>94.7254 21353.9 21353.9 43268.9 0 0 0 0</t>
  </si>
  <si>
    <t>48 1 1</t>
  </si>
  <si>
    <t>TP42.778x42.7255x0.675</t>
  </si>
  <si>
    <t>91.5109 20705.4 20705.4 41954.8 0 0 0 0</t>
  </si>
  <si>
    <t>49 1 1</t>
  </si>
  <si>
    <t>TP43.7925x42.778x0.675</t>
  </si>
  <si>
    <t>93.7158 22238.5 22238.5 45061.2 0 0 0 0</t>
  </si>
  <si>
    <t>50 1 1</t>
  </si>
  <si>
    <t>TP43.845x43.7925x0.975</t>
  </si>
  <si>
    <t>134.59 31572.3 31572.3 63974.1 0 0 0 0</t>
  </si>
  <si>
    <t>51 1 1</t>
  </si>
  <si>
    <t>TP43.95x43.845x0.975</t>
  </si>
  <si>
    <t>134.92 31804.9 31804.9 64445.4 0 0 0 0</t>
  </si>
  <si>
    <t>[Selfweight]</t>
  </si>
  <si>
    <t>#rec activity</t>
  </si>
  <si>
    <t>#cases</t>
  </si>
  <si>
    <t>#elem_list</t>
  </si>
  <si>
    <t>#x_mult y_mult z_mult</t>
  </si>
  <si>
    <t>[Thermal]</t>
  </si>
  <si>
    <t>#multiplier</t>
  </si>
  <si>
    <t>Temperature Drop</t>
  </si>
  <si>
    <t>1.2 Dead+1.0 Ice+1.0 Temp</t>
  </si>
  <si>
    <t>1.2*1,1.0*14,1.0*15</t>
  </si>
  <si>
    <t>1.2 Dead+1.0 Wind 0 deg+1.0 Ice+1.0 Temp</t>
  </si>
  <si>
    <t>1.2*1,1.0*16,1.0*14,1.0*15</t>
  </si>
  <si>
    <t>1.2 Dead+1.0 Wind 30 deg+1.0 Ice+1.0 Temp</t>
  </si>
  <si>
    <t>1.2*1,1.0*17,1.0*14,1.0*15</t>
  </si>
  <si>
    <t>1.2 Dead+1.0 Wind 60 deg+1.0 Ice+1.0 Temp</t>
  </si>
  <si>
    <t>1.2*1,1.0*18,1.0*14,1.0*15</t>
  </si>
  <si>
    <t>1.2 Dead+1.0 Wind 90 deg+1.0 Ice+1.0 Temp</t>
  </si>
  <si>
    <t>1.2*1,1.0*19,1.0*14,1.0*15</t>
  </si>
  <si>
    <t>1.2 Dead+1.0 Wind 120 deg+1.0 Ice+1.0 Temp</t>
  </si>
  <si>
    <t>1.2*1,1.0*20,1.0*14,1.0*15</t>
  </si>
  <si>
    <t>1.2 Dead+1.0 Wind 150 deg+1.0 Ice+1.0 Temp</t>
  </si>
  <si>
    <t>1.2*1,1.0*21,1.0*14,1.0*15</t>
  </si>
  <si>
    <t>1.2 Dead+1.0 Wind 180 deg+1.0 Ice+1.0 Temp</t>
  </si>
  <si>
    <t>1.2*1,1.0*22,1.0*14,1.0*15</t>
  </si>
  <si>
    <t>1.2 Dead+1.0 Wind 210 deg+1.0 Ice+1.0 Temp</t>
  </si>
  <si>
    <t>1.2*1,1.0*23,1.0*14,1.0*15</t>
  </si>
  <si>
    <t>1.2 Dead+1.0 Wind 240 deg+1.0 Ice+1.0 Temp</t>
  </si>
  <si>
    <t>1.2*1,1.0*24,1.0*14,1.0*15</t>
  </si>
  <si>
    <t>1.2 Dead+1.0 Wind 270 deg+1.0 Ice+1.0 Temp</t>
  </si>
  <si>
    <t>1.2*1,1.0*25,1.0*14,1.0*15</t>
  </si>
  <si>
    <t>1.2 Dead+1.0 Wind 300 deg+1.0 Ice+1.0 Temp</t>
  </si>
  <si>
    <t>1.2*1,1.0*26,1.0*14,1.0*15</t>
  </si>
  <si>
    <t>1.2 Dead+1.0 Wind 330 deg+1.0 Ice+1.0 Temp</t>
  </si>
  <si>
    <t>1.2*1,1.0*27,1.0*14,1.0*15</t>
  </si>
  <si>
    <t>1.0*1,1.0*28</t>
  </si>
  <si>
    <t>1.0*1,1.0*29</t>
  </si>
  <si>
    <t>1.0*1,1.0*30</t>
  </si>
  <si>
    <t>1.0*1,1.0*31</t>
  </si>
  <si>
    <t>1.0*1,1.0*32</t>
  </si>
  <si>
    <t>1.0*1,1.0*33</t>
  </si>
  <si>
    <t>1.0*1,1.0*34</t>
  </si>
  <si>
    <t>1.0*1,1.0*35</t>
  </si>
  <si>
    <t>1.0*1,1.0*36</t>
  </si>
  <si>
    <t>1.0*1,1.0*37</t>
  </si>
  <si>
    <t>1.0*1,1.0*38</t>
  </si>
  <si>
    <t>1.0*1,1.0*39</t>
  </si>
  <si>
    <t>7</t>
  </si>
  <si>
    <t>8</t>
  </si>
  <si>
    <t>9</t>
  </si>
  <si>
    <t>11</t>
  </si>
  <si>
    <t>13</t>
  </si>
  <si>
    <t>14</t>
  </si>
  <si>
    <t>16</t>
  </si>
  <si>
    <t>17</t>
  </si>
  <si>
    <t>18</t>
  </si>
  <si>
    <t>19</t>
  </si>
  <si>
    <t>22</t>
  </si>
  <si>
    <t>23</t>
  </si>
  <si>
    <t>24</t>
  </si>
  <si>
    <t>25</t>
  </si>
  <si>
    <t>26</t>
  </si>
  <si>
    <t>28</t>
  </si>
  <si>
    <t>31</t>
  </si>
  <si>
    <t>32</t>
  </si>
  <si>
    <t>33</t>
  </si>
  <si>
    <t>34</t>
  </si>
  <si>
    <t>35</t>
  </si>
  <si>
    <t>36</t>
  </si>
  <si>
    <t>37</t>
  </si>
  <si>
    <t>38</t>
  </si>
  <si>
    <t>40</t>
  </si>
  <si>
    <t>41</t>
  </si>
  <si>
    <t>42</t>
  </si>
  <si>
    <t>43</t>
  </si>
  <si>
    <t>44</t>
  </si>
  <si>
    <t>46</t>
  </si>
  <si>
    <t>47</t>
  </si>
  <si>
    <t>48</t>
  </si>
  <si>
    <t>49</t>
  </si>
  <si>
    <t>14 1 5</t>
  </si>
  <si>
    <t>Ice</t>
  </si>
  <si>
    <t>15 1 5</t>
  </si>
  <si>
    <t>Ice Wind 0 deg</t>
  </si>
  <si>
    <t>Ice Wind 30 deg</t>
  </si>
  <si>
    <t>Ice Wind 60 deg</t>
  </si>
  <si>
    <t>Ice Wind 90 deg</t>
  </si>
  <si>
    <t>Ice Wind 120 deg</t>
  </si>
  <si>
    <t>Ice Wind 150 deg</t>
  </si>
  <si>
    <t>Ice Wind 180 deg</t>
  </si>
  <si>
    <t>Ice Wind 210 deg</t>
  </si>
  <si>
    <t>Ice Wind 240 deg</t>
  </si>
  <si>
    <t>Ice Wind 270 deg</t>
  </si>
  <si>
    <t>26 1 9</t>
  </si>
  <si>
    <t>Ice Wind 300 deg</t>
  </si>
  <si>
    <t>27 1 9</t>
  </si>
  <si>
    <t>Ice Wind 330 deg</t>
  </si>
  <si>
    <t>28 1 9</t>
  </si>
  <si>
    <t>29 1 9</t>
  </si>
  <si>
    <t>30 1 9</t>
  </si>
  <si>
    <t>31 1 9</t>
  </si>
  <si>
    <t>32 1 9</t>
  </si>
  <si>
    <t>33 1 9</t>
  </si>
  <si>
    <t>34 1 9</t>
  </si>
  <si>
    <t>35 1 9</t>
  </si>
  <si>
    <t>36 1 9</t>
  </si>
  <si>
    <t>37 1 9</t>
  </si>
  <si>
    <t>38 1 9</t>
  </si>
  <si>
    <t>39 1 9</t>
  </si>
  <si>
    <t>Latticed Pole Legs L1 142.00-137.00</t>
  </si>
  <si>
    <t>Latticed Pole Legs L2 137.00-132.00</t>
  </si>
  <si>
    <t>Latticed Pole Legs L3 132.00-127.00</t>
  </si>
  <si>
    <t>4 1 1 2</t>
  </si>
  <si>
    <t>Latticed Pole Legs L4 127.00-122.00</t>
  </si>
  <si>
    <t>5 1 1 2</t>
  </si>
  <si>
    <t>Latticed Pole Legs L5 122.00-117.00</t>
  </si>
  <si>
    <t>6 1 1 2</t>
  </si>
  <si>
    <t>Latticed Pole Legs L6 117.00-112.00</t>
  </si>
  <si>
    <t>7 1 1 2</t>
  </si>
  <si>
    <t>Latticed Pole Legs L7 112.00-108.08</t>
  </si>
  <si>
    <t>8 1 1 2</t>
  </si>
  <si>
    <t>Latticed Pole Legs L8 108.08-107.83</t>
  </si>
  <si>
    <t>9 1 1 2</t>
  </si>
  <si>
    <t>Latticed Pole Legs L9 107.83-102.83</t>
  </si>
  <si>
    <t>10 1 1 2</t>
  </si>
  <si>
    <t>Latticed Pole Legs L10 102.83-97.83</t>
  </si>
  <si>
    <t>11 1 1 2</t>
  </si>
  <si>
    <t>Latticed Pole Legs L11 97.83-94.50</t>
  </si>
  <si>
    <t>12 1 1 2</t>
  </si>
  <si>
    <t>Latticed Pole Legs L12 94.50-92.75</t>
  </si>
  <si>
    <t>13 1 1 2</t>
  </si>
  <si>
    <t>Latticed Pole Legs L13 92.75-90.58</t>
  </si>
  <si>
    <t>14 1 1 2</t>
  </si>
  <si>
    <t>Latticed Pole Legs L14 90.58-90.33</t>
  </si>
  <si>
    <t>15 1 1 2</t>
  </si>
  <si>
    <t>Latticed Pole Legs L15 90.33-85.33</t>
  </si>
  <si>
    <t>16 1 1 2</t>
  </si>
  <si>
    <t>Latticed Pole Legs L16 85.33-83.00</t>
  </si>
  <si>
    <t>17 1 1 2</t>
  </si>
  <si>
    <t>Latticed Pole Legs L17 83.00-82.75</t>
  </si>
  <si>
    <t>18 1 1 2</t>
  </si>
  <si>
    <t>Latticed Pole Legs L18 82.75-77.75</t>
  </si>
  <si>
    <t>19 1 1 2</t>
  </si>
  <si>
    <t>Latticed Pole Legs L19 77.75-72.75</t>
  </si>
  <si>
    <t>20 1 1 2</t>
  </si>
  <si>
    <t>Latticed Pole Legs L20 72.75-68.92</t>
  </si>
  <si>
    <t>21 1 1 2</t>
  </si>
  <si>
    <t>Latticed Pole Legs L21 68.92-68.67</t>
  </si>
  <si>
    <t>22 1 1 2</t>
  </si>
  <si>
    <t>Latticed Pole Legs L22 68.67-67.00</t>
  </si>
  <si>
    <t>23 1 1 2</t>
  </si>
  <si>
    <t>Latticed Pole Legs L23 67.00-66.75</t>
  </si>
  <si>
    <t>24 1 1 2</t>
  </si>
  <si>
    <t>Latticed Pole Legs L24 66.75-61.75</t>
  </si>
  <si>
    <t>25 1 1 2</t>
  </si>
  <si>
    <t>Latticed Pole Legs L25 61.75-61.50</t>
  </si>
  <si>
    <t>26 1 1 2</t>
  </si>
  <si>
    <t>Latticed Pole Legs L26 61.50-61.25</t>
  </si>
  <si>
    <t>27 1 1 2</t>
  </si>
  <si>
    <t>Latticed Pole Legs L27 61.25-61.00</t>
  </si>
  <si>
    <t>28 1 1 2</t>
  </si>
  <si>
    <t>Latticed Pole Legs L28 61.00-60.58</t>
  </si>
  <si>
    <t>29 1 1 2</t>
  </si>
  <si>
    <t>Latticed Pole Legs L29 60.58-60.33</t>
  </si>
  <si>
    <t>30 1 1 2</t>
  </si>
  <si>
    <t>Latticed Pole Legs L30 60.33-53.25</t>
  </si>
  <si>
    <t>31 1 1 2</t>
  </si>
  <si>
    <t>Latticed Pole Legs L31 53.25-52.75</t>
  </si>
  <si>
    <t>32 1 1 2</t>
  </si>
  <si>
    <t>Latticed Pole Legs L32 52.75-47.75</t>
  </si>
  <si>
    <t>33 1 1 2</t>
  </si>
  <si>
    <t>Latticed Pole Legs L33 47.75-44.08</t>
  </si>
  <si>
    <t>34 1 1 2</t>
  </si>
  <si>
    <t>Latticed Pole Legs L34 44.08-43.83</t>
  </si>
  <si>
    <t>35 1 1 2</t>
  </si>
  <si>
    <t>Latticed Pole Legs L35 43.83-38.83</t>
  </si>
  <si>
    <t>36 1 1 2</t>
  </si>
  <si>
    <t>Latticed Pole Legs L36 38.83-33.83</t>
  </si>
  <si>
    <t>37 1 1 2</t>
  </si>
  <si>
    <t>Latticed Pole Legs L37 33.83-25.00</t>
  </si>
  <si>
    <t>38 1 1 2</t>
  </si>
  <si>
    <t>Latticed Pole Legs L38 25.00-24.00</t>
  </si>
  <si>
    <t>39 1 1 2</t>
  </si>
  <si>
    <t>Latticed Pole Legs L39 24.00-22.50</t>
  </si>
  <si>
    <t>40 1 1 2</t>
  </si>
  <si>
    <t>Latticed Pole Legs L40 22.50-22.25</t>
  </si>
  <si>
    <t>41 1 1 2</t>
  </si>
  <si>
    <t>Latticed Pole Legs L41 22.25-18.58</t>
  </si>
  <si>
    <t>42 1 1 2</t>
  </si>
  <si>
    <t>Latticed Pole Legs L42 18.58-18.33</t>
  </si>
  <si>
    <t>43 1 1 2</t>
  </si>
  <si>
    <t>Latticed Pole Legs L43 18.33-18.08</t>
  </si>
  <si>
    <t>44 1 1 2</t>
  </si>
  <si>
    <t>Latticed Pole Legs L44 18.08-17.83</t>
  </si>
  <si>
    <t>45 1 1 2</t>
  </si>
  <si>
    <t>Latticed Pole Legs L45 17.83-12.83</t>
  </si>
  <si>
    <t>46 1 1 2</t>
  </si>
  <si>
    <t>Latticed Pole Legs L46 12.83-7.83</t>
  </si>
  <si>
    <t>47 1 1 2</t>
  </si>
  <si>
    <t>Latticed Pole Legs L47 7.83-5.83</t>
  </si>
  <si>
    <t>48 1 1 2</t>
  </si>
  <si>
    <t>Latticed Pole Legs L48 5.83-5.58</t>
  </si>
  <si>
    <t>49 1 1 2</t>
  </si>
  <si>
    <t>Latticed Pole Legs L49 5.58-0.75</t>
  </si>
  <si>
    <t>50 1 1 2</t>
  </si>
  <si>
    <t>Latticed Pole Legs L50 0.75-0.50</t>
  </si>
  <si>
    <t>51 1 1 2</t>
  </si>
  <si>
    <t>51</t>
  </si>
  <si>
    <t>Latticed Pole Legs L51 0.50-0.00</t>
  </si>
  <si>
    <t>52 1 1 0</t>
  </si>
  <si>
    <t>53 1 1 0</t>
  </si>
  <si>
    <t>54 1 1 0</t>
  </si>
  <si>
    <t>55 1 1 0</t>
  </si>
  <si>
    <t>56 1 1 0</t>
  </si>
  <si>
    <t>57 1 1 0</t>
  </si>
  <si>
    <t>58 1 1 0</t>
  </si>
  <si>
    <t>59 1 1 0</t>
  </si>
  <si>
    <t>60 1 1 0</t>
  </si>
  <si>
    <t>61 1 1 0</t>
  </si>
  <si>
    <t>62 1 1 0</t>
  </si>
  <si>
    <t>63 1 1 0</t>
  </si>
  <si>
    <t>64 1 1 0</t>
  </si>
  <si>
    <t>65 1 1 0</t>
  </si>
  <si>
    <t>66 1 1 0</t>
  </si>
  <si>
    <t>67 1 1 0</t>
  </si>
  <si>
    <t>68 1 1 0</t>
  </si>
  <si>
    <t>69 1 1 0</t>
  </si>
  <si>
    <t>70 1 1 0</t>
  </si>
  <si>
    <t>71 1 1 0</t>
  </si>
  <si>
    <t>72 1 1 0</t>
  </si>
  <si>
    <t>73 1 1 0</t>
  </si>
  <si>
    <t>74 1 1 0</t>
  </si>
  <si>
    <t>75 1 1 0</t>
  </si>
  <si>
    <t>76 1 1 0</t>
  </si>
  <si>
    <t>77 1 1 0</t>
  </si>
  <si>
    <t>78 1 1 0</t>
  </si>
  <si>
    <t>79 1 1 0</t>
  </si>
  <si>
    <t>80 1 1 0</t>
  </si>
  <si>
    <t>81 1 1 0</t>
  </si>
  <si>
    <t>82 1 1 0</t>
  </si>
  <si>
    <t>83 1 1 0</t>
  </si>
  <si>
    <t>84 1 1 0</t>
  </si>
  <si>
    <t>85 1 1 0</t>
  </si>
  <si>
    <t>86 1 1 0</t>
  </si>
  <si>
    <t>87 1 1 0</t>
  </si>
  <si>
    <t>88 1 1 0</t>
  </si>
  <si>
    <t>89 1 1 0</t>
  </si>
  <si>
    <t>90 1 1 0</t>
  </si>
  <si>
    <t>91 1 1 0</t>
  </si>
  <si>
    <t>92 1 1 0</t>
  </si>
  <si>
    <t>93 1 1 0</t>
  </si>
  <si>
    <t>94 1 1 0</t>
  </si>
  <si>
    <t>95 1 1 0</t>
  </si>
  <si>
    <t>96 1 1 0</t>
  </si>
  <si>
    <t>97 1 1 0</t>
  </si>
  <si>
    <t>98 1 1 0</t>
  </si>
  <si>
    <t>99 1 1 0</t>
  </si>
  <si>
    <t>100 1 1 0</t>
  </si>
  <si>
    <t>101 1 1 0</t>
  </si>
  <si>
    <t>102 1 1 0</t>
  </si>
  <si>
    <t>C:\Users\Imiller\Work Area\CCIpole (4.5.8).xlsm</t>
  </si>
  <si>
    <t>U21:AL21</t>
  </si>
  <si>
    <t>U22:AL22</t>
  </si>
  <si>
    <t>U23:AL23</t>
  </si>
  <si>
    <t>U24:AL24</t>
  </si>
  <si>
    <t>U25:AL25</t>
  </si>
  <si>
    <t>U26:AL26</t>
  </si>
  <si>
    <t>U27:AL27</t>
  </si>
  <si>
    <t>U28:AL28</t>
  </si>
  <si>
    <t>U29:AL29</t>
  </si>
  <si>
    <t>U30:AL30</t>
  </si>
  <si>
    <t>U31:AL31</t>
  </si>
  <si>
    <t>U32:AL32</t>
  </si>
  <si>
    <t>U33:AL33</t>
  </si>
  <si>
    <t>U34:AL34</t>
  </si>
  <si>
    <t>U35:AL35</t>
  </si>
  <si>
    <t>U36:AL36</t>
  </si>
  <si>
    <t>U37:AL37</t>
  </si>
  <si>
    <t>U38:AL38</t>
  </si>
  <si>
    <t>U39:AL39</t>
  </si>
  <si>
    <t>U40:AL40</t>
  </si>
  <si>
    <t>U41:AL41</t>
  </si>
  <si>
    <t>U42:AL42</t>
  </si>
  <si>
    <t>U43:AL43</t>
  </si>
  <si>
    <t>U44:AL44</t>
  </si>
  <si>
    <t>U45:AL45</t>
  </si>
  <si>
    <t>U46:AL46</t>
  </si>
  <si>
    <t>U47:AL47</t>
  </si>
  <si>
    <t>U48:AL48</t>
  </si>
  <si>
    <t>U49:AL49</t>
  </si>
  <si>
    <t>U50:AL50</t>
  </si>
  <si>
    <t>5.0.4</t>
  </si>
  <si>
    <t>● Updated import inputs to import reinforcement locations individually to ensure all data is imported.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</si>
</sst>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00" x14ac:knownFonts="1">
    <font>
      <sz val="10"/>
      <name val="Arial"/>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
      <sz val="8"/>
      <color rgb="FF000000"/>
      <name val="Segoe UI"/>
      <family val="2"/>
    </font>
    <font>
      <sz val="10"/>
      <color rgb="FF00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15" fillId="4" borderId="0" applyNumberFormat="0" applyBorder="0" applyAlignment="0" applyProtection="0"/>
    <xf numFmtId="0" fontId="16" fillId="5" borderId="43" applyNumberFormat="0" applyAlignment="0" applyProtection="0"/>
    <xf numFmtId="0" fontId="6" fillId="6" borderId="44" applyNumberFormat="0" applyFont="0" applyAlignment="0" applyProtection="0"/>
    <xf numFmtId="0" fontId="17" fillId="3" borderId="45" applyNumberFormat="0" applyAlignment="0" applyProtection="0"/>
    <xf numFmtId="0" fontId="39" fillId="0" borderId="54" applyNumberFormat="0" applyFill="0" applyAlignment="0" applyProtection="0"/>
    <xf numFmtId="0" fontId="40" fillId="0" borderId="0" applyNumberFormat="0" applyFill="0" applyBorder="0" applyAlignment="0" applyProtection="0"/>
    <xf numFmtId="9" fontId="91" fillId="0" borderId="0" applyFont="0" applyFill="0" applyBorder="0" applyAlignment="0" applyProtection="0"/>
    <xf numFmtId="0" fontId="95" fillId="0" borderId="0" applyNumberFormat="0" applyFill="0" applyBorder="0" applyAlignment="0" applyProtection="0"/>
    <xf numFmtId="0" fontId="5" fillId="0" borderId="0"/>
  </cellStyleXfs>
  <cellXfs count="698">
    <xf numFmtId="0" fontId="0" fillId="0" borderId="0" xfId="0"/>
    <xf numFmtId="0" fontId="19" fillId="0" borderId="0" xfId="0" applyFont="1"/>
    <xf numFmtId="0" fontId="19" fillId="7" borderId="1" xfId="0" applyFont="1" applyFill="1" applyBorder="1"/>
    <xf numFmtId="0" fontId="20" fillId="7" borderId="1" xfId="0" applyFont="1" applyFill="1" applyBorder="1"/>
    <xf numFmtId="0" fontId="19" fillId="0" borderId="0" xfId="0" applyFont="1" applyAlignment="1">
      <alignment horizontal="center"/>
    </xf>
    <xf numFmtId="0" fontId="18" fillId="0" borderId="0" xfId="0" applyFont="1"/>
    <xf numFmtId="0" fontId="0" fillId="0" borderId="0" xfId="0" applyAlignment="1">
      <alignment horizontal="right"/>
    </xf>
    <xf numFmtId="0" fontId="19" fillId="7" borderId="1" xfId="0" applyFont="1" applyFill="1" applyBorder="1" applyAlignment="1">
      <alignment horizontal="center"/>
    </xf>
    <xf numFmtId="167" fontId="0" fillId="0" borderId="0" xfId="0" applyNumberFormat="1"/>
    <xf numFmtId="0" fontId="21" fillId="0" borderId="4" xfId="0" applyFont="1" applyBorder="1"/>
    <xf numFmtId="0" fontId="19" fillId="7" borderId="5" xfId="0" applyFont="1" applyFill="1" applyBorder="1"/>
    <xf numFmtId="0" fontId="0" fillId="7" borderId="5" xfId="0" applyFill="1" applyBorder="1"/>
    <xf numFmtId="0" fontId="7" fillId="0" borderId="0" xfId="0" applyFont="1" applyAlignment="1">
      <alignment vertical="center"/>
    </xf>
    <xf numFmtId="0" fontId="3" fillId="0" borderId="0" xfId="0" applyFont="1" applyAlignment="1">
      <alignment wrapText="1"/>
    </xf>
    <xf numFmtId="0" fontId="19" fillId="8" borderId="7" xfId="0" quotePrefix="1" applyFont="1" applyFill="1" applyBorder="1" applyAlignment="1">
      <alignment horizontal="center"/>
    </xf>
    <xf numFmtId="0" fontId="5" fillId="0" borderId="0" xfId="0" quotePrefix="1" applyFont="1" applyAlignment="1">
      <alignment horizontal="center"/>
    </xf>
    <xf numFmtId="0" fontId="0" fillId="0" borderId="0" xfId="0" applyAlignment="1">
      <alignment horizontal="center"/>
    </xf>
    <xf numFmtId="0" fontId="0" fillId="0" borderId="1" xfId="0" applyBorder="1"/>
    <xf numFmtId="0" fontId="22" fillId="0" borderId="0" xfId="0" applyFont="1"/>
    <xf numFmtId="0" fontId="23" fillId="0" borderId="0" xfId="0" applyFont="1"/>
    <xf numFmtId="0" fontId="24" fillId="0" borderId="0" xfId="0" applyFont="1"/>
    <xf numFmtId="0" fontId="11" fillId="0" borderId="0" xfId="0" applyFont="1"/>
    <xf numFmtId="0" fontId="25" fillId="0" borderId="0" xfId="0" applyFont="1"/>
    <xf numFmtId="0" fontId="26" fillId="0" borderId="0" xfId="0" applyFont="1" applyAlignment="1">
      <alignment vertical="top"/>
    </xf>
    <xf numFmtId="0" fontId="0" fillId="0" borderId="0" xfId="0" applyAlignment="1">
      <alignment horizontal="center" wrapText="1"/>
    </xf>
    <xf numFmtId="0" fontId="27" fillId="0" borderId="0" xfId="0" applyFont="1"/>
    <xf numFmtId="0" fontId="20" fillId="7" borderId="5" xfId="0" applyFont="1" applyFill="1" applyBorder="1" applyAlignment="1">
      <alignment horizontal="center" wrapText="1"/>
    </xf>
    <xf numFmtId="0" fontId="20" fillId="7" borderId="1" xfId="0" applyFont="1" applyFill="1" applyBorder="1" applyAlignment="1">
      <alignment horizontal="center" wrapText="1"/>
    </xf>
    <xf numFmtId="0" fontId="0" fillId="0" borderId="1" xfId="0" applyBorder="1" applyAlignment="1">
      <alignment horizontal="center"/>
    </xf>
    <xf numFmtId="0" fontId="29" fillId="0" borderId="0" xfId="0" applyFont="1"/>
    <xf numFmtId="0" fontId="33" fillId="0" borderId="0" xfId="0" applyFont="1" applyAlignment="1">
      <alignment horizontal="left" vertical="center"/>
    </xf>
    <xf numFmtId="0" fontId="5" fillId="0" borderId="0" xfId="0" applyFont="1" applyAlignment="1">
      <alignment horizontal="center" vertical="center" wrapText="1"/>
    </xf>
    <xf numFmtId="0" fontId="5" fillId="0" borderId="0" xfId="0" applyFont="1" applyAlignment="1">
      <alignment horizontal="left"/>
    </xf>
    <xf numFmtId="0" fontId="0" fillId="0" borderId="0" xfId="0" applyAlignment="1">
      <alignment horizontal="left"/>
    </xf>
    <xf numFmtId="0" fontId="5" fillId="0" borderId="0" xfId="0" applyFont="1" applyAlignment="1">
      <alignment horizontal="center"/>
    </xf>
    <xf numFmtId="0" fontId="40" fillId="0" borderId="58" xfId="6" applyBorder="1" applyAlignment="1">
      <alignment horizontal="center"/>
    </xf>
    <xf numFmtId="0" fontId="40" fillId="0" borderId="56" xfId="6" applyBorder="1" applyAlignment="1">
      <alignment horizontal="center"/>
    </xf>
    <xf numFmtId="0" fontId="40" fillId="0" borderId="34" xfId="6" applyBorder="1" applyAlignment="1">
      <alignment horizontal="center"/>
    </xf>
    <xf numFmtId="168" fontId="4" fillId="7" borderId="16" xfId="0" applyNumberFormat="1" applyFont="1" applyFill="1" applyBorder="1"/>
    <xf numFmtId="168" fontId="4" fillId="7" borderId="24" xfId="0" applyNumberFormat="1" applyFont="1" applyFill="1" applyBorder="1"/>
    <xf numFmtId="168" fontId="4" fillId="0" borderId="16" xfId="0" applyNumberFormat="1" applyFont="1" applyBorder="1"/>
    <xf numFmtId="168" fontId="4" fillId="0" borderId="24" xfId="0" applyNumberFormat="1" applyFont="1" applyBorder="1"/>
    <xf numFmtId="168" fontId="4" fillId="7" borderId="1" xfId="0" applyNumberFormat="1" applyFont="1" applyFill="1" applyBorder="1"/>
    <xf numFmtId="168" fontId="4" fillId="0" borderId="1" xfId="0" applyNumberFormat="1" applyFont="1" applyBorder="1"/>
    <xf numFmtId="1" fontId="17" fillId="0" borderId="5" xfId="4" applyNumberFormat="1" applyFill="1" applyBorder="1" applyAlignment="1">
      <alignment horizontal="center"/>
    </xf>
    <xf numFmtId="1" fontId="17" fillId="7" borderId="5" xfId="4" applyNumberFormat="1" applyFill="1" applyBorder="1" applyAlignment="1">
      <alignment horizontal="center"/>
    </xf>
    <xf numFmtId="0" fontId="16" fillId="6" borderId="44" xfId="3" applyFont="1" applyAlignment="1" applyProtection="1">
      <alignment horizontal="center"/>
      <protection locked="0"/>
    </xf>
    <xf numFmtId="0" fontId="43" fillId="0" borderId="0" xfId="0" applyFont="1"/>
    <xf numFmtId="0" fontId="44" fillId="0" borderId="0" xfId="0" applyFont="1"/>
    <xf numFmtId="0" fontId="5" fillId="0" borderId="0" xfId="0" applyFont="1"/>
    <xf numFmtId="0" fontId="0" fillId="0" borderId="0" xfId="0" applyProtection="1">
      <protection locked="0"/>
    </xf>
    <xf numFmtId="167" fontId="0" fillId="0" borderId="0" xfId="0" applyNumberFormat="1" applyProtection="1">
      <protection locked="0"/>
    </xf>
    <xf numFmtId="21" fontId="0" fillId="0" borderId="0" xfId="0" applyNumberFormat="1"/>
    <xf numFmtId="11" fontId="0" fillId="0" borderId="0" xfId="0" applyNumberFormat="1"/>
    <xf numFmtId="0" fontId="7" fillId="0" borderId="0" xfId="0" applyFont="1"/>
    <xf numFmtId="14" fontId="0" fillId="0" borderId="0" xfId="0" applyNumberFormat="1"/>
    <xf numFmtId="0" fontId="45" fillId="0" borderId="1" xfId="0" applyFont="1" applyBorder="1"/>
    <xf numFmtId="0" fontId="45" fillId="0" borderId="1" xfId="0" applyFont="1" applyBorder="1" applyAlignment="1">
      <alignment wrapText="1"/>
    </xf>
    <xf numFmtId="0" fontId="4" fillId="0" borderId="1" xfId="0" applyFont="1" applyBorder="1" applyAlignment="1">
      <alignment horizontal="center" vertical="center"/>
    </xf>
    <xf numFmtId="0" fontId="5" fillId="9" borderId="1" xfId="0" quotePrefix="1" applyFont="1" applyFill="1" applyBorder="1" applyAlignment="1">
      <alignment horizontal="center"/>
    </xf>
    <xf numFmtId="0" fontId="30" fillId="9" borderId="1" xfId="0" applyFont="1" applyFill="1" applyBorder="1"/>
    <xf numFmtId="14" fontId="0" fillId="9" borderId="1" xfId="0" applyNumberFormat="1" applyFill="1" applyBorder="1" applyAlignment="1">
      <alignment horizontal="center"/>
    </xf>
    <xf numFmtId="0" fontId="5" fillId="9" borderId="1" xfId="0" applyFont="1" applyFill="1" applyBorder="1" applyAlignment="1">
      <alignment horizontal="center"/>
    </xf>
    <xf numFmtId="0" fontId="4" fillId="0" borderId="0" xfId="0" applyFont="1"/>
    <xf numFmtId="0" fontId="0" fillId="0" borderId="4" xfId="0" applyBorder="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27" fillId="0" borderId="0" xfId="0" applyNumberFormat="1" applyFont="1" applyAlignment="1">
      <alignment horizontal="center"/>
    </xf>
    <xf numFmtId="0" fontId="12" fillId="0" borderId="0" xfId="0" applyFont="1" applyAlignment="1">
      <alignment horizontal="center"/>
    </xf>
    <xf numFmtId="0" fontId="27" fillId="0" borderId="1" xfId="0" applyFont="1" applyBorder="1" applyAlignment="1">
      <alignment horizontal="center"/>
    </xf>
    <xf numFmtId="0" fontId="0" fillId="0" borderId="0" xfId="0" applyAlignment="1">
      <alignment horizontal="center" vertical="center" wrapText="1"/>
    </xf>
    <xf numFmtId="0" fontId="0" fillId="0" borderId="0" xfId="0" applyAlignment="1" applyProtection="1">
      <alignment horizontal="center"/>
      <protection locked="0"/>
    </xf>
    <xf numFmtId="0" fontId="47" fillId="0" borderId="0" xfId="0" applyFont="1" applyAlignment="1">
      <alignment horizontal="center" vertical="center" wrapText="1"/>
    </xf>
    <xf numFmtId="0" fontId="49" fillId="0" borderId="0" xfId="0" applyFont="1" applyAlignment="1">
      <alignment horizontal="center" vertical="center" wrapText="1"/>
    </xf>
    <xf numFmtId="0" fontId="45" fillId="0" borderId="0" xfId="0" applyFont="1"/>
    <xf numFmtId="0" fontId="53" fillId="0" borderId="0" xfId="0" applyFont="1" applyAlignment="1">
      <alignment vertical="center"/>
    </xf>
    <xf numFmtId="0" fontId="0" fillId="0" borderId="0" xfId="0" quotePrefix="1"/>
    <xf numFmtId="0" fontId="54" fillId="0" borderId="0" xfId="0" applyFont="1"/>
    <xf numFmtId="0" fontId="55" fillId="0" borderId="0" xfId="0" applyFont="1"/>
    <xf numFmtId="0" fontId="56" fillId="0" borderId="0" xfId="0" applyFont="1" applyAlignment="1">
      <alignment horizontal="right"/>
    </xf>
    <xf numFmtId="0" fontId="55" fillId="0" borderId="0" xfId="0" applyFont="1" applyAlignment="1">
      <alignment horizontal="center"/>
    </xf>
    <xf numFmtId="2" fontId="0" fillId="0" borderId="0" xfId="0" applyNumberFormat="1"/>
    <xf numFmtId="2" fontId="4" fillId="0" borderId="1" xfId="0" applyNumberFormat="1" applyFont="1" applyBorder="1"/>
    <xf numFmtId="2" fontId="4" fillId="7" borderId="1" xfId="0" applyNumberFormat="1" applyFont="1" applyFill="1" applyBorder="1"/>
    <xf numFmtId="167" fontId="4" fillId="0" borderId="1" xfId="0" applyNumberFormat="1" applyFont="1" applyBorder="1"/>
    <xf numFmtId="167" fontId="4" fillId="7" borderId="1" xfId="0" applyNumberFormat="1" applyFont="1" applyFill="1" applyBorder="1"/>
    <xf numFmtId="1" fontId="4" fillId="0" borderId="1" xfId="0" applyNumberFormat="1" applyFont="1" applyBorder="1"/>
    <xf numFmtId="1" fontId="4" fillId="7" borderId="1" xfId="0" applyNumberFormat="1" applyFont="1" applyFill="1" applyBorder="1"/>
    <xf numFmtId="0" fontId="59" fillId="0" borderId="56" xfId="6" applyFont="1" applyBorder="1" applyAlignment="1">
      <alignment horizontal="center" wrapText="1"/>
    </xf>
    <xf numFmtId="0" fontId="59" fillId="0" borderId="34" xfId="6" applyFont="1" applyBorder="1" applyAlignment="1">
      <alignment horizontal="center" wrapText="1"/>
    </xf>
    <xf numFmtId="2" fontId="49" fillId="0" borderId="0" xfId="0" applyNumberFormat="1" applyFont="1" applyAlignment="1">
      <alignment horizontal="center" vertical="center" wrapText="1"/>
    </xf>
    <xf numFmtId="0" fontId="5" fillId="0" borderId="0" xfId="0" applyFont="1" applyProtection="1">
      <protection locked="0"/>
    </xf>
    <xf numFmtId="0" fontId="30" fillId="0" borderId="0" xfId="0" applyFont="1" applyProtection="1">
      <protection locked="0" hidden="1"/>
    </xf>
    <xf numFmtId="0" fontId="27" fillId="0" borderId="0" xfId="0" applyFont="1" applyProtection="1">
      <protection locked="0" hidden="1"/>
    </xf>
    <xf numFmtId="171" fontId="4" fillId="7" borderId="1" xfId="0" applyNumberFormat="1" applyFont="1" applyFill="1" applyBorder="1"/>
    <xf numFmtId="171" fontId="4" fillId="0" borderId="1" xfId="0" applyNumberFormat="1" applyFont="1" applyBorder="1"/>
    <xf numFmtId="0" fontId="43"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31" fillId="0" borderId="1" xfId="0" applyFont="1" applyBorder="1" applyAlignment="1" applyProtection="1">
      <alignment horizontal="center"/>
      <protection locked="0"/>
    </xf>
    <xf numFmtId="0" fontId="5" fillId="0" borderId="0" xfId="0" applyFont="1" applyAlignment="1">
      <alignment wrapText="1"/>
    </xf>
    <xf numFmtId="0" fontId="66" fillId="0" borderId="0" xfId="0" applyFont="1"/>
    <xf numFmtId="0" fontId="19" fillId="0" borderId="69" xfId="0" applyFont="1" applyBorder="1" applyAlignment="1" applyProtection="1">
      <alignment horizontal="center"/>
      <protection hidden="1"/>
    </xf>
    <xf numFmtId="0" fontId="31" fillId="0" borderId="28" xfId="0" applyFont="1" applyBorder="1" applyAlignment="1" applyProtection="1">
      <alignment horizontal="center"/>
      <protection locked="0"/>
    </xf>
    <xf numFmtId="0" fontId="31" fillId="0" borderId="29" xfId="0" applyFont="1" applyBorder="1" applyAlignment="1" applyProtection="1">
      <alignment horizontal="center"/>
      <protection locked="0"/>
    </xf>
    <xf numFmtId="0" fontId="19" fillId="0" borderId="70" xfId="0" applyFont="1" applyBorder="1" applyAlignment="1" applyProtection="1">
      <alignment horizontal="center"/>
      <protection hidden="1"/>
    </xf>
    <xf numFmtId="0" fontId="16" fillId="5" borderId="43" xfId="2"/>
    <xf numFmtId="0" fontId="5" fillId="0" borderId="0" xfId="0" applyFont="1" applyAlignment="1">
      <alignment horizontal="right"/>
    </xf>
    <xf numFmtId="0" fontId="4" fillId="0" borderId="0" xfId="0" applyFont="1" applyAlignment="1">
      <alignment horizontal="right"/>
    </xf>
    <xf numFmtId="0" fontId="19" fillId="10" borderId="1" xfId="0" applyFont="1" applyFill="1" applyBorder="1"/>
    <xf numFmtId="0" fontId="5" fillId="0" borderId="1" xfId="0" applyFont="1" applyBorder="1" applyAlignment="1">
      <alignment horizontal="center" vertical="center"/>
    </xf>
    <xf numFmtId="0" fontId="31" fillId="0" borderId="0" xfId="0" applyFont="1"/>
    <xf numFmtId="0" fontId="19" fillId="0" borderId="0" xfId="0" applyFont="1" applyAlignment="1">
      <alignment horizontal="right"/>
    </xf>
    <xf numFmtId="0" fontId="18" fillId="0" borderId="0" xfId="0" applyFont="1" applyAlignment="1">
      <alignment horizontal="right"/>
    </xf>
    <xf numFmtId="0" fontId="0" fillId="0" borderId="3" xfId="0" applyBorder="1"/>
    <xf numFmtId="0" fontId="0" fillId="0" borderId="2" xfId="0" applyBorder="1"/>
    <xf numFmtId="0" fontId="30" fillId="0" borderId="1" xfId="0" applyFont="1" applyBorder="1"/>
    <xf numFmtId="0" fontId="30" fillId="0" borderId="1" xfId="0" applyFont="1" applyBorder="1" applyAlignment="1">
      <alignment wrapText="1"/>
    </xf>
    <xf numFmtId="0" fontId="30" fillId="9" borderId="1" xfId="0" applyFont="1" applyFill="1" applyBorder="1" applyAlignment="1">
      <alignment wrapText="1"/>
    </xf>
    <xf numFmtId="167" fontId="0" fillId="0" borderId="0" xfId="0" applyNumberFormat="1" applyAlignment="1">
      <alignment horizontal="right"/>
    </xf>
    <xf numFmtId="2" fontId="5" fillId="0" borderId="0" xfId="0" applyNumberFormat="1" applyFont="1" applyAlignment="1">
      <alignment horizontal="right"/>
    </xf>
    <xf numFmtId="167" fontId="5" fillId="0" borderId="0" xfId="0" applyNumberFormat="1" applyFont="1" applyAlignment="1">
      <alignment horizontal="right"/>
    </xf>
    <xf numFmtId="2" fontId="0" fillId="0" borderId="0" xfId="0" applyNumberFormat="1" applyAlignment="1">
      <alignment horizontal="right"/>
    </xf>
    <xf numFmtId="0" fontId="0" fillId="0" borderId="0" xfId="0" applyAlignment="1" applyProtection="1">
      <alignment horizontal="right"/>
      <protection locked="0"/>
    </xf>
    <xf numFmtId="0" fontId="5" fillId="0" borderId="0" xfId="0" applyFont="1" applyAlignment="1" applyProtection="1">
      <alignment horizontal="center"/>
      <protection locked="0"/>
    </xf>
    <xf numFmtId="0" fontId="5" fillId="0" borderId="0" xfId="0" applyFont="1" applyAlignment="1" applyProtection="1">
      <alignment horizontal="right"/>
      <protection locked="0"/>
    </xf>
    <xf numFmtId="0" fontId="5" fillId="0" borderId="1" xfId="0" applyFont="1" applyBorder="1" applyAlignment="1">
      <alignment horizontal="center"/>
    </xf>
    <xf numFmtId="14" fontId="0" fillId="0" borderId="1" xfId="0" applyNumberFormat="1" applyBorder="1" applyAlignment="1">
      <alignment horizontal="center"/>
    </xf>
    <xf numFmtId="0" fontId="5" fillId="9" borderId="1" xfId="0" applyFont="1" applyFill="1" applyBorder="1" applyAlignment="1">
      <alignment horizontal="center" vertical="center"/>
    </xf>
    <xf numFmtId="0" fontId="27" fillId="0" borderId="0" xfId="0" applyFont="1" applyAlignment="1">
      <alignment horizontal="right"/>
    </xf>
    <xf numFmtId="14" fontId="0" fillId="9" borderId="1" xfId="0" applyNumberFormat="1" applyFill="1" applyBorder="1" applyAlignment="1">
      <alignment horizontal="center" vertical="center"/>
    </xf>
    <xf numFmtId="167" fontId="0" fillId="0" borderId="0" xfId="0" applyNumberFormat="1" applyAlignment="1" applyProtection="1">
      <alignment horizontal="right"/>
      <protection locked="0"/>
    </xf>
    <xf numFmtId="171" fontId="5" fillId="9" borderId="1" xfId="0" quotePrefix="1" applyNumberFormat="1" applyFont="1" applyFill="1" applyBorder="1" applyAlignment="1">
      <alignment horizontal="center" vertical="center"/>
    </xf>
    <xf numFmtId="0" fontId="63" fillId="0" borderId="1" xfId="0" applyFont="1" applyBorder="1" applyAlignment="1" applyProtection="1">
      <alignment horizontal="center"/>
      <protection locked="0"/>
    </xf>
    <xf numFmtId="0" fontId="4" fillId="0" borderId="1" xfId="0" applyFont="1" applyBorder="1" applyAlignment="1">
      <alignment horizontal="center"/>
    </xf>
    <xf numFmtId="0" fontId="4" fillId="0" borderId="0" xfId="0" applyFont="1" applyAlignment="1">
      <alignment horizontal="center"/>
    </xf>
    <xf numFmtId="2" fontId="0" fillId="0" borderId="0" xfId="0" applyNumberFormat="1" applyAlignment="1" applyProtection="1">
      <alignment horizontal="right"/>
      <protection locked="0"/>
    </xf>
    <xf numFmtId="2" fontId="5" fillId="0" borderId="0" xfId="0" applyNumberFormat="1" applyFont="1" applyAlignment="1" applyProtection="1">
      <alignment horizontal="right"/>
      <protection locked="0"/>
    </xf>
    <xf numFmtId="0" fontId="19" fillId="8" borderId="3" xfId="0" quotePrefix="1" applyFont="1" applyFill="1" applyBorder="1" applyAlignment="1">
      <alignment horizontal="center"/>
    </xf>
    <xf numFmtId="2" fontId="17" fillId="3" borderId="45" xfId="4" applyNumberFormat="1" applyAlignment="1" applyProtection="1">
      <protection locked="0"/>
    </xf>
    <xf numFmtId="2" fontId="17" fillId="3" borderId="74" xfId="4" applyNumberFormat="1" applyBorder="1" applyAlignment="1" applyProtection="1">
      <protection locked="0"/>
    </xf>
    <xf numFmtId="0" fontId="0" fillId="9" borderId="1" xfId="0" applyFill="1" applyBorder="1" applyAlignment="1">
      <alignment horizontal="center" vertical="center"/>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74" fillId="0" borderId="0" xfId="0" applyFont="1"/>
    <xf numFmtId="0" fontId="75" fillId="0" borderId="0" xfId="0" applyFont="1"/>
    <xf numFmtId="0" fontId="76" fillId="0" borderId="0" xfId="0" applyFont="1"/>
    <xf numFmtId="0" fontId="75" fillId="0" borderId="0" xfId="0" quotePrefix="1" applyFont="1"/>
    <xf numFmtId="0" fontId="75" fillId="0" borderId="0" xfId="0" applyFont="1" applyAlignment="1">
      <alignment horizontal="center"/>
    </xf>
    <xf numFmtId="0" fontId="75" fillId="0" borderId="0" xfId="0" applyFont="1" applyAlignment="1">
      <alignment horizontal="right"/>
    </xf>
    <xf numFmtId="2" fontId="75" fillId="0" borderId="0" xfId="0" applyNumberFormat="1" applyFont="1" applyAlignment="1">
      <alignment horizontal="center"/>
    </xf>
    <xf numFmtId="169" fontId="74" fillId="0" borderId="0" xfId="0" applyNumberFormat="1" applyFont="1"/>
    <xf numFmtId="0" fontId="74" fillId="0" borderId="0" xfId="0" applyFont="1" applyAlignment="1">
      <alignment vertical="center"/>
    </xf>
    <xf numFmtId="0" fontId="75" fillId="0" borderId="0" xfId="0" applyFont="1" applyAlignment="1">
      <alignment vertical="center"/>
    </xf>
    <xf numFmtId="166" fontId="75" fillId="0" borderId="0" xfId="0" applyNumberFormat="1" applyFont="1"/>
    <xf numFmtId="0" fontId="73" fillId="0" borderId="0" xfId="0" applyFont="1"/>
    <xf numFmtId="167" fontId="74" fillId="0" borderId="0" xfId="0" applyNumberFormat="1" applyFont="1"/>
    <xf numFmtId="166" fontId="74" fillId="0" borderId="0" xfId="0" applyNumberFormat="1" applyFont="1"/>
    <xf numFmtId="0" fontId="74" fillId="0" borderId="0" xfId="0" applyFont="1" applyAlignment="1">
      <alignment horizontal="center"/>
    </xf>
    <xf numFmtId="0" fontId="77" fillId="0" borderId="0" xfId="0" applyFont="1"/>
    <xf numFmtId="170" fontId="74" fillId="0" borderId="0" xfId="0" applyNumberFormat="1" applyFont="1"/>
    <xf numFmtId="167" fontId="75" fillId="0" borderId="0" xfId="0" applyNumberFormat="1" applyFont="1"/>
    <xf numFmtId="0" fontId="75" fillId="0" borderId="0" xfId="0" applyFont="1" applyAlignment="1">
      <alignment horizontal="left"/>
    </xf>
    <xf numFmtId="0" fontId="74" fillId="0" borderId="0" xfId="0" applyFont="1" applyAlignment="1">
      <alignment horizontal="left"/>
    </xf>
    <xf numFmtId="164" fontId="74" fillId="0" borderId="0" xfId="0" applyNumberFormat="1" applyFont="1"/>
    <xf numFmtId="167" fontId="74" fillId="0" borderId="1" xfId="0" applyNumberFormat="1" applyFont="1" applyBorder="1"/>
    <xf numFmtId="166" fontId="74" fillId="2" borderId="4" xfId="0" applyNumberFormat="1" applyFont="1" applyFill="1" applyBorder="1"/>
    <xf numFmtId="166" fontId="74" fillId="2" borderId="0" xfId="0" applyNumberFormat="1" applyFont="1" applyFill="1"/>
    <xf numFmtId="0" fontId="74" fillId="2" borderId="19" xfId="0" applyFont="1" applyFill="1" applyBorder="1"/>
    <xf numFmtId="0" fontId="74" fillId="2" borderId="3" xfId="0" applyFont="1" applyFill="1" applyBorder="1"/>
    <xf numFmtId="0" fontId="74" fillId="2" borderId="0" xfId="0" applyFont="1" applyFill="1"/>
    <xf numFmtId="0" fontId="74" fillId="2" borderId="63" xfId="0" applyFont="1" applyFill="1" applyBorder="1"/>
    <xf numFmtId="0" fontId="74" fillId="2" borderId="67" xfId="0" applyFont="1" applyFill="1" applyBorder="1"/>
    <xf numFmtId="0" fontId="74" fillId="2" borderId="21" xfId="0" applyFont="1" applyFill="1" applyBorder="1"/>
    <xf numFmtId="0" fontId="74" fillId="2" borderId="32" xfId="0" applyFont="1" applyFill="1" applyBorder="1"/>
    <xf numFmtId="0" fontId="74" fillId="2" borderId="13" xfId="0" applyFont="1" applyFill="1" applyBorder="1"/>
    <xf numFmtId="0" fontId="74" fillId="2" borderId="4" xfId="0" applyFont="1" applyFill="1" applyBorder="1"/>
    <xf numFmtId="0" fontId="74" fillId="2" borderId="68" xfId="0" applyFont="1" applyFill="1" applyBorder="1"/>
    <xf numFmtId="0" fontId="74" fillId="2" borderId="22" xfId="0" applyFont="1" applyFill="1" applyBorder="1"/>
    <xf numFmtId="0" fontId="74" fillId="2" borderId="33" xfId="0" applyFont="1" applyFill="1" applyBorder="1"/>
    <xf numFmtId="0" fontId="77" fillId="2" borderId="13" xfId="0" applyFont="1" applyFill="1" applyBorder="1"/>
    <xf numFmtId="0" fontId="77" fillId="2" borderId="0" xfId="0" applyFont="1" applyFill="1"/>
    <xf numFmtId="0" fontId="77" fillId="2" borderId="4" xfId="0" applyFont="1" applyFill="1" applyBorder="1"/>
    <xf numFmtId="0" fontId="77" fillId="2" borderId="68" xfId="0" applyFont="1" applyFill="1" applyBorder="1"/>
    <xf numFmtId="0" fontId="77" fillId="2" borderId="22" xfId="0" applyFont="1" applyFill="1" applyBorder="1"/>
    <xf numFmtId="0" fontId="77" fillId="2" borderId="33" xfId="0" applyFont="1" applyFill="1" applyBorder="1"/>
    <xf numFmtId="166" fontId="74" fillId="2" borderId="15" xfId="0" applyNumberFormat="1" applyFont="1" applyFill="1" applyBorder="1"/>
    <xf numFmtId="166" fontId="74" fillId="2" borderId="2" xfId="0" applyNumberFormat="1" applyFont="1" applyFill="1" applyBorder="1"/>
    <xf numFmtId="0" fontId="74" fillId="2" borderId="20" xfId="0" applyFont="1" applyFill="1" applyBorder="1"/>
    <xf numFmtId="0" fontId="74" fillId="2" borderId="2" xfId="0" applyFont="1" applyFill="1" applyBorder="1"/>
    <xf numFmtId="0" fontId="74" fillId="2" borderId="15" xfId="0" applyFont="1" applyFill="1" applyBorder="1"/>
    <xf numFmtId="0" fontId="74" fillId="2" borderId="57" xfId="0" applyFont="1" applyFill="1" applyBorder="1"/>
    <xf numFmtId="0" fontId="74" fillId="2" borderId="23" xfId="0" applyFont="1" applyFill="1" applyBorder="1"/>
    <xf numFmtId="0" fontId="74" fillId="2" borderId="34" xfId="0" applyFont="1" applyFill="1" applyBorder="1"/>
    <xf numFmtId="0" fontId="74" fillId="0" borderId="3" xfId="0" applyFont="1" applyBorder="1"/>
    <xf numFmtId="0" fontId="74" fillId="0" borderId="2" xfId="0" applyFont="1" applyBorder="1"/>
    <xf numFmtId="0" fontId="54" fillId="0" borderId="1" xfId="0" applyFont="1" applyBorder="1" applyAlignment="1">
      <alignment horizontal="right" wrapText="1"/>
    </xf>
    <xf numFmtId="0" fontId="54" fillId="0" borderId="1" xfId="0" applyFont="1" applyBorder="1"/>
    <xf numFmtId="0" fontId="30" fillId="0" borderId="0" xfId="0" applyFont="1"/>
    <xf numFmtId="0" fontId="55" fillId="0" borderId="0" xfId="0" applyFont="1" applyAlignment="1">
      <alignment horizontal="left" vertical="top" wrapText="1"/>
    </xf>
    <xf numFmtId="0" fontId="46" fillId="0" borderId="14" xfId="0" applyFont="1" applyBorder="1"/>
    <xf numFmtId="0" fontId="5" fillId="0" borderId="11" xfId="0" applyFont="1" applyBorder="1"/>
    <xf numFmtId="0" fontId="5" fillId="0" borderId="12" xfId="0" applyFont="1" applyBorder="1"/>
    <xf numFmtId="0" fontId="46" fillId="0" borderId="4" xfId="0" applyFont="1" applyBorder="1"/>
    <xf numFmtId="0" fontId="27" fillId="5" borderId="43" xfId="2" applyFont="1" applyAlignment="1" applyProtection="1">
      <alignment vertical="center"/>
      <protection locked="0"/>
    </xf>
    <xf numFmtId="0" fontId="5" fillId="0" borderId="6" xfId="0" applyFont="1" applyBorder="1"/>
    <xf numFmtId="0" fontId="5" fillId="0" borderId="4" xfId="0" applyFont="1" applyBorder="1"/>
    <xf numFmtId="0" fontId="5" fillId="0" borderId="8" xfId="0" applyFont="1" applyBorder="1"/>
    <xf numFmtId="0" fontId="27" fillId="0" borderId="9" xfId="0" applyFont="1" applyBorder="1" applyAlignment="1">
      <alignment horizontal="right"/>
    </xf>
    <xf numFmtId="0" fontId="27" fillId="5" borderId="73" xfId="2" applyFont="1" applyBorder="1" applyAlignment="1" applyProtection="1">
      <alignment vertical="center"/>
      <protection locked="0"/>
    </xf>
    <xf numFmtId="0" fontId="80" fillId="0" borderId="9" xfId="0" applyFont="1" applyBorder="1"/>
    <xf numFmtId="0" fontId="5" fillId="0" borderId="9" xfId="0" applyFont="1" applyBorder="1"/>
    <xf numFmtId="0" fontId="5" fillId="0" borderId="10" xfId="0" applyFont="1" applyBorder="1"/>
    <xf numFmtId="0" fontId="5" fillId="0" borderId="26" xfId="0" applyFont="1" applyBorder="1" applyAlignment="1">
      <alignment horizontal="right"/>
    </xf>
    <xf numFmtId="0" fontId="55" fillId="0" borderId="0" xfId="0" applyFont="1" applyAlignment="1">
      <alignment horizontal="left"/>
    </xf>
    <xf numFmtId="167" fontId="5" fillId="0" borderId="0" xfId="0" applyNumberFormat="1" applyFont="1"/>
    <xf numFmtId="0" fontId="47" fillId="0" borderId="0" xfId="0" applyFont="1" applyAlignment="1">
      <alignment horizontal="right"/>
    </xf>
    <xf numFmtId="167" fontId="81" fillId="0" borderId="0" xfId="0" applyNumberFormat="1" applyFont="1"/>
    <xf numFmtId="167" fontId="5" fillId="0" borderId="26" xfId="0" applyNumberFormat="1" applyFont="1" applyBorder="1" applyAlignment="1">
      <alignment horizontal="right"/>
    </xf>
    <xf numFmtId="0" fontId="5" fillId="0" borderId="1" xfId="0" applyFont="1" applyBorder="1" applyAlignment="1">
      <alignment wrapText="1"/>
    </xf>
    <xf numFmtId="0" fontId="12" fillId="0" borderId="1" xfId="0" applyFont="1" applyBorder="1" applyAlignment="1">
      <alignment wrapText="1"/>
    </xf>
    <xf numFmtId="0" fontId="5" fillId="0" borderId="5" xfId="0" applyFont="1" applyBorder="1" applyAlignment="1">
      <alignment wrapText="1"/>
    </xf>
    <xf numFmtId="0" fontId="5" fillId="0" borderId="17" xfId="0" applyFont="1" applyBorder="1" applyAlignment="1">
      <alignment wrapText="1"/>
    </xf>
    <xf numFmtId="0" fontId="27" fillId="0" borderId="55" xfId="0" applyFont="1" applyBorder="1" applyAlignment="1">
      <alignment horizontal="center" wrapText="1"/>
    </xf>
    <xf numFmtId="0" fontId="27" fillId="0" borderId="1" xfId="0" applyFont="1" applyBorder="1" applyAlignment="1">
      <alignment horizontal="center" wrapText="1"/>
    </xf>
    <xf numFmtId="0" fontId="27" fillId="0" borderId="24" xfId="0" applyFont="1" applyBorder="1" applyAlignment="1">
      <alignment horizontal="center" wrapText="1"/>
    </xf>
    <xf numFmtId="0" fontId="5" fillId="0" borderId="1" xfId="0" applyFont="1" applyBorder="1" applyAlignment="1">
      <alignment horizontal="center" wrapText="1"/>
    </xf>
    <xf numFmtId="0" fontId="5" fillId="0" borderId="5" xfId="0" applyFont="1" applyBorder="1" applyAlignment="1">
      <alignment horizontal="center" wrapText="1"/>
    </xf>
    <xf numFmtId="0" fontId="5" fillId="0" borderId="24" xfId="0" applyFont="1" applyBorder="1" applyAlignment="1">
      <alignment horizontal="center" wrapText="1"/>
    </xf>
    <xf numFmtId="0" fontId="5" fillId="0" borderId="18" xfId="0" applyFont="1" applyBorder="1" applyAlignment="1">
      <alignment wrapText="1"/>
    </xf>
    <xf numFmtId="0" fontId="83" fillId="0" borderId="17" xfId="0" applyFont="1" applyBorder="1" applyAlignment="1">
      <alignment horizontal="center" wrapText="1"/>
    </xf>
    <xf numFmtId="0" fontId="83" fillId="0" borderId="1" xfId="0" applyFont="1" applyBorder="1" applyAlignment="1">
      <alignment horizontal="center" wrapText="1"/>
    </xf>
    <xf numFmtId="0" fontId="83" fillId="0" borderId="5" xfId="0" applyFont="1" applyBorder="1" applyAlignment="1">
      <alignment horizontal="center" wrapText="1"/>
    </xf>
    <xf numFmtId="0" fontId="83" fillId="0" borderId="16" xfId="0" applyFont="1" applyBorder="1" applyAlignment="1">
      <alignment horizontal="center" wrapText="1"/>
    </xf>
    <xf numFmtId="0" fontId="5" fillId="0" borderId="16" xfId="0" applyFont="1" applyBorder="1" applyAlignment="1">
      <alignment wrapText="1"/>
    </xf>
    <xf numFmtId="0" fontId="27" fillId="0" borderId="0" xfId="0" applyFont="1" applyAlignment="1">
      <alignment horizontal="center" wrapText="1"/>
    </xf>
    <xf numFmtId="164" fontId="5" fillId="0" borderId="0" xfId="0" applyNumberFormat="1" applyFont="1" applyAlignment="1">
      <alignment wrapText="1"/>
    </xf>
    <xf numFmtId="166" fontId="5" fillId="0" borderId="26" xfId="0" applyNumberFormat="1" applyFont="1" applyBorder="1"/>
    <xf numFmtId="0" fontId="5" fillId="0" borderId="26" xfId="0" applyFont="1" applyBorder="1"/>
    <xf numFmtId="0" fontId="27" fillId="0" borderId="26" xfId="0" applyFont="1" applyBorder="1"/>
    <xf numFmtId="16" fontId="27" fillId="0" borderId="1" xfId="0" quotePrefix="1" applyNumberFormat="1" applyFont="1" applyBorder="1" applyAlignment="1">
      <alignment horizontal="center"/>
    </xf>
    <xf numFmtId="0" fontId="5" fillId="0" borderId="1" xfId="0" quotePrefix="1" applyFont="1" applyBorder="1" applyAlignment="1">
      <alignment horizontal="center"/>
    </xf>
    <xf numFmtId="0" fontId="5" fillId="0" borderId="1" xfId="0" applyFont="1" applyBorder="1" applyAlignment="1">
      <alignment vertical="center"/>
    </xf>
    <xf numFmtId="167" fontId="5" fillId="0" borderId="1" xfId="0" applyNumberFormat="1" applyFont="1" applyBorder="1" applyAlignment="1">
      <alignment horizontal="center"/>
    </xf>
    <xf numFmtId="0" fontId="5" fillId="0" borderId="1" xfId="0" applyFont="1" applyBorder="1"/>
    <xf numFmtId="167" fontId="0" fillId="0" borderId="5" xfId="0" applyNumberFormat="1" applyBorder="1" applyAlignment="1">
      <alignment horizontal="center"/>
    </xf>
    <xf numFmtId="167" fontId="0" fillId="0" borderId="17" xfId="0" applyNumberFormat="1" applyBorder="1"/>
    <xf numFmtId="167" fontId="0" fillId="0" borderId="1" xfId="0" applyNumberFormat="1" applyBorder="1"/>
    <xf numFmtId="167" fontId="0" fillId="0" borderId="5" xfId="0" applyNumberFormat="1" applyBorder="1"/>
    <xf numFmtId="166" fontId="0" fillId="0" borderId="1" xfId="0" applyNumberFormat="1" applyBorder="1"/>
    <xf numFmtId="166" fontId="0" fillId="0" borderId="5" xfId="0" applyNumberFormat="1" applyBorder="1"/>
    <xf numFmtId="0" fontId="27" fillId="0" borderId="1" xfId="0" applyFont="1" applyBorder="1"/>
    <xf numFmtId="167" fontId="27" fillId="0" borderId="17" xfId="0" applyNumberFormat="1" applyFont="1" applyBorder="1"/>
    <xf numFmtId="167" fontId="27" fillId="0" borderId="1" xfId="0" applyNumberFormat="1" applyFont="1" applyBorder="1"/>
    <xf numFmtId="0" fontId="0" fillId="0" borderId="5" xfId="0" applyBorder="1" applyAlignment="1">
      <alignment horizontal="center"/>
    </xf>
    <xf numFmtId="0" fontId="0" fillId="0" borderId="26" xfId="0" applyBorder="1"/>
    <xf numFmtId="0" fontId="54" fillId="0" borderId="26" xfId="0" applyFont="1" applyBorder="1"/>
    <xf numFmtId="0" fontId="0" fillId="11" borderId="1" xfId="0" applyFill="1" applyBorder="1" applyAlignment="1">
      <alignment horizontal="center"/>
    </xf>
    <xf numFmtId="167" fontId="0" fillId="11" borderId="1" xfId="0" applyNumberFormat="1" applyFill="1" applyBorder="1" applyAlignment="1">
      <alignment horizontal="center"/>
    </xf>
    <xf numFmtId="167" fontId="0" fillId="0" borderId="1" xfId="0" applyNumberFormat="1" applyBorder="1" applyAlignment="1">
      <alignment horizontal="center"/>
    </xf>
    <xf numFmtId="167" fontId="0" fillId="0" borderId="26" xfId="0" applyNumberFormat="1" applyBorder="1" applyAlignment="1">
      <alignment horizontal="right"/>
    </xf>
    <xf numFmtId="0" fontId="0" fillId="0" borderId="26" xfId="0" applyBorder="1" applyAlignment="1">
      <alignment horizontal="right"/>
    </xf>
    <xf numFmtId="0" fontId="0" fillId="0" borderId="0" xfId="0" applyAlignment="1">
      <alignment vertical="center"/>
    </xf>
    <xf numFmtId="0" fontId="27" fillId="0" borderId="0" xfId="0" applyFont="1" applyAlignment="1">
      <alignment horizontal="center"/>
    </xf>
    <xf numFmtId="0" fontId="27" fillId="0" borderId="26" xfId="0" applyFont="1" applyBorder="1" applyAlignment="1">
      <alignment horizontal="right"/>
    </xf>
    <xf numFmtId="166" fontId="0" fillId="0" borderId="0" xfId="0" applyNumberFormat="1"/>
    <xf numFmtId="0" fontId="29" fillId="0" borderId="0" xfId="0" quotePrefix="1" applyFont="1"/>
    <xf numFmtId="0" fontId="29" fillId="0" borderId="0" xfId="0" applyFont="1" applyAlignment="1">
      <alignment horizontal="center"/>
    </xf>
    <xf numFmtId="167" fontId="29" fillId="0" borderId="0" xfId="0" applyNumberFormat="1" applyFont="1" applyAlignment="1">
      <alignment horizontal="center"/>
    </xf>
    <xf numFmtId="2" fontId="29" fillId="0" borderId="0" xfId="0" applyNumberFormat="1" applyFont="1" applyAlignment="1">
      <alignment horizontal="center"/>
    </xf>
    <xf numFmtId="0" fontId="27" fillId="0" borderId="16" xfId="0" applyFont="1" applyBorder="1"/>
    <xf numFmtId="0" fontId="5" fillId="0" borderId="5" xfId="0" applyFont="1" applyBorder="1"/>
    <xf numFmtId="0" fontId="88" fillId="0" borderId="5" xfId="0" applyFont="1" applyBorder="1"/>
    <xf numFmtId="167" fontId="5" fillId="0" borderId="24" xfId="0" applyNumberFormat="1" applyFont="1" applyBorder="1"/>
    <xf numFmtId="167" fontId="5" fillId="0" borderId="1" xfId="0" applyNumberFormat="1" applyFont="1" applyBorder="1"/>
    <xf numFmtId="165" fontId="5" fillId="0" borderId="1" xfId="0" applyNumberFormat="1" applyFont="1" applyBorder="1"/>
    <xf numFmtId="167" fontId="5" fillId="0" borderId="18" xfId="0" applyNumberFormat="1" applyFont="1" applyBorder="1"/>
    <xf numFmtId="167" fontId="27" fillId="0" borderId="18" xfId="0" applyNumberFormat="1" applyFont="1" applyBorder="1"/>
    <xf numFmtId="166" fontId="43" fillId="0" borderId="0" xfId="0" applyNumberFormat="1" applyFont="1"/>
    <xf numFmtId="166" fontId="29" fillId="0" borderId="0" xfId="0" applyNumberFormat="1" applyFont="1"/>
    <xf numFmtId="164" fontId="29" fillId="0" borderId="0" xfId="0" applyNumberFormat="1" applyFont="1"/>
    <xf numFmtId="0" fontId="29" fillId="0" borderId="0" xfId="0" applyFont="1" applyAlignment="1">
      <alignment horizontal="right"/>
    </xf>
    <xf numFmtId="0" fontId="29" fillId="0" borderId="0" xfId="0" applyFont="1" applyAlignment="1">
      <alignment horizontal="center" vertical="center"/>
    </xf>
    <xf numFmtId="0" fontId="43" fillId="0" borderId="0" xfId="0" applyFont="1" applyAlignment="1">
      <alignment horizontal="center"/>
    </xf>
    <xf numFmtId="164" fontId="29" fillId="0" borderId="0" xfId="0" applyNumberFormat="1" applyFont="1" applyAlignment="1">
      <alignment horizontal="center"/>
    </xf>
    <xf numFmtId="0" fontId="84" fillId="0" borderId="0" xfId="0" applyFont="1"/>
    <xf numFmtId="165" fontId="29" fillId="0" borderId="0" xfId="0" applyNumberFormat="1" applyFont="1"/>
    <xf numFmtId="167" fontId="29" fillId="0" borderId="0" xfId="0" applyNumberFormat="1" applyFont="1"/>
    <xf numFmtId="167" fontId="43" fillId="0" borderId="1" xfId="0" applyNumberFormat="1" applyFont="1" applyBorder="1"/>
    <xf numFmtId="0" fontId="43" fillId="0" borderId="1" xfId="0" applyFont="1" applyBorder="1" applyAlignment="1">
      <alignment horizontal="center"/>
    </xf>
    <xf numFmtId="167" fontId="43" fillId="0" borderId="0" xfId="0" applyNumberFormat="1" applyFont="1"/>
    <xf numFmtId="167" fontId="5" fillId="0" borderId="5" xfId="0" applyNumberFormat="1" applyFont="1" applyBorder="1"/>
    <xf numFmtId="167" fontId="54" fillId="0" borderId="1" xfId="0" applyNumberFormat="1" applyFont="1" applyBorder="1"/>
    <xf numFmtId="167" fontId="5" fillId="0" borderId="17" xfId="0" applyNumberFormat="1" applyFont="1" applyBorder="1"/>
    <xf numFmtId="164" fontId="5" fillId="0" borderId="1" xfId="0" applyNumberFormat="1" applyFont="1" applyBorder="1"/>
    <xf numFmtId="167" fontId="5" fillId="0" borderId="16" xfId="0" applyNumberFormat="1" applyFont="1" applyBorder="1"/>
    <xf numFmtId="164" fontId="5" fillId="0" borderId="1" xfId="0" applyNumberFormat="1" applyFont="1" applyBorder="1" applyAlignment="1">
      <alignment horizontal="center"/>
    </xf>
    <xf numFmtId="166" fontId="5" fillId="0" borderId="0" xfId="0" applyNumberFormat="1" applyFont="1"/>
    <xf numFmtId="164" fontId="5" fillId="0" borderId="0" xfId="0" applyNumberFormat="1" applyFont="1"/>
    <xf numFmtId="0" fontId="27" fillId="0" borderId="1" xfId="0" applyFont="1" applyBorder="1" applyAlignment="1">
      <alignment wrapText="1"/>
    </xf>
    <xf numFmtId="0" fontId="5" fillId="0" borderId="7" xfId="0" applyFont="1" applyBorder="1" applyAlignment="1">
      <alignment wrapText="1"/>
    </xf>
    <xf numFmtId="0" fontId="5" fillId="0" borderId="7" xfId="0" applyFont="1" applyBorder="1"/>
    <xf numFmtId="167" fontId="5" fillId="0" borderId="7" xfId="0" applyNumberFormat="1" applyFont="1" applyBorder="1"/>
    <xf numFmtId="0" fontId="0" fillId="0" borderId="7" xfId="0" applyBorder="1"/>
    <xf numFmtId="0" fontId="5" fillId="0" borderId="0" xfId="0" applyFont="1" applyAlignment="1">
      <alignment horizontal="right" vertical="center"/>
    </xf>
    <xf numFmtId="0" fontId="27" fillId="4" borderId="27" xfId="1" applyFont="1" applyBorder="1" applyAlignment="1">
      <alignment vertical="center"/>
    </xf>
    <xf numFmtId="0" fontId="27" fillId="0" borderId="2" xfId="0" applyFont="1" applyBorder="1" applyAlignment="1">
      <alignment horizontal="center"/>
    </xf>
    <xf numFmtId="0" fontId="25" fillId="0" borderId="0" xfId="0" applyFont="1" applyAlignment="1" applyProtection="1">
      <alignment horizontal="left" vertical="top"/>
      <protection locked="0"/>
    </xf>
    <xf numFmtId="0" fontId="4" fillId="0" borderId="0" xfId="0" applyFont="1" applyAlignment="1">
      <alignment horizontal="center" wrapText="1"/>
    </xf>
    <xf numFmtId="0" fontId="45" fillId="0" borderId="0" xfId="0" applyFont="1" applyAlignment="1">
      <alignment horizontal="center" vertical="center" wrapText="1"/>
    </xf>
    <xf numFmtId="0" fontId="5" fillId="0" borderId="2" xfId="0" applyFont="1" applyBorder="1" applyAlignment="1">
      <alignment horizontal="center"/>
    </xf>
    <xf numFmtId="2" fontId="5" fillId="0" borderId="0" xfId="0" applyNumberFormat="1" applyFont="1" applyAlignment="1">
      <alignment horizontal="center"/>
    </xf>
    <xf numFmtId="0" fontId="17" fillId="3" borderId="45" xfId="4" applyAlignment="1" applyProtection="1">
      <alignment vertical="center"/>
    </xf>
    <xf numFmtId="0" fontId="27" fillId="0" borderId="17" xfId="0" applyFont="1" applyBorder="1" applyAlignment="1">
      <alignment horizontal="center" wrapText="1"/>
    </xf>
    <xf numFmtId="0" fontId="27" fillId="0" borderId="56" xfId="0" applyFont="1" applyBorder="1" applyAlignment="1">
      <alignment horizontal="center" wrapText="1"/>
    </xf>
    <xf numFmtId="0" fontId="27" fillId="0" borderId="34" xfId="0" applyFont="1" applyBorder="1" applyAlignment="1">
      <alignment horizontal="center" wrapText="1"/>
    </xf>
    <xf numFmtId="0" fontId="27" fillId="0" borderId="1" xfId="0" applyFont="1" applyBorder="1" applyAlignment="1">
      <alignment horizontal="center" vertical="center" wrapText="1"/>
    </xf>
    <xf numFmtId="0" fontId="27" fillId="0" borderId="5" xfId="0" applyFont="1" applyBorder="1" applyAlignment="1">
      <alignment horizontal="center" wrapText="1"/>
    </xf>
    <xf numFmtId="0" fontId="27" fillId="0" borderId="25" xfId="0" applyFont="1" applyBorder="1" applyAlignment="1">
      <alignment horizontal="center" wrapText="1"/>
    </xf>
    <xf numFmtId="0" fontId="27" fillId="0" borderId="17" xfId="0" applyFont="1" applyBorder="1"/>
    <xf numFmtId="0" fontId="27" fillId="0" borderId="24" xfId="0" applyFont="1" applyBorder="1"/>
    <xf numFmtId="0" fontId="27" fillId="0" borderId="7" xfId="0" applyFont="1" applyBorder="1"/>
    <xf numFmtId="0" fontId="5" fillId="0" borderId="25" xfId="0" applyFont="1" applyBorder="1"/>
    <xf numFmtId="169" fontId="5" fillId="0" borderId="24" xfId="0" applyNumberFormat="1" applyFont="1" applyBorder="1"/>
    <xf numFmtId="169" fontId="5" fillId="0" borderId="0" xfId="0" applyNumberFormat="1" applyFont="1"/>
    <xf numFmtId="0" fontId="5" fillId="0" borderId="1" xfId="0" applyFont="1" applyBorder="1" applyAlignment="1">
      <alignment horizontal="center" vertical="center" wrapText="1"/>
    </xf>
    <xf numFmtId="0" fontId="30" fillId="9" borderId="1" xfId="0" applyFont="1" applyFill="1" applyBorder="1" applyAlignment="1">
      <alignment vertical="center" wrapText="1"/>
    </xf>
    <xf numFmtId="0" fontId="72" fillId="0" borderId="0" xfId="0" applyFont="1" applyAlignment="1">
      <alignment horizontal="center"/>
    </xf>
    <xf numFmtId="0" fontId="71" fillId="0" borderId="38" xfId="0" applyFont="1" applyBorder="1"/>
    <xf numFmtId="0" fontId="71" fillId="0" borderId="39" xfId="0" applyFont="1" applyBorder="1"/>
    <xf numFmtId="0" fontId="71" fillId="0" borderId="40" xfId="0" applyFont="1" applyBorder="1"/>
    <xf numFmtId="0" fontId="71" fillId="0" borderId="38" xfId="0" applyFont="1" applyBorder="1" applyAlignment="1">
      <alignment vertical="center"/>
    </xf>
    <xf numFmtId="0" fontId="71" fillId="0" borderId="39" xfId="0" applyFont="1" applyBorder="1" applyAlignment="1">
      <alignment vertical="center"/>
    </xf>
    <xf numFmtId="0" fontId="71" fillId="0" borderId="40" xfId="0" applyFont="1" applyBorder="1" applyAlignment="1">
      <alignment vertical="center"/>
    </xf>
    <xf numFmtId="0" fontId="5" fillId="12" borderId="0" xfId="0" applyFont="1" applyFill="1" applyAlignment="1">
      <alignment horizontal="center" vertical="center" wrapText="1"/>
    </xf>
    <xf numFmtId="0" fontId="30" fillId="0" borderId="1" xfId="0" applyFont="1" applyBorder="1" applyAlignment="1">
      <alignment vertical="center" wrapText="1"/>
    </xf>
    <xf numFmtId="0" fontId="27" fillId="0" borderId="0" xfId="0" applyFont="1" applyProtection="1">
      <protection locked="0"/>
    </xf>
    <xf numFmtId="49" fontId="0" fillId="13" borderId="1" xfId="0" quotePrefix="1" applyNumberFormat="1" applyFill="1" applyBorder="1"/>
    <xf numFmtId="49" fontId="0" fillId="0" borderId="0" xfId="0" quotePrefix="1" applyNumberFormat="1"/>
    <xf numFmtId="0" fontId="0" fillId="0" borderId="1" xfId="0" quotePrefix="1" applyBorder="1"/>
    <xf numFmtId="0" fontId="5" fillId="0" borderId="0" xfId="0" quotePrefix="1" applyFont="1"/>
    <xf numFmtId="0" fontId="0" fillId="0" borderId="76" xfId="0" applyBorder="1" applyAlignment="1">
      <alignment vertical="center"/>
    </xf>
    <xf numFmtId="0" fontId="16" fillId="5" borderId="43" xfId="2" applyProtection="1">
      <protection locked="0"/>
    </xf>
    <xf numFmtId="0" fontId="90" fillId="15" borderId="0" xfId="0" applyFont="1" applyFill="1"/>
    <xf numFmtId="0" fontId="0" fillId="16" borderId="0" xfId="0" applyFill="1"/>
    <xf numFmtId="0" fontId="5" fillId="16" borderId="0" xfId="0" applyFont="1" applyFill="1"/>
    <xf numFmtId="0" fontId="0" fillId="0" borderId="0" xfId="0" applyAlignment="1">
      <alignment wrapText="1"/>
    </xf>
    <xf numFmtId="0" fontId="0" fillId="12" borderId="0" xfId="0" applyFill="1"/>
    <xf numFmtId="168" fontId="0" fillId="0" borderId="0" xfId="7" applyNumberFormat="1" applyFont="1"/>
    <xf numFmtId="0" fontId="0" fillId="14" borderId="77" xfId="3" applyFont="1" applyFill="1" applyBorder="1" applyAlignment="1" applyProtection="1">
      <alignment horizontal="center" vertical="center"/>
      <protection hidden="1"/>
    </xf>
    <xf numFmtId="0" fontId="90" fillId="18" borderId="1" xfId="0" applyFont="1" applyFill="1" applyBorder="1" applyAlignment="1">
      <alignment horizontal="center" vertical="center"/>
    </xf>
    <xf numFmtId="0" fontId="95" fillId="0" borderId="0" xfId="8" applyFill="1" applyAlignment="1">
      <alignment horizontal="left" indent="3"/>
    </xf>
    <xf numFmtId="0" fontId="95" fillId="0" borderId="0" xfId="8" applyProtection="1"/>
    <xf numFmtId="0" fontId="27" fillId="0" borderId="85" xfId="0" applyFont="1" applyBorder="1" applyAlignment="1">
      <alignment horizontal="center"/>
    </xf>
    <xf numFmtId="0" fontId="12" fillId="0" borderId="83" xfId="0" applyFont="1" applyBorder="1" applyAlignment="1">
      <alignment horizontal="center"/>
    </xf>
    <xf numFmtId="0" fontId="5" fillId="0" borderId="86" xfId="0" applyFont="1" applyBorder="1"/>
    <xf numFmtId="0" fontId="5" fillId="0" borderId="87" xfId="0" applyFont="1" applyBorder="1"/>
    <xf numFmtId="0" fontId="54" fillId="0" borderId="87" xfId="0" applyFont="1" applyBorder="1" applyAlignment="1">
      <alignment horizontal="center"/>
    </xf>
    <xf numFmtId="0" fontId="5" fillId="0" borderId="88" xfId="0" applyFont="1" applyBorder="1"/>
    <xf numFmtId="0" fontId="54" fillId="0" borderId="88" xfId="0" applyFont="1" applyBorder="1" applyAlignment="1">
      <alignment horizontal="center"/>
    </xf>
    <xf numFmtId="2" fontId="0" fillId="0" borderId="1" xfId="0" applyNumberFormat="1" applyBorder="1"/>
    <xf numFmtId="0" fontId="96" fillId="0" borderId="1" xfId="0" applyFont="1" applyBorder="1" applyAlignment="1">
      <alignment horizontal="center" vertical="center"/>
    </xf>
    <xf numFmtId="0" fontId="0" fillId="12" borderId="1" xfId="0" applyFill="1" applyBorder="1"/>
    <xf numFmtId="0" fontId="5" fillId="12" borderId="0" xfId="0" applyFont="1" applyFill="1"/>
    <xf numFmtId="0" fontId="96" fillId="20" borderId="1" xfId="0" applyFont="1" applyFill="1" applyBorder="1" applyAlignment="1">
      <alignment horizontal="center" vertical="center"/>
    </xf>
    <xf numFmtId="0" fontId="43" fillId="0" borderId="0" xfId="0" applyFont="1" applyProtection="1">
      <protection hidden="1"/>
    </xf>
    <xf numFmtId="0" fontId="96" fillId="12" borderId="1" xfId="0" applyFont="1" applyFill="1" applyBorder="1" applyAlignment="1">
      <alignment horizontal="center" vertical="center"/>
    </xf>
    <xf numFmtId="0" fontId="5" fillId="0" borderId="0" xfId="9"/>
    <xf numFmtId="0" fontId="5" fillId="0" borderId="0" xfId="9" applyAlignment="1">
      <alignment vertical="center"/>
    </xf>
    <xf numFmtId="0" fontId="5" fillId="0" borderId="0" xfId="9" quotePrefix="1" applyAlignment="1">
      <alignment vertical="center"/>
    </xf>
    <xf numFmtId="0" fontId="66" fillId="0" borderId="0" xfId="9" applyFont="1"/>
    <xf numFmtId="0" fontId="4" fillId="0" borderId="0" xfId="9" applyFont="1" applyAlignment="1">
      <alignment horizontal="center" vertical="center"/>
    </xf>
    <xf numFmtId="0" fontId="7" fillId="12" borderId="0" xfId="0" applyFont="1" applyFill="1" applyAlignment="1">
      <alignment vertical="center"/>
    </xf>
    <xf numFmtId="0" fontId="0" fillId="12" borderId="0" xfId="0" applyFill="1" applyAlignment="1">
      <alignment horizontal="center" vertical="center" wrapText="1"/>
    </xf>
    <xf numFmtId="0" fontId="0" fillId="12" borderId="0" xfId="0" applyFill="1" applyAlignment="1">
      <alignment wrapText="1"/>
    </xf>
    <xf numFmtId="0" fontId="5" fillId="12" borderId="0" xfId="0" applyFont="1" applyFill="1" applyAlignment="1">
      <alignment wrapText="1"/>
    </xf>
    <xf numFmtId="0" fontId="29" fillId="0" borderId="11" xfId="0" applyFont="1" applyBorder="1" applyProtection="1">
      <protection hidden="1"/>
    </xf>
    <xf numFmtId="0" fontId="0" fillId="20" borderId="0" xfId="0" applyFill="1"/>
    <xf numFmtId="0" fontId="97" fillId="12" borderId="0" xfId="0" applyFont="1" applyFill="1"/>
    <xf numFmtId="0" fontId="0" fillId="16" borderId="1" xfId="0" applyFill="1" applyBorder="1"/>
    <xf numFmtId="0" fontId="5" fillId="16" borderId="1" xfId="0" applyFont="1" applyFill="1" applyBorder="1"/>
    <xf numFmtId="0" fontId="96" fillId="21" borderId="1" xfId="0" applyFont="1" applyFill="1" applyBorder="1" applyAlignment="1">
      <alignment horizontal="center" vertical="center"/>
    </xf>
    <xf numFmtId="0" fontId="66" fillId="22" borderId="1" xfId="0" applyFont="1" applyFill="1" applyBorder="1" applyAlignment="1">
      <alignment horizontal="center" vertical="center"/>
    </xf>
    <xf numFmtId="0" fontId="0" fillId="17" borderId="0" xfId="0" applyFill="1"/>
    <xf numFmtId="0" fontId="64" fillId="17" borderId="0" xfId="0" applyFont="1" applyFill="1"/>
    <xf numFmtId="0" fontId="5" fillId="17" borderId="0" xfId="0" applyFont="1" applyFill="1"/>
    <xf numFmtId="0" fontId="65" fillId="17" borderId="0" xfId="0" applyFont="1" applyFill="1"/>
    <xf numFmtId="0" fontId="43" fillId="17" borderId="0" xfId="0" applyFont="1" applyFill="1"/>
    <xf numFmtId="0" fontId="0" fillId="17" borderId="0" xfId="0" applyFill="1" applyAlignment="1">
      <alignment horizontal="right"/>
    </xf>
    <xf numFmtId="0" fontId="5" fillId="12" borderId="1" xfId="0" applyFont="1" applyFill="1" applyBorder="1"/>
    <xf numFmtId="0" fontId="72" fillId="19" borderId="0" xfId="0" quotePrefix="1" applyFont="1" applyFill="1" applyAlignment="1">
      <alignment horizontal="center" vertical="center"/>
    </xf>
    <xf numFmtId="0" fontId="2" fillId="0" borderId="0" xfId="0" applyFont="1"/>
    <xf numFmtId="0" fontId="2" fillId="0" borderId="0" xfId="0" applyFont="1" applyAlignment="1">
      <alignment horizontal="right"/>
    </xf>
    <xf numFmtId="166" fontId="74" fillId="2" borderId="3" xfId="0" applyNumberFormat="1" applyFont="1" applyFill="1" applyBorder="1"/>
    <xf numFmtId="0" fontId="2" fillId="0" borderId="1" xfId="0" applyFont="1" applyBorder="1"/>
    <xf numFmtId="0" fontId="2" fillId="0" borderId="0" xfId="0" applyFont="1" applyAlignment="1">
      <alignment horizontal="center"/>
    </xf>
    <xf numFmtId="0" fontId="2" fillId="6" borderId="44" xfId="3" applyFont="1" applyAlignment="1" applyProtection="1">
      <alignment horizontal="center"/>
      <protection locked="0"/>
    </xf>
    <xf numFmtId="0" fontId="19" fillId="10" borderId="5" xfId="0" applyFont="1" applyFill="1" applyBorder="1" applyAlignment="1" applyProtection="1">
      <alignment horizontal="center" wrapText="1"/>
      <protection locked="0"/>
    </xf>
    <xf numFmtId="0" fontId="19" fillId="10" borderId="7" xfId="0" applyFont="1" applyFill="1" applyBorder="1" applyAlignment="1" applyProtection="1">
      <alignment horizontal="center" wrapText="1"/>
      <protection locked="0"/>
    </xf>
    <xf numFmtId="0" fontId="19" fillId="10" borderId="24" xfId="0" applyFont="1" applyFill="1" applyBorder="1" applyAlignment="1" applyProtection="1">
      <alignment horizontal="center" wrapText="1"/>
      <protection locked="0"/>
    </xf>
    <xf numFmtId="0" fontId="19" fillId="10" borderId="5" xfId="0" applyFont="1" applyFill="1" applyBorder="1" applyAlignment="1">
      <alignment horizontal="center" wrapText="1"/>
    </xf>
    <xf numFmtId="0" fontId="19" fillId="10" borderId="7" xfId="0" applyFont="1" applyFill="1" applyBorder="1" applyAlignment="1">
      <alignment horizontal="center" wrapText="1"/>
    </xf>
    <xf numFmtId="0" fontId="19" fillId="10" borderId="24" xfId="0" applyFont="1" applyFill="1" applyBorder="1" applyAlignment="1">
      <alignment horizontal="center" wrapText="1"/>
    </xf>
    <xf numFmtId="0" fontId="19" fillId="0" borderId="1" xfId="0" applyFont="1" applyBorder="1" applyAlignment="1" applyProtection="1">
      <alignment horizontal="center"/>
      <protection locked="0"/>
    </xf>
    <xf numFmtId="0" fontId="19" fillId="0" borderId="1" xfId="0" applyFont="1" applyBorder="1" applyAlignment="1">
      <alignment horizontal="center"/>
    </xf>
    <xf numFmtId="0" fontId="19" fillId="0" borderId="5" xfId="0" applyFont="1" applyBorder="1" applyAlignment="1" applyProtection="1">
      <alignment horizontal="center"/>
      <protection locked="0"/>
    </xf>
    <xf numFmtId="0" fontId="19" fillId="0" borderId="7" xfId="0" applyFont="1" applyBorder="1" applyAlignment="1" applyProtection="1">
      <alignment horizontal="center"/>
      <protection locked="0"/>
    </xf>
    <xf numFmtId="0" fontId="19" fillId="0" borderId="24" xfId="0" applyFont="1" applyBorder="1" applyAlignment="1" applyProtection="1">
      <alignment horizontal="center"/>
      <protection locked="0"/>
    </xf>
    <xf numFmtId="0" fontId="31" fillId="0" borderId="5" xfId="0" applyFont="1" applyBorder="1" applyAlignment="1" applyProtection="1">
      <alignment horizontal="center"/>
      <protection locked="0"/>
    </xf>
    <xf numFmtId="0" fontId="31" fillId="0" borderId="7" xfId="0" applyFont="1" applyBorder="1" applyAlignment="1" applyProtection="1">
      <alignment horizontal="center"/>
      <protection locked="0"/>
    </xf>
    <xf numFmtId="0" fontId="31" fillId="0" borderId="24" xfId="0" applyFont="1" applyBorder="1" applyAlignment="1" applyProtection="1">
      <alignment horizontal="center"/>
      <protection locked="0"/>
    </xf>
    <xf numFmtId="0" fontId="67" fillId="0" borderId="0" xfId="0" applyFont="1" applyAlignment="1">
      <alignment horizontal="right"/>
    </xf>
    <xf numFmtId="0" fontId="68" fillId="0" borderId="0" xfId="0" applyFont="1" applyAlignment="1">
      <alignment horizontal="right"/>
    </xf>
    <xf numFmtId="0" fontId="38" fillId="0" borderId="5" xfId="0" applyFont="1" applyBorder="1" applyAlignment="1">
      <alignment horizontal="center" vertical="center"/>
    </xf>
    <xf numFmtId="0" fontId="38" fillId="0" borderId="7" xfId="0" applyFont="1" applyBorder="1" applyAlignment="1">
      <alignment horizontal="center" vertical="center"/>
    </xf>
    <xf numFmtId="0" fontId="38" fillId="0" borderId="24" xfId="0" applyFont="1" applyBorder="1" applyAlignment="1">
      <alignment horizontal="center" vertical="center"/>
    </xf>
    <xf numFmtId="0" fontId="32" fillId="0" borderId="0" xfId="0" applyFont="1" applyAlignment="1">
      <alignment horizontal="center"/>
    </xf>
    <xf numFmtId="167" fontId="19" fillId="0" borderId="1" xfId="0" applyNumberFormat="1" applyFont="1" applyBorder="1" applyAlignment="1">
      <alignment horizontal="center"/>
    </xf>
    <xf numFmtId="0" fontId="19" fillId="7" borderId="5" xfId="0" applyFont="1" applyFill="1" applyBorder="1" applyAlignment="1">
      <alignment horizontal="center" vertical="center" wrapText="1"/>
    </xf>
    <xf numFmtId="0" fontId="19" fillId="7" borderId="7" xfId="0" applyFont="1" applyFill="1" applyBorder="1" applyAlignment="1">
      <alignment horizontal="center" vertical="center" wrapText="1"/>
    </xf>
    <xf numFmtId="0" fontId="19" fillId="7" borderId="24" xfId="0" applyFont="1" applyFill="1" applyBorder="1" applyAlignment="1">
      <alignment horizontal="center" vertical="center" wrapText="1"/>
    </xf>
    <xf numFmtId="0" fontId="30" fillId="0" borderId="5" xfId="0" applyFont="1" applyBorder="1" applyAlignment="1" applyProtection="1">
      <alignment horizontal="center"/>
      <protection locked="0"/>
    </xf>
    <xf numFmtId="0" fontId="30" fillId="0" borderId="7" xfId="0" applyFont="1" applyBorder="1" applyAlignment="1" applyProtection="1">
      <alignment horizontal="center"/>
      <protection locked="0"/>
    </xf>
    <xf numFmtId="0" fontId="30" fillId="0" borderId="24" xfId="0" applyFont="1" applyBorder="1" applyAlignment="1" applyProtection="1">
      <alignment horizontal="center"/>
      <protection locked="0"/>
    </xf>
    <xf numFmtId="2" fontId="28" fillId="0" borderId="5" xfId="0" applyNumberFormat="1" applyFont="1" applyBorder="1" applyAlignment="1" applyProtection="1">
      <alignment horizontal="center"/>
      <protection locked="0"/>
    </xf>
    <xf numFmtId="2" fontId="28" fillId="0" borderId="7" xfId="0" applyNumberFormat="1" applyFont="1" applyBorder="1" applyAlignment="1" applyProtection="1">
      <alignment horizontal="center"/>
      <protection locked="0"/>
    </xf>
    <xf numFmtId="2" fontId="28" fillId="0" borderId="24" xfId="0" applyNumberFormat="1" applyFont="1" applyBorder="1" applyAlignment="1" applyProtection="1">
      <alignment horizontal="center"/>
      <protection locked="0"/>
    </xf>
    <xf numFmtId="0" fontId="19" fillId="0" borderId="5" xfId="0" applyFont="1" applyBorder="1" applyAlignment="1">
      <alignment horizontal="center"/>
    </xf>
    <xf numFmtId="0" fontId="36" fillId="7" borderId="5" xfId="0" applyFont="1" applyFill="1" applyBorder="1" applyAlignment="1">
      <alignment horizontal="center" vertical="center" wrapText="1"/>
    </xf>
    <xf numFmtId="0" fontId="36" fillId="7" borderId="7" xfId="0" applyFont="1" applyFill="1" applyBorder="1" applyAlignment="1">
      <alignment horizontal="center" vertical="center" wrapText="1"/>
    </xf>
    <xf numFmtId="0" fontId="36" fillId="7" borderId="24" xfId="0" applyFont="1" applyFill="1" applyBorder="1" applyAlignment="1">
      <alignment horizontal="center" vertical="center" wrapText="1"/>
    </xf>
    <xf numFmtId="0" fontId="19" fillId="7" borderId="1" xfId="0" applyFont="1" applyFill="1" applyBorder="1" applyAlignment="1">
      <alignment horizontal="center" vertical="center" wrapText="1"/>
    </xf>
    <xf numFmtId="166" fontId="19" fillId="0" borderId="1" xfId="0" applyNumberFormat="1" applyFont="1" applyBorder="1" applyAlignment="1">
      <alignment horizontal="center"/>
    </xf>
    <xf numFmtId="0" fontId="1" fillId="0" borderId="2" xfId="0" applyFont="1" applyBorder="1" applyAlignment="1" applyProtection="1">
      <alignment horizontal="left" indent="1"/>
      <protection locked="0"/>
    </xf>
    <xf numFmtId="0" fontId="0" fillId="0" borderId="2" xfId="0" applyBorder="1" applyAlignment="1" applyProtection="1">
      <alignment horizontal="left" indent="1"/>
      <protection locked="0"/>
    </xf>
    <xf numFmtId="0" fontId="31" fillId="0" borderId="1" xfId="0" applyFont="1" applyBorder="1" applyAlignment="1" applyProtection="1">
      <alignment horizontal="center"/>
      <protection locked="0"/>
    </xf>
    <xf numFmtId="0" fontId="19" fillId="7" borderId="1" xfId="0" applyFont="1" applyFill="1" applyBorder="1" applyAlignment="1">
      <alignment horizontal="center" wrapText="1"/>
    </xf>
    <xf numFmtId="0" fontId="5" fillId="0" borderId="7" xfId="0" applyFont="1" applyBorder="1" applyAlignment="1" applyProtection="1">
      <alignment horizontal="left" indent="1"/>
      <protection locked="0"/>
    </xf>
    <xf numFmtId="0" fontId="0" fillId="0" borderId="7" xfId="0" applyBorder="1" applyAlignment="1" applyProtection="1">
      <alignment horizontal="left" indent="1"/>
      <protection locked="0"/>
    </xf>
    <xf numFmtId="0" fontId="19" fillId="7" borderId="1" xfId="0" applyFont="1" applyFill="1" applyBorder="1" applyAlignment="1" applyProtection="1">
      <alignment horizontal="center" wrapText="1"/>
      <protection locked="0"/>
    </xf>
    <xf numFmtId="167" fontId="30" fillId="0" borderId="1" xfId="0" applyNumberFormat="1" applyFont="1" applyBorder="1" applyAlignment="1">
      <alignment horizontal="center"/>
    </xf>
    <xf numFmtId="0" fontId="37" fillId="7" borderId="5" xfId="0" applyFont="1" applyFill="1" applyBorder="1" applyAlignment="1">
      <alignment horizontal="center" vertical="center" wrapText="1"/>
    </xf>
    <xf numFmtId="0" fontId="37" fillId="7" borderId="24" xfId="0" applyFont="1" applyFill="1" applyBorder="1" applyAlignment="1">
      <alignment horizontal="center" vertical="center" wrapText="1"/>
    </xf>
    <xf numFmtId="0" fontId="28" fillId="0" borderId="1" xfId="0" applyFont="1" applyBorder="1" applyAlignment="1">
      <alignment horizontal="center"/>
    </xf>
    <xf numFmtId="0" fontId="36" fillId="7" borderId="5" xfId="0" applyFont="1" applyFill="1" applyBorder="1" applyAlignment="1" applyProtection="1">
      <alignment horizontal="center" vertical="center" wrapText="1"/>
      <protection locked="0"/>
    </xf>
    <xf numFmtId="0" fontId="36" fillId="7" borderId="7" xfId="0" applyFont="1" applyFill="1" applyBorder="1" applyAlignment="1" applyProtection="1">
      <alignment horizontal="center" vertical="center" wrapText="1"/>
      <protection locked="0"/>
    </xf>
    <xf numFmtId="0" fontId="36" fillId="7" borderId="24" xfId="0" applyFont="1" applyFill="1" applyBorder="1" applyAlignment="1" applyProtection="1">
      <alignment horizontal="center" vertical="center" wrapText="1"/>
      <protection locked="0"/>
    </xf>
    <xf numFmtId="0" fontId="31" fillId="10" borderId="5" xfId="0" applyFont="1" applyFill="1" applyBorder="1" applyAlignment="1" applyProtection="1">
      <alignment horizontal="center" wrapText="1"/>
      <protection locked="0"/>
    </xf>
    <xf numFmtId="0" fontId="31" fillId="10" borderId="7" xfId="0" applyFont="1" applyFill="1" applyBorder="1" applyAlignment="1" applyProtection="1">
      <alignment horizontal="center" wrapText="1"/>
      <protection locked="0"/>
    </xf>
    <xf numFmtId="0" fontId="31" fillId="10" borderId="24" xfId="0" applyFont="1" applyFill="1" applyBorder="1" applyAlignment="1" applyProtection="1">
      <alignment horizontal="center" wrapText="1"/>
      <protection locked="0"/>
    </xf>
    <xf numFmtId="0" fontId="19" fillId="17" borderId="63" xfId="0" applyFont="1" applyFill="1" applyBorder="1" applyAlignment="1">
      <alignment horizontal="center" vertical="center" wrapText="1"/>
    </xf>
    <xf numFmtId="0" fontId="19" fillId="17" borderId="3" xfId="0" applyFont="1" applyFill="1" applyBorder="1" applyAlignment="1">
      <alignment horizontal="center" vertical="center" wrapText="1"/>
    </xf>
    <xf numFmtId="0" fontId="19" fillId="17" borderId="15" xfId="0" applyFont="1" applyFill="1" applyBorder="1" applyAlignment="1">
      <alignment horizontal="center" vertical="center" wrapText="1"/>
    </xf>
    <xf numFmtId="0" fontId="19" fillId="17" borderId="2" xfId="0" applyFont="1" applyFill="1" applyBorder="1" applyAlignment="1">
      <alignment horizontal="center" vertical="center" wrapText="1"/>
    </xf>
    <xf numFmtId="0" fontId="19" fillId="0" borderId="63" xfId="0" applyFont="1" applyBorder="1" applyAlignment="1">
      <alignment horizontal="center"/>
    </xf>
    <xf numFmtId="0" fontId="19" fillId="0" borderId="3" xfId="0" applyFont="1" applyBorder="1" applyAlignment="1">
      <alignment horizontal="center"/>
    </xf>
    <xf numFmtId="0" fontId="19" fillId="0" borderId="2" xfId="0" applyFont="1" applyBorder="1" applyAlignment="1">
      <alignment horizontal="center"/>
    </xf>
    <xf numFmtId="0" fontId="31" fillId="7" borderId="32" xfId="0" applyFont="1" applyFill="1" applyBorder="1" applyAlignment="1">
      <alignment horizontal="center" vertical="center" wrapText="1"/>
    </xf>
    <xf numFmtId="0" fontId="31" fillId="7" borderId="63" xfId="0" applyFont="1" applyFill="1" applyBorder="1" applyAlignment="1">
      <alignment horizontal="center" vertical="center" wrapText="1"/>
    </xf>
    <xf numFmtId="0" fontId="31" fillId="7" borderId="65" xfId="0" applyFont="1" applyFill="1" applyBorder="1" applyAlignment="1">
      <alignment horizontal="center" vertical="center" wrapText="1"/>
    </xf>
    <xf numFmtId="0" fontId="31" fillId="7" borderId="3" xfId="0" applyFont="1" applyFill="1" applyBorder="1" applyAlignment="1">
      <alignment horizontal="center" vertical="center" wrapText="1"/>
    </xf>
    <xf numFmtId="0" fontId="31" fillId="7" borderId="1" xfId="0" applyFont="1" applyFill="1" applyBorder="1" applyAlignment="1">
      <alignment horizontal="center" vertical="center"/>
    </xf>
    <xf numFmtId="0" fontId="19" fillId="0" borderId="15" xfId="0" applyFont="1" applyBorder="1" applyAlignment="1">
      <alignment horizontal="center"/>
    </xf>
    <xf numFmtId="167" fontId="19" fillId="0" borderId="3" xfId="0" applyNumberFormat="1" applyFont="1" applyBorder="1" applyAlignment="1">
      <alignment horizontal="center"/>
    </xf>
    <xf numFmtId="167" fontId="19" fillId="0" borderId="2" xfId="0" applyNumberFormat="1" applyFont="1" applyBorder="1" applyAlignment="1">
      <alignment horizontal="center"/>
    </xf>
    <xf numFmtId="0" fontId="93" fillId="7" borderId="63" xfId="0" applyFont="1" applyFill="1" applyBorder="1" applyAlignment="1">
      <alignment horizontal="center" vertical="center" wrapText="1"/>
    </xf>
    <xf numFmtId="0" fontId="93" fillId="7" borderId="3" xfId="0" applyFont="1" applyFill="1" applyBorder="1" applyAlignment="1">
      <alignment horizontal="center" vertical="center" wrapText="1"/>
    </xf>
    <xf numFmtId="0" fontId="93" fillId="7" borderId="65" xfId="0" applyFont="1" applyFill="1" applyBorder="1" applyAlignment="1">
      <alignment horizontal="center" vertical="center" wrapText="1"/>
    </xf>
    <xf numFmtId="0" fontId="19" fillId="0" borderId="3" xfId="0" applyFont="1" applyBorder="1" applyAlignment="1">
      <alignment horizontal="center" vertical="center"/>
    </xf>
    <xf numFmtId="0" fontId="19" fillId="0" borderId="65" xfId="0" applyFont="1" applyBorder="1" applyAlignment="1">
      <alignment horizontal="center" vertical="center"/>
    </xf>
    <xf numFmtId="0" fontId="19" fillId="0" borderId="2" xfId="0" applyFont="1" applyBorder="1" applyAlignment="1">
      <alignment horizontal="center" vertical="center"/>
    </xf>
    <xf numFmtId="0" fontId="19" fillId="0" borderId="56" xfId="0" applyFont="1" applyBorder="1" applyAlignment="1">
      <alignment horizontal="center" vertical="center"/>
    </xf>
    <xf numFmtId="0" fontId="2" fillId="6" borderId="78" xfId="3" applyFont="1" applyBorder="1" applyAlignment="1" applyProtection="1">
      <alignment horizontal="center"/>
      <protection locked="0"/>
    </xf>
    <xf numFmtId="0" fontId="2" fillId="6" borderId="79" xfId="3" applyFont="1" applyBorder="1" applyAlignment="1" applyProtection="1">
      <alignment horizontal="center"/>
      <protection locked="0"/>
    </xf>
    <xf numFmtId="0" fontId="41" fillId="0" borderId="59" xfId="5" applyFont="1" applyBorder="1" applyAlignment="1">
      <alignment horizontal="center" vertical="center" wrapText="1"/>
    </xf>
    <xf numFmtId="0" fontId="41" fillId="0" borderId="60" xfId="5" applyFont="1" applyBorder="1" applyAlignment="1">
      <alignment horizontal="center" vertical="center" wrapText="1"/>
    </xf>
    <xf numFmtId="0" fontId="41" fillId="0" borderId="64" xfId="5" applyFont="1" applyBorder="1" applyAlignment="1">
      <alignment horizontal="center" vertical="center" wrapText="1"/>
    </xf>
    <xf numFmtId="0" fontId="23" fillId="0" borderId="2" xfId="0" applyFont="1" applyBorder="1" applyAlignment="1">
      <alignment horizontal="center" vertical="top"/>
    </xf>
    <xf numFmtId="0" fontId="40" fillId="0" borderId="32" xfId="6" applyFill="1" applyBorder="1" applyAlignment="1">
      <alignment horizontal="center" vertical="center" wrapText="1"/>
    </xf>
    <xf numFmtId="0" fontId="40" fillId="0" borderId="34" xfId="6" applyFill="1" applyBorder="1" applyAlignment="1">
      <alignment horizontal="center" vertical="center" wrapText="1"/>
    </xf>
    <xf numFmtId="2" fontId="17" fillId="7" borderId="5" xfId="4" applyNumberFormat="1" applyFill="1" applyBorder="1" applyAlignment="1">
      <alignment horizontal="center"/>
    </xf>
    <xf numFmtId="2" fontId="17" fillId="7" borderId="7" xfId="4" applyNumberFormat="1" applyFill="1" applyBorder="1" applyAlignment="1">
      <alignment horizontal="center"/>
    </xf>
    <xf numFmtId="2" fontId="17" fillId="7" borderId="24" xfId="4" applyNumberFormat="1" applyFill="1" applyBorder="1" applyAlignment="1">
      <alignment horizontal="center"/>
    </xf>
    <xf numFmtId="2" fontId="17" fillId="7" borderId="53" xfId="4" applyNumberFormat="1" applyFill="1" applyBorder="1" applyAlignment="1">
      <alignment horizontal="center"/>
    </xf>
    <xf numFmtId="2" fontId="17" fillId="0" borderId="5" xfId="4" applyNumberFormat="1" applyFill="1" applyBorder="1" applyAlignment="1">
      <alignment horizontal="center" wrapText="1"/>
    </xf>
    <xf numFmtId="2" fontId="17" fillId="0" borderId="7" xfId="4" applyNumberFormat="1" applyFill="1" applyBorder="1" applyAlignment="1">
      <alignment horizontal="center" wrapText="1"/>
    </xf>
    <xf numFmtId="2" fontId="17" fillId="0" borderId="24" xfId="4" applyNumberFormat="1" applyFill="1" applyBorder="1" applyAlignment="1">
      <alignment horizontal="center" wrapText="1"/>
    </xf>
    <xf numFmtId="2" fontId="17" fillId="0" borderId="5" xfId="4" applyNumberFormat="1" applyFill="1" applyBorder="1" applyAlignment="1">
      <alignment horizontal="center"/>
    </xf>
    <xf numFmtId="2" fontId="17" fillId="0" borderId="7" xfId="4" applyNumberFormat="1" applyFill="1" applyBorder="1" applyAlignment="1">
      <alignment horizontal="center"/>
    </xf>
    <xf numFmtId="2" fontId="17" fillId="0" borderId="53" xfId="4" applyNumberFormat="1" applyFill="1" applyBorder="1" applyAlignment="1">
      <alignment horizontal="center"/>
    </xf>
    <xf numFmtId="1" fontId="17" fillId="0" borderId="5" xfId="4" applyNumberFormat="1" applyFill="1" applyBorder="1" applyAlignment="1">
      <alignment horizontal="center"/>
    </xf>
    <xf numFmtId="1" fontId="17" fillId="0" borderId="7" xfId="4" applyNumberFormat="1" applyFill="1" applyBorder="1" applyAlignment="1">
      <alignment horizontal="center"/>
    </xf>
    <xf numFmtId="1" fontId="17" fillId="0" borderId="24" xfId="4" applyNumberFormat="1" applyFill="1" applyBorder="1" applyAlignment="1">
      <alignment horizontal="center"/>
    </xf>
    <xf numFmtId="1" fontId="17" fillId="7" borderId="5" xfId="4" applyNumberFormat="1" applyFill="1" applyBorder="1" applyAlignment="1">
      <alignment horizontal="center"/>
    </xf>
    <xf numFmtId="1" fontId="17" fillId="7" borderId="7" xfId="4" applyNumberFormat="1" applyFill="1" applyBorder="1" applyAlignment="1">
      <alignment horizontal="center"/>
    </xf>
    <xf numFmtId="1" fontId="17" fillId="7" borderId="24" xfId="4" applyNumberFormat="1" applyFill="1" applyBorder="1" applyAlignment="1">
      <alignment horizontal="center"/>
    </xf>
    <xf numFmtId="1" fontId="17" fillId="0" borderId="53" xfId="4" applyNumberFormat="1" applyFill="1" applyBorder="1" applyAlignment="1">
      <alignment horizontal="center"/>
    </xf>
    <xf numFmtId="2" fontId="17" fillId="0" borderId="55" xfId="4" applyNumberFormat="1" applyFill="1" applyBorder="1" applyAlignment="1">
      <alignment horizontal="center"/>
    </xf>
    <xf numFmtId="2" fontId="17" fillId="0" borderId="24" xfId="4" applyNumberFormat="1" applyFill="1" applyBorder="1" applyAlignment="1">
      <alignment horizontal="center"/>
    </xf>
    <xf numFmtId="1" fontId="17" fillId="7" borderId="53" xfId="4" applyNumberFormat="1" applyFill="1" applyBorder="1" applyAlignment="1">
      <alignment horizontal="center"/>
    </xf>
    <xf numFmtId="1" fontId="17" fillId="0" borderId="25" xfId="4" applyNumberFormat="1" applyFill="1" applyBorder="1" applyAlignment="1">
      <alignment horizontal="center"/>
    </xf>
    <xf numFmtId="1" fontId="17" fillId="0" borderId="66" xfId="4" applyNumberFormat="1" applyFill="1" applyBorder="1" applyAlignment="1">
      <alignment horizontal="center"/>
    </xf>
    <xf numFmtId="2" fontId="17" fillId="0" borderId="66" xfId="4" applyNumberFormat="1" applyFill="1" applyBorder="1" applyAlignment="1">
      <alignment horizontal="center"/>
    </xf>
    <xf numFmtId="2" fontId="17" fillId="0" borderId="16" xfId="4" applyNumberFormat="1" applyFill="1" applyBorder="1" applyAlignment="1">
      <alignment horizontal="center"/>
    </xf>
    <xf numFmtId="1" fontId="17" fillId="7" borderId="25" xfId="4" applyNumberFormat="1" applyFill="1" applyBorder="1" applyAlignment="1">
      <alignment horizontal="center"/>
    </xf>
    <xf numFmtId="1" fontId="17" fillId="7" borderId="66" xfId="4" applyNumberFormat="1" applyFill="1" applyBorder="1" applyAlignment="1">
      <alignment horizontal="center"/>
    </xf>
    <xf numFmtId="2" fontId="17" fillId="7" borderId="66" xfId="4" applyNumberFormat="1" applyFill="1" applyBorder="1" applyAlignment="1">
      <alignment horizontal="center"/>
    </xf>
    <xf numFmtId="2" fontId="17" fillId="7" borderId="16" xfId="4" applyNumberFormat="1" applyFill="1" applyBorder="1" applyAlignment="1">
      <alignment horizontal="center"/>
    </xf>
    <xf numFmtId="0" fontId="40" fillId="0" borderId="15" xfId="6" applyFill="1" applyBorder="1" applyAlignment="1">
      <alignment horizontal="center" wrapText="1"/>
    </xf>
    <xf numFmtId="0" fontId="40" fillId="0" borderId="2" xfId="6" applyFill="1" applyBorder="1" applyAlignment="1">
      <alignment horizontal="center" wrapText="1"/>
    </xf>
    <xf numFmtId="0" fontId="40" fillId="0" borderId="56" xfId="6" applyFill="1" applyBorder="1" applyAlignment="1">
      <alignment horizontal="center" wrapText="1"/>
    </xf>
    <xf numFmtId="0" fontId="40" fillId="0" borderId="57" xfId="6" applyFill="1" applyBorder="1" applyAlignment="1">
      <alignment horizontal="center" wrapText="1"/>
    </xf>
    <xf numFmtId="0" fontId="40" fillId="0" borderId="23" xfId="6" applyFill="1" applyBorder="1" applyAlignment="1">
      <alignment horizontal="center" wrapText="1"/>
    </xf>
    <xf numFmtId="0" fontId="3" fillId="0" borderId="46" xfId="0" applyFont="1" applyBorder="1" applyAlignment="1" applyProtection="1">
      <alignment horizontal="center" vertical="center"/>
      <protection locked="0"/>
    </xf>
    <xf numFmtId="0" fontId="3" fillId="0" borderId="47" xfId="0" applyFont="1" applyBorder="1" applyAlignment="1" applyProtection="1">
      <alignment horizontal="center" vertical="center"/>
      <protection locked="0"/>
    </xf>
    <xf numFmtId="0" fontId="3" fillId="0" borderId="48" xfId="0" applyFont="1" applyBorder="1" applyAlignment="1" applyProtection="1">
      <alignment horizontal="center" vertical="center"/>
      <protection locked="0"/>
    </xf>
    <xf numFmtId="168" fontId="3" fillId="0" borderId="52" xfId="0" applyNumberFormat="1" applyFont="1" applyBorder="1" applyAlignment="1" applyProtection="1">
      <alignment horizontal="center" vertical="center"/>
      <protection locked="0"/>
    </xf>
    <xf numFmtId="0" fontId="94" fillId="9" borderId="38" xfId="0" applyFont="1" applyFill="1" applyBorder="1" applyAlignment="1" applyProtection="1">
      <alignment horizontal="center" vertical="center"/>
      <protection locked="0"/>
    </xf>
    <xf numFmtId="0" fontId="94" fillId="9" borderId="39" xfId="0" applyFont="1" applyFill="1" applyBorder="1" applyAlignment="1" applyProtection="1">
      <alignment horizontal="center" vertical="center"/>
      <protection locked="0"/>
    </xf>
    <xf numFmtId="0" fontId="94" fillId="9" borderId="40" xfId="0" applyFont="1" applyFill="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19" fillId="8" borderId="63" xfId="0" applyFont="1" applyFill="1" applyBorder="1" applyAlignment="1">
      <alignment horizontal="right"/>
    </xf>
    <xf numFmtId="0" fontId="19" fillId="8" borderId="3" xfId="0" applyFont="1" applyFill="1" applyBorder="1" applyAlignment="1">
      <alignment horizontal="right"/>
    </xf>
    <xf numFmtId="0" fontId="19" fillId="8" borderId="3" xfId="0" applyFont="1" applyFill="1" applyBorder="1" applyAlignment="1">
      <alignment horizontal="left"/>
    </xf>
    <xf numFmtId="0" fontId="19" fillId="8" borderId="65" xfId="0" applyFont="1" applyFill="1" applyBorder="1" applyAlignment="1">
      <alignment horizontal="left"/>
    </xf>
    <xf numFmtId="0" fontId="19" fillId="8" borderId="5" xfId="0" applyFont="1" applyFill="1" applyBorder="1" applyAlignment="1">
      <alignment horizontal="right"/>
    </xf>
    <xf numFmtId="0" fontId="19" fillId="8" borderId="7" xfId="0" applyFont="1" applyFill="1" applyBorder="1" applyAlignment="1">
      <alignment horizontal="right"/>
    </xf>
    <xf numFmtId="0" fontId="19" fillId="8" borderId="7" xfId="0" applyFont="1" applyFill="1" applyBorder="1" applyAlignment="1">
      <alignment horizontal="left"/>
    </xf>
    <xf numFmtId="0" fontId="19" fillId="8" borderId="24" xfId="0" applyFont="1" applyFill="1" applyBorder="1" applyAlignment="1">
      <alignment horizontal="left"/>
    </xf>
    <xf numFmtId="0" fontId="94" fillId="9" borderId="37" xfId="0" applyFont="1" applyFill="1" applyBorder="1" applyAlignment="1" applyProtection="1">
      <alignment horizontal="center" vertical="center" wrapText="1"/>
      <protection locked="0"/>
    </xf>
    <xf numFmtId="0" fontId="94" fillId="9" borderId="37" xfId="0" applyFont="1" applyFill="1" applyBorder="1" applyAlignment="1" applyProtection="1">
      <alignment horizontal="center" vertical="center"/>
      <protection locked="0"/>
    </xf>
    <xf numFmtId="168" fontId="3" fillId="0" borderId="49" xfId="0" applyNumberFormat="1" applyFont="1" applyBorder="1" applyAlignment="1" applyProtection="1">
      <alignment horizontal="center" vertical="center"/>
      <protection locked="0"/>
    </xf>
    <xf numFmtId="168" fontId="3" fillId="0" borderId="50" xfId="0" applyNumberFormat="1" applyFont="1" applyBorder="1" applyAlignment="1" applyProtection="1">
      <alignment horizontal="center" vertical="center"/>
      <protection locked="0"/>
    </xf>
    <xf numFmtId="0" fontId="19" fillId="8" borderId="1" xfId="0" applyFont="1" applyFill="1" applyBorder="1" applyAlignment="1">
      <alignment horizontal="center"/>
    </xf>
    <xf numFmtId="167" fontId="19" fillId="8" borderId="1" xfId="0" applyNumberFormat="1" applyFont="1" applyFill="1" applyBorder="1" applyAlignment="1">
      <alignment horizontal="center"/>
    </xf>
    <xf numFmtId="0" fontId="19" fillId="8" borderId="5" xfId="0" applyFont="1" applyFill="1" applyBorder="1" applyAlignment="1">
      <alignment horizontal="center"/>
    </xf>
    <xf numFmtId="0" fontId="19" fillId="8" borderId="32" xfId="0" applyFont="1" applyFill="1" applyBorder="1" applyAlignment="1">
      <alignment horizontal="center"/>
    </xf>
    <xf numFmtId="167" fontId="19" fillId="8" borderId="32" xfId="0" applyNumberFormat="1" applyFont="1" applyFill="1" applyBorder="1" applyAlignment="1">
      <alignment horizontal="center"/>
    </xf>
    <xf numFmtId="167" fontId="19" fillId="8" borderId="5" xfId="0" applyNumberFormat="1" applyFont="1" applyFill="1" applyBorder="1" applyAlignment="1">
      <alignment horizontal="center"/>
    </xf>
    <xf numFmtId="167" fontId="19" fillId="8" borderId="7" xfId="0" applyNumberFormat="1" applyFont="1" applyFill="1" applyBorder="1" applyAlignment="1">
      <alignment horizontal="center"/>
    </xf>
    <xf numFmtId="167" fontId="19" fillId="8" borderId="24" xfId="0" applyNumberFormat="1" applyFont="1" applyFill="1" applyBorder="1" applyAlignment="1">
      <alignment horizontal="center"/>
    </xf>
    <xf numFmtId="0" fontId="19" fillId="8" borderId="63" xfId="0" applyFont="1" applyFill="1" applyBorder="1" applyAlignment="1">
      <alignment horizontal="center"/>
    </xf>
    <xf numFmtId="167" fontId="19" fillId="8" borderId="63" xfId="0" applyNumberFormat="1" applyFont="1" applyFill="1" applyBorder="1" applyAlignment="1">
      <alignment horizontal="center"/>
    </xf>
    <xf numFmtId="167" fontId="19" fillId="8" borderId="3" xfId="0" applyNumberFormat="1" applyFont="1" applyFill="1" applyBorder="1" applyAlignment="1">
      <alignment horizontal="center"/>
    </xf>
    <xf numFmtId="167" fontId="19" fillId="8" borderId="65" xfId="0" applyNumberFormat="1" applyFont="1" applyFill="1" applyBorder="1" applyAlignment="1">
      <alignment horizontal="center"/>
    </xf>
    <xf numFmtId="0" fontId="19" fillId="8" borderId="7" xfId="0" applyFont="1" applyFill="1" applyBorder="1" applyAlignment="1">
      <alignment horizontal="center"/>
    </xf>
    <xf numFmtId="0" fontId="19" fillId="8" borderId="24" xfId="0" applyFont="1" applyFill="1" applyBorder="1" applyAlignment="1">
      <alignment horizontal="center"/>
    </xf>
    <xf numFmtId="0" fontId="19" fillId="8" borderId="3" xfId="0" applyFont="1" applyFill="1" applyBorder="1" applyAlignment="1">
      <alignment horizontal="center"/>
    </xf>
    <xf numFmtId="0" fontId="19" fillId="8" borderId="65" xfId="0" applyFont="1" applyFill="1" applyBorder="1" applyAlignment="1">
      <alignment horizontal="center"/>
    </xf>
    <xf numFmtId="0" fontId="20" fillId="7" borderId="1" xfId="0" applyFont="1" applyFill="1" applyBorder="1" applyAlignment="1">
      <alignment horizontal="center" wrapText="1"/>
    </xf>
    <xf numFmtId="0" fontId="20" fillId="7" borderId="5" xfId="0" applyFont="1" applyFill="1" applyBorder="1" applyAlignment="1">
      <alignment horizontal="center"/>
    </xf>
    <xf numFmtId="0" fontId="20" fillId="7" borderId="7" xfId="0" applyFont="1" applyFill="1" applyBorder="1" applyAlignment="1">
      <alignment horizontal="center"/>
    </xf>
    <xf numFmtId="0" fontId="20" fillId="7" borderId="24" xfId="0" applyFont="1" applyFill="1" applyBorder="1" applyAlignment="1">
      <alignment horizontal="center"/>
    </xf>
    <xf numFmtId="0" fontId="4" fillId="0" borderId="2" xfId="0" applyFont="1" applyBorder="1" applyAlignment="1">
      <alignment horizontal="center"/>
    </xf>
    <xf numFmtId="0" fontId="4" fillId="0" borderId="5" xfId="0" applyFont="1" applyBorder="1" applyAlignment="1">
      <alignment horizontal="center"/>
    </xf>
    <xf numFmtId="0" fontId="4" fillId="0" borderId="7" xfId="0" applyFont="1" applyBorder="1" applyAlignment="1">
      <alignment horizontal="center"/>
    </xf>
    <xf numFmtId="0" fontId="4" fillId="0" borderId="24" xfId="0" applyFont="1" applyBorder="1" applyAlignment="1">
      <alignment horizontal="center"/>
    </xf>
    <xf numFmtId="0" fontId="20" fillId="7" borderId="5" xfId="0" applyFont="1" applyFill="1" applyBorder="1" applyAlignment="1">
      <alignment horizontal="center" wrapText="1"/>
    </xf>
    <xf numFmtId="0" fontId="20" fillId="7" borderId="7" xfId="0" applyFont="1" applyFill="1" applyBorder="1" applyAlignment="1">
      <alignment horizontal="center" wrapText="1"/>
    </xf>
    <xf numFmtId="0" fontId="20" fillId="7" borderId="24" xfId="0" applyFont="1" applyFill="1" applyBorder="1" applyAlignment="1">
      <alignment horizontal="center" wrapText="1"/>
    </xf>
    <xf numFmtId="167" fontId="19" fillId="8" borderId="16" xfId="0" applyNumberFormat="1" applyFont="1" applyFill="1" applyBorder="1" applyAlignment="1">
      <alignment horizontal="center"/>
    </xf>
    <xf numFmtId="167" fontId="19" fillId="8" borderId="75" xfId="0" applyNumberFormat="1" applyFont="1" applyFill="1" applyBorder="1" applyAlignment="1">
      <alignment horizontal="center"/>
    </xf>
    <xf numFmtId="0" fontId="23" fillId="0" borderId="0" xfId="0" applyFont="1" applyAlignment="1">
      <alignment horizontal="center" vertical="top"/>
    </xf>
    <xf numFmtId="0" fontId="23" fillId="0" borderId="0" xfId="0" applyFont="1" applyAlignment="1">
      <alignment horizontal="left" vertical="top" indent="14"/>
    </xf>
    <xf numFmtId="0" fontId="20" fillId="7" borderId="16" xfId="0" applyFont="1" applyFill="1" applyBorder="1" applyAlignment="1">
      <alignment horizontal="center" wrapText="1"/>
    </xf>
    <xf numFmtId="0" fontId="3" fillId="0" borderId="52" xfId="0" applyFont="1" applyBorder="1" applyAlignment="1" applyProtection="1">
      <alignment horizontal="center" vertical="center"/>
      <protection locked="0"/>
    </xf>
    <xf numFmtId="0" fontId="19" fillId="0" borderId="0" xfId="0" applyFont="1" applyAlignment="1">
      <alignment horizontal="left"/>
    </xf>
    <xf numFmtId="0" fontId="21" fillId="0" borderId="0" xfId="0" applyFont="1" applyAlignment="1">
      <alignment horizontal="center"/>
    </xf>
    <xf numFmtId="167" fontId="21" fillId="0" borderId="0" xfId="0" applyNumberFormat="1" applyFont="1" applyAlignment="1">
      <alignment horizontal="center"/>
    </xf>
    <xf numFmtId="0" fontId="60" fillId="0" borderId="59" xfId="0" applyFont="1" applyBorder="1" applyAlignment="1">
      <alignment horizontal="center" vertical="center"/>
    </xf>
    <xf numFmtId="0" fontId="60" fillId="0" borderId="60" xfId="0" applyFont="1" applyBorder="1" applyAlignment="1">
      <alignment horizontal="center" vertical="center"/>
    </xf>
    <xf numFmtId="0" fontId="60" fillId="0" borderId="64" xfId="0" applyFont="1" applyBorder="1" applyAlignment="1">
      <alignment horizontal="center" vertical="center"/>
    </xf>
    <xf numFmtId="0" fontId="41" fillId="0" borderId="59" xfId="5" applyFont="1" applyFill="1" applyBorder="1" applyAlignment="1">
      <alignment horizontal="center" vertical="center"/>
    </xf>
    <xf numFmtId="0" fontId="41" fillId="0" borderId="60" xfId="5" applyFont="1" applyFill="1" applyBorder="1" applyAlignment="1">
      <alignment horizontal="center" vertical="center"/>
    </xf>
    <xf numFmtId="0" fontId="41" fillId="0" borderId="61" xfId="5" applyFont="1" applyFill="1" applyBorder="1" applyAlignment="1">
      <alignment horizontal="center" vertical="center"/>
    </xf>
    <xf numFmtId="0" fontId="41" fillId="0" borderId="62" xfId="5" applyFont="1" applyFill="1" applyBorder="1" applyAlignment="1">
      <alignment horizontal="center" vertical="center"/>
    </xf>
    <xf numFmtId="0" fontId="4" fillId="0" borderId="0" xfId="0" applyFont="1" applyAlignment="1">
      <alignment horizontal="center" wrapText="1"/>
    </xf>
    <xf numFmtId="0" fontId="0" fillId="0" borderId="1" xfId="0" applyBorder="1" applyAlignment="1">
      <alignment horizontal="left" wrapText="1"/>
    </xf>
    <xf numFmtId="0" fontId="89" fillId="0" borderId="81" xfId="0" applyFont="1" applyBorder="1" applyAlignment="1">
      <alignment horizontal="center" vertical="center"/>
    </xf>
    <xf numFmtId="0" fontId="89" fillId="0" borderId="82" xfId="0" applyFont="1" applyBorder="1" applyAlignment="1">
      <alignment horizontal="center" vertical="center"/>
    </xf>
    <xf numFmtId="0" fontId="89" fillId="0" borderId="0" xfId="0" applyFont="1" applyAlignment="1">
      <alignment horizontal="center" vertical="center"/>
    </xf>
    <xf numFmtId="0" fontId="89" fillId="0" borderId="84" xfId="0" applyFont="1" applyBorder="1" applyAlignment="1">
      <alignment horizontal="center" vertical="center"/>
    </xf>
    <xf numFmtId="0" fontId="54" fillId="0" borderId="5" xfId="0" applyFont="1" applyBorder="1" applyAlignment="1">
      <alignment horizontal="center"/>
    </xf>
    <xf numFmtId="0" fontId="54" fillId="0" borderId="24" xfId="0" applyFont="1" applyBorder="1" applyAlignment="1">
      <alignment horizontal="center"/>
    </xf>
    <xf numFmtId="0" fontId="27" fillId="0" borderId="26" xfId="0" applyFont="1" applyBorder="1" applyAlignment="1">
      <alignment horizontal="left"/>
    </xf>
    <xf numFmtId="0" fontId="5" fillId="0" borderId="26" xfId="0" applyFont="1" applyBorder="1" applyAlignment="1">
      <alignment horizontal="left"/>
    </xf>
    <xf numFmtId="0" fontId="5" fillId="0" borderId="32" xfId="0" applyFont="1" applyBorder="1" applyAlignment="1">
      <alignment horizontal="center" wrapText="1"/>
    </xf>
    <xf numFmtId="0" fontId="5" fillId="0" borderId="33" xfId="0" applyFont="1" applyBorder="1" applyAlignment="1">
      <alignment horizontal="center" wrapText="1"/>
    </xf>
    <xf numFmtId="0" fontId="5" fillId="0" borderId="34" xfId="0" applyFont="1" applyBorder="1" applyAlignment="1">
      <alignment horizontal="center" wrapText="1"/>
    </xf>
    <xf numFmtId="0" fontId="27" fillId="0" borderId="63" xfId="0" applyFont="1" applyBorder="1" applyAlignment="1">
      <alignment horizontal="center"/>
    </xf>
    <xf numFmtId="0" fontId="27" fillId="0" borderId="3" xfId="0" applyFont="1" applyBorder="1" applyAlignment="1">
      <alignment horizontal="center"/>
    </xf>
    <xf numFmtId="0" fontId="27" fillId="0" borderId="65" xfId="0" applyFont="1" applyBorder="1" applyAlignment="1">
      <alignment horizontal="center"/>
    </xf>
    <xf numFmtId="0" fontId="27" fillId="0" borderId="1" xfId="0" applyFont="1" applyBorder="1" applyAlignment="1">
      <alignment horizontal="center"/>
    </xf>
    <xf numFmtId="0" fontId="27" fillId="0" borderId="32" xfId="0" applyFont="1" applyBorder="1" applyAlignment="1">
      <alignment horizontal="center" wrapText="1"/>
    </xf>
    <xf numFmtId="0" fontId="27" fillId="0" borderId="34" xfId="0" applyFont="1" applyBorder="1" applyAlignment="1">
      <alignment horizontal="center" wrapText="1"/>
    </xf>
    <xf numFmtId="0" fontId="5" fillId="0" borderId="5" xfId="0" applyFont="1" applyBorder="1" applyAlignment="1">
      <alignment horizontal="center"/>
    </xf>
    <xf numFmtId="0" fontId="5" fillId="0" borderId="53" xfId="0" applyFont="1" applyBorder="1" applyAlignment="1">
      <alignment horizontal="center"/>
    </xf>
    <xf numFmtId="0" fontId="27" fillId="0" borderId="5" xfId="0" applyFont="1" applyBorder="1" applyAlignment="1">
      <alignment horizontal="center"/>
    </xf>
    <xf numFmtId="0" fontId="27" fillId="0" borderId="7" xfId="0" applyFont="1" applyBorder="1" applyAlignment="1">
      <alignment horizontal="center"/>
    </xf>
    <xf numFmtId="0" fontId="27" fillId="0" borderId="24" xfId="0" applyFont="1" applyBorder="1" applyAlignment="1">
      <alignment horizontal="center"/>
    </xf>
    <xf numFmtId="0" fontId="27" fillId="0" borderId="0" xfId="0" applyFont="1" applyAlignment="1">
      <alignment horizontal="left" vertical="center"/>
    </xf>
    <xf numFmtId="0" fontId="54" fillId="11" borderId="1" xfId="0" applyFont="1" applyFill="1" applyBorder="1" applyAlignment="1">
      <alignment horizontal="center"/>
    </xf>
    <xf numFmtId="0" fontId="0" fillId="0" borderId="1" xfId="0" applyBorder="1" applyAlignment="1">
      <alignment horizontal="center" vertical="center"/>
    </xf>
    <xf numFmtId="0" fontId="54" fillId="0" borderId="9" xfId="0" applyFont="1" applyBorder="1" applyAlignment="1">
      <alignment horizontal="center"/>
    </xf>
    <xf numFmtId="0" fontId="54" fillId="0" borderId="0" xfId="0" applyFont="1" applyAlignment="1">
      <alignment horizontal="center"/>
    </xf>
    <xf numFmtId="0" fontId="27" fillId="0" borderId="32" xfId="0" applyFont="1" applyBorder="1" applyAlignment="1">
      <alignment horizontal="center" vertical="center" wrapText="1"/>
    </xf>
    <xf numFmtId="0" fontId="27" fillId="0" borderId="34" xfId="0" applyFont="1" applyBorder="1" applyAlignment="1">
      <alignment horizontal="center" vertical="center" wrapText="1"/>
    </xf>
    <xf numFmtId="0" fontId="27" fillId="0" borderId="17" xfId="0" applyFont="1" applyBorder="1" applyAlignment="1">
      <alignment horizontal="center"/>
    </xf>
    <xf numFmtId="0" fontId="54" fillId="0" borderId="1" xfId="0" applyFont="1" applyBorder="1" applyAlignment="1">
      <alignment horizontal="center" wrapText="1"/>
    </xf>
    <xf numFmtId="0" fontId="5" fillId="0" borderId="84" xfId="0" applyFont="1" applyBorder="1" applyAlignment="1">
      <alignment horizontal="center" vertical="center"/>
    </xf>
    <xf numFmtId="0" fontId="27" fillId="0" borderId="84" xfId="0" applyFont="1" applyBorder="1" applyAlignment="1">
      <alignment horizontal="center" vertical="center"/>
    </xf>
    <xf numFmtId="0" fontId="29" fillId="0" borderId="0" xfId="0" applyFont="1" applyAlignment="1">
      <alignment horizontal="center"/>
    </xf>
    <xf numFmtId="0" fontId="27" fillId="0" borderId="32" xfId="0" applyFont="1" applyBorder="1" applyAlignment="1">
      <alignment horizontal="center"/>
    </xf>
    <xf numFmtId="0" fontId="5" fillId="0" borderId="34" xfId="0" applyFont="1" applyBorder="1" applyAlignment="1">
      <alignment horizontal="center"/>
    </xf>
    <xf numFmtId="0" fontId="0" fillId="0" borderId="26" xfId="0" applyBorder="1" applyAlignment="1">
      <alignment horizontal="left"/>
    </xf>
    <xf numFmtId="0" fontId="0" fillId="11" borderId="1" xfId="0" applyFill="1" applyBorder="1" applyAlignment="1">
      <alignment horizontal="center" vertical="center"/>
    </xf>
    <xf numFmtId="0" fontId="54" fillId="0" borderId="17" xfId="0" applyFont="1" applyBorder="1" applyAlignment="1">
      <alignment horizontal="center"/>
    </xf>
    <xf numFmtId="0" fontId="54" fillId="0" borderId="1" xfId="0" applyFont="1" applyBorder="1" applyAlignment="1">
      <alignment horizontal="center"/>
    </xf>
    <xf numFmtId="0" fontId="5" fillId="0" borderId="32" xfId="0" applyFont="1" applyBorder="1" applyAlignment="1">
      <alignment horizontal="center" vertical="center"/>
    </xf>
    <xf numFmtId="0" fontId="5" fillId="0" borderId="33" xfId="0" applyFont="1" applyBorder="1" applyAlignment="1">
      <alignment horizontal="center" vertical="center"/>
    </xf>
    <xf numFmtId="0" fontId="5" fillId="0" borderId="34" xfId="0" applyFont="1" applyBorder="1" applyAlignment="1">
      <alignment horizontal="center" vertical="center"/>
    </xf>
    <xf numFmtId="169" fontId="5" fillId="0" borderId="32" xfId="0" applyNumberFormat="1" applyFont="1" applyBorder="1" applyAlignment="1">
      <alignment horizontal="center" vertical="center"/>
    </xf>
    <xf numFmtId="169" fontId="5" fillId="0" borderId="33" xfId="0" applyNumberFormat="1" applyFont="1" applyBorder="1" applyAlignment="1">
      <alignment horizontal="center" vertical="center"/>
    </xf>
    <xf numFmtId="169" fontId="5" fillId="0" borderId="34" xfId="0" applyNumberFormat="1" applyFont="1" applyBorder="1" applyAlignment="1">
      <alignment horizontal="center" vertical="center"/>
    </xf>
    <xf numFmtId="0" fontId="5" fillId="0" borderId="55" xfId="0" applyFont="1" applyBorder="1" applyAlignment="1">
      <alignment horizontal="center"/>
    </xf>
    <xf numFmtId="0" fontId="5" fillId="0" borderId="7" xfId="0" applyFont="1" applyBorder="1" applyAlignment="1">
      <alignment horizontal="center"/>
    </xf>
    <xf numFmtId="0" fontId="5" fillId="0" borderId="24" xfId="0" applyFont="1" applyBorder="1" applyAlignment="1">
      <alignment horizontal="center"/>
    </xf>
    <xf numFmtId="0" fontId="27" fillId="0" borderId="30" xfId="0" applyFont="1" applyBorder="1" applyAlignment="1">
      <alignment horizontal="left"/>
    </xf>
    <xf numFmtId="0" fontId="5" fillId="0" borderId="31" xfId="0" applyFont="1" applyBorder="1" applyAlignment="1">
      <alignment horizontal="left"/>
    </xf>
    <xf numFmtId="0" fontId="87" fillId="0" borderId="0" xfId="0" applyFont="1" applyAlignment="1">
      <alignment horizontal="center"/>
    </xf>
    <xf numFmtId="0" fontId="80" fillId="0" borderId="5" xfId="0" applyFont="1" applyBorder="1" applyAlignment="1">
      <alignment horizontal="center"/>
    </xf>
    <xf numFmtId="0" fontId="80" fillId="0" borderId="7" xfId="0" applyFont="1" applyBorder="1" applyAlignment="1">
      <alignment horizontal="center"/>
    </xf>
    <xf numFmtId="0" fontId="54" fillId="0" borderId="26" xfId="0" applyFont="1" applyBorder="1" applyAlignment="1">
      <alignment horizontal="left"/>
    </xf>
    <xf numFmtId="0" fontId="27" fillId="0" borderId="26" xfId="0" applyFont="1" applyBorder="1" applyAlignment="1">
      <alignment horizontal="left" indent="2"/>
    </xf>
    <xf numFmtId="0" fontId="78" fillId="0" borderId="0" xfId="0" applyFont="1" applyAlignment="1">
      <alignment horizontal="center" vertical="top"/>
    </xf>
    <xf numFmtId="0" fontId="46" fillId="0" borderId="9" xfId="0" applyFont="1" applyBorder="1" applyAlignment="1">
      <alignment horizontal="left"/>
    </xf>
    <xf numFmtId="169" fontId="27" fillId="0" borderId="35" xfId="1" applyNumberFormat="1" applyFont="1" applyFill="1" applyBorder="1" applyAlignment="1">
      <alignment horizontal="center" vertical="center"/>
    </xf>
    <xf numFmtId="169" fontId="27" fillId="0" borderId="36" xfId="1" applyNumberFormat="1" applyFont="1" applyFill="1" applyBorder="1" applyAlignment="1">
      <alignment horizontal="center" vertical="center"/>
    </xf>
    <xf numFmtId="1" fontId="27" fillId="0" borderId="0" xfId="0" applyNumberFormat="1" applyFont="1" applyAlignment="1">
      <alignment horizontal="center" vertical="center"/>
    </xf>
    <xf numFmtId="0" fontId="89" fillId="0" borderId="80" xfId="0" applyFont="1" applyBorder="1" applyAlignment="1">
      <alignment horizontal="center" vertical="center"/>
    </xf>
    <xf numFmtId="0" fontId="89" fillId="0" borderId="83" xfId="0" applyFont="1" applyBorder="1" applyAlignment="1">
      <alignment horizontal="center" vertical="center"/>
    </xf>
    <xf numFmtId="0" fontId="46" fillId="0" borderId="0" xfId="0" applyFont="1" applyAlignment="1">
      <alignment horizontal="center" vertical="center"/>
    </xf>
    <xf numFmtId="0" fontId="54" fillId="0" borderId="18" xfId="0" applyFont="1" applyBorder="1" applyAlignment="1">
      <alignment horizontal="center"/>
    </xf>
    <xf numFmtId="0" fontId="27" fillId="0" borderId="1" xfId="0" applyFont="1" applyBorder="1" applyAlignment="1">
      <alignment horizontal="center" wrapText="1"/>
    </xf>
    <xf numFmtId="0" fontId="5" fillId="0" borderId="1" xfId="0" applyFont="1" applyBorder="1" applyAlignment="1">
      <alignment horizontal="center" wrapText="1"/>
    </xf>
    <xf numFmtId="0" fontId="54" fillId="0" borderId="71" xfId="0" applyFont="1" applyBorder="1" applyAlignment="1">
      <alignment horizontal="center"/>
    </xf>
    <xf numFmtId="0" fontId="54" fillId="0" borderId="7" xfId="0" applyFont="1" applyBorder="1" applyAlignment="1">
      <alignment horizontal="center"/>
    </xf>
    <xf numFmtId="0" fontId="54" fillId="0" borderId="72" xfId="0" applyFont="1" applyBorder="1" applyAlignment="1">
      <alignment horizontal="center"/>
    </xf>
    <xf numFmtId="0" fontId="27" fillId="0" borderId="33" xfId="0" applyFont="1" applyBorder="1" applyAlignment="1">
      <alignment horizontal="center" wrapText="1"/>
    </xf>
    <xf numFmtId="0" fontId="88" fillId="0" borderId="1" xfId="0" applyFont="1" applyBorder="1" applyAlignment="1">
      <alignment horizontal="center" wrapText="1"/>
    </xf>
    <xf numFmtId="0" fontId="88" fillId="0" borderId="32" xfId="0" applyFont="1" applyBorder="1" applyAlignment="1">
      <alignment horizontal="center" wrapText="1"/>
    </xf>
    <xf numFmtId="0" fontId="88" fillId="0" borderId="33" xfId="0" applyFont="1" applyBorder="1" applyAlignment="1">
      <alignment horizontal="center" wrapText="1"/>
    </xf>
    <xf numFmtId="0" fontId="88" fillId="0" borderId="34" xfId="0" applyFont="1" applyBorder="1" applyAlignment="1">
      <alignment horizontal="center" wrapText="1"/>
    </xf>
    <xf numFmtId="0" fontId="0" fillId="0" borderId="1" xfId="0" applyBorder="1" applyAlignment="1">
      <alignment horizontal="center"/>
    </xf>
    <xf numFmtId="0" fontId="5" fillId="0" borderId="1" xfId="0" applyFont="1" applyBorder="1" applyAlignment="1">
      <alignment horizontal="center"/>
    </xf>
    <xf numFmtId="0" fontId="2" fillId="0" borderId="6" xfId="0" applyFont="1" applyBorder="1" applyAlignment="1">
      <alignment horizontal="center" wrapText="1"/>
    </xf>
    <xf numFmtId="0" fontId="19" fillId="8" borderId="42" xfId="0" applyFont="1" applyFill="1" applyBorder="1" applyAlignment="1">
      <alignment horizontal="center"/>
    </xf>
    <xf numFmtId="0" fontId="19" fillId="8" borderId="41" xfId="0" applyFont="1" applyFill="1" applyBorder="1" applyAlignment="1">
      <alignment horizontal="center"/>
    </xf>
    <xf numFmtId="0" fontId="3" fillId="0" borderId="0" xfId="0" applyFont="1" applyAlignment="1">
      <alignment horizontal="center" wrapText="1"/>
    </xf>
    <xf numFmtId="0" fontId="0" fillId="0" borderId="0" xfId="0" applyAlignment="1">
      <alignment horizontal="center"/>
    </xf>
    <xf numFmtId="0" fontId="4" fillId="0" borderId="0" xfId="0" applyFont="1" applyAlignment="1">
      <alignment horizontal="center"/>
    </xf>
    <xf numFmtId="0" fontId="0" fillId="0" borderId="1" xfId="0" applyBorder="1" applyAlignment="1">
      <alignment horizontal="left" vertical="top" wrapText="1"/>
    </xf>
    <xf numFmtId="0" fontId="5" fillId="9" borderId="32" xfId="0" applyFont="1" applyFill="1" applyBorder="1" applyAlignment="1">
      <alignment horizontal="center" vertical="center"/>
    </xf>
    <xf numFmtId="0" fontId="5"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5" fillId="0" borderId="1" xfId="0" applyNumberFormat="1" applyFont="1" applyBorder="1" applyAlignment="1">
      <alignment horizontal="center" vertical="center"/>
    </xf>
    <xf numFmtId="0" fontId="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45" fillId="9" borderId="1" xfId="0" applyFont="1" applyFill="1" applyBorder="1" applyAlignment="1">
      <alignment horizontal="left" vertical="top" wrapText="1"/>
    </xf>
    <xf numFmtId="0" fontId="0" fillId="0" borderId="32" xfId="0" applyBorder="1" applyAlignment="1">
      <alignment horizontal="center" vertical="center"/>
    </xf>
    <xf numFmtId="0" fontId="72" fillId="19" borderId="2" xfId="0" quotePrefix="1" applyFont="1" applyFill="1" applyBorder="1" applyAlignment="1">
      <alignment horizontal="center" vertical="center"/>
    </xf>
    <xf numFmtId="0" fontId="72" fillId="19" borderId="56" xfId="0" quotePrefix="1" applyFont="1" applyFill="1" applyBorder="1" applyAlignment="1">
      <alignment horizontal="center" vertical="center"/>
    </xf>
    <xf numFmtId="0" fontId="72" fillId="19" borderId="1" xfId="0" quotePrefix="1" applyFont="1" applyFill="1" applyBorder="1" applyAlignment="1">
      <alignment horizontal="center" vertical="center"/>
    </xf>
    <xf numFmtId="0" fontId="72" fillId="19" borderId="0" xfId="0" quotePrefix="1" applyFont="1" applyFill="1" applyAlignment="1">
      <alignment horizontal="center" vertical="center"/>
    </xf>
    <xf numFmtId="0" fontId="72" fillId="19" borderId="15" xfId="0" quotePrefix="1" applyFont="1" applyFill="1" applyBorder="1" applyAlignment="1">
      <alignment horizontal="center" vertical="center"/>
    </xf>
    <xf numFmtId="0" fontId="72" fillId="19" borderId="15" xfId="0" quotePrefix="1" applyFont="1" applyFill="1" applyBorder="1" applyAlignment="1">
      <alignment horizontal="left" vertical="center"/>
    </xf>
    <xf numFmtId="0" fontId="72" fillId="19" borderId="2" xfId="0" quotePrefix="1" applyFont="1" applyFill="1" applyBorder="1" applyAlignment="1">
      <alignment horizontal="left" vertical="center"/>
    </xf>
    <xf numFmtId="0" fontId="0" fillId="0" borderId="0" xfId="0" applyProtection="1"/>
    <xf numFmtId="0" fontId="5" fillId="0" borderId="0" xfId="0" applyFont="1" applyProtection="1"/>
    <xf numFmtId="0" fontId="0" fillId="0" borderId="0" xfId="0" applyAlignment="1" applyProtection="1">
      <alignment horizont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59">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1.emf"/><Relationship Id="rId7" Type="http://schemas.openxmlformats.org/officeDocument/2006/relationships/image" Target="../media/image19.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2.emf"/><Relationship Id="rId5" Type="http://schemas.openxmlformats.org/officeDocument/2006/relationships/image" Target="../media/image23.emf"/><Relationship Id="rId4"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33</xdr:row>
      <xdr:rowOff>47625</xdr:rowOff>
    </xdr:from>
    <xdr:to>
      <xdr:col>50</xdr:col>
      <xdr:colOff>155796</xdr:colOff>
      <xdr:row>82</xdr:row>
      <xdr:rowOff>219075</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8</xdr:row>
      <xdr:rowOff>142875</xdr:rowOff>
    </xdr:from>
    <xdr:to>
      <xdr:col>53</xdr:col>
      <xdr:colOff>209550</xdr:colOff>
      <xdr:row>31</xdr:row>
      <xdr:rowOff>114300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30</xdr:row>
      <xdr:rowOff>103532</xdr:rowOff>
    </xdr:from>
    <xdr:to>
      <xdr:col>56</xdr:col>
      <xdr:colOff>149087</xdr:colOff>
      <xdr:row>31</xdr:row>
      <xdr:rowOff>127967</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8</xdr:row>
          <xdr:rowOff>152403</xdr:rowOff>
        </xdr:from>
        <xdr:to>
          <xdr:col>53</xdr:col>
          <xdr:colOff>177799</xdr:colOff>
          <xdr:row>31</xdr:row>
          <xdr:rowOff>0</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432"/>
                </a:ext>
              </a:extLst>
            </xdr:cNvPicPr>
          </xdr:nvPicPr>
          <xdr:blipFill>
            <a:blip xmlns:r="http://schemas.openxmlformats.org/officeDocument/2006/relationships" r:embed="rId7"/>
            <a:srcRect/>
            <a:stretch>
              <a:fillRect/>
            </a:stretch>
          </xdr:blipFill>
          <xdr:spPr bwMode="auto">
            <a:xfrm>
              <a:off x="10353674" y="2200278"/>
              <a:ext cx="3492500" cy="354329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TNX Section Forces</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Reinforcement Input</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123825</xdr:rowOff>
        </xdr:to>
        <xdr:sp macro="" textlink="">
          <xdr:nvSpPr>
            <xdr:cNvPr id="878593" name="Button 1" hidden="1">
              <a:extLst>
                <a:ext uri="{63B3BB69-23CF-44E3-9099-C40C66FF867C}">
                  <a14:compatExt spid="_x0000_s878593"/>
                </a:ext>
                <a:ext uri="{FF2B5EF4-FFF2-40B4-BE49-F238E27FC236}">
                  <a16:creationId xmlns:a16="http://schemas.microsoft.com/office/drawing/2014/main" id="{00000000-0008-0000-1200-0000016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_2" connectionId="6" xr16:uid="{FD3BFA0D-83F5-4B89-944A-E6C70147E10B}"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1" connectionId="4" xr16:uid="{DF7065FC-0674-49C0-B5D5-055296DFD0ED}"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New TNX File" connectionId="8" xr16:uid="{3F1E3BC8-F63D-4276-A3A2-71A4862AD26C}"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Old TNX File" connectionId="3" xr16:uid="{5B1D808E-69FA-4917-B501-BD59DDB06E3C}"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Old TNX File_1" connectionId="5" xr16:uid="{D2BDD8C0-6867-4954-9766-D41B769E632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Old TNX File_2" connectionId="7" xr16:uid="{128C4D59-4CCE-43E9-8B98-FB26FFF3DFBB}"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58" dataDxfId="457">
  <autoFilter ref="B2:F30" xr:uid="{00000000-0009-0000-0100-000001000000}"/>
  <sortState xmlns:xlrd2="http://schemas.microsoft.com/office/spreadsheetml/2017/richdata2" ref="B3:D20">
    <sortCondition ref="B2:B20"/>
  </sortState>
  <tableColumns count="5">
    <tableColumn id="1" xr3:uid="{00000000-0010-0000-0000-000001000000}" name="Material" dataDxfId="456"/>
    <tableColumn id="2" xr3:uid="{00000000-0010-0000-0000-000002000000}" name="Fy (ksi)" dataDxfId="455"/>
    <tableColumn id="3" xr3:uid="{00000000-0010-0000-0000-000003000000}" name="Fu (ksi)" dataDxfId="454"/>
    <tableColumn id="4" xr3:uid="{8E90EC66-FCB5-4556-AE02-215FB9DDA816}" name="Matl ID" dataDxfId="453"/>
    <tableColumn id="5" xr3:uid="{FF98B522-FB82-4169-85EE-1FC8C2740B7A}" name="Default?" dataDxfId="452">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451" dataDxfId="450">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449"/>
    <tableColumn id="2" xr3:uid="{00000000-0010-0000-0100-000002000000}" name="Type" dataDxfId="448"/>
    <tableColumn id="3" xr3:uid="{00000000-0010-0000-0100-000003000000}" name="B (in)" dataDxfId="447">
      <calculatedColumnFormula>IF(Reinforcements[[#This Row],[Type]]="",""," ")</calculatedColumnFormula>
    </tableColumn>
    <tableColumn id="4" xr3:uid="{00000000-0010-0000-0100-000004000000}" name="H (in)" dataDxfId="446">
      <calculatedColumnFormula>IF(Reinforcements[[#This Row],[Type]]="",""," ")</calculatedColumnFormula>
    </tableColumn>
    <tableColumn id="17" xr3:uid="{00000000-0010-0000-0100-000011000000}" name="Diameter (in)" dataDxfId="445">
      <calculatedColumnFormula>IF(Reinforcements[[#This Row],[Type]]="","",IF(Reinforcements[[#This Row],[Type]]="solid round","","n/a"))</calculatedColumnFormula>
    </tableColumn>
    <tableColumn id="16" xr3:uid="{00000000-0010-0000-0100-000010000000}" name="[Channel]Web Thickness (in)" dataDxfId="444">
      <calculatedColumnFormula>IF(Reinforcements[[#This Row],[Type]]="","",IF(Reinforcements[[#This Row],[Type]]&lt;&gt;"channel","n/a",""))</calculatedColumnFormula>
    </tableColumn>
    <tableColumn id="200" xr3:uid="{00000000-0010-0000-0100-0000C8000000}" name="[Channel] Flange Thickness (in)" dataDxfId="443">
      <calculatedColumnFormula>IF(Reinforcements[[#This Row],[Type]]="","",IF(Reinforcements[[#This Row],[Type]]&lt;&gt;"channel","n/a",""))</calculatedColumnFormula>
    </tableColumn>
    <tableColumn id="207" xr3:uid="{00000000-0010-0000-0100-0000CF000000}" name="[Channel] e0 (in)" dataDxfId="442">
      <calculatedColumnFormula>IF(Reinforcements[[#This Row],[Type]]="","",IF(Reinforcements[[#This Row],[Type]]&lt;&gt;"channel","n/a",Reinforcements[[#This Row],[eo]]))</calculatedColumnFormula>
    </tableColumn>
    <tableColumn id="206" xr3:uid="{00000000-0010-0000-0100-0000CE000000}" name="[Channel] J (in4)" dataDxfId="441">
      <calculatedColumnFormula>IF(Reinforcements[[#This Row],[Type]]="","",IF(Reinforcements[[#This Row],[Type]]&lt;&gt;"channel","n/a",Reinforcements[[#This Row],[J]]))</calculatedColumnFormula>
    </tableColumn>
    <tableColumn id="201" xr3:uid="{00000000-0010-0000-0100-0000C9000000}" name="[Channel] CW (in6)" dataDxfId="440">
      <calculatedColumnFormula>IF(Reinforcements[[#This Row],[Type]]="","",IF(Reinforcements[[#This Row],[Type]]&lt;&gt;"channel","n/a",Reinforcements[[#This Row],[Cw]]))</calculatedColumnFormula>
    </tableColumn>
    <tableColumn id="5" xr3:uid="{00000000-0010-0000-0100-000005000000}" name="Gross Area (in2)" dataDxfId="439">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438">
      <calculatedColumnFormula>IFERROR(IF(Reinforcements[[#This Row],[Type]]="","",IF(Reinforcements[[#This Row],[Type]]="plate",Reinforcements[[#This Row],[H (in)]]/2,"")),"")</calculatedColumnFormula>
    </tableColumn>
    <tableColumn id="21" xr3:uid="{00000000-0010-0000-0100-000015000000}" name="Tension Only?" dataDxfId="437"/>
    <tableColumn id="13" xr3:uid="{00000000-0010-0000-0100-00000D000000}" name="Material" dataDxfId="436"/>
    <tableColumn id="7" xr3:uid="{00000000-0010-0000-0100-000007000000}" name="Ix" dataDxfId="435">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434">
      <calculatedColumnFormula>IF(Reinforcements[[#This Row],[Reinforcement]]="","",SQRT(Reinforcements[[#This Row],[Ix]]/Reinforcements[[#This Row],[Gross Area (in2)]]))</calculatedColumnFormula>
    </tableColumn>
    <tableColumn id="8" xr3:uid="{00000000-0010-0000-0100-000008000000}" name="Iy" dataDxfId="433">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432">
      <calculatedColumnFormula>IF(Reinforcements[[#This Row],[Reinforcement]]="","",SQRT(Reinforcements[[#This Row],[Iy]]/Reinforcements[[#This Row],[Gross Area (in2)]]))</calculatedColumnFormula>
    </tableColumn>
    <tableColumn id="12" xr3:uid="{00000000-0010-0000-0100-00000C000000}" name="Lu (in)" dataDxfId="431">
      <calculatedColumnFormula>IF(Reinforcements[[#This Row],[Type]]="",""," ")</calculatedColumnFormula>
    </tableColumn>
    <tableColumn id="25" xr3:uid="{00000000-0010-0000-0100-000019000000}" name="Effective Length Factor Kx" dataDxfId="430"/>
    <tableColumn id="37" xr3:uid="{00000000-0010-0000-0100-000025000000}" name="Effective Length Factor Ky" dataDxfId="429"/>
    <tableColumn id="10" xr3:uid="{00000000-0010-0000-0100-00000A000000}" name="Bolt Hole Size (in)" dataDxfId="428">
      <calculatedColumnFormula>IF(Reinforcements[[#This Row],[Type]]="",""," ")</calculatedColumnFormula>
    </tableColumn>
    <tableColumn id="15" xr3:uid="{00000000-0010-0000-0100-00000F000000}" name="Bolt Hole Size (mm)" dataDxfId="427">
      <calculatedColumnFormula>IF(Reinforcements[[#This Row],[Bolt Hole Size (in)]]="","",IF(Reinforcements[[#This Row],[Bolt Hole Size (in)]]="n/a","n/a",Reinforcements[[#This Row],[Bolt Hole Size (in)]]*25.4))</calculatedColumnFormula>
    </tableColumn>
    <tableColumn id="11" xr3:uid="{00000000-0010-0000-0100-00000B000000}" name="Net Area (in2)" dataDxfId="426">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425">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424"/>
    <tableColumn id="97" xr3:uid="{00000000-0010-0000-0100-000061000000}" name="Rev. F Bottom Connection Capacity (kips)" dataDxfId="423">
      <calculatedColumnFormula>IF(Reinforcements[[#This Row],[Reinforcement]]="","",IF(Reinforcements[[#This Row],[Bottom End Connection Type]]&lt;&gt;"Capacity Input","-",""))</calculatedColumnFormula>
    </tableColumn>
    <tableColumn id="96" xr3:uid="{00000000-0010-0000-0100-000060000000}" name="Rev. G Bottom Connection Capacity (kips)" dataDxfId="422">
      <calculatedColumnFormula>IF(Reinforcements[[#This Row],[Reinforcement]]="","",IF(Reinforcements[[#This Row],[Bottom End Connection Type]]&lt;&gt;"Capacity Input","-",""))</calculatedColumnFormula>
    </tableColumn>
    <tableColumn id="143" xr3:uid="{00000000-0010-0000-0100-00008F000000}" name="Rev. H Bottom Connection Capacity (kips)" dataDxfId="421">
      <calculatedColumnFormula>IF(Reinforcements[[#This Row],[Reinforcement]]="","",IF(Reinforcements[[#This Row],[Bottom End Connection Type]]&lt;&gt;"Capacity Input","-",""))</calculatedColumnFormula>
    </tableColumn>
    <tableColumn id="49" xr3:uid="{00000000-0010-0000-0100-000031000000}" name="Bottom End Connection Bolt Type" dataDxfId="420"/>
    <tableColumn id="56" xr3:uid="{00000000-0010-0000-0100-000038000000}" name="Threads Included (N) or Excluded (X) (Bottom)" dataDxfId="419">
      <calculatedColumnFormula>IF(Reinforcements[[#This Row],[Bottom End Connection Type]]="Welded","-","")</calculatedColumnFormula>
    </tableColumn>
    <tableColumn id="50" xr3:uid="{00000000-0010-0000-0100-000032000000}" name="# of End Connection Bolts          (Bottom)" dataDxfId="418">
      <calculatedColumnFormula>IF(Reinforcements[[#This Row],[Bottom End Connection Type]]="Welded","-","")</calculatedColumnFormula>
    </tableColumn>
    <tableColumn id="51" xr3:uid="{00000000-0010-0000-0100-000033000000}" name="End Connection Bolt Spacing (in) (B)" dataDxfId="417">
      <calculatedColumnFormula>IF(Reinforcements[[#This Row],[Bottom End Connection Type]]="Welded","-","")</calculatedColumnFormula>
    </tableColumn>
    <tableColumn id="47" xr3:uid="{00000000-0010-0000-0100-00002F000000}" name="End Connection Edge Distance (in) (B)" dataDxfId="416">
      <calculatedColumnFormula>IF(Reinforcements[[#This Row],[Bottom End Connection Type]]="Welded","-","")</calculatedColumnFormula>
    </tableColumn>
    <tableColumn id="59" xr3:uid="{00000000-0010-0000-0100-00003B000000}" name="Bottom Lc,e" dataDxfId="415">
      <calculatedColumnFormula>Reinforcements[[#This Row],[End Connection Edge Distance (in) (B)]]-(Reinforcements[[#This Row],[Bolt Hole Size (in)]]+1/16)/2</calculatedColumnFormula>
    </tableColumn>
    <tableColumn id="58" xr3:uid="{00000000-0010-0000-0100-00003A000000}" name="Bottom Lc,i" dataDxfId="414">
      <calculatedColumnFormula>Reinforcements[[#This Row],[End Connection Bolt Spacing (in) (B)]]-(Reinforcements[[#This Row],[Bolt Hole Size (in)]]+1/16)</calculatedColumnFormula>
    </tableColumn>
    <tableColumn id="61" xr3:uid="{00000000-0010-0000-0100-00003D000000}" name="Bottom Le (Rev. F)" dataDxfId="413">
      <calculatedColumnFormula>Reinforcements[[#This Row],[End Connection Edge Distance (in) (B)]]</calculatedColumnFormula>
    </tableColumn>
    <tableColumn id="70" xr3:uid="{00000000-0010-0000-0100-000046000000}" name="Bottom Li (Rev. F)" dataDxfId="412">
      <calculatedColumnFormula>Reinforcements[[#This Row],[End Connection Bolt Spacing (in) (B)]]</calculatedColumnFormula>
    </tableColumn>
    <tableColumn id="88" xr3:uid="{00000000-0010-0000-0100-000058000000}" name="Bottom Connected to Flange/Base Plate?" dataDxfId="411">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410">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409">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408"/>
    <tableColumn id="103" xr3:uid="{00000000-0010-0000-0100-000067000000}" name="Bottom Transverse Weld Groove Depth (in)" dataDxfId="407">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40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405"/>
    <tableColumn id="131" xr3:uid="{00000000-0010-0000-0100-000083000000}" name="Bottom Transverse Weld Effective Throat" dataDxfId="404">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403">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402">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40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400">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399"/>
    <tableColumn id="66" xr3:uid="{00000000-0010-0000-0100-000042000000}" name="Top End Connection Type" dataDxfId="398">
      <calculatedColumnFormula>IF(Reinforcements[[#This Row],[Top End Connection Same?]]="Yes",Reinforcements[[#This Row],[Bottom End Connection Type]],"")</calculatedColumnFormula>
    </tableColumn>
    <tableColumn id="100" xr3:uid="{00000000-0010-0000-0100-000064000000}" name="Rev. F Top Connection Capacity (kips)" dataDxfId="397">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396">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395">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394">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393">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392">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391">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390">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389">
      <calculatedColumnFormula>Reinforcements[[#This Row],[End Connection Edge Distance (in) (T)]]-(Reinforcements[[#This Row],[Bolt Hole Size (in)]]+1/16)/2</calculatedColumnFormula>
    </tableColumn>
    <tableColumn id="72" xr3:uid="{00000000-0010-0000-0100-000048000000}" name="Top Lc,i" dataDxfId="388">
      <calculatedColumnFormula>Reinforcements[[#This Row],[End Connection Bolt Spacing (in) (T)]]-(Reinforcements[[#This Row],[Bolt Hole Size (in)]]+1/16)</calculatedColumnFormula>
    </tableColumn>
    <tableColumn id="46" xr3:uid="{00000000-0010-0000-0100-00002E000000}" name="Top Le (Rev. F)" dataDxfId="387">
      <calculatedColumnFormula>Reinforcements[[#This Row],[End Connection Edge Distance (in) (T)]]</calculatedColumnFormula>
    </tableColumn>
    <tableColumn id="52" xr3:uid="{00000000-0010-0000-0100-000034000000}" name="Top Li (Rev. F)" dataDxfId="386">
      <calculatedColumnFormula>Reinforcements[[#This Row],[End Connection Bolt Spacing (in) (T)]]</calculatedColumnFormula>
    </tableColumn>
    <tableColumn id="109" xr3:uid="{00000000-0010-0000-0100-00006D000000}" name="Top Connected to Flange/Base Plate?" dataDxfId="385">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384">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383">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382">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381">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380">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379">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378">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377">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376">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375">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374">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373">
      <calculatedColumnFormula>IF(Reinforcements[[#This Row],[Type]]="","",IF(Reinforcements[[#This Row],[Type]]="channel","","n/a"))</calculatedColumnFormula>
    </tableColumn>
    <tableColumn id="18" xr3:uid="{00000000-0010-0000-0100-000012000000}" name="Bottom Connection Length + Edge Dist (in)" dataDxfId="372">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371">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370">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369">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368">
      <calculatedColumnFormula>IFERROR(IF(Reinforcements[[#This Row],[Type]]="","",Reinforcements[[#This Row],[Effective B (in)]]*Reinforcements[[#This Row],[Effective H (in)]]^3/12),"")</calculatedColumnFormula>
    </tableColumn>
    <tableColumn id="44" xr3:uid="{00000000-0010-0000-0100-00002C000000}" name="Equivalent Rectangle Iy (in4)" dataDxfId="367">
      <calculatedColumnFormula>IFERROR(IF(Reinforcements[[#This Row],[Type]]="","",Reinforcements[[#This Row],[Effective B (in)]]^3*Reinforcements[[#This Row],[Effective H (in)]]/12),"")</calculatedColumnFormula>
    </tableColumn>
    <tableColumn id="34" xr3:uid="{00000000-0010-0000-0100-000022000000}" name="Cc" dataDxfId="366">
      <calculatedColumnFormula>SQRT(2*PI()^2*29000/VLOOKUP(Reinforcements[[#This Row],[Material]],Materials[],2,FALSE))</calculatedColumnFormula>
    </tableColumn>
    <tableColumn id="33" xr3:uid="{00000000-0010-0000-0100-000021000000}" name="Fax" dataDxfId="365">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364">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363">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362">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361">
      <calculatedColumnFormula>IF(Reinforcements[[#This Row],[λcx]]&lt;=1.5,0.658^(Reinforcements[[#This Row],[λcx]]^2)*Reinforcements[[#This Row],[F''y]],0.877/(Reinforcements[[#This Row],[λcx]]^2)*Reinforcements[[#This Row],[F''y]])</calculatedColumnFormula>
    </tableColumn>
    <tableColumn id="42" xr3:uid="{00000000-0010-0000-0100-00002A000000}" name="Fcr,y" dataDxfId="360">
      <calculatedColumnFormula>IF(Reinforcements[[#This Row],[λcy]]&lt;=1.5,0.658^(Reinforcements[[#This Row],[λcy]]^2)*Reinforcements[[#This Row],[F''y]],0.877/(Reinforcements[[#This Row],[λcy]]^2)*Reinforcements[[#This Row],[F''y]])</calculatedColumnFormula>
    </tableColumn>
    <tableColumn id="29" xr3:uid="{00000000-0010-0000-0100-00001D000000}" name="F'y" dataDxfId="359">
      <calculatedColumnFormula>VLOOKUP(Reinforcements[[#This Row],[Material]],Materials[],2,FALSE)</calculatedColumnFormula>
    </tableColumn>
    <tableColumn id="22" xr3:uid="{00000000-0010-0000-0100-000016000000}" name="Rev. F Compression Capacity x-x (kips)" dataDxfId="358">
      <calculatedColumnFormula>IF(Reinforcements[[#This Row],[Reinforcement]]="","",Reinforcements[[#This Row],[Fax]]*Reinforcements[[#This Row],[Gross Area (in2)]])</calculatedColumnFormula>
    </tableColumn>
    <tableColumn id="35" xr3:uid="{00000000-0010-0000-0100-000023000000}" name="Rev. F Compression Capacity y-y (kips)" dataDxfId="357">
      <calculatedColumnFormula>IF(Reinforcements[[#This Row],[Reinforcement]]="","",Reinforcements[[#This Row],[Fay]]*Reinforcements[[#This Row],[Gross Area (in2)]])</calculatedColumnFormula>
    </tableColumn>
    <tableColumn id="23" xr3:uid="{00000000-0010-0000-0100-000017000000}" name="Rev. F Tension Yield Capacity (kips)" dataDxfId="356">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355">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354">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353">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352">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351">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350">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349">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348">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347">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34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345">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34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343">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342">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341">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340">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339">
      <calculatedColumnFormula>IF(Reinforcements[[#This Row],[Reinforcement]]="","",φ_c*Reinforcements[[#This Row],[Fcr,x]]*Reinforcements[[#This Row],[Gross Area (in2)]])</calculatedColumnFormula>
    </tableColumn>
    <tableColumn id="36" xr3:uid="{00000000-0010-0000-0100-000024000000}" name="Rev. G Compression Capacity y-y (kips)" dataDxfId="338">
      <calculatedColumnFormula>IF(Reinforcements[[#This Row],[Reinforcement]]="","",φ_c*Reinforcements[[#This Row],[Fcr,y]]*Reinforcements[[#This Row],[Gross Area (in2)]])</calculatedColumnFormula>
    </tableColumn>
    <tableColumn id="27" xr3:uid="{00000000-0010-0000-0100-00001B000000}" name="Rev. G Tension Yield Capacity (kips)" dataDxfId="337">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336">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335">
      <calculatedColumnFormula>IF(Reinforcements[[#This Row],[Reinforcement]]="","",φ_v*0.5*Reinforcements[[#This Row],[F''y]]*Reinforcements[[#This Row],[Gross Area (in2)]])</calculatedColumnFormula>
    </tableColumn>
    <tableColumn id="57" xr3:uid="{00000000-0010-0000-0100-000039000000}" name="Rev. G Bolt Shear Capacity (Bottom) (kips)" dataDxfId="334">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333">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332">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331">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330">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329">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328">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327">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326">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325">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324">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323">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322">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321">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320">
      <calculatedColumnFormula>IF(OR(Reinforcements[[#This Row],[Type]]="plate",Reinforcements[[#This Row],[Type]]="solid round"),"N/A",Reinforcements[[#This Row],[B (in)]])</calculatedColumnFormula>
    </tableColumn>
    <tableColumn id="191" xr3:uid="{00000000-0010-0000-0100-0000BF000000}" name="Channel Flange Width, b" dataDxfId="319">
      <calculatedColumnFormula>IF(OR(Reinforcements[[#This Row],[Type]]="plate",Reinforcements[[#This Row],[Type]]="solid round"),"N/A",Reinforcements[[#This Row],[H (in)]])</calculatedColumnFormula>
    </tableColumn>
    <tableColumn id="192" xr3:uid="{00000000-0010-0000-0100-0000C0000000}" name="Channel inside depth, T" dataDxfId="318">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317">
      <calculatedColumnFormula>IF(OR(Reinforcements[[#This Row],[Type]]="plate",Reinforcements[[#This Row],[Type]]="solid round"),"N/A",Reinforcements[[#This Row],['[Channel']Web Thickness (in)]])</calculatedColumnFormula>
    </tableColumn>
    <tableColumn id="194" xr3:uid="{00000000-0010-0000-0100-0000C2000000}" name="Channel flange thickness, tf" dataDxfId="316">
      <calculatedColumnFormula>IF(OR(Reinforcements[[#This Row],[Type]]="plate",Reinforcements[[#This Row],[Type]]="solid round"),"N/A",Reinforcements[[#This Row],['[Channel'] Flange Thickness (in)]])</calculatedColumnFormula>
    </tableColumn>
    <tableColumn id="197" xr3:uid="{00000000-0010-0000-0100-0000C5000000}" name="λf" dataDxfId="315">
      <calculatedColumnFormula>IF(Reinforcements[[#This Row],[Type]]="channel",Reinforcements[[#This Row],[Channel Flange Width, b]]/Reinforcements[[#This Row],[Channel flange thickness, tf]],"N/A")</calculatedColumnFormula>
    </tableColumn>
    <tableColumn id="198" xr3:uid="{00000000-0010-0000-0100-0000C6000000}" name="λw" dataDxfId="314">
      <calculatedColumnFormula>IF(Reinforcements[[#This Row],[Type]]="channel",Reinforcements[[#This Row],[Channel inside depth, T]]/Reinforcements[[#This Row],[Channel web thickness, tw]],"N/A")</calculatedColumnFormula>
    </tableColumn>
    <tableColumn id="199" xr3:uid="{00000000-0010-0000-0100-0000C7000000}" name="E, (ksi)" dataDxfId="313">
      <calculatedColumnFormula>29000</calculatedColumnFormula>
    </tableColumn>
    <tableColumn id="195" xr3:uid="{00000000-0010-0000-0100-0000C3000000}" name="λrf" dataDxfId="312">
      <calculatedColumnFormula>IF(Reinforcements[[#This Row],[Type]]="channel",0.56*SQRT(Reinforcements[[#This Row],[E, (ksi)]]/Reinforcements[[#This Row],[Fy, (ksi)]]),"N/A")</calculatedColumnFormula>
    </tableColumn>
    <tableColumn id="196" xr3:uid="{00000000-0010-0000-0100-0000C4000000}" name="λrw" dataDxfId="311">
      <calculatedColumnFormula>IF(Reinforcements[[#This Row],[Type]]="channel",1.49*SQRT(Reinforcements[[#This Row],[E, (ksi)]]/Reinforcements[[#This Row],[Fy, (ksi)]]),"N/A")</calculatedColumnFormula>
    </tableColumn>
    <tableColumn id="144" xr3:uid="{00000000-0010-0000-0100-000090000000}" name="Fy, (ksi)" dataDxfId="310">
      <calculatedColumnFormula>VLOOKUP(Reinforcements[[#This Row],[Material]],Materials!$B$2:$C$30,2,FALSE)</calculatedColumnFormula>
    </tableColumn>
    <tableColumn id="145" xr3:uid="{00000000-0010-0000-0100-000091000000}" name="Lcx (in)" dataDxfId="309">
      <calculatedColumnFormula>Reinforcements[[#This Row],[Lu (in)]]*Reinforcements[[#This Row],[Effective Length Factor Kx]]</calculatedColumnFormula>
    </tableColumn>
    <tableColumn id="146" xr3:uid="{00000000-0010-0000-0100-000092000000}" name="Lcy (in)" dataDxfId="308">
      <calculatedColumnFormula>Reinforcements[[#This Row],[Lu (in)]]*Reinforcements[[#This Row],[Effective Length Factor Ky]]</calculatedColumnFormula>
    </tableColumn>
    <tableColumn id="147" xr3:uid="{00000000-0010-0000-0100-000093000000}" name="rx (in)" dataDxfId="307">
      <calculatedColumnFormula>Reinforcements[[#This Row],[rx]]</calculatedColumnFormula>
    </tableColumn>
    <tableColumn id="148" xr3:uid="{00000000-0010-0000-0100-000094000000}" name="ry (in)" dataDxfId="306">
      <calculatedColumnFormula>Reinforcements[[#This Row],[ry]]</calculatedColumnFormula>
    </tableColumn>
    <tableColumn id="171" xr3:uid="{00000000-0010-0000-0100-0000AB000000}" name="Lcx/rx" dataDxfId="305">
      <calculatedColumnFormula>Reinforcements[[#This Row],[Lcx (in)]]/Reinforcements[[#This Row],[rx (in)]]</calculatedColumnFormula>
    </tableColumn>
    <tableColumn id="172" xr3:uid="{00000000-0010-0000-0100-0000AC000000}" name="Lcy/ry" dataDxfId="304">
      <calculatedColumnFormula>Reinforcements[[#This Row],[Lcy (in)]]/Reinforcements[[#This Row],[ry (in)]]</calculatedColumnFormula>
    </tableColumn>
    <tableColumn id="149" xr3:uid="{00000000-0010-0000-0100-000095000000}" name="Fex, FB (ksi)" dataDxfId="303">
      <calculatedColumnFormula>((PI()^2)*Reinforcements[[#This Row],[E, (ksi)]])/(Reinforcements[[#This Row],[Lcx/rx]]^2)</calculatedColumnFormula>
    </tableColumn>
    <tableColumn id="150" xr3:uid="{00000000-0010-0000-0100-000096000000}" name="Fey, FB (ksi)" dataDxfId="302">
      <calculatedColumnFormula>((PI()^2)*Reinforcements[[#This Row],[E, (ksi)]])/(Reinforcements[[#This Row],[Lcy/ry]]^2)</calculatedColumnFormula>
    </tableColumn>
    <tableColumn id="161" xr3:uid="{00000000-0010-0000-0100-0000A1000000}" name="Fcr Limit" dataDxfId="301">
      <calculatedColumnFormula>4.71*(SQRT(Reinforcements[[#This Row],[E, (ksi)]]/Reinforcements[[#This Row],[Fy, (ksi)]]))</calculatedColumnFormula>
    </tableColumn>
    <tableColumn id="162" xr3:uid="{00000000-0010-0000-0100-0000A2000000}" name="Fcrx (ksi)" dataDxfId="300">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299">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298">
      <calculatedColumnFormula>Reinforcements[[#This Row],[Fcrx (ksi)]]*Reinforcements[[#This Row],[Gross Area (in2)]]</calculatedColumnFormula>
    </tableColumn>
    <tableColumn id="165" xr3:uid="{00000000-0010-0000-0100-0000A5000000}" name="Pny, FB (kip)" dataDxfId="297">
      <calculatedColumnFormula>Reinforcements[[#This Row],[Fcry (ksi)]]*Reinforcements[[#This Row],[Gross Area (in2)]]</calculatedColumnFormula>
    </tableColumn>
    <tableColumn id="166" xr3:uid="{00000000-0010-0000-0100-0000A6000000}" name="yo" dataDxfId="296">
      <calculatedColumnFormula>IF(Reinforcements[[#This Row],[Type]]="channel",0,"N/A")</calculatedColumnFormula>
    </tableColumn>
    <tableColumn id="187" xr3:uid="{00000000-0010-0000-0100-0000BB000000}" name="b" dataDxfId="295">
      <calculatedColumnFormula>IF(Reinforcements[[#This Row],[Type]]="channel",Reinforcements[[#This Row],[Channel Flange Width, b]]-(0.5*Reinforcements[[#This Row],[Channel web thickness, tw]]),"N/A")</calculatedColumnFormula>
    </tableColumn>
    <tableColumn id="188" xr3:uid="{00000000-0010-0000-0100-0000BC000000}" name="h" dataDxfId="294">
      <calculatedColumnFormula>IF(Reinforcements[[#This Row],[Type]]="channel",Reinforcements[[#This Row],[Channel Height, h]]-Reinforcements[[#This Row],[Channel flange thickness, tf]],"N/A")</calculatedColumnFormula>
    </tableColumn>
    <tableColumn id="189" xr3:uid="{00000000-0010-0000-0100-0000BD000000}" name="t" dataDxfId="293">
      <calculatedColumnFormula>IF(Reinforcements[[#This Row],[Type]]="channel",Reinforcements[[#This Row],[Channel web thickness, tw]],"N/A")</calculatedColumnFormula>
    </tableColumn>
    <tableColumn id="167" xr3:uid="{00000000-0010-0000-0100-0000A7000000}" name="eo" dataDxfId="292">
      <calculatedColumnFormula>IF(Reinforcements[[#This Row],[Type]]="channel",((3*Reinforcements[[#This Row],[b]]^2)/(Reinforcements[[#This Row],[h]]+(6*Reinforcements[[#This Row],[b]])))-Reinforcements[[#This Row],[t]]/2,"N/A")</calculatedColumnFormula>
    </tableColumn>
    <tableColumn id="168" xr3:uid="{00000000-0010-0000-0100-0000A8000000}" name="x(bar)" dataDxfId="291">
      <calculatedColumnFormula>Reinforcements[[#This Row],[Pole Face to Centroid (in)]]</calculatedColumnFormula>
    </tableColumn>
    <tableColumn id="169" xr3:uid="{00000000-0010-0000-0100-0000A9000000}" name="xo" dataDxfId="290">
      <calculatedColumnFormula>IF(Reinforcements[[#This Row],[Type]]="channel",Reinforcements[[#This Row],[x(bar)]]+Reinforcements[[#This Row],['[Channel'] e0 (in)]],"N/A")</calculatedColumnFormula>
    </tableColumn>
    <tableColumn id="170" xr3:uid="{00000000-0010-0000-0100-0000AA000000}" name="Ix (FTB)" dataDxfId="289">
      <calculatedColumnFormula>IF(Reinforcements[[#This Row],[Type]]="channel",Reinforcements[[#This Row],[Ix]],"N/A")</calculatedColumnFormula>
    </tableColumn>
    <tableColumn id="156" xr3:uid="{00000000-0010-0000-0100-00009C000000}" name="Iy (FTB)" dataDxfId="288">
      <calculatedColumnFormula>IF(Reinforcements[[#This Row],[Type]]="channel",Reinforcements[[#This Row],[Iy]],"N/A")</calculatedColumnFormula>
    </tableColumn>
    <tableColumn id="157" xr3:uid="{00000000-0010-0000-0100-00009D000000}" name="Ag" dataDxfId="287">
      <calculatedColumnFormula>IF(Reinforcements[[#This Row],[Type]]="channel",Reinforcements[[#This Row],[Gross Area (in2)]],"N/A")</calculatedColumnFormula>
    </tableColumn>
    <tableColumn id="158" xr3:uid="{00000000-0010-0000-0100-00009E000000}" name="ro^2(bar)" dataDxfId="286">
      <calculatedColumnFormula>IF(Reinforcements[[#This Row],[Type]]="channel",(Reinforcements[[#This Row],[xo]]^2)+((Reinforcements[[#This Row],[Ix (FTB)]]+Reinforcements[[#This Row],[Iy (FTB)]])/Reinforcements[[#This Row],[Ag]]),"N/A")</calculatedColumnFormula>
    </tableColumn>
    <tableColumn id="159" xr3:uid="{00000000-0010-0000-0100-00009F000000}" name="Lz" dataDxfId="285">
      <calculatedColumnFormula>IF(Reinforcements[[#This Row],[Type]]="channel",Reinforcements[[#This Row],[Lu (in)]],"N/A")</calculatedColumnFormula>
    </tableColumn>
    <tableColumn id="160" xr3:uid="{00000000-0010-0000-0100-0000A0000000}" name="Kz" dataDxfId="284">
      <calculatedColumnFormula>IF(Reinforcements[[#This Row],[Type]]="channel",Reinforcements[[#This Row],[Effective Length Factor Kx]],"N/A")</calculatedColumnFormula>
    </tableColumn>
    <tableColumn id="151" xr3:uid="{00000000-0010-0000-0100-000097000000}" name="Lcz" dataDxfId="283">
      <calculatedColumnFormula>IF(Reinforcements[[#This Row],[Type]]="channel",Reinforcements[[#This Row],[Kz]]*Reinforcements[[#This Row],[Lz]],"N/A")</calculatedColumnFormula>
    </tableColumn>
    <tableColumn id="153" xr3:uid="{00000000-0010-0000-0100-000099000000}" name="J" dataDxfId="282">
      <calculatedColumnFormula>IF(Reinforcements[[#This Row],[Type]]="channel",(((Reinforcements[[#This Row],[t]]^3)/3)*(Reinforcements[[#This Row],[h]]+(2*Reinforcements[[#This Row],[b]]))),"N/A")</calculatedColumnFormula>
    </tableColumn>
    <tableColumn id="154" xr3:uid="{00000000-0010-0000-0100-00009A000000}" name="H2" dataDxfId="281">
      <calculatedColumnFormula>IF(Reinforcements[[#This Row],[Type]]="channel",(1-(((Reinforcements[[#This Row],[xo]]^2)+(Reinforcements[[#This Row],[yo]]^2))/Reinforcements[[#This Row],[ro^2(bar)]])),"N/A")</calculatedColumnFormula>
    </tableColumn>
    <tableColumn id="155" xr3:uid="{00000000-0010-0000-0100-00009B000000}" name="G" dataDxfId="280"/>
    <tableColumn id="173" xr3:uid="{00000000-0010-0000-0100-0000AD000000}" name="Cw" dataDxfId="279">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278">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277">
      <calculatedColumnFormula>IF(Reinforcements[[#This Row],[Type]]="channel",((PI()^2)*Reinforcements[[#This Row],[E, (ksi)]])/(Reinforcements[[#This Row],[Lcy/ry]]^2),"N/A")</calculatedColumnFormula>
    </tableColumn>
    <tableColumn id="176" xr3:uid="{00000000-0010-0000-0100-0000B0000000}" name="Fe (FTB)" dataDxfId="276">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275">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274">
      <calculatedColumnFormula>IF(Reinforcements[[#This Row],[Type]]="channel",MIN(Reinforcements[[#This Row],[Fcr(FTB)]],Reinforcements[[#This Row],[Fcry (ksi)]]),"N/A")</calculatedColumnFormula>
    </tableColumn>
    <tableColumn id="179" xr3:uid="{00000000-0010-0000-0100-0000B3000000}" name="c1" dataDxfId="273"/>
    <tableColumn id="180" xr3:uid="{00000000-0010-0000-0100-0000B4000000}" name="c2" dataDxfId="272"/>
    <tableColumn id="181" xr3:uid="{00000000-0010-0000-0100-0000B5000000}" name="Fel(f)" dataDxfId="271">
      <calculatedColumnFormula>IF(Reinforcements[[#This Row],[Type]]="channel",((Reinforcements[[#This Row],[c2]]*(Reinforcements[[#This Row],[λrf]]/Reinforcements[[#This Row],[λf]]))^2)*Reinforcements[[#This Row],[Fy, (ksi)]],"N/A")</calculatedColumnFormula>
    </tableColumn>
    <tableColumn id="182" xr3:uid="{00000000-0010-0000-0100-0000B6000000}" name="Fel(w)" dataDxfId="270">
      <calculatedColumnFormula>IF(Reinforcements[[#This Row],[Type]]="channel",((Reinforcements[[#This Row],[c2]]*(Reinforcements[[#This Row],[λrw]]/Reinforcements[[#This Row],[λw]]))^2)*Reinforcements[[#This Row],[Fy, (ksi)]],"N/A")</calculatedColumnFormula>
    </tableColumn>
    <tableColumn id="183" xr3:uid="{00000000-0010-0000-0100-0000B7000000}" name="be" dataDxfId="269">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268">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267">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266">
      <calculatedColumnFormula>IF(Reinforcements[[#This Row],[Type]]="channel",Reinforcements[[#This Row],[Fcr]]*Reinforcements[[#This Row],[Ae]],"N/A")</calculatedColumnFormula>
    </tableColumn>
    <tableColumn id="90" xr3:uid="{00000000-0010-0000-0100-00005A000000}" name="Rev. H Compression Capacity x-x (kips)" dataDxfId="265">
      <calculatedColumnFormula>IF(Reinforcements[[#This Row],[Reinforcement]]="","",φ_c*Reinforcements[[#This Row],[Pnx, FB (kip)]])</calculatedColumnFormula>
    </tableColumn>
    <tableColumn id="101" xr3:uid="{00000000-0010-0000-0100-000065000000}" name="Rev. H Compression Capacity y-y (kips)" dataDxfId="264">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263">
      <calculatedColumnFormula>Reinforcements[[#This Row],[Rev. G Tension Yield Capacity (kips)]]</calculatedColumnFormula>
    </tableColumn>
    <tableColumn id="104" xr3:uid="{00000000-0010-0000-0100-000068000000}" name="Rev. H Tension Rupture Capacity (kips)" dataDxfId="262">
      <calculatedColumnFormula>Reinforcements[[#This Row],[Rev. G Tension Rupture Capacity (kips)]]</calculatedColumnFormula>
    </tableColumn>
    <tableColumn id="105" xr3:uid="{00000000-0010-0000-0100-000069000000}" name="Rev. H Shear Capacity (kips)" dataDxfId="261">
      <calculatedColumnFormula>Reinforcements[[#This Row],[Rev. G Shear Capacity (kips)]]</calculatedColumnFormula>
    </tableColumn>
    <tableColumn id="202" xr3:uid="{00000000-0010-0000-0100-0000CA000000}" name="Lb(bottom)" dataDxfId="260">
      <calculatedColumnFormula>IFERROR((Reinforcements[[#This Row],['# of End Connection Bolts          (Bottom)]]-1)*Reinforcements[[#This Row],[End Connection Bolt Spacing (in) (B)]],"-")</calculatedColumnFormula>
    </tableColumn>
    <tableColumn id="203" xr3:uid="{00000000-0010-0000-0100-0000CB000000}" name="Rb(bottom)" dataDxfId="259">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258">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257">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256">
      <calculatedColumnFormula>IFERROR(IF(VLOOKUP(Reinforcements[[#This Row],[Top End Connection Bolt Type]],Bolts[],COLUMN(Bolts[[#Headers],[Rev. H Apply Connection Length Reduction Factor (Rb)?]])-1,FALSE)=TRUE,(IF(Reinforcements[[#This Row],[Lb(top)]]&lt;=16,1,IF(Reinforcements[[#This Row],[Lb(top)]]&gt;38,0.75,0.9))),1),"-")</calculatedColumnFormula>
    </tableColumn>
    <tableColumn id="120" xr3:uid="{00000000-0010-0000-0100-000078000000}" name="Rev. H Bolt Shear Capacity (Top) (kips)" dataDxfId="255">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254">
      <calculatedColumnFormula>Reinforcements[[#This Row],[Rev. G Bolt-Shaft Bearing Capacity (Bottom)                No Deformation          (*t*Fu kips)]]</calculatedColumnFormula>
    </tableColumn>
    <tableColumn id="122" xr3:uid="{00000000-0010-0000-0100-00007A000000}" name="Rev. H Bolt-Shaft Bearing Capacity (Bottom) Deformation (*t*Fu kips)" dataDxfId="253">
      <calculatedColumnFormula>Reinforcements[[#This Row],[Rev. G Bolt-Shaft Bearing Capacity (Bottom)                   Deformation          (*t*Fu kips)]]</calculatedColumnFormula>
    </tableColumn>
    <tableColumn id="123" xr3:uid="{00000000-0010-0000-0100-00007B000000}" name="Rev. H Bolt-Shaft Bearing Capacity (Top) No Deformation (*t*Fu kips)" dataDxfId="252">
      <calculatedColumnFormula>Reinforcements[[#This Row],[Rev. G Bolt-Shaft Bearing Capacity (Top)                    No Deformation          (*t*Fu kips)]]</calculatedColumnFormula>
    </tableColumn>
    <tableColumn id="124" xr3:uid="{00000000-0010-0000-0100-00007C000000}" name="Rev. H Bolt-Shaft Bearing Capacity (Top) Deformation (*t*Fu kips)" dataDxfId="251">
      <calculatedColumnFormula>Reinforcements[[#This Row],[Rev. G Bolt-Shaft Bearing Capacity (Top)                        Deformation          (*t*Fu kips)]]</calculatedColumnFormula>
    </tableColumn>
    <tableColumn id="129" xr3:uid="{00000000-0010-0000-0100-000081000000}" name="Rev. H Bolt-Reinf. Bearing Capacity (Bottom) No Deformation (kips)" dataDxfId="250">
      <calculatedColumnFormula>Reinforcements[[#This Row],[Rev. G Bolt-Reinf. Bearing Capacity (Bottom)            No Deformation (kips)]]</calculatedColumnFormula>
    </tableColumn>
    <tableColumn id="130" xr3:uid="{00000000-0010-0000-0100-000082000000}" name="Rev. H Bolt-Reinf. Bearing Capacity (Bottom) Deformation (kips)" dataDxfId="249">
      <calculatedColumnFormula>Reinforcements[[#This Row],[Rev. G Bolt-Reinf. Bearing Capacity (Bottom)               Deformation (kips)]]</calculatedColumnFormula>
    </tableColumn>
    <tableColumn id="133" xr3:uid="{00000000-0010-0000-0100-000085000000}" name="Rev. H Bolt-Reinf. Bearing Capacity (Top) No Deformation (kips)" dataDxfId="248">
      <calculatedColumnFormula>Reinforcements[[#This Row],[Rev. G Bolt-Reinf. Bearing Capacity (Top)                  No Deformation (kips)]]</calculatedColumnFormula>
    </tableColumn>
    <tableColumn id="134" xr3:uid="{00000000-0010-0000-0100-000086000000}" name="Rev. H Bolt-Reinf. Bearing Capacity (Top) Deformation (kips)" dataDxfId="247">
      <calculatedColumnFormula>Reinforcements[[#This Row],[Rev. G Bolt-Reinf. Bearing Capacity (Top)               Deformation (kips)]]</calculatedColumnFormula>
    </tableColumn>
    <tableColumn id="136" xr3:uid="{00000000-0010-0000-0100-000088000000}" name="Rev. H Bottom Transverse Weld Strangth" dataDxfId="246">
      <calculatedColumnFormula>Reinforcements[[#This Row],[Rev. G Bottom Transverse Weld Strength]]</calculatedColumnFormula>
    </tableColumn>
    <tableColumn id="137" xr3:uid="{00000000-0010-0000-0100-000089000000}" name="Rev. H Bottom Longitudinal Weld Strength" dataDxfId="245">
      <calculatedColumnFormula>Reinforcements[[#This Row],[Rev. G Bottom Longitudinal Weld Strength]]</calculatedColumnFormula>
    </tableColumn>
    <tableColumn id="141" xr3:uid="{00000000-0010-0000-0100-00008D000000}" name="Rev. H Top Transverse Weld Strength" dataDxfId="244">
      <calculatedColumnFormula>Reinforcements[[#This Row],[Rev. G Top Transverse Weld Strength]]</calculatedColumnFormula>
    </tableColumn>
    <tableColumn id="142" xr3:uid="{00000000-0010-0000-0100-00008E000000}" name="Rev. H Top Longitudinal Weld Strength" dataDxfId="243">
      <calculatedColumnFormula>Reinforcements[[#This Row],[Rev. G Top Longitudinal Weld Strength]]</calculatedColumnFormula>
    </tableColumn>
    <tableColumn id="208" xr3:uid="{87932862-D00C-4FB3-B41E-3F9882CC57F5}" name="Reinf ID" dataDxfId="242"/>
    <tableColumn id="209" xr3:uid="{B056EEB5-675C-45C7-9BAA-30913E2FA2BA}" name="Default?" dataDxfId="241">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240" dataDxfId="239">
  <autoFilter ref="B3:AO24" xr:uid="{00000000-0009-0000-0100-000002000000}"/>
  <tableColumns count="40">
    <tableColumn id="1" xr3:uid="{00000000-0010-0000-0200-000001000000}" name="Bolt Name" dataDxfId="238"/>
    <tableColumn id="2" xr3:uid="{00000000-0010-0000-0200-000002000000}" name="Description" dataDxfId="237"/>
    <tableColumn id="3" xr3:uid="{00000000-0010-0000-0200-000003000000}" name="Bolt Diameter (in)" dataDxfId="236">
      <calculatedColumnFormula>20/25.4</calculatedColumnFormula>
    </tableColumn>
    <tableColumn id="26" xr3:uid="{00000000-0010-0000-0200-00001A000000}" name="Bolt Diameter (mm)" dataDxfId="235">
      <calculatedColumnFormula>IF(Bolts[[#This Row],[Bolt Name]]="","",Bolts[[#This Row],[Bolt Diameter (in)]]*25.4)</calculatedColumnFormula>
    </tableColumn>
    <tableColumn id="4" xr3:uid="{00000000-0010-0000-0200-000004000000}" name="Area of Bolt (in2)" dataDxfId="234">
      <calculatedColumnFormula>IF(Bolts[[#This Row],[Bolt Name]]="","",PI()/4*Bolts[[#This Row],[Bolt Diameter (in)]]^2)</calculatedColumnFormula>
    </tableColumn>
    <tableColumn id="5" xr3:uid="{00000000-0010-0000-0200-000005000000}" name="Bolt Fu (ksi)" dataDxfId="233"/>
    <tableColumn id="6" xr3:uid="{00000000-0010-0000-0200-000006000000}" name="Sleeve Outer Diameter (in)" dataDxfId="232">
      <calculatedColumnFormula>29/25.4</calculatedColumnFormula>
    </tableColumn>
    <tableColumn id="7" xr3:uid="{00000000-0010-0000-0200-000007000000}" name="Sleeve Inner Diameter (in)" dataDxfId="231">
      <calculatedColumnFormula>20.295/25.4</calculatedColumnFormula>
    </tableColumn>
    <tableColumn id="8" xr3:uid="{00000000-0010-0000-0200-000008000000}" name="Sleeve Area (in2)" dataDxfId="230">
      <calculatedColumnFormula>PI()/4*(Bolts[[#This Row],[Sleeve Outer Diameter (in)]]^2-Bolts[[#This Row],[Sleeve Inner Diameter (in)]]^2)</calculatedColumnFormula>
    </tableColumn>
    <tableColumn id="9" xr3:uid="{00000000-0010-0000-0200-000009000000}" name="Sleeve Fu (ksi)" dataDxfId="229"/>
    <tableColumn id="10" xr3:uid="{00000000-0010-0000-0200-00000A000000}" name="Rev. F FVN" dataDxfId="228">
      <calculatedColumnFormula>IF(Bolts[[#This Row],[Bolt Fu (ksi)]]=120,21,IF(Bolts[[#This Row],[Bolt Fu (ksi)]]=150,28,"Error"))</calculatedColumnFormula>
    </tableColumn>
    <tableColumn id="11" xr3:uid="{00000000-0010-0000-0200-00000B000000}" name="Rev. F FVX" dataDxfId="227">
      <calculatedColumnFormula>IF(Bolts[[#This Row],[Bolt Fu (ksi)]]=120,30,IF(Bolts[[#This Row],[Bolt Fu (ksi)]]=150,40,"Error"))</calculatedColumnFormula>
    </tableColumn>
    <tableColumn id="12" xr3:uid="{00000000-0010-0000-0200-00000C000000}" name="Rev. F RN" dataDxfId="226">
      <calculatedColumnFormula>Bolts[[#This Row],[Rev. F FVN]]*Bolts[[#This Row],[Area of Bolt (in2)]]</calculatedColumnFormula>
    </tableColumn>
    <tableColumn id="13" xr3:uid="{00000000-0010-0000-0200-00000D000000}" name="Rev. F RX" dataDxfId="225">
      <calculatedColumnFormula>Bolts[[#This Row],[Rev. F FVX]]*Bolts[[#This Row],[Area of Bolt (in2)]]</calculatedColumnFormula>
    </tableColumn>
    <tableColumn id="14" xr3:uid="{00000000-0010-0000-0200-00000E000000}" name="Rev. F Sleeve FVX" dataDxfId="224">
      <calculatedColumnFormula>M4*(K4/G4)</calculatedColumnFormula>
    </tableColumn>
    <tableColumn id="15" xr3:uid="{00000000-0010-0000-0200-00000F000000}" name="Rev. F Sleeve RN" dataDxfId="223">
      <calculatedColumnFormula>Bolts[[#This Row],[Rev. F Sleeve FVX]]*Bolts[[#This Row],[Sleeve Area (in2)]]</calculatedColumnFormula>
    </tableColumn>
    <tableColumn id="16" xr3:uid="{00000000-0010-0000-0200-000010000000}" name="Rev. G FNVN" dataDxfId="222">
      <calculatedColumnFormula>0.45*G4</calculatedColumnFormula>
    </tableColumn>
    <tableColumn id="17" xr3:uid="{00000000-0010-0000-0200-000011000000}" name="Rev. G FNVX" dataDxfId="221">
      <calculatedColumnFormula>0.55*G4</calculatedColumnFormula>
    </tableColumn>
    <tableColumn id="18" xr3:uid="{00000000-0010-0000-0200-000012000000}" name="Rev. G ΦRNN" dataDxfId="220">
      <calculatedColumnFormula>φ_bolt_shear*Bolts[[#This Row],[Rev. G FNVN]]*Bolts[[#This Row],[Area of Bolt (in2)]]</calculatedColumnFormula>
    </tableColumn>
    <tableColumn id="19" xr3:uid="{00000000-0010-0000-0200-000013000000}" name="Rev. G ΦRNX" dataDxfId="219">
      <calculatedColumnFormula>φ_bolt_shear*Bolts[[#This Row],[Rev. G FNVX]]*Bolts[[#This Row],[Area of Bolt (in2)]]</calculatedColumnFormula>
    </tableColumn>
    <tableColumn id="20" xr3:uid="{00000000-0010-0000-0200-000014000000}" name="Rev. G Sleeve FNVX" dataDxfId="218">
      <calculatedColumnFormula>0.55*K4</calculatedColumnFormula>
    </tableColumn>
    <tableColumn id="21" xr3:uid="{00000000-0010-0000-0200-000015000000}" name="Rev. G Sleeve ΦRNX" dataDxfId="217">
      <calculatedColumnFormula>φ_bolt_shear*Bolts[[#This Row],[Rev. G Sleeve FNVX]]*Bolts[[#This Row],[Sleeve Area (in2)]]</calculatedColumnFormula>
    </tableColumn>
    <tableColumn id="32" xr3:uid="{00000000-0010-0000-0200-000020000000}" name="Rev. H FNVN" dataDxfId="216">
      <calculatedColumnFormula>IF(Bolts[[#This Row],[Bolt Name]]="","",0.625*0.8*Bolts[[#This Row],[Bolt Fu (ksi)]])</calculatedColumnFormula>
    </tableColumn>
    <tableColumn id="31" xr3:uid="{00000000-0010-0000-0200-00001F000000}" name="Rev. H FNVX" dataDxfId="215">
      <calculatedColumnFormula>IF(Bolts[[#This Row],[Bolt Name]]="","",0.625*Bolts[[#This Row],[Bolt Fu (ksi)]])</calculatedColumnFormula>
    </tableColumn>
    <tableColumn id="30" xr3:uid="{00000000-0010-0000-0200-00001E000000}" name="Rev. H ΦRNN" dataDxfId="214">
      <calculatedColumnFormula>φ_bolt_shear*Bolts[[#This Row],[Rev. H FNVN]]*Bolts[[#This Row],[Area of Bolt (in2)]]</calculatedColumnFormula>
    </tableColumn>
    <tableColumn id="29" xr3:uid="{00000000-0010-0000-0200-00001D000000}" name="Rev. H ΦRNX" dataDxfId="213">
      <calculatedColumnFormula>φ_bolt_shear*Bolts[[#This Row],[Rev. H FNVX]]*Bolts[[#This Row],[Area of Bolt (in2)]]</calculatedColumnFormula>
    </tableColumn>
    <tableColumn id="28" xr3:uid="{00000000-0010-0000-0200-00001C000000}" name="Rev. H Sleeve FNVX" dataDxfId="212">
      <calculatedColumnFormula>IF(Bolts[[#This Row],[Bolt Name]]="","",0.625*Bolts[[#This Row],[Sleeve Fu (ksi)]])</calculatedColumnFormula>
    </tableColumn>
    <tableColumn id="27" xr3:uid="{00000000-0010-0000-0200-00001B000000}" name="Rev. H Sleeve ΦRNX" dataDxfId="211">
      <calculatedColumnFormula>φ_bolt_shear*Bolts[[#This Row],[Rev. H Sleeve FNVX]]*Bolts[[#This Row],[Sleeve Area (in2)]]</calculatedColumnFormula>
    </tableColumn>
    <tableColumn id="22" xr3:uid="{00000000-0010-0000-0200-000016000000}" name="Rev. F Bolt (N) + Sleeve Shear Capacity" dataDxfId="210">
      <calculatedColumnFormula>IF(Bolts[[#This Row],[Bolt Name]]="","",(Bolts[[#This Row],[Rev. F RN]]+Bolts[[#This Row],[Rev. F Sleeve RN]]))</calculatedColumnFormula>
    </tableColumn>
    <tableColumn id="23" xr3:uid="{00000000-0010-0000-0200-000017000000}" name="Rev. F Bolt (X) + Sleeve Shear Capacity" dataDxfId="209">
      <calculatedColumnFormula>IF(Bolts[[#This Row],[Bolt Name]]="","",(Bolts[[#This Row],[Rev. F RX]]+Bolts[[#This Row],[Rev. F Sleeve RN]]))</calculatedColumnFormula>
    </tableColumn>
    <tableColumn id="24" xr3:uid="{00000000-0010-0000-0200-000018000000}" name="Rev. G Bolt (N) + Sleeve Shear Capacity" dataDxfId="208">
      <calculatedColumnFormula>IF(Bolts[[#This Row],[Bolt Name]]="","",Bolts[[#This Row],[Rev. G ΦRNN]]+Bolts[[#This Row],[Rev. G Sleeve ΦRNX]])</calculatedColumnFormula>
    </tableColumn>
    <tableColumn id="25" xr3:uid="{00000000-0010-0000-0200-000019000000}" name="Rev. G Bolt (X) + Sleeve Shear Capacity" dataDxfId="207">
      <calculatedColumnFormula>IF(Bolts[[#This Row],[Bolt Name]]="","",Bolts[[#This Row],[Rev. G ΦRNX]]+Bolts[[#This Row],[Rev. G Sleeve ΦRNX]])</calculatedColumnFormula>
    </tableColumn>
    <tableColumn id="33" xr3:uid="{00000000-0010-0000-0200-000021000000}" name="Rev. H Bolt (N) Capacity" dataDxfId="206">
      <calculatedColumnFormula>IF(Bolts[[#This Row],[Bolt Name]]="","",Bolts[[#This Row],[Rev. H ΦRNN]])</calculatedColumnFormula>
    </tableColumn>
    <tableColumn id="34" xr3:uid="{00000000-0010-0000-0200-000022000000}" name="Rev. H Bolt (X) Capacity" dataDxfId="205">
      <calculatedColumnFormula>IF(Bolts[[#This Row],[Bolt Name]]="","",Bolts[[#This Row],[Rev. H ΦRNX]])</calculatedColumnFormula>
    </tableColumn>
    <tableColumn id="35" xr3:uid="{00000000-0010-0000-0200-000023000000}" name="Rev. H Shear Sleeve Capacity" dataDxfId="204">
      <calculatedColumnFormula>IF(Bolts[[#This Row],[Bolt Name]]="","",Bolts[[#This Row],[Rev. H Sleeve ΦRNX]])</calculatedColumnFormula>
    </tableColumn>
    <tableColumn id="36" xr3:uid="{0AC280F5-4642-4976-91FF-583768425F60}" name="Rev. H Bolt (N) + Sleeve Shear Capacity" dataDxfId="203">
      <calculatedColumnFormula>IF(Bolts[[#This Row],[Bolt Name]]="","",Bolts[[#This Row],[Rev. H Bolt (N) Capacity]]+Bolts[[#This Row],[Rev. H Shear Sleeve Capacity]])</calculatedColumnFormula>
    </tableColumn>
    <tableColumn id="37" xr3:uid="{5D605C0A-551D-465F-BBA4-A4E88AC64D0A}" name="Rev. H Bolt (X) + Sleeve Shear Capacity" dataDxfId="202">
      <calculatedColumnFormula>IF(Bolts[[#This Row],[Bolt Name]]="","",Bolts[[#This Row],[Rev. H Bolt (X) Capacity]]+Bolts[[#This Row],[Rev. H Shear Sleeve Capacity]])</calculatedColumnFormula>
    </tableColumn>
    <tableColumn id="38" xr3:uid="{56FC14A9-D2B9-4A2B-86A5-C65C17E7F5E1}" name="Rev. H Apply Connection Length Reduction Factor (Rb)?" dataDxfId="201">
      <calculatedColumnFormula>IF(Bolts[[#This Row],[Bolt Name]]="","","Yes")</calculatedColumnFormula>
    </tableColumn>
    <tableColumn id="39" xr3:uid="{D7D3E454-7D1B-4E5A-B190-1EEBC3EDDE96}" name="Bolt ID" dataDxfId="200"/>
    <tableColumn id="40" xr3:uid="{8B9277B2-65CB-4D36-858D-E480E2C5F6BB}" name="Default?" dataDxfId="199">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AE60" totalsRowShown="0">
  <autoFilter ref="B2:AE60" xr:uid="{6E8247F2-B3FA-4D50-87B7-9DD934702331}"/>
  <tableColumns count="30">
    <tableColumn id="1" xr3:uid="{FD1681DC-25CE-4100-AEED-92518F239D30}" name="Default Sheet Name"/>
    <tableColumn id="30" xr3:uid="{4FFA2185-31D5-47DC-A478-09D3A37611EB}" name="5.0.4" dataDxfId="0"/>
    <tableColumn id="29" xr3:uid="{D74CFB14-77CF-4403-A29F-9B6518D70A56}" name="5.0.3" dataDxfId="198"/>
    <tableColumn id="28" xr3:uid="{2C0B19DE-45DA-4611-8083-DFFEEAD7FA01}" name="5.0.2" dataDxfId="197"/>
    <tableColumn id="27" xr3:uid="{29CA6CB7-019C-488D-8A4E-689F6654FCFC}" name="5.0.1" dataDxfId="196"/>
    <tableColumn id="26" xr3:uid="{4603D9F0-740D-4A3A-A159-969BD28D8BF3}" name="5.0.0" dataDxfId="195"/>
    <tableColumn id="25" xr3:uid="{26F4C93E-B02B-41BC-9F4E-2C1C604E32DB}" name="4.6.5" dataDxfId="194"/>
    <tableColumn id="24" xr3:uid="{3C293F5A-AD9A-4248-BF48-FFD89FD6B048}" name="4.6.4" dataDxfId="193"/>
    <tableColumn id="23" xr3:uid="{D5A6A26D-40B1-43D4-BC92-C544532299A6}" name="4.6.3" dataDxfId="192"/>
    <tableColumn id="21" xr3:uid="{99FA4F14-0C31-470A-B853-F70ACE7685D0}" name="4.6.2" dataDxfId="191"/>
    <tableColumn id="22" xr3:uid="{FFD04D73-83E7-40F4-A9FF-C0E9D36EBB89}" name="4.6.1" dataDxfId="190"/>
    <tableColumn id="14" xr3:uid="{A3D28F62-5D06-4566-BB52-614054243400}" name="4.6.0" dataDxfId="189"/>
    <tableColumn id="19" xr3:uid="{C4FBDF2B-0D25-4D30-9655-A7D1FA79AD22}" name="4.5.8" dataDxfId="188"/>
    <tableColumn id="20" xr3:uid="{5F7EB54E-C534-4C23-B865-4F45C9BC3150}" name="4.5.7" dataDxfId="187"/>
    <tableColumn id="18" xr3:uid="{43248CF6-6ECE-4A6A-A244-26845510C17F}" name="4.5.6" dataDxfId="186"/>
    <tableColumn id="17" xr3:uid="{56707050-4AFF-4435-995C-0E58287680F7}" name="4.5.5" dataDxfId="185"/>
    <tableColumn id="12" xr3:uid="{AB90D06F-1C45-4315-8A51-48C345E90855}" name="4.5.4" dataDxfId="184"/>
    <tableColumn id="15" xr3:uid="{B9AC4BDD-FFEE-4E1E-B09A-5F4E76A90645}" name="4.5.3" dataDxfId="183"/>
    <tableColumn id="11" xr3:uid="{645E99D1-EFBE-47D3-BC24-6D6039691C4D}" name="4.5.2" dataDxfId="182"/>
    <tableColumn id="13" xr3:uid="{25C2E0B7-C535-4946-ADEC-AED5165E42B6}" name="4.5.1" dataDxfId="181"/>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180" dataDxfId="179">
  <autoFilter ref="A1:D25" xr:uid="{30E345AE-60D8-4FC0-9B85-7074CA8BAA7C}"/>
  <tableColumns count="4">
    <tableColumn id="1" xr3:uid="{E3145E0A-0D85-4D56-8C66-CDED9CE35890}" name="SheetName" dataDxfId="178"/>
    <tableColumn id="2" xr3:uid="{B5F6A20F-CCBC-43AE-9AA6-FC78C94A45A6}" name="CellRange" dataDxfId="177"/>
    <tableColumn id="3" xr3:uid="{709536F8-F611-4BA8-8910-80D1EF960265}" name="CellName" dataDxfId="176"/>
    <tableColumn id="4" xr3:uid="{A318498D-55EA-4C2A-B369-5F0842CC395C}" name="Override" dataDxfId="17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queryTable" Target="../queryTables/queryTable5.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table" Target="../tables/table4.xml"/><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1.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showRowColHeaders="0" tabSelected="1" zoomScaleNormal="100" workbookViewId="0">
      <selection activeCell="V27" sqref="V27"/>
    </sheetView>
  </sheetViews>
  <sheetFormatPr defaultColWidth="9.140625" defaultRowHeight="12.75" x14ac:dyDescent="0.2"/>
  <cols>
    <col min="1" max="1" width="11.85546875" style="49" customWidth="1"/>
    <col min="2" max="79" width="3.7109375" customWidth="1"/>
    <col min="80" max="175" width="9.140625" customWidth="1"/>
  </cols>
  <sheetData>
    <row r="1" spans="2:59" x14ac:dyDescent="0.2">
      <c r="M1" s="415"/>
      <c r="N1" s="416"/>
      <c r="O1" s="416"/>
      <c r="P1" s="416"/>
      <c r="Q1" s="416"/>
      <c r="R1" s="416"/>
      <c r="S1" s="416"/>
      <c r="T1" s="416"/>
      <c r="U1" s="416"/>
      <c r="V1" s="416"/>
      <c r="W1" s="416"/>
      <c r="X1" s="416"/>
      <c r="Y1" s="416"/>
      <c r="Z1" s="416"/>
    </row>
    <row r="2" spans="2:59" ht="21" customHeight="1" x14ac:dyDescent="0.2">
      <c r="M2" s="416"/>
      <c r="N2" s="416"/>
      <c r="O2" s="416"/>
      <c r="P2" s="416"/>
      <c r="Q2" s="416"/>
      <c r="R2" s="416"/>
      <c r="S2" s="416"/>
      <c r="T2" s="416"/>
      <c r="U2" s="416"/>
      <c r="V2" s="416"/>
      <c r="W2" s="416"/>
      <c r="X2" s="416"/>
      <c r="Y2" s="416"/>
      <c r="Z2" s="416"/>
    </row>
    <row r="3" spans="2:59" ht="25.9" customHeight="1" x14ac:dyDescent="0.45">
      <c r="R3" s="395"/>
      <c r="S3" s="395"/>
      <c r="T3" s="395"/>
      <c r="U3" s="311" t="s">
        <v>0</v>
      </c>
      <c r="V3" s="22"/>
      <c r="W3" s="22"/>
      <c r="X3" s="22"/>
      <c r="AP3" s="48"/>
    </row>
    <row r="4" spans="2:59" ht="22.9" customHeight="1" x14ac:dyDescent="0.25">
      <c r="Q4" s="6" t="s">
        <v>1</v>
      </c>
      <c r="R4" s="437"/>
      <c r="S4" s="438"/>
      <c r="T4" s="438"/>
      <c r="U4" s="438"/>
      <c r="V4" s="438"/>
      <c r="W4" s="438"/>
      <c r="BG4" s="49" t="s">
        <v>2</v>
      </c>
    </row>
    <row r="5" spans="2:59" ht="17.25" customHeight="1" x14ac:dyDescent="0.2">
      <c r="I5" s="18"/>
      <c r="N5" s="18"/>
      <c r="Q5" s="6" t="s">
        <v>3</v>
      </c>
      <c r="R5" s="441"/>
      <c r="S5" s="442"/>
      <c r="T5" s="442"/>
      <c r="U5" s="442"/>
      <c r="V5" s="442"/>
      <c r="W5" s="442"/>
    </row>
    <row r="6" spans="2:59" ht="20.100000000000001" customHeight="1" x14ac:dyDescent="0.25">
      <c r="B6" s="23" t="s">
        <v>4</v>
      </c>
      <c r="C6" s="20"/>
      <c r="D6" s="20"/>
      <c r="E6" s="1"/>
      <c r="F6" s="1"/>
      <c r="G6" s="1"/>
      <c r="H6" s="1"/>
      <c r="I6" s="1"/>
      <c r="J6" s="1"/>
      <c r="K6" s="78"/>
      <c r="L6" s="1"/>
      <c r="M6" s="1"/>
      <c r="N6" s="1"/>
      <c r="O6" s="1"/>
      <c r="P6" s="1"/>
      <c r="Q6" s="1"/>
      <c r="R6" s="1"/>
      <c r="S6" s="1"/>
      <c r="T6" s="1"/>
      <c r="U6" s="1"/>
      <c r="V6" s="1"/>
      <c r="W6" s="1"/>
      <c r="X6" s="1"/>
      <c r="Y6" s="1"/>
      <c r="Z6" s="1"/>
      <c r="AF6" s="115"/>
      <c r="AL6" s="116" t="s">
        <v>5</v>
      </c>
      <c r="AZ6" s="78"/>
    </row>
    <row r="7" spans="2:59" ht="28.15" customHeight="1" x14ac:dyDescent="0.2">
      <c r="B7" s="2"/>
      <c r="C7" s="435" t="s">
        <v>6</v>
      </c>
      <c r="D7" s="435"/>
      <c r="E7" s="435"/>
      <c r="F7" s="435"/>
      <c r="G7" s="435" t="s">
        <v>7</v>
      </c>
      <c r="H7" s="435"/>
      <c r="I7" s="435"/>
      <c r="J7" s="435"/>
      <c r="K7" s="435" t="s">
        <v>8</v>
      </c>
      <c r="L7" s="435"/>
      <c r="M7" s="435"/>
      <c r="N7" s="435"/>
      <c r="O7" s="435" t="s">
        <v>9</v>
      </c>
      <c r="P7" s="435"/>
      <c r="Q7" s="435"/>
      <c r="R7" s="435"/>
      <c r="S7" s="435" t="s">
        <v>10</v>
      </c>
      <c r="T7" s="435"/>
      <c r="U7" s="435"/>
      <c r="V7" s="435"/>
      <c r="W7" s="435" t="s">
        <v>11</v>
      </c>
      <c r="X7" s="435"/>
      <c r="Y7" s="435"/>
      <c r="Z7" s="435"/>
      <c r="AA7" s="422" t="s">
        <v>12</v>
      </c>
      <c r="AB7" s="423"/>
      <c r="AC7" s="423"/>
      <c r="AD7" s="424"/>
      <c r="AE7" s="422" t="s">
        <v>13</v>
      </c>
      <c r="AF7" s="423"/>
      <c r="AG7" s="423"/>
      <c r="AH7" s="424"/>
      <c r="AI7" s="435" t="s">
        <v>14</v>
      </c>
      <c r="AJ7" s="435"/>
      <c r="AK7" s="435"/>
      <c r="AL7" s="435"/>
      <c r="AR7" t="s">
        <v>15</v>
      </c>
    </row>
    <row r="8" spans="2:59" ht="15" x14ac:dyDescent="0.25">
      <c r="B8" s="3" t="str">
        <f>IF(G8="","",1)</f>
        <v/>
      </c>
      <c r="C8" s="447" t="str">
        <f>IF(G8="","",IF(C9="",0,C9)+G8-K8)</f>
        <v/>
      </c>
      <c r="D8" s="447"/>
      <c r="E8" s="447"/>
      <c r="F8" s="447"/>
      <c r="G8" s="407"/>
      <c r="H8" s="407"/>
      <c r="I8" s="407"/>
      <c r="J8" s="407"/>
      <c r="K8" s="407"/>
      <c r="L8" s="407"/>
      <c r="M8" s="407"/>
      <c r="N8" s="407"/>
      <c r="O8" s="407"/>
      <c r="P8" s="407"/>
      <c r="Q8" s="407"/>
      <c r="R8" s="407"/>
      <c r="S8" s="409"/>
      <c r="T8" s="410"/>
      <c r="U8" s="410"/>
      <c r="V8" s="411"/>
      <c r="W8" s="407"/>
      <c r="X8" s="407"/>
      <c r="Y8" s="407"/>
      <c r="Z8" s="407"/>
      <c r="AA8" s="407"/>
      <c r="AB8" s="407"/>
      <c r="AC8" s="407"/>
      <c r="AD8" s="407"/>
      <c r="AE8" s="425" t="str">
        <f>IF(O8&lt;&gt;0,"Auto","")</f>
        <v/>
      </c>
      <c r="AF8" s="426"/>
      <c r="AG8" s="426"/>
      <c r="AH8" s="427"/>
      <c r="AI8" s="407"/>
      <c r="AJ8" s="407"/>
      <c r="AK8" s="407"/>
      <c r="AL8" s="407"/>
      <c r="AM8" s="9"/>
      <c r="AO8" s="395" t="s">
        <v>16</v>
      </c>
      <c r="AR8" s="400"/>
      <c r="AS8" s="400"/>
      <c r="AT8" s="395" t="s">
        <v>17</v>
      </c>
      <c r="AV8" s="395" t="s">
        <v>18</v>
      </c>
      <c r="AZ8" s="476"/>
      <c r="BA8" s="477"/>
      <c r="BB8" s="395" t="s">
        <v>19</v>
      </c>
    </row>
    <row r="9" spans="2:59" x14ac:dyDescent="0.2">
      <c r="B9" s="3" t="str">
        <f>IF(G9="","",B8+1)</f>
        <v/>
      </c>
      <c r="C9" s="447" t="str">
        <f>IF(G9="","",IF(C10="",0,C10)+G9-K9)</f>
        <v/>
      </c>
      <c r="D9" s="447"/>
      <c r="E9" s="447"/>
      <c r="F9" s="447"/>
      <c r="G9" s="407"/>
      <c r="H9" s="407"/>
      <c r="I9" s="407"/>
      <c r="J9" s="407"/>
      <c r="K9" s="407"/>
      <c r="L9" s="407"/>
      <c r="M9" s="407"/>
      <c r="N9" s="407"/>
      <c r="O9" s="407"/>
      <c r="P9" s="407"/>
      <c r="Q9" s="407"/>
      <c r="R9" s="407"/>
      <c r="S9" s="428" t="str">
        <f>IF(G9="","",IF(O9=0,W9,W8-K8*12*VLOOKUP(C8,'Geometry 2'!$C$5:$AJ$14,34,FALSE)-IF(OR(K8="",K8=0),0,2)*AA8))</f>
        <v/>
      </c>
      <c r="T9" s="429"/>
      <c r="U9" s="429"/>
      <c r="V9" s="430"/>
      <c r="W9" s="407"/>
      <c r="X9" s="407"/>
      <c r="Y9" s="407"/>
      <c r="Z9" s="407"/>
      <c r="AA9" s="407"/>
      <c r="AB9" s="407"/>
      <c r="AC9" s="407"/>
      <c r="AD9" s="407"/>
      <c r="AE9" s="425" t="str">
        <f t="shared" ref="AE9:AE17" si="0">IF(O9&lt;&gt;0,"Auto","")</f>
        <v/>
      </c>
      <c r="AF9" s="426"/>
      <c r="AG9" s="426"/>
      <c r="AH9" s="427"/>
      <c r="AI9" s="407"/>
      <c r="AJ9" s="407"/>
      <c r="AK9" s="407"/>
      <c r="AL9" s="407"/>
      <c r="AM9" s="9"/>
    </row>
    <row r="10" spans="2:59" x14ac:dyDescent="0.2">
      <c r="B10" s="3" t="str">
        <f t="shared" ref="B10:B17" si="1">IF(G10="","",B9+1)</f>
        <v/>
      </c>
      <c r="C10" s="447" t="str">
        <f>IF(G10="","",IF(C11="",0,C11)+G10-K10)</f>
        <v/>
      </c>
      <c r="D10" s="447"/>
      <c r="E10" s="447"/>
      <c r="F10" s="447"/>
      <c r="G10" s="407"/>
      <c r="H10" s="407"/>
      <c r="I10" s="407"/>
      <c r="J10" s="407"/>
      <c r="K10" s="407"/>
      <c r="L10" s="407"/>
      <c r="M10" s="407"/>
      <c r="N10" s="407"/>
      <c r="O10" s="407"/>
      <c r="P10" s="407"/>
      <c r="Q10" s="407"/>
      <c r="R10" s="407"/>
      <c r="S10" s="428" t="str">
        <f>IF(G10="","",IF(O10=0,W10,W9-K9*12*VLOOKUP(C9,'Geometry 2'!$C$5:$AJ$14,34,FALSE)-IF(OR(K9="",K9=0),0,2)*AA9))</f>
        <v/>
      </c>
      <c r="T10" s="429"/>
      <c r="U10" s="429"/>
      <c r="V10" s="430"/>
      <c r="W10" s="407"/>
      <c r="X10" s="407"/>
      <c r="Y10" s="407"/>
      <c r="Z10" s="407"/>
      <c r="AA10" s="407"/>
      <c r="AB10" s="407"/>
      <c r="AC10" s="407"/>
      <c r="AD10" s="407"/>
      <c r="AE10" s="425" t="str">
        <f t="shared" si="0"/>
        <v/>
      </c>
      <c r="AF10" s="426"/>
      <c r="AG10" s="426"/>
      <c r="AH10" s="427"/>
      <c r="AI10" s="407"/>
      <c r="AJ10" s="407"/>
      <c r="AK10" s="407"/>
      <c r="AL10" s="407"/>
      <c r="AM10" s="9"/>
      <c r="AP10" s="21"/>
    </row>
    <row r="11" spans="2:59" x14ac:dyDescent="0.2">
      <c r="B11" s="3" t="str">
        <f t="shared" si="1"/>
        <v/>
      </c>
      <c r="C11" s="447" t="str">
        <f t="shared" ref="C11:C16" si="2">IF(G11="","",IF(C12="",0,C12)+G11-K11)</f>
        <v/>
      </c>
      <c r="D11" s="447"/>
      <c r="E11" s="447"/>
      <c r="F11" s="447"/>
      <c r="G11" s="407"/>
      <c r="H11" s="407"/>
      <c r="I11" s="407"/>
      <c r="J11" s="407"/>
      <c r="K11" s="407"/>
      <c r="L11" s="407"/>
      <c r="M11" s="407"/>
      <c r="N11" s="407"/>
      <c r="O11" s="407"/>
      <c r="P11" s="407"/>
      <c r="Q11" s="407"/>
      <c r="R11" s="407"/>
      <c r="S11" s="428" t="str">
        <f>IF(G11="","",IF(O11=0,W11,W10-K10*12*VLOOKUP(C10,'Geometry 2'!$C$5:$AJ$14,34,FALSE)-IF(OR(K10="",K10=0),0,2)*AA10))</f>
        <v/>
      </c>
      <c r="T11" s="429"/>
      <c r="U11" s="429"/>
      <c r="V11" s="430"/>
      <c r="W11" s="407"/>
      <c r="X11" s="407"/>
      <c r="Y11" s="407"/>
      <c r="Z11" s="407"/>
      <c r="AA11" s="407"/>
      <c r="AB11" s="407"/>
      <c r="AC11" s="407"/>
      <c r="AD11" s="407"/>
      <c r="AE11" s="425" t="str">
        <f t="shared" si="0"/>
        <v/>
      </c>
      <c r="AF11" s="426"/>
      <c r="AG11" s="426"/>
      <c r="AH11" s="427"/>
      <c r="AI11" s="407"/>
      <c r="AJ11" s="407"/>
      <c r="AK11" s="407"/>
      <c r="AL11" s="407"/>
      <c r="AM11" s="9"/>
    </row>
    <row r="12" spans="2:59" ht="15" customHeight="1" x14ac:dyDescent="0.2">
      <c r="B12" s="3" t="str">
        <f t="shared" si="1"/>
        <v/>
      </c>
      <c r="C12" s="447" t="str">
        <f t="shared" si="2"/>
        <v/>
      </c>
      <c r="D12" s="447"/>
      <c r="E12" s="447"/>
      <c r="F12" s="447"/>
      <c r="G12" s="407"/>
      <c r="H12" s="407"/>
      <c r="I12" s="407"/>
      <c r="J12" s="407"/>
      <c r="K12" s="407"/>
      <c r="L12" s="407"/>
      <c r="M12" s="407"/>
      <c r="N12" s="407"/>
      <c r="O12" s="407"/>
      <c r="P12" s="407"/>
      <c r="Q12" s="407"/>
      <c r="R12" s="407"/>
      <c r="S12" s="428" t="str">
        <f>IF(G12="","",IF(O12=0,W12,W11-K11*12*VLOOKUP(C11,'Geometry 2'!$C$5:$AJ$14,34,FALSE)-IF(OR(K11="",K11=0),0,2)*AA11))</f>
        <v/>
      </c>
      <c r="T12" s="429"/>
      <c r="U12" s="429"/>
      <c r="V12" s="430"/>
      <c r="W12" s="407"/>
      <c r="X12" s="407"/>
      <c r="Y12" s="407"/>
      <c r="Z12" s="407"/>
      <c r="AA12" s="407"/>
      <c r="AB12" s="407"/>
      <c r="AC12" s="407"/>
      <c r="AD12" s="407"/>
      <c r="AE12" s="425" t="str">
        <f t="shared" si="0"/>
        <v/>
      </c>
      <c r="AF12" s="426"/>
      <c r="AG12" s="426"/>
      <c r="AH12" s="427"/>
      <c r="AI12" s="407"/>
      <c r="AJ12" s="407"/>
      <c r="AK12" s="407"/>
      <c r="AL12" s="407"/>
      <c r="AM12" s="9"/>
    </row>
    <row r="13" spans="2:59" ht="15" hidden="1" customHeight="1" x14ac:dyDescent="0.2">
      <c r="B13" s="3" t="str">
        <f t="shared" si="1"/>
        <v/>
      </c>
      <c r="C13" s="447" t="str">
        <f t="shared" si="2"/>
        <v/>
      </c>
      <c r="D13" s="447"/>
      <c r="E13" s="447"/>
      <c r="F13" s="447"/>
      <c r="G13" s="407"/>
      <c r="H13" s="407"/>
      <c r="I13" s="407"/>
      <c r="J13" s="407"/>
      <c r="K13" s="407"/>
      <c r="L13" s="407"/>
      <c r="M13" s="407"/>
      <c r="N13" s="407"/>
      <c r="O13" s="407"/>
      <c r="P13" s="407"/>
      <c r="Q13" s="407"/>
      <c r="R13" s="407"/>
      <c r="S13" s="428" t="str">
        <f>IF(G13="","",IF(O13=0,W13,W12-K12*12*VLOOKUP(C12,'Geometry 2'!$C$5:$AJ$14,34,FALSE)-IF(OR(K12="",K12=0),0,2)*AA12))</f>
        <v/>
      </c>
      <c r="T13" s="429"/>
      <c r="U13" s="429"/>
      <c r="V13" s="430"/>
      <c r="W13" s="407"/>
      <c r="X13" s="407"/>
      <c r="Y13" s="407"/>
      <c r="Z13" s="407"/>
      <c r="AA13" s="407"/>
      <c r="AB13" s="407"/>
      <c r="AC13" s="407"/>
      <c r="AD13" s="407"/>
      <c r="AE13" s="425" t="str">
        <f t="shared" si="0"/>
        <v/>
      </c>
      <c r="AF13" s="426"/>
      <c r="AG13" s="426"/>
      <c r="AH13" s="427"/>
      <c r="AI13" s="407"/>
      <c r="AJ13" s="407"/>
      <c r="AK13" s="407"/>
      <c r="AL13" s="407"/>
      <c r="AM13" s="9"/>
    </row>
    <row r="14" spans="2:59" ht="15" hidden="1" customHeight="1" x14ac:dyDescent="0.2">
      <c r="B14" s="3" t="str">
        <f t="shared" si="1"/>
        <v/>
      </c>
      <c r="C14" s="447" t="str">
        <f t="shared" si="2"/>
        <v/>
      </c>
      <c r="D14" s="447"/>
      <c r="E14" s="447"/>
      <c r="F14" s="447"/>
      <c r="G14" s="407"/>
      <c r="H14" s="407"/>
      <c r="I14" s="407"/>
      <c r="J14" s="407"/>
      <c r="K14" s="407"/>
      <c r="L14" s="407"/>
      <c r="M14" s="407"/>
      <c r="N14" s="407"/>
      <c r="O14" s="407"/>
      <c r="P14" s="407"/>
      <c r="Q14" s="407"/>
      <c r="R14" s="407"/>
      <c r="S14" s="428" t="str">
        <f>IF(G14="","",IF(O14=0,W14,W13-K13*12*VLOOKUP(C13,'Geometry 2'!$C$5:$AJ$14,34,FALSE)-IF(OR(K13="",K13=0),0,2)*AA13))</f>
        <v/>
      </c>
      <c r="T14" s="429"/>
      <c r="U14" s="429"/>
      <c r="V14" s="430"/>
      <c r="W14" s="407"/>
      <c r="X14" s="407"/>
      <c r="Y14" s="407"/>
      <c r="Z14" s="407"/>
      <c r="AA14" s="407"/>
      <c r="AB14" s="407"/>
      <c r="AC14" s="407"/>
      <c r="AD14" s="407"/>
      <c r="AE14" s="425" t="str">
        <f t="shared" si="0"/>
        <v/>
      </c>
      <c r="AF14" s="426"/>
      <c r="AG14" s="426"/>
      <c r="AH14" s="427"/>
      <c r="AI14" s="407"/>
      <c r="AJ14" s="407"/>
      <c r="AK14" s="407"/>
      <c r="AL14" s="407"/>
      <c r="AM14" s="9"/>
    </row>
    <row r="15" spans="2:59" ht="15" hidden="1" customHeight="1" x14ac:dyDescent="0.2">
      <c r="B15" s="3" t="str">
        <f t="shared" si="1"/>
        <v/>
      </c>
      <c r="C15" s="447" t="str">
        <f t="shared" si="2"/>
        <v/>
      </c>
      <c r="D15" s="447"/>
      <c r="E15" s="447"/>
      <c r="F15" s="447"/>
      <c r="G15" s="407"/>
      <c r="H15" s="407"/>
      <c r="I15" s="407"/>
      <c r="J15" s="407"/>
      <c r="K15" s="407"/>
      <c r="L15" s="407"/>
      <c r="M15" s="407"/>
      <c r="N15" s="407"/>
      <c r="O15" s="407"/>
      <c r="P15" s="407"/>
      <c r="Q15" s="407"/>
      <c r="R15" s="407"/>
      <c r="S15" s="428" t="str">
        <f>IF(G15="","",IF(O15=0,W15,W14-K14*12*VLOOKUP(C14,'Geometry 2'!$C$5:$AJ$14,34,FALSE)-IF(OR(K14="",K14=0),0,2)*AA14))</f>
        <v/>
      </c>
      <c r="T15" s="429"/>
      <c r="U15" s="429"/>
      <c r="V15" s="430"/>
      <c r="W15" s="407"/>
      <c r="X15" s="407"/>
      <c r="Y15" s="407"/>
      <c r="Z15" s="407"/>
      <c r="AA15" s="407"/>
      <c r="AB15" s="407"/>
      <c r="AC15" s="407"/>
      <c r="AD15" s="407"/>
      <c r="AE15" s="425" t="str">
        <f t="shared" si="0"/>
        <v/>
      </c>
      <c r="AF15" s="426"/>
      <c r="AG15" s="426"/>
      <c r="AH15" s="427"/>
      <c r="AI15" s="407"/>
      <c r="AJ15" s="407"/>
      <c r="AK15" s="407"/>
      <c r="AL15" s="407"/>
      <c r="AM15" s="9"/>
    </row>
    <row r="16" spans="2:59" ht="15" hidden="1" customHeight="1" x14ac:dyDescent="0.2">
      <c r="B16" s="3" t="str">
        <f t="shared" si="1"/>
        <v/>
      </c>
      <c r="C16" s="447" t="str">
        <f t="shared" si="2"/>
        <v/>
      </c>
      <c r="D16" s="447"/>
      <c r="E16" s="447"/>
      <c r="F16" s="447"/>
      <c r="G16" s="407"/>
      <c r="H16" s="407"/>
      <c r="I16" s="407"/>
      <c r="J16" s="407"/>
      <c r="K16" s="407"/>
      <c r="L16" s="407"/>
      <c r="M16" s="407"/>
      <c r="N16" s="407"/>
      <c r="O16" s="407"/>
      <c r="P16" s="407"/>
      <c r="Q16" s="407"/>
      <c r="R16" s="407"/>
      <c r="S16" s="428" t="str">
        <f>IF(G16="","",IF(O16=0,W16,W15-K15*12*VLOOKUP(C15,'Geometry 2'!$C$5:$AJ$14,34,FALSE)-IF(OR(K15="",K15=0),0,2)*AA15))</f>
        <v/>
      </c>
      <c r="T16" s="429"/>
      <c r="U16" s="429"/>
      <c r="V16" s="430"/>
      <c r="W16" s="407"/>
      <c r="X16" s="407"/>
      <c r="Y16" s="407"/>
      <c r="Z16" s="407"/>
      <c r="AA16" s="407"/>
      <c r="AB16" s="407"/>
      <c r="AC16" s="407"/>
      <c r="AD16" s="407"/>
      <c r="AE16" s="425" t="str">
        <f t="shared" si="0"/>
        <v/>
      </c>
      <c r="AF16" s="426"/>
      <c r="AG16" s="426"/>
      <c r="AH16" s="427"/>
      <c r="AI16" s="407"/>
      <c r="AJ16" s="407"/>
      <c r="AK16" s="407"/>
      <c r="AL16" s="407"/>
      <c r="AM16" s="9"/>
    </row>
    <row r="17" spans="2:51" hidden="1" x14ac:dyDescent="0.2">
      <c r="B17" s="3" t="str">
        <f t="shared" si="1"/>
        <v/>
      </c>
      <c r="C17" s="447" t="str">
        <f>IF(G17="","",G17-K17)</f>
        <v/>
      </c>
      <c r="D17" s="447"/>
      <c r="E17" s="447"/>
      <c r="F17" s="447"/>
      <c r="G17" s="407"/>
      <c r="H17" s="407"/>
      <c r="I17" s="407"/>
      <c r="J17" s="407"/>
      <c r="K17" s="407"/>
      <c r="L17" s="407"/>
      <c r="M17" s="407"/>
      <c r="N17" s="407"/>
      <c r="O17" s="407"/>
      <c r="P17" s="407"/>
      <c r="Q17" s="407"/>
      <c r="R17" s="407"/>
      <c r="S17" s="428" t="str">
        <f>IF(G17="","",IF(O17=0,W17,W16-K16*12*VLOOKUP(C16,'Geometry 2'!$C$5:$AJ$14,34,FALSE)-IF(OR(K16="",K16=0),0,2)*AA16))</f>
        <v/>
      </c>
      <c r="T17" s="429"/>
      <c r="U17" s="429"/>
      <c r="V17" s="430"/>
      <c r="W17" s="407"/>
      <c r="X17" s="407"/>
      <c r="Y17" s="407"/>
      <c r="Z17" s="407"/>
      <c r="AA17" s="407"/>
      <c r="AB17" s="407"/>
      <c r="AC17" s="407"/>
      <c r="AD17" s="407"/>
      <c r="AE17" s="425" t="str">
        <f t="shared" si="0"/>
        <v/>
      </c>
      <c r="AF17" s="426"/>
      <c r="AG17" s="426"/>
      <c r="AH17" s="427"/>
      <c r="AI17" s="407"/>
      <c r="AJ17" s="407"/>
      <c r="AK17" s="407"/>
      <c r="AL17" s="407"/>
      <c r="AM17" s="9"/>
    </row>
    <row r="18" spans="2:51" ht="24.95" customHeight="1" x14ac:dyDescent="0.25">
      <c r="W18" s="395"/>
      <c r="X18" s="395"/>
      <c r="Y18" s="395"/>
      <c r="Z18" s="395"/>
      <c r="AA18" s="395"/>
      <c r="AB18" s="395"/>
      <c r="AC18" s="395"/>
      <c r="AD18" s="395"/>
      <c r="AE18" s="395"/>
      <c r="AF18" s="395"/>
      <c r="AG18" s="395"/>
      <c r="AO18" s="8"/>
      <c r="AP18" s="8"/>
    </row>
    <row r="19" spans="2:51" ht="20.100000000000001" customHeight="1" x14ac:dyDescent="0.25">
      <c r="B19" s="23" t="s">
        <v>20</v>
      </c>
      <c r="C19" s="1"/>
      <c r="D19" s="1"/>
      <c r="E19" s="1"/>
      <c r="F19" s="1"/>
      <c r="G19" s="1"/>
      <c r="H19" s="1"/>
      <c r="I19" s="1"/>
      <c r="J19" s="1"/>
      <c r="K19" s="1"/>
      <c r="L19" s="30"/>
      <c r="M19" s="1"/>
      <c r="N19" s="1"/>
      <c r="O19" s="1"/>
      <c r="P19" s="1"/>
      <c r="Q19" s="1"/>
      <c r="R19" s="1"/>
      <c r="S19" s="1"/>
      <c r="T19" s="1"/>
      <c r="U19" s="95"/>
      <c r="V19" s="95"/>
      <c r="W19" s="95"/>
      <c r="X19" s="96"/>
      <c r="Y19" s="95"/>
      <c r="Z19" s="95"/>
      <c r="AA19" s="96"/>
      <c r="AB19" s="96"/>
      <c r="AC19" s="95"/>
      <c r="AD19" s="96"/>
      <c r="AE19" s="96"/>
      <c r="AF19" s="96"/>
      <c r="AG19" s="96"/>
      <c r="AH19" s="96"/>
      <c r="AI19" s="96"/>
      <c r="AJ19" s="96"/>
      <c r="AK19" s="96"/>
      <c r="AL19" s="96"/>
      <c r="AR19" s="396"/>
      <c r="AS19" s="16"/>
      <c r="AT19" s="395"/>
    </row>
    <row r="20" spans="2:51" ht="36.950000000000003" customHeight="1" x14ac:dyDescent="0.2">
      <c r="B20" s="7"/>
      <c r="C20" s="440" t="s">
        <v>21</v>
      </c>
      <c r="D20" s="440"/>
      <c r="E20" s="440"/>
      <c r="F20" s="440"/>
      <c r="G20" s="440" t="s">
        <v>22</v>
      </c>
      <c r="H20" s="440"/>
      <c r="I20" s="440"/>
      <c r="J20" s="440"/>
      <c r="K20" s="440" t="s">
        <v>23</v>
      </c>
      <c r="L20" s="440"/>
      <c r="M20" s="440"/>
      <c r="N20" s="440" t="s">
        <v>24</v>
      </c>
      <c r="O20" s="440"/>
      <c r="P20" s="440"/>
      <c r="Q20" s="440"/>
      <c r="R20" s="443" t="s">
        <v>25</v>
      </c>
      <c r="S20" s="443"/>
      <c r="T20" s="443"/>
      <c r="U20" s="109">
        <f>IF(AND(O8&lt;&gt;"",MAX(O8:R17)&lt;1,MAX(O8:R17)&lt;&gt;0),"",1)</f>
        <v>1</v>
      </c>
      <c r="V20" s="106">
        <f>IF(AND(O8&lt;&gt;"",MAX(O8:R17)&lt;2,MAX(O8:R17)&lt;&gt;0),"",2)</f>
        <v>2</v>
      </c>
      <c r="W20" s="106">
        <f>IF(AND(O8&lt;&gt;"",MAX(O8:R17)&lt;3,MAX(O8:R17)&lt;&gt;0),"",3)</f>
        <v>3</v>
      </c>
      <c r="X20" s="106">
        <f>IF(AND(O8&lt;&gt;"",MAX(O8:R17)&lt;4,MAX(O8:R17)&lt;&gt;0),"",4)</f>
        <v>4</v>
      </c>
      <c r="Y20" s="106">
        <f>IF(AND(O8&lt;&gt;"",MAX(O8:R17)&lt;5,MAX(O8:R17)&lt;&gt;0),"",5)</f>
        <v>5</v>
      </c>
      <c r="Z20" s="106">
        <f>IF(AND(O8&lt;&gt;"",MAX(O8:R17)&lt;6,MAX(O8:R17)&lt;&gt;0),"",6)</f>
        <v>6</v>
      </c>
      <c r="AA20" s="106">
        <f>IF(AND(O8&lt;&gt;"",MAX(O8:R17)&lt;7,MAX(O8:R17)&lt;&gt;0),"",7)</f>
        <v>7</v>
      </c>
      <c r="AB20" s="106">
        <f>IF(AND(O8&lt;&gt;"",MAX(O8:R17)&lt;8,MAX(O8:R17)&lt;&gt;0),"",8)</f>
        <v>8</v>
      </c>
      <c r="AC20" s="106">
        <f>IF(AND(O8&lt;&gt;"",MAX(O8:R17)&lt;9,MAX(O8:R17)&lt;&gt;0),"",9)</f>
        <v>9</v>
      </c>
      <c r="AD20" s="106">
        <f>IF(AND(O8&lt;&gt;"",MAX(O8:R17)&lt;10,MAX(O8:R17)&lt;&gt;0),"",10)</f>
        <v>10</v>
      </c>
      <c r="AE20" s="106">
        <f>IF(AND(O8&lt;&gt;"",MAX(O8:R17)&lt;11,MAX(O8:R17)&lt;&gt;0),"",11)</f>
        <v>11</v>
      </c>
      <c r="AF20" s="106">
        <f>IF(AND(O8&lt;&gt;"",MAX(O8:R17)&lt;12,MAX(O8:R17)&lt;&gt;0),"",12)</f>
        <v>12</v>
      </c>
      <c r="AG20" s="106">
        <f>IF(AND(O8&lt;&gt;"",MAX(O8:R17)&lt;13,MAX(O8:R17)&lt;&gt;0),"",13)</f>
        <v>13</v>
      </c>
      <c r="AH20" s="106">
        <f>IF(AND(O8&lt;&gt;"",MAX(O8:R17)&lt;14,MAX(O8:R17)&lt;&gt;0),"",14)</f>
        <v>14</v>
      </c>
      <c r="AI20" s="106">
        <f>IF(AND(O8&lt;&gt;"",MAX(O8:R17)&lt;15,MAX(O8:R17)&lt;&gt;0),"",15)</f>
        <v>15</v>
      </c>
      <c r="AJ20" s="106">
        <f>IF(AND(O8&lt;&gt;"",MAX(O8:R17)&lt;16,MAX(O8:R17)&lt;&gt;0),"",16)</f>
        <v>16</v>
      </c>
      <c r="AK20" s="106">
        <f>IF(AND(O8&lt;&gt;"",MAX(O8:R17)&lt;17,MAX(O8:R17)&lt;&gt;0),"",17)</f>
        <v>17</v>
      </c>
      <c r="AL20" s="106">
        <f>IF(AND(O8&lt;&gt;"",MAX(O8:R17)&lt;18,MAX(O8:R17)&lt;&gt;0),"",18)</f>
        <v>18</v>
      </c>
      <c r="AM20" s="369" t="s">
        <v>26</v>
      </c>
    </row>
    <row r="21" spans="2:51" ht="14.25" customHeight="1" x14ac:dyDescent="0.2">
      <c r="B21" s="2">
        <v>1</v>
      </c>
      <c r="C21" s="407"/>
      <c r="D21" s="407"/>
      <c r="E21" s="407"/>
      <c r="F21" s="407"/>
      <c r="G21" s="407"/>
      <c r="H21" s="407"/>
      <c r="I21" s="407"/>
      <c r="J21" s="407"/>
      <c r="K21" s="408" t="str">
        <f>IF(N21="","",VLOOKUP($N21,Reinforcements[],2,FALSE))</f>
        <v/>
      </c>
      <c r="L21" s="408"/>
      <c r="M21" s="408"/>
      <c r="N21" s="439"/>
      <c r="O21" s="439"/>
      <c r="P21" s="439"/>
      <c r="Q21" s="439"/>
      <c r="R21" s="408"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408"/>
      <c r="T21" s="431"/>
      <c r="U21" s="137"/>
      <c r="V21" s="137"/>
      <c r="W21" s="137"/>
      <c r="X21" s="137"/>
      <c r="Y21" s="137"/>
      <c r="Z21" s="137"/>
      <c r="AA21" s="137"/>
      <c r="AB21" s="137"/>
      <c r="AC21" s="137"/>
      <c r="AD21" s="137"/>
      <c r="AE21" s="137"/>
      <c r="AF21" s="137"/>
      <c r="AG21" s="137"/>
      <c r="AH21" s="137"/>
      <c r="AI21" s="137"/>
      <c r="AJ21" s="137"/>
      <c r="AK21" s="137"/>
      <c r="AL21" s="137"/>
      <c r="AM21" s="369"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4"/>
      <c r="AO21" s="4"/>
      <c r="AP21" s="4"/>
    </row>
    <row r="22" spans="2:51" ht="14.25" customHeight="1" x14ac:dyDescent="0.2">
      <c r="B22" s="2">
        <v>2</v>
      </c>
      <c r="C22" s="407"/>
      <c r="D22" s="407"/>
      <c r="E22" s="407"/>
      <c r="F22" s="407"/>
      <c r="G22" s="407"/>
      <c r="H22" s="407"/>
      <c r="I22" s="407"/>
      <c r="J22" s="407"/>
      <c r="K22" s="408" t="str">
        <f>IF(N22="","",VLOOKUP($N22,Reinforcements[],2,FALSE))</f>
        <v/>
      </c>
      <c r="L22" s="408"/>
      <c r="M22" s="408"/>
      <c r="N22" s="439"/>
      <c r="O22" s="439"/>
      <c r="P22" s="439"/>
      <c r="Q22" s="439"/>
      <c r="R22" s="408"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408"/>
      <c r="T22" s="431"/>
      <c r="U22" s="137"/>
      <c r="V22" s="137"/>
      <c r="W22" s="137"/>
      <c r="X22" s="137"/>
      <c r="Y22" s="137"/>
      <c r="Z22" s="137"/>
      <c r="AA22" s="137"/>
      <c r="AB22" s="137"/>
      <c r="AC22" s="137"/>
      <c r="AD22" s="137"/>
      <c r="AE22" s="137"/>
      <c r="AF22" s="137"/>
      <c r="AG22" s="137"/>
      <c r="AH22" s="137"/>
      <c r="AI22" s="137"/>
      <c r="AJ22" s="137"/>
      <c r="AK22" s="137"/>
      <c r="AL22" s="137"/>
      <c r="AM22" s="369"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4"/>
      <c r="AO22" s="4"/>
      <c r="AP22" s="4"/>
    </row>
    <row r="23" spans="2:51" ht="14.25" customHeight="1" x14ac:dyDescent="0.2">
      <c r="B23" s="2">
        <v>3</v>
      </c>
      <c r="C23" s="407"/>
      <c r="D23" s="407"/>
      <c r="E23" s="407"/>
      <c r="F23" s="407"/>
      <c r="G23" s="407"/>
      <c r="H23" s="407"/>
      <c r="I23" s="407"/>
      <c r="J23" s="407"/>
      <c r="K23" s="408" t="str">
        <f>IF(N23="","",VLOOKUP($N23,Reinforcements[],2,FALSE))</f>
        <v/>
      </c>
      <c r="L23" s="408"/>
      <c r="M23" s="408"/>
      <c r="N23" s="439"/>
      <c r="O23" s="439"/>
      <c r="P23" s="439"/>
      <c r="Q23" s="439"/>
      <c r="R23" s="408"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408"/>
      <c r="T23" s="431"/>
      <c r="U23" s="137"/>
      <c r="V23" s="137"/>
      <c r="W23" s="137"/>
      <c r="X23" s="137"/>
      <c r="Y23" s="137"/>
      <c r="Z23" s="137"/>
      <c r="AA23" s="137"/>
      <c r="AB23" s="137"/>
      <c r="AC23" s="137"/>
      <c r="AD23" s="137"/>
      <c r="AE23" s="137"/>
      <c r="AF23" s="137"/>
      <c r="AG23" s="137"/>
      <c r="AH23" s="137"/>
      <c r="AI23" s="137"/>
      <c r="AJ23" s="137"/>
      <c r="AK23" s="137"/>
      <c r="AL23" s="137"/>
      <c r="AM23" s="369" t="str">
        <f t="shared" si="3"/>
        <v/>
      </c>
      <c r="AN23" s="4"/>
      <c r="AO23" s="4"/>
      <c r="AP23" s="4"/>
    </row>
    <row r="24" spans="2:51" ht="14.25" customHeight="1" x14ac:dyDescent="0.2">
      <c r="B24" s="2">
        <v>4</v>
      </c>
      <c r="C24" s="407"/>
      <c r="D24" s="407"/>
      <c r="E24" s="407"/>
      <c r="F24" s="407"/>
      <c r="G24" s="407"/>
      <c r="H24" s="407"/>
      <c r="I24" s="407"/>
      <c r="J24" s="407"/>
      <c r="K24" s="408" t="str">
        <f>IF(N24="","",VLOOKUP($N24,Reinforcements[],2,FALSE))</f>
        <v/>
      </c>
      <c r="L24" s="408"/>
      <c r="M24" s="408"/>
      <c r="N24" s="439"/>
      <c r="O24" s="439"/>
      <c r="P24" s="439"/>
      <c r="Q24" s="439"/>
      <c r="R24" s="408"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408"/>
      <c r="T24" s="431"/>
      <c r="U24" s="137"/>
      <c r="V24" s="137"/>
      <c r="W24" s="137"/>
      <c r="X24" s="137"/>
      <c r="Y24" s="137"/>
      <c r="Z24" s="137"/>
      <c r="AA24" s="137"/>
      <c r="AB24" s="137"/>
      <c r="AC24" s="137"/>
      <c r="AD24" s="137"/>
      <c r="AE24" s="137"/>
      <c r="AF24" s="137"/>
      <c r="AG24" s="137"/>
      <c r="AH24" s="137"/>
      <c r="AI24" s="137"/>
      <c r="AJ24" s="137"/>
      <c r="AK24" s="137"/>
      <c r="AL24" s="137"/>
      <c r="AM24" s="369" t="str">
        <f t="shared" si="3"/>
        <v/>
      </c>
      <c r="AN24" s="4"/>
      <c r="AO24" s="4"/>
      <c r="AP24" s="4"/>
    </row>
    <row r="25" spans="2:51" ht="14.25" customHeight="1" x14ac:dyDescent="0.2">
      <c r="B25" s="2">
        <v>5</v>
      </c>
      <c r="C25" s="407"/>
      <c r="D25" s="407"/>
      <c r="E25" s="407"/>
      <c r="F25" s="407"/>
      <c r="G25" s="407"/>
      <c r="H25" s="407"/>
      <c r="I25" s="407"/>
      <c r="J25" s="407"/>
      <c r="K25" s="408" t="str">
        <f>IF(N25="","",VLOOKUP($N25,Reinforcements[],2,FALSE))</f>
        <v/>
      </c>
      <c r="L25" s="408"/>
      <c r="M25" s="408"/>
      <c r="N25" s="439"/>
      <c r="O25" s="439"/>
      <c r="P25" s="439"/>
      <c r="Q25" s="439"/>
      <c r="R25" s="408"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408"/>
      <c r="T25" s="431"/>
      <c r="U25" s="137"/>
      <c r="V25" s="137"/>
      <c r="W25" s="137"/>
      <c r="X25" s="137"/>
      <c r="Y25" s="137"/>
      <c r="Z25" s="137"/>
      <c r="AA25" s="137"/>
      <c r="AB25" s="137"/>
      <c r="AC25" s="137"/>
      <c r="AD25" s="137"/>
      <c r="AE25" s="137"/>
      <c r="AF25" s="137"/>
      <c r="AG25" s="137"/>
      <c r="AH25" s="137"/>
      <c r="AI25" s="137"/>
      <c r="AJ25" s="137"/>
      <c r="AK25" s="137"/>
      <c r="AL25" s="137"/>
      <c r="AM25" s="369" t="str">
        <f t="shared" si="3"/>
        <v/>
      </c>
      <c r="AN25" s="4"/>
      <c r="AO25" s="4"/>
      <c r="AP25" s="4"/>
    </row>
    <row r="26" spans="2:51" ht="14.25" customHeight="1" x14ac:dyDescent="0.2">
      <c r="B26" s="2">
        <v>6</v>
      </c>
      <c r="C26" s="407"/>
      <c r="D26" s="407"/>
      <c r="E26" s="407"/>
      <c r="F26" s="407"/>
      <c r="G26" s="407"/>
      <c r="H26" s="407"/>
      <c r="I26" s="407"/>
      <c r="J26" s="407"/>
      <c r="K26" s="408" t="str">
        <f>IF(N26="","",VLOOKUP($N26,Reinforcements[],2,FALSE))</f>
        <v/>
      </c>
      <c r="L26" s="408"/>
      <c r="M26" s="408"/>
      <c r="N26" s="439"/>
      <c r="O26" s="439"/>
      <c r="P26" s="439"/>
      <c r="Q26" s="439"/>
      <c r="R26" s="408"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408"/>
      <c r="T26" s="431"/>
      <c r="U26" s="137"/>
      <c r="V26" s="137"/>
      <c r="W26" s="137"/>
      <c r="X26" s="137"/>
      <c r="Y26" s="137"/>
      <c r="Z26" s="137"/>
      <c r="AA26" s="137"/>
      <c r="AB26" s="137"/>
      <c r="AC26" s="137"/>
      <c r="AD26" s="137"/>
      <c r="AE26" s="137"/>
      <c r="AF26" s="137"/>
      <c r="AG26" s="137"/>
      <c r="AH26" s="137"/>
      <c r="AI26" s="137"/>
      <c r="AJ26" s="137"/>
      <c r="AK26" s="137"/>
      <c r="AL26" s="137"/>
      <c r="AM26" s="369" t="str">
        <f t="shared" si="3"/>
        <v/>
      </c>
      <c r="AN26" s="4"/>
      <c r="AO26" s="4"/>
      <c r="AP26" s="4"/>
    </row>
    <row r="27" spans="2:51" ht="14.25" customHeight="1" x14ac:dyDescent="0.2">
      <c r="B27" s="2">
        <v>7</v>
      </c>
      <c r="C27" s="407"/>
      <c r="D27" s="407"/>
      <c r="E27" s="407"/>
      <c r="F27" s="407"/>
      <c r="G27" s="407"/>
      <c r="H27" s="407"/>
      <c r="I27" s="407"/>
      <c r="J27" s="407"/>
      <c r="K27" s="408" t="str">
        <f>IF(N27="","",VLOOKUP($N27,Reinforcements[],2,FALSE))</f>
        <v/>
      </c>
      <c r="L27" s="408"/>
      <c r="M27" s="408"/>
      <c r="N27" s="439"/>
      <c r="O27" s="439"/>
      <c r="P27" s="439"/>
      <c r="Q27" s="439"/>
      <c r="R27" s="408"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408"/>
      <c r="T27" s="431"/>
      <c r="U27" s="137"/>
      <c r="V27" s="137"/>
      <c r="W27" s="137"/>
      <c r="X27" s="137"/>
      <c r="Y27" s="137"/>
      <c r="Z27" s="137"/>
      <c r="AA27" s="137"/>
      <c r="AB27" s="137"/>
      <c r="AC27" s="137"/>
      <c r="AD27" s="137"/>
      <c r="AE27" s="137"/>
      <c r="AF27" s="137"/>
      <c r="AG27" s="137"/>
      <c r="AH27" s="137"/>
      <c r="AI27" s="137"/>
      <c r="AJ27" s="137"/>
      <c r="AK27" s="137"/>
      <c r="AL27" s="137"/>
      <c r="AM27" s="369" t="str">
        <f t="shared" si="3"/>
        <v/>
      </c>
      <c r="AN27" s="4"/>
      <c r="AO27" s="4"/>
      <c r="AP27" s="4" t="str">
        <f>IF(AS19="","","elevation =")</f>
        <v/>
      </c>
      <c r="AQ27" t="str">
        <f>IF(AS19="","","elevation =")</f>
        <v/>
      </c>
    </row>
    <row r="28" spans="2:51" ht="14.25" customHeight="1" x14ac:dyDescent="0.2">
      <c r="B28" s="2">
        <v>8</v>
      </c>
      <c r="C28" s="407"/>
      <c r="D28" s="407"/>
      <c r="E28" s="407"/>
      <c r="F28" s="407"/>
      <c r="G28" s="407"/>
      <c r="H28" s="407"/>
      <c r="I28" s="407"/>
      <c r="J28" s="407"/>
      <c r="K28" s="408" t="str">
        <f>IF(N28="","",VLOOKUP($N28,Reinforcements[],2,FALSE))</f>
        <v/>
      </c>
      <c r="L28" s="408"/>
      <c r="M28" s="408"/>
      <c r="N28" s="439"/>
      <c r="O28" s="439"/>
      <c r="P28" s="439"/>
      <c r="Q28" s="439"/>
      <c r="R28" s="408"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408"/>
      <c r="T28" s="431"/>
      <c r="U28" s="137"/>
      <c r="V28" s="137"/>
      <c r="W28" s="137"/>
      <c r="X28" s="137"/>
      <c r="Y28" s="137"/>
      <c r="Z28" s="137"/>
      <c r="AA28" s="137"/>
      <c r="AB28" s="137"/>
      <c r="AC28" s="137"/>
      <c r="AD28" s="137"/>
      <c r="AE28" s="137"/>
      <c r="AF28" s="137"/>
      <c r="AG28" s="137"/>
      <c r="AH28" s="137"/>
      <c r="AI28" s="137"/>
      <c r="AJ28" s="137"/>
      <c r="AK28" s="137"/>
      <c r="AL28" s="137"/>
      <c r="AM28" s="369" t="str">
        <f t="shared" si="3"/>
        <v/>
      </c>
      <c r="AN28" s="4"/>
      <c r="AO28" s="4"/>
      <c r="AP28" s="4"/>
    </row>
    <row r="29" spans="2:51" ht="14.25" customHeight="1" x14ac:dyDescent="0.2">
      <c r="B29" s="2">
        <v>9</v>
      </c>
      <c r="C29" s="407"/>
      <c r="D29" s="407"/>
      <c r="E29" s="407"/>
      <c r="F29" s="407"/>
      <c r="G29" s="407"/>
      <c r="H29" s="407"/>
      <c r="I29" s="407"/>
      <c r="J29" s="407"/>
      <c r="K29" s="408" t="str">
        <f>IF(N29="","",VLOOKUP($N29,Reinforcements[],2,FALSE))</f>
        <v/>
      </c>
      <c r="L29" s="408"/>
      <c r="M29" s="408"/>
      <c r="N29" s="439"/>
      <c r="O29" s="439"/>
      <c r="P29" s="439"/>
      <c r="Q29" s="439"/>
      <c r="R29" s="408"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408"/>
      <c r="T29" s="431"/>
      <c r="U29" s="137"/>
      <c r="V29" s="137"/>
      <c r="W29" s="137"/>
      <c r="X29" s="137"/>
      <c r="Y29" s="137"/>
      <c r="Z29" s="137"/>
      <c r="AA29" s="137"/>
      <c r="AB29" s="137"/>
      <c r="AC29" s="137"/>
      <c r="AD29" s="137"/>
      <c r="AE29" s="137"/>
      <c r="AF29" s="137"/>
      <c r="AG29" s="137"/>
      <c r="AH29" s="137"/>
      <c r="AI29" s="137"/>
      <c r="AJ29" s="137"/>
      <c r="AK29" s="137"/>
      <c r="AL29" s="137"/>
      <c r="AM29" s="369" t="str">
        <f t="shared" si="3"/>
        <v/>
      </c>
      <c r="AN29" s="4"/>
      <c r="AO29" s="4"/>
      <c r="AP29" s="4"/>
    </row>
    <row r="30" spans="2:51" ht="14.25" customHeight="1" x14ac:dyDescent="0.2">
      <c r="B30" s="2">
        <v>10</v>
      </c>
      <c r="C30" s="407"/>
      <c r="D30" s="407"/>
      <c r="E30" s="407"/>
      <c r="F30" s="407"/>
      <c r="G30" s="407"/>
      <c r="H30" s="407"/>
      <c r="I30" s="407"/>
      <c r="J30" s="407"/>
      <c r="K30" s="408" t="str">
        <f>IF(N30="","",VLOOKUP($N30,Reinforcements[],2,FALSE))</f>
        <v/>
      </c>
      <c r="L30" s="408"/>
      <c r="M30" s="408"/>
      <c r="N30" s="439"/>
      <c r="O30" s="439"/>
      <c r="P30" s="439"/>
      <c r="Q30" s="439"/>
      <c r="R30" s="408"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408"/>
      <c r="T30" s="431"/>
      <c r="U30" s="137"/>
      <c r="V30" s="137"/>
      <c r="W30" s="137"/>
      <c r="X30" s="137"/>
      <c r="Y30" s="137"/>
      <c r="Z30" s="137"/>
      <c r="AA30" s="137"/>
      <c r="AB30" s="137"/>
      <c r="AC30" s="137"/>
      <c r="AD30" s="137"/>
      <c r="AE30" s="137"/>
      <c r="AF30" s="137"/>
      <c r="AG30" s="137"/>
      <c r="AH30" s="137"/>
      <c r="AI30" s="137"/>
      <c r="AJ30" s="137"/>
      <c r="AK30" s="137"/>
      <c r="AL30" s="137"/>
      <c r="AM30" s="369" t="str">
        <f t="shared" si="3"/>
        <v/>
      </c>
      <c r="AN30" s="4"/>
      <c r="AO30" s="4"/>
      <c r="AP30" s="4"/>
    </row>
    <row r="31" spans="2:51" ht="14.25" customHeight="1" x14ac:dyDescent="0.2">
      <c r="B31" s="2">
        <v>11</v>
      </c>
      <c r="C31" s="407"/>
      <c r="D31" s="407"/>
      <c r="E31" s="407"/>
      <c r="F31" s="407"/>
      <c r="G31" s="407"/>
      <c r="H31" s="407"/>
      <c r="I31" s="407"/>
      <c r="J31" s="407"/>
      <c r="K31" s="408" t="str">
        <f>IF(N31="","",VLOOKUP($N31,Reinforcements[],2,FALSE))</f>
        <v/>
      </c>
      <c r="L31" s="408"/>
      <c r="M31" s="408"/>
      <c r="N31" s="439"/>
      <c r="O31" s="439"/>
      <c r="P31" s="439"/>
      <c r="Q31" s="439"/>
      <c r="R31" s="408"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408"/>
      <c r="T31" s="431"/>
      <c r="U31" s="103"/>
      <c r="V31" s="103"/>
      <c r="W31" s="103"/>
      <c r="X31" s="103"/>
      <c r="Y31" s="103"/>
      <c r="Z31" s="103"/>
      <c r="AA31" s="103"/>
      <c r="AB31" s="103"/>
      <c r="AC31" s="103"/>
      <c r="AD31" s="103"/>
      <c r="AE31" s="103"/>
      <c r="AF31" s="103"/>
      <c r="AG31" s="103"/>
      <c r="AH31" s="103"/>
      <c r="AI31" s="103"/>
      <c r="AJ31" s="103"/>
      <c r="AK31" s="103"/>
      <c r="AL31" s="103"/>
      <c r="AM31" s="369" t="str">
        <f t="shared" si="3"/>
        <v/>
      </c>
    </row>
    <row r="32" spans="2:51" ht="14.25" customHeight="1" x14ac:dyDescent="0.25">
      <c r="B32" s="2">
        <v>12</v>
      </c>
      <c r="C32" s="407"/>
      <c r="D32" s="407"/>
      <c r="E32" s="407"/>
      <c r="F32" s="407"/>
      <c r="G32" s="407"/>
      <c r="H32" s="407"/>
      <c r="I32" s="407"/>
      <c r="J32" s="407"/>
      <c r="K32" s="408" t="str">
        <f>IF(N32="","",VLOOKUP($N32,Reinforcements[],2,FALSE))</f>
        <v/>
      </c>
      <c r="L32" s="408"/>
      <c r="M32" s="408"/>
      <c r="N32" s="439"/>
      <c r="O32" s="439"/>
      <c r="P32" s="439"/>
      <c r="Q32" s="439"/>
      <c r="R32" s="408"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408"/>
      <c r="T32" s="431"/>
      <c r="U32" s="103"/>
      <c r="V32" s="103"/>
      <c r="W32" s="103"/>
      <c r="X32" s="103"/>
      <c r="Y32" s="103"/>
      <c r="Z32" s="103"/>
      <c r="AA32" s="103"/>
      <c r="AB32" s="103"/>
      <c r="AC32" s="103"/>
      <c r="AD32" s="103"/>
      <c r="AE32" s="103"/>
      <c r="AF32" s="103"/>
      <c r="AG32" s="103"/>
      <c r="AH32" s="103"/>
      <c r="AI32" s="103"/>
      <c r="AJ32" s="103"/>
      <c r="AK32" s="103"/>
      <c r="AL32" s="103"/>
      <c r="AM32" s="369" t="str">
        <f t="shared" si="3"/>
        <v/>
      </c>
      <c r="AR32" s="396"/>
      <c r="AV32" s="420"/>
      <c r="AW32" s="420"/>
      <c r="AX32" s="420"/>
      <c r="AY32" s="420"/>
    </row>
    <row r="33" spans="2:39" ht="14.25" customHeight="1" x14ac:dyDescent="0.2">
      <c r="B33" s="2">
        <v>13</v>
      </c>
      <c r="C33" s="407"/>
      <c r="D33" s="407"/>
      <c r="E33" s="407"/>
      <c r="F33" s="407"/>
      <c r="G33" s="407"/>
      <c r="H33" s="407"/>
      <c r="I33" s="407"/>
      <c r="J33" s="407"/>
      <c r="K33" s="408" t="str">
        <f>IF(N33="","",VLOOKUP($N33,Reinforcements[],2,FALSE))</f>
        <v/>
      </c>
      <c r="L33" s="408"/>
      <c r="M33" s="408"/>
      <c r="N33" s="439"/>
      <c r="O33" s="439"/>
      <c r="P33" s="439"/>
      <c r="Q33" s="439"/>
      <c r="R33" s="408"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408"/>
      <c r="T33" s="431"/>
      <c r="U33" s="103"/>
      <c r="V33" s="103"/>
      <c r="W33" s="103"/>
      <c r="X33" s="103"/>
      <c r="Y33" s="103"/>
      <c r="Z33" s="103"/>
      <c r="AA33" s="103"/>
      <c r="AB33" s="103"/>
      <c r="AC33" s="103"/>
      <c r="AD33" s="103"/>
      <c r="AE33" s="103"/>
      <c r="AF33" s="103"/>
      <c r="AG33" s="103"/>
      <c r="AH33" s="103"/>
      <c r="AI33" s="103"/>
      <c r="AJ33" s="103"/>
      <c r="AK33" s="103"/>
      <c r="AL33" s="103"/>
      <c r="AM33" s="369" t="str">
        <f t="shared" si="3"/>
        <v/>
      </c>
    </row>
    <row r="34" spans="2:39" ht="14.25" customHeight="1" x14ac:dyDescent="0.2">
      <c r="B34" s="2">
        <v>14</v>
      </c>
      <c r="C34" s="407"/>
      <c r="D34" s="407"/>
      <c r="E34" s="407"/>
      <c r="F34" s="407"/>
      <c r="G34" s="407"/>
      <c r="H34" s="407"/>
      <c r="I34" s="407"/>
      <c r="J34" s="407"/>
      <c r="K34" s="408" t="str">
        <f>IF(N34="","",VLOOKUP($N34,Reinforcements[],2,FALSE))</f>
        <v/>
      </c>
      <c r="L34" s="408"/>
      <c r="M34" s="408"/>
      <c r="N34" s="439"/>
      <c r="O34" s="439"/>
      <c r="P34" s="439"/>
      <c r="Q34" s="439"/>
      <c r="R34" s="408"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408"/>
      <c r="T34" s="431"/>
      <c r="U34" s="103"/>
      <c r="V34" s="103"/>
      <c r="W34" s="103"/>
      <c r="X34" s="103"/>
      <c r="Y34" s="103"/>
      <c r="Z34" s="103"/>
      <c r="AA34" s="103"/>
      <c r="AB34" s="103"/>
      <c r="AC34" s="103"/>
      <c r="AD34" s="103"/>
      <c r="AE34" s="103"/>
      <c r="AF34" s="103"/>
      <c r="AG34" s="103"/>
      <c r="AH34" s="103"/>
      <c r="AI34" s="103"/>
      <c r="AJ34" s="103"/>
      <c r="AK34" s="103"/>
      <c r="AL34" s="103"/>
      <c r="AM34" s="369" t="str">
        <f t="shared" si="3"/>
        <v/>
      </c>
    </row>
    <row r="35" spans="2:39" ht="14.25" customHeight="1" x14ac:dyDescent="0.2">
      <c r="B35" s="2">
        <v>15</v>
      </c>
      <c r="C35" s="407"/>
      <c r="D35" s="407"/>
      <c r="E35" s="407"/>
      <c r="F35" s="407"/>
      <c r="G35" s="407"/>
      <c r="H35" s="407"/>
      <c r="I35" s="407"/>
      <c r="J35" s="407"/>
      <c r="K35" s="408" t="str">
        <f>IF(N35="","",VLOOKUP($N35,Reinforcements[],2,FALSE))</f>
        <v/>
      </c>
      <c r="L35" s="408"/>
      <c r="M35" s="408"/>
      <c r="N35" s="439"/>
      <c r="O35" s="439"/>
      <c r="P35" s="439"/>
      <c r="Q35" s="439"/>
      <c r="R35" s="408"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408"/>
      <c r="T35" s="431"/>
      <c r="U35" s="103"/>
      <c r="V35" s="103"/>
      <c r="W35" s="103"/>
      <c r="X35" s="103"/>
      <c r="Y35" s="103"/>
      <c r="Z35" s="103"/>
      <c r="AA35" s="103"/>
      <c r="AB35" s="103"/>
      <c r="AC35" s="103"/>
      <c r="AD35" s="103"/>
      <c r="AE35" s="103"/>
      <c r="AF35" s="103"/>
      <c r="AG35" s="103"/>
      <c r="AH35" s="103"/>
      <c r="AI35" s="103"/>
      <c r="AJ35" s="103"/>
      <c r="AK35" s="103"/>
      <c r="AL35" s="103"/>
      <c r="AM35" s="369" t="str">
        <f t="shared" si="3"/>
        <v/>
      </c>
    </row>
    <row r="36" spans="2:39" ht="14.25" customHeight="1" x14ac:dyDescent="0.2">
      <c r="B36" s="2">
        <v>16</v>
      </c>
      <c r="C36" s="407"/>
      <c r="D36" s="407"/>
      <c r="E36" s="407"/>
      <c r="F36" s="407"/>
      <c r="G36" s="407"/>
      <c r="H36" s="407"/>
      <c r="I36" s="407"/>
      <c r="J36" s="407"/>
      <c r="K36" s="408" t="str">
        <f>IF(N36="","",VLOOKUP($N36,Reinforcements[],2,FALSE))</f>
        <v/>
      </c>
      <c r="L36" s="408"/>
      <c r="M36" s="408"/>
      <c r="N36" s="439"/>
      <c r="O36" s="439"/>
      <c r="P36" s="439"/>
      <c r="Q36" s="439"/>
      <c r="R36" s="408"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408"/>
      <c r="T36" s="431"/>
      <c r="U36" s="103"/>
      <c r="V36" s="103"/>
      <c r="W36" s="103"/>
      <c r="X36" s="103"/>
      <c r="Y36" s="103"/>
      <c r="Z36" s="103"/>
      <c r="AA36" s="103"/>
      <c r="AB36" s="103"/>
      <c r="AC36" s="103"/>
      <c r="AD36" s="103"/>
      <c r="AE36" s="103"/>
      <c r="AF36" s="103"/>
      <c r="AG36" s="103"/>
      <c r="AH36" s="103"/>
      <c r="AI36" s="103"/>
      <c r="AJ36" s="103"/>
      <c r="AK36" s="103"/>
      <c r="AL36" s="103"/>
      <c r="AM36" s="369" t="str">
        <f t="shared" si="3"/>
        <v/>
      </c>
    </row>
    <row r="37" spans="2:39" ht="14.25" customHeight="1" x14ac:dyDescent="0.2">
      <c r="B37" s="2">
        <v>17</v>
      </c>
      <c r="C37" s="407"/>
      <c r="D37" s="407"/>
      <c r="E37" s="407"/>
      <c r="F37" s="407"/>
      <c r="G37" s="407"/>
      <c r="H37" s="407"/>
      <c r="I37" s="407"/>
      <c r="J37" s="407"/>
      <c r="K37" s="408" t="str">
        <f>IF(N37="","",VLOOKUP($N37,Reinforcements[],2,FALSE))</f>
        <v/>
      </c>
      <c r="L37" s="408"/>
      <c r="M37" s="408"/>
      <c r="N37" s="439"/>
      <c r="O37" s="439"/>
      <c r="P37" s="439"/>
      <c r="Q37" s="439"/>
      <c r="R37" s="408"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408"/>
      <c r="T37" s="431"/>
      <c r="U37" s="103"/>
      <c r="V37" s="103"/>
      <c r="W37" s="103"/>
      <c r="X37" s="103"/>
      <c r="Y37" s="103"/>
      <c r="Z37" s="103"/>
      <c r="AA37" s="103"/>
      <c r="AB37" s="103"/>
      <c r="AC37" s="103"/>
      <c r="AD37" s="103"/>
      <c r="AE37" s="103"/>
      <c r="AF37" s="103"/>
      <c r="AG37" s="103"/>
      <c r="AH37" s="103"/>
      <c r="AI37" s="103"/>
      <c r="AJ37" s="103"/>
      <c r="AK37" s="103"/>
      <c r="AL37" s="103"/>
      <c r="AM37" s="369" t="str">
        <f t="shared" si="3"/>
        <v/>
      </c>
    </row>
    <row r="38" spans="2:39" ht="14.25" customHeight="1" x14ac:dyDescent="0.2">
      <c r="B38" s="2">
        <v>18</v>
      </c>
      <c r="C38" s="407"/>
      <c r="D38" s="407"/>
      <c r="E38" s="407"/>
      <c r="F38" s="407"/>
      <c r="G38" s="407"/>
      <c r="H38" s="407"/>
      <c r="I38" s="407"/>
      <c r="J38" s="407"/>
      <c r="K38" s="408" t="str">
        <f>IF(N38="","",VLOOKUP($N38,Reinforcements[],2,FALSE))</f>
        <v/>
      </c>
      <c r="L38" s="408"/>
      <c r="M38" s="408"/>
      <c r="N38" s="439"/>
      <c r="O38" s="439"/>
      <c r="P38" s="439"/>
      <c r="Q38" s="439"/>
      <c r="R38" s="408"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408"/>
      <c r="T38" s="431"/>
      <c r="U38" s="103"/>
      <c r="V38" s="103"/>
      <c r="W38" s="103"/>
      <c r="X38" s="103"/>
      <c r="Y38" s="103"/>
      <c r="Z38" s="103"/>
      <c r="AA38" s="103"/>
      <c r="AB38" s="103"/>
      <c r="AC38" s="103"/>
      <c r="AD38" s="103"/>
      <c r="AE38" s="103"/>
      <c r="AF38" s="103"/>
      <c r="AG38" s="103"/>
      <c r="AH38" s="103"/>
      <c r="AI38" s="103"/>
      <c r="AJ38" s="103"/>
      <c r="AK38" s="103"/>
      <c r="AL38" s="103"/>
      <c r="AM38" s="369" t="str">
        <f t="shared" si="3"/>
        <v/>
      </c>
    </row>
    <row r="39" spans="2:39" ht="14.25" customHeight="1" x14ac:dyDescent="0.2">
      <c r="B39" s="2">
        <v>19</v>
      </c>
      <c r="C39" s="407"/>
      <c r="D39" s="407"/>
      <c r="E39" s="407"/>
      <c r="F39" s="407"/>
      <c r="G39" s="407"/>
      <c r="H39" s="407"/>
      <c r="I39" s="407"/>
      <c r="J39" s="407"/>
      <c r="K39" s="408" t="str">
        <f>IF(N39="","",VLOOKUP($N39,Reinforcements[],2,FALSE))</f>
        <v/>
      </c>
      <c r="L39" s="408"/>
      <c r="M39" s="408"/>
      <c r="N39" s="439"/>
      <c r="O39" s="439"/>
      <c r="P39" s="439"/>
      <c r="Q39" s="439"/>
      <c r="R39" s="408"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408"/>
      <c r="T39" s="431"/>
      <c r="U39" s="103"/>
      <c r="V39" s="103"/>
      <c r="W39" s="103"/>
      <c r="X39" s="103"/>
      <c r="Y39" s="103"/>
      <c r="Z39" s="103"/>
      <c r="AA39" s="103"/>
      <c r="AB39" s="103"/>
      <c r="AC39" s="103"/>
      <c r="AD39" s="103"/>
      <c r="AE39" s="103"/>
      <c r="AF39" s="103"/>
      <c r="AG39" s="103"/>
      <c r="AH39" s="103"/>
      <c r="AI39" s="103"/>
      <c r="AJ39" s="103"/>
      <c r="AK39" s="103"/>
      <c r="AL39" s="103"/>
      <c r="AM39" s="369" t="str">
        <f t="shared" si="3"/>
        <v/>
      </c>
    </row>
    <row r="40" spans="2:39" ht="14.25" customHeight="1" x14ac:dyDescent="0.2">
      <c r="B40" s="2">
        <v>20</v>
      </c>
      <c r="C40" s="407"/>
      <c r="D40" s="407"/>
      <c r="E40" s="407"/>
      <c r="F40" s="407"/>
      <c r="G40" s="407"/>
      <c r="H40" s="407"/>
      <c r="I40" s="407"/>
      <c r="J40" s="407"/>
      <c r="K40" s="408" t="str">
        <f>IF(N40="","",VLOOKUP($N40,Reinforcements[],2,FALSE))</f>
        <v/>
      </c>
      <c r="L40" s="408"/>
      <c r="M40" s="408"/>
      <c r="N40" s="439"/>
      <c r="O40" s="439"/>
      <c r="P40" s="439"/>
      <c r="Q40" s="439"/>
      <c r="R40" s="408"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408"/>
      <c r="T40" s="431"/>
      <c r="U40" s="103"/>
      <c r="V40" s="103"/>
      <c r="W40" s="103"/>
      <c r="X40" s="103"/>
      <c r="Y40" s="103"/>
      <c r="Z40" s="103"/>
      <c r="AA40" s="103"/>
      <c r="AB40" s="103"/>
      <c r="AC40" s="103"/>
      <c r="AD40" s="103"/>
      <c r="AE40" s="103"/>
      <c r="AF40" s="103"/>
      <c r="AG40" s="103"/>
      <c r="AH40" s="103"/>
      <c r="AI40" s="103"/>
      <c r="AJ40" s="103"/>
      <c r="AK40" s="103"/>
      <c r="AL40" s="103"/>
      <c r="AM40" s="369" t="str">
        <f t="shared" si="3"/>
        <v/>
      </c>
    </row>
    <row r="41" spans="2:39" ht="14.25" customHeight="1" x14ac:dyDescent="0.2">
      <c r="B41" s="2">
        <v>21</v>
      </c>
      <c r="C41" s="407"/>
      <c r="D41" s="407"/>
      <c r="E41" s="407"/>
      <c r="F41" s="407"/>
      <c r="G41" s="407"/>
      <c r="H41" s="407"/>
      <c r="I41" s="407"/>
      <c r="J41" s="407"/>
      <c r="K41" s="408" t="str">
        <f>IF(N41="","",VLOOKUP($N41,Reinforcements[],2,FALSE))</f>
        <v/>
      </c>
      <c r="L41" s="408"/>
      <c r="M41" s="408"/>
      <c r="N41" s="439"/>
      <c r="O41" s="439"/>
      <c r="P41" s="439"/>
      <c r="Q41" s="439"/>
      <c r="R41" s="408"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408"/>
      <c r="T41" s="431"/>
      <c r="U41" s="103"/>
      <c r="V41" s="103"/>
      <c r="W41" s="103"/>
      <c r="X41" s="103"/>
      <c r="Y41" s="103"/>
      <c r="Z41" s="103"/>
      <c r="AA41" s="103"/>
      <c r="AB41" s="103"/>
      <c r="AC41" s="103"/>
      <c r="AD41" s="103"/>
      <c r="AE41" s="103"/>
      <c r="AF41" s="103"/>
      <c r="AG41" s="103"/>
      <c r="AH41" s="103"/>
      <c r="AI41" s="103"/>
      <c r="AJ41" s="103"/>
      <c r="AK41" s="103"/>
      <c r="AL41" s="103"/>
      <c r="AM41" s="369" t="str">
        <f t="shared" si="3"/>
        <v/>
      </c>
    </row>
    <row r="42" spans="2:39" ht="14.25" customHeight="1" x14ac:dyDescent="0.2">
      <c r="B42" s="2">
        <v>22</v>
      </c>
      <c r="C42" s="407"/>
      <c r="D42" s="407"/>
      <c r="E42" s="407"/>
      <c r="F42" s="407"/>
      <c r="G42" s="407"/>
      <c r="H42" s="407"/>
      <c r="I42" s="407"/>
      <c r="J42" s="407"/>
      <c r="K42" s="408" t="str">
        <f>IF(N42="","",VLOOKUP($N42,Reinforcements[],2,FALSE))</f>
        <v/>
      </c>
      <c r="L42" s="408"/>
      <c r="M42" s="408"/>
      <c r="N42" s="439"/>
      <c r="O42" s="439"/>
      <c r="P42" s="439"/>
      <c r="Q42" s="439"/>
      <c r="R42" s="408"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408"/>
      <c r="T42" s="431"/>
      <c r="U42" s="103"/>
      <c r="V42" s="103"/>
      <c r="W42" s="103"/>
      <c r="X42" s="103"/>
      <c r="Y42" s="103"/>
      <c r="Z42" s="103"/>
      <c r="AA42" s="103"/>
      <c r="AB42" s="103"/>
      <c r="AC42" s="103"/>
      <c r="AD42" s="103"/>
      <c r="AE42" s="103"/>
      <c r="AF42" s="103"/>
      <c r="AG42" s="103"/>
      <c r="AH42" s="103"/>
      <c r="AI42" s="103"/>
      <c r="AJ42" s="103"/>
      <c r="AK42" s="103"/>
      <c r="AL42" s="103"/>
      <c r="AM42" s="369" t="str">
        <f t="shared" si="3"/>
        <v/>
      </c>
    </row>
    <row r="43" spans="2:39" ht="14.25" hidden="1" customHeight="1" x14ac:dyDescent="0.2">
      <c r="B43" s="2">
        <v>23</v>
      </c>
      <c r="C43" s="407"/>
      <c r="D43" s="407"/>
      <c r="E43" s="407"/>
      <c r="F43" s="407"/>
      <c r="G43" s="407"/>
      <c r="H43" s="407"/>
      <c r="I43" s="407"/>
      <c r="J43" s="407"/>
      <c r="K43" s="408" t="str">
        <f>IF(N43="","",VLOOKUP($N43,Reinforcements[],2,FALSE))</f>
        <v/>
      </c>
      <c r="L43" s="408"/>
      <c r="M43" s="408"/>
      <c r="N43" s="439"/>
      <c r="O43" s="439"/>
      <c r="P43" s="439"/>
      <c r="Q43" s="439"/>
      <c r="R43" s="408"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408"/>
      <c r="T43" s="431"/>
      <c r="U43" s="103"/>
      <c r="V43" s="103"/>
      <c r="W43" s="103"/>
      <c r="X43" s="103"/>
      <c r="Y43" s="103"/>
      <c r="Z43" s="103"/>
      <c r="AA43" s="103"/>
      <c r="AB43" s="103"/>
      <c r="AC43" s="103"/>
      <c r="AD43" s="103"/>
      <c r="AE43" s="103"/>
      <c r="AF43" s="103"/>
      <c r="AG43" s="103"/>
      <c r="AH43" s="103"/>
      <c r="AI43" s="103"/>
      <c r="AJ43" s="103"/>
      <c r="AK43" s="103"/>
      <c r="AL43" s="103"/>
      <c r="AM43" s="369" t="str">
        <f t="shared" si="3"/>
        <v/>
      </c>
    </row>
    <row r="44" spans="2:39" ht="14.25" hidden="1" customHeight="1" x14ac:dyDescent="0.2">
      <c r="B44" s="2">
        <v>24</v>
      </c>
      <c r="C44" s="407"/>
      <c r="D44" s="407"/>
      <c r="E44" s="407"/>
      <c r="F44" s="407"/>
      <c r="G44" s="407"/>
      <c r="H44" s="407"/>
      <c r="I44" s="407"/>
      <c r="J44" s="407"/>
      <c r="K44" s="408" t="str">
        <f>IF(N44="","",VLOOKUP($N44,Reinforcements[],2,FALSE))</f>
        <v/>
      </c>
      <c r="L44" s="408"/>
      <c r="M44" s="408"/>
      <c r="N44" s="439"/>
      <c r="O44" s="439"/>
      <c r="P44" s="439"/>
      <c r="Q44" s="439"/>
      <c r="R44" s="408"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408"/>
      <c r="T44" s="431"/>
      <c r="U44" s="103"/>
      <c r="V44" s="103"/>
      <c r="W44" s="103"/>
      <c r="X44" s="103"/>
      <c r="Y44" s="103"/>
      <c r="Z44" s="103"/>
      <c r="AA44" s="103"/>
      <c r="AB44" s="103"/>
      <c r="AC44" s="103"/>
      <c r="AD44" s="103"/>
      <c r="AE44" s="103"/>
      <c r="AF44" s="103"/>
      <c r="AG44" s="103"/>
      <c r="AH44" s="103"/>
      <c r="AI44" s="103"/>
      <c r="AJ44" s="103"/>
      <c r="AK44" s="103"/>
      <c r="AL44" s="103"/>
      <c r="AM44" s="369" t="str">
        <f t="shared" si="3"/>
        <v/>
      </c>
    </row>
    <row r="45" spans="2:39" ht="14.25" hidden="1" customHeight="1" x14ac:dyDescent="0.2">
      <c r="B45" s="2">
        <v>25</v>
      </c>
      <c r="C45" s="407"/>
      <c r="D45" s="407"/>
      <c r="E45" s="407"/>
      <c r="F45" s="407"/>
      <c r="G45" s="407"/>
      <c r="H45" s="407"/>
      <c r="I45" s="407"/>
      <c r="J45" s="407"/>
      <c r="K45" s="408" t="str">
        <f>IF(N45="","",VLOOKUP($N45,Reinforcements[],2,FALSE))</f>
        <v/>
      </c>
      <c r="L45" s="408"/>
      <c r="M45" s="408"/>
      <c r="N45" s="439"/>
      <c r="O45" s="439"/>
      <c r="P45" s="439"/>
      <c r="Q45" s="439"/>
      <c r="R45" s="408"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408"/>
      <c r="T45" s="431"/>
      <c r="U45" s="103"/>
      <c r="V45" s="103"/>
      <c r="W45" s="103"/>
      <c r="X45" s="103"/>
      <c r="Y45" s="103"/>
      <c r="Z45" s="103"/>
      <c r="AA45" s="103"/>
      <c r="AB45" s="103"/>
      <c r="AC45" s="103"/>
      <c r="AD45" s="103"/>
      <c r="AE45" s="103"/>
      <c r="AF45" s="103"/>
      <c r="AG45" s="103"/>
      <c r="AH45" s="103"/>
      <c r="AI45" s="103"/>
      <c r="AJ45" s="103"/>
      <c r="AK45" s="103"/>
      <c r="AL45" s="103"/>
      <c r="AM45" s="369" t="str">
        <f t="shared" si="3"/>
        <v/>
      </c>
    </row>
    <row r="46" spans="2:39" ht="14.25" hidden="1" customHeight="1" x14ac:dyDescent="0.2">
      <c r="B46" s="2">
        <v>26</v>
      </c>
      <c r="C46" s="407"/>
      <c r="D46" s="407"/>
      <c r="E46" s="407"/>
      <c r="F46" s="407"/>
      <c r="G46" s="407"/>
      <c r="H46" s="407"/>
      <c r="I46" s="407"/>
      <c r="J46" s="407"/>
      <c r="K46" s="408" t="str">
        <f>IF(N46="","",VLOOKUP($N46,Reinforcements[],2,FALSE))</f>
        <v/>
      </c>
      <c r="L46" s="408"/>
      <c r="M46" s="408"/>
      <c r="N46" s="439"/>
      <c r="O46" s="439"/>
      <c r="P46" s="439"/>
      <c r="Q46" s="439"/>
      <c r="R46" s="408"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408"/>
      <c r="T46" s="431"/>
      <c r="U46" s="103"/>
      <c r="V46" s="103"/>
      <c r="W46" s="103"/>
      <c r="X46" s="103"/>
      <c r="Y46" s="103"/>
      <c r="Z46" s="103"/>
      <c r="AA46" s="103"/>
      <c r="AB46" s="103"/>
      <c r="AC46" s="103"/>
      <c r="AD46" s="103"/>
      <c r="AE46" s="103"/>
      <c r="AF46" s="103"/>
      <c r="AG46" s="103"/>
      <c r="AH46" s="103"/>
      <c r="AI46" s="103"/>
      <c r="AJ46" s="103"/>
      <c r="AK46" s="103"/>
      <c r="AL46" s="103"/>
      <c r="AM46" s="369" t="str">
        <f t="shared" si="3"/>
        <v/>
      </c>
    </row>
    <row r="47" spans="2:39" ht="14.25" hidden="1" customHeight="1" x14ac:dyDescent="0.2">
      <c r="B47" s="2">
        <v>27</v>
      </c>
      <c r="C47" s="407"/>
      <c r="D47" s="407"/>
      <c r="E47" s="407"/>
      <c r="F47" s="407"/>
      <c r="G47" s="407"/>
      <c r="H47" s="407"/>
      <c r="I47" s="407"/>
      <c r="J47" s="407"/>
      <c r="K47" s="408" t="str">
        <f>IF(N47="","",VLOOKUP($N47,Reinforcements[],2,FALSE))</f>
        <v/>
      </c>
      <c r="L47" s="408"/>
      <c r="M47" s="408"/>
      <c r="N47" s="439"/>
      <c r="O47" s="439"/>
      <c r="P47" s="439"/>
      <c r="Q47" s="439"/>
      <c r="R47" s="408"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408"/>
      <c r="T47" s="431"/>
      <c r="U47" s="103"/>
      <c r="V47" s="103"/>
      <c r="W47" s="103"/>
      <c r="X47" s="103"/>
      <c r="Y47" s="103"/>
      <c r="Z47" s="103"/>
      <c r="AA47" s="103"/>
      <c r="AB47" s="103"/>
      <c r="AC47" s="103"/>
      <c r="AD47" s="103"/>
      <c r="AE47" s="103"/>
      <c r="AF47" s="103"/>
      <c r="AG47" s="103"/>
      <c r="AH47" s="103"/>
      <c r="AI47" s="103"/>
      <c r="AJ47" s="103"/>
      <c r="AK47" s="103"/>
      <c r="AL47" s="103"/>
      <c r="AM47" s="369" t="str">
        <f t="shared" si="3"/>
        <v/>
      </c>
    </row>
    <row r="48" spans="2:39" ht="14.25" hidden="1" customHeight="1" x14ac:dyDescent="0.2">
      <c r="B48" s="2">
        <v>28</v>
      </c>
      <c r="C48" s="407"/>
      <c r="D48" s="407"/>
      <c r="E48" s="407"/>
      <c r="F48" s="407"/>
      <c r="G48" s="407"/>
      <c r="H48" s="407"/>
      <c r="I48" s="407"/>
      <c r="J48" s="407"/>
      <c r="K48" s="408" t="str">
        <f>IF(N48="","",VLOOKUP($N48,Reinforcements[],2,FALSE))</f>
        <v/>
      </c>
      <c r="L48" s="408"/>
      <c r="M48" s="408"/>
      <c r="N48" s="439"/>
      <c r="O48" s="439"/>
      <c r="P48" s="439"/>
      <c r="Q48" s="439"/>
      <c r="R48" s="408"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408"/>
      <c r="T48" s="431"/>
      <c r="U48" s="103"/>
      <c r="V48" s="103"/>
      <c r="W48" s="103"/>
      <c r="X48" s="103"/>
      <c r="Y48" s="103"/>
      <c r="Z48" s="103"/>
      <c r="AA48" s="103"/>
      <c r="AB48" s="103"/>
      <c r="AC48" s="103"/>
      <c r="AD48" s="103"/>
      <c r="AE48" s="103"/>
      <c r="AF48" s="103"/>
      <c r="AG48" s="103"/>
      <c r="AH48" s="103"/>
      <c r="AI48" s="103"/>
      <c r="AJ48" s="103"/>
      <c r="AK48" s="103"/>
      <c r="AL48" s="103"/>
      <c r="AM48" s="369" t="str">
        <f t="shared" si="3"/>
        <v/>
      </c>
    </row>
    <row r="49" spans="2:39" ht="14.25" hidden="1" customHeight="1" x14ac:dyDescent="0.2">
      <c r="B49" s="2">
        <v>29</v>
      </c>
      <c r="C49" s="407"/>
      <c r="D49" s="407"/>
      <c r="E49" s="407"/>
      <c r="F49" s="407"/>
      <c r="G49" s="407"/>
      <c r="H49" s="407"/>
      <c r="I49" s="407"/>
      <c r="J49" s="407"/>
      <c r="K49" s="408" t="str">
        <f>IF(N49="","",VLOOKUP($N49,Reinforcements[],2,FALSE))</f>
        <v/>
      </c>
      <c r="L49" s="408"/>
      <c r="M49" s="408"/>
      <c r="N49" s="439"/>
      <c r="O49" s="439"/>
      <c r="P49" s="439"/>
      <c r="Q49" s="439"/>
      <c r="R49" s="408"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408"/>
      <c r="T49" s="431"/>
      <c r="U49" s="103"/>
      <c r="V49" s="103"/>
      <c r="W49" s="103"/>
      <c r="X49" s="103"/>
      <c r="Y49" s="103"/>
      <c r="Z49" s="103"/>
      <c r="AA49" s="103"/>
      <c r="AB49" s="103"/>
      <c r="AC49" s="103"/>
      <c r="AD49" s="103"/>
      <c r="AE49" s="103"/>
      <c r="AF49" s="103"/>
      <c r="AG49" s="103"/>
      <c r="AH49" s="103"/>
      <c r="AI49" s="103"/>
      <c r="AJ49" s="103"/>
      <c r="AK49" s="103"/>
      <c r="AL49" s="103"/>
      <c r="AM49" s="369" t="str">
        <f t="shared" si="3"/>
        <v/>
      </c>
    </row>
    <row r="50" spans="2:39" ht="14.25" hidden="1" customHeight="1" x14ac:dyDescent="0.2">
      <c r="B50" s="2">
        <v>30</v>
      </c>
      <c r="C50" s="407"/>
      <c r="D50" s="407"/>
      <c r="E50" s="407"/>
      <c r="F50" s="407"/>
      <c r="G50" s="407"/>
      <c r="H50" s="407"/>
      <c r="I50" s="407"/>
      <c r="J50" s="407"/>
      <c r="K50" s="408" t="str">
        <f>IF(N50="","",VLOOKUP($N50,Reinforcements[],2,FALSE))</f>
        <v/>
      </c>
      <c r="L50" s="408"/>
      <c r="M50" s="408"/>
      <c r="N50" s="439"/>
      <c r="O50" s="439"/>
      <c r="P50" s="439"/>
      <c r="Q50" s="439"/>
      <c r="R50" s="408"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408"/>
      <c r="T50" s="431"/>
      <c r="U50" s="103"/>
      <c r="V50" s="103"/>
      <c r="W50" s="103"/>
      <c r="X50" s="103"/>
      <c r="Y50" s="103"/>
      <c r="Z50" s="103"/>
      <c r="AA50" s="103"/>
      <c r="AB50" s="103"/>
      <c r="AC50" s="103"/>
      <c r="AD50" s="103"/>
      <c r="AE50" s="103"/>
      <c r="AF50" s="103"/>
      <c r="AG50" s="103"/>
      <c r="AH50" s="103"/>
      <c r="AI50" s="103"/>
      <c r="AJ50" s="103"/>
      <c r="AK50" s="103"/>
      <c r="AL50" s="103"/>
      <c r="AM50" s="369" t="str">
        <f t="shared" si="3"/>
        <v/>
      </c>
    </row>
    <row r="51" spans="2:39" ht="36.950000000000003" hidden="1" customHeight="1" x14ac:dyDescent="0.2">
      <c r="B51" s="113"/>
      <c r="C51" s="401" t="s">
        <v>27</v>
      </c>
      <c r="D51" s="402"/>
      <c r="E51" s="402"/>
      <c r="F51" s="403"/>
      <c r="G51" s="401" t="s">
        <v>28</v>
      </c>
      <c r="H51" s="402"/>
      <c r="I51" s="402"/>
      <c r="J51" s="403"/>
      <c r="K51" s="404" t="s">
        <v>29</v>
      </c>
      <c r="L51" s="405"/>
      <c r="M51" s="405"/>
      <c r="N51" s="406"/>
      <c r="O51" s="451" t="s">
        <v>30</v>
      </c>
      <c r="P51" s="452"/>
      <c r="Q51" s="453"/>
      <c r="R51" s="404" t="s">
        <v>31</v>
      </c>
      <c r="S51" s="405"/>
      <c r="T51" s="406"/>
      <c r="U51" s="107">
        <f>U20</f>
        <v>1</v>
      </c>
      <c r="V51" s="108">
        <f>V20</f>
        <v>2</v>
      </c>
      <c r="W51" s="108">
        <f t="shared" ref="W51:AL51" si="4">W20</f>
        <v>3</v>
      </c>
      <c r="X51" s="108">
        <f t="shared" si="4"/>
        <v>4</v>
      </c>
      <c r="Y51" s="108">
        <f t="shared" si="4"/>
        <v>5</v>
      </c>
      <c r="Z51" s="108">
        <f t="shared" si="4"/>
        <v>6</v>
      </c>
      <c r="AA51" s="108">
        <f t="shared" si="4"/>
        <v>7</v>
      </c>
      <c r="AB51" s="108">
        <f t="shared" si="4"/>
        <v>8</v>
      </c>
      <c r="AC51" s="108">
        <f t="shared" si="4"/>
        <v>9</v>
      </c>
      <c r="AD51" s="108">
        <f t="shared" si="4"/>
        <v>10</v>
      </c>
      <c r="AE51" s="108">
        <f t="shared" si="4"/>
        <v>11</v>
      </c>
      <c r="AF51" s="108">
        <f t="shared" si="4"/>
        <v>12</v>
      </c>
      <c r="AG51" s="108">
        <f t="shared" si="4"/>
        <v>13</v>
      </c>
      <c r="AH51" s="108">
        <f t="shared" si="4"/>
        <v>14</v>
      </c>
      <c r="AI51" s="108">
        <f t="shared" si="4"/>
        <v>15</v>
      </c>
      <c r="AJ51" s="108">
        <f t="shared" si="4"/>
        <v>16</v>
      </c>
      <c r="AK51" s="108">
        <f t="shared" si="4"/>
        <v>17</v>
      </c>
      <c r="AL51" s="108">
        <f t="shared" si="4"/>
        <v>18</v>
      </c>
      <c r="AM51" s="369"/>
    </row>
    <row r="52" spans="2:39" hidden="1" x14ac:dyDescent="0.2">
      <c r="B52" s="113">
        <v>1</v>
      </c>
      <c r="C52" s="407"/>
      <c r="D52" s="407"/>
      <c r="E52" s="407"/>
      <c r="F52" s="407"/>
      <c r="G52" s="407"/>
      <c r="H52" s="407"/>
      <c r="I52" s="407"/>
      <c r="J52" s="407"/>
      <c r="K52" s="409"/>
      <c r="L52" s="410"/>
      <c r="M52" s="410"/>
      <c r="N52" s="411"/>
      <c r="O52" s="412"/>
      <c r="P52" s="413"/>
      <c r="Q52" s="414"/>
      <c r="R52" s="408"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408"/>
      <c r="T52" s="408"/>
      <c r="U52" s="103"/>
      <c r="V52" s="103"/>
      <c r="W52" s="103"/>
      <c r="X52" s="103"/>
      <c r="Y52" s="103"/>
      <c r="Z52" s="103"/>
      <c r="AA52" s="103"/>
      <c r="AB52" s="103"/>
      <c r="AC52" s="103"/>
      <c r="AD52" s="103"/>
      <c r="AE52" s="103"/>
      <c r="AF52" s="103"/>
      <c r="AG52" s="103"/>
      <c r="AH52" s="103"/>
      <c r="AI52" s="103"/>
      <c r="AJ52" s="103"/>
      <c r="AK52" s="103"/>
      <c r="AL52" s="103"/>
      <c r="AM52" s="369" t="str">
        <f t="shared" si="3"/>
        <v/>
      </c>
    </row>
    <row r="53" spans="2:39" hidden="1" x14ac:dyDescent="0.2">
      <c r="B53" s="113">
        <v>2</v>
      </c>
      <c r="C53" s="407"/>
      <c r="D53" s="407"/>
      <c r="E53" s="407"/>
      <c r="F53" s="407"/>
      <c r="G53" s="407"/>
      <c r="H53" s="407"/>
      <c r="I53" s="407"/>
      <c r="J53" s="407"/>
      <c r="K53" s="409"/>
      <c r="L53" s="410"/>
      <c r="M53" s="410"/>
      <c r="N53" s="411"/>
      <c r="O53" s="412"/>
      <c r="P53" s="413"/>
      <c r="Q53" s="414"/>
      <c r="R53" s="408"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408"/>
      <c r="T53" s="408"/>
      <c r="U53" s="103"/>
      <c r="V53" s="103"/>
      <c r="W53" s="103"/>
      <c r="X53" s="103"/>
      <c r="Y53" s="103"/>
      <c r="Z53" s="103"/>
      <c r="AA53" s="103"/>
      <c r="AB53" s="103"/>
      <c r="AC53" s="103"/>
      <c r="AD53" s="103"/>
      <c r="AE53" s="103"/>
      <c r="AF53" s="103"/>
      <c r="AG53" s="103"/>
      <c r="AH53" s="103"/>
      <c r="AI53" s="103"/>
      <c r="AJ53" s="103"/>
      <c r="AK53" s="103"/>
      <c r="AL53" s="103"/>
      <c r="AM53" s="369" t="str">
        <f t="shared" si="3"/>
        <v/>
      </c>
    </row>
    <row r="54" spans="2:39" hidden="1" x14ac:dyDescent="0.2">
      <c r="B54" s="113">
        <v>3</v>
      </c>
      <c r="C54" s="407"/>
      <c r="D54" s="407"/>
      <c r="E54" s="407"/>
      <c r="F54" s="407"/>
      <c r="G54" s="407"/>
      <c r="H54" s="407"/>
      <c r="I54" s="407"/>
      <c r="J54" s="407"/>
      <c r="K54" s="409"/>
      <c r="L54" s="410"/>
      <c r="M54" s="410"/>
      <c r="N54" s="411"/>
      <c r="O54" s="412"/>
      <c r="P54" s="413"/>
      <c r="Q54" s="414"/>
      <c r="R54" s="408"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408"/>
      <c r="T54" s="408"/>
      <c r="U54" s="103"/>
      <c r="V54" s="103"/>
      <c r="W54" s="103"/>
      <c r="X54" s="103"/>
      <c r="Y54" s="103"/>
      <c r="Z54" s="103"/>
      <c r="AA54" s="103"/>
      <c r="AB54" s="103"/>
      <c r="AC54" s="103"/>
      <c r="AD54" s="103"/>
      <c r="AE54" s="103"/>
      <c r="AF54" s="103"/>
      <c r="AG54" s="103"/>
      <c r="AH54" s="103"/>
      <c r="AI54" s="103"/>
      <c r="AJ54" s="103"/>
      <c r="AK54" s="103"/>
      <c r="AL54" s="103"/>
      <c r="AM54" s="369" t="str">
        <f t="shared" si="3"/>
        <v/>
      </c>
    </row>
    <row r="55" spans="2:39" hidden="1" x14ac:dyDescent="0.2">
      <c r="B55" s="113">
        <v>4</v>
      </c>
      <c r="C55" s="407"/>
      <c r="D55" s="407"/>
      <c r="E55" s="407"/>
      <c r="F55" s="407"/>
      <c r="G55" s="407"/>
      <c r="H55" s="407"/>
      <c r="I55" s="407"/>
      <c r="J55" s="407"/>
      <c r="K55" s="409"/>
      <c r="L55" s="410"/>
      <c r="M55" s="410"/>
      <c r="N55" s="411"/>
      <c r="O55" s="412"/>
      <c r="P55" s="413"/>
      <c r="Q55" s="414"/>
      <c r="R55" s="408"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408"/>
      <c r="T55" s="408"/>
      <c r="U55" s="103"/>
      <c r="V55" s="103"/>
      <c r="W55" s="103"/>
      <c r="X55" s="103"/>
      <c r="Y55" s="103"/>
      <c r="Z55" s="103"/>
      <c r="AA55" s="103"/>
      <c r="AB55" s="103"/>
      <c r="AC55" s="103"/>
      <c r="AD55" s="103"/>
      <c r="AE55" s="103"/>
      <c r="AF55" s="103"/>
      <c r="AG55" s="103"/>
      <c r="AH55" s="103"/>
      <c r="AI55" s="103"/>
      <c r="AJ55" s="103"/>
      <c r="AK55" s="103"/>
      <c r="AL55" s="103"/>
      <c r="AM55" s="369" t="str">
        <f t="shared" si="3"/>
        <v/>
      </c>
    </row>
    <row r="56" spans="2:39" hidden="1" x14ac:dyDescent="0.2">
      <c r="B56" s="113">
        <v>5</v>
      </c>
      <c r="C56" s="407"/>
      <c r="D56" s="407"/>
      <c r="E56" s="407"/>
      <c r="F56" s="407"/>
      <c r="G56" s="407"/>
      <c r="H56" s="407"/>
      <c r="I56" s="407"/>
      <c r="J56" s="407"/>
      <c r="K56" s="409"/>
      <c r="L56" s="410"/>
      <c r="M56" s="410"/>
      <c r="N56" s="411"/>
      <c r="O56" s="412"/>
      <c r="P56" s="413"/>
      <c r="Q56" s="414"/>
      <c r="R56" s="408"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408"/>
      <c r="T56" s="408"/>
      <c r="U56" s="103"/>
      <c r="V56" s="103"/>
      <c r="W56" s="103"/>
      <c r="X56" s="103"/>
      <c r="Y56" s="103"/>
      <c r="Z56" s="103"/>
      <c r="AA56" s="103"/>
      <c r="AB56" s="103"/>
      <c r="AC56" s="103"/>
      <c r="AD56" s="103"/>
      <c r="AE56" s="103"/>
      <c r="AF56" s="103"/>
      <c r="AG56" s="103"/>
      <c r="AH56" s="103"/>
      <c r="AI56" s="103"/>
      <c r="AJ56" s="103"/>
      <c r="AK56" s="103"/>
      <c r="AL56" s="103"/>
      <c r="AM56" s="369" t="str">
        <f t="shared" si="3"/>
        <v/>
      </c>
    </row>
    <row r="57" spans="2:39" hidden="1" x14ac:dyDescent="0.2">
      <c r="B57" s="113">
        <v>6</v>
      </c>
      <c r="C57" s="407"/>
      <c r="D57" s="407"/>
      <c r="E57" s="407"/>
      <c r="F57" s="407"/>
      <c r="G57" s="407"/>
      <c r="H57" s="407"/>
      <c r="I57" s="407"/>
      <c r="J57" s="407"/>
      <c r="K57" s="409"/>
      <c r="L57" s="410"/>
      <c r="M57" s="410"/>
      <c r="N57" s="411"/>
      <c r="O57" s="412"/>
      <c r="P57" s="413"/>
      <c r="Q57" s="414"/>
      <c r="R57" s="408"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408"/>
      <c r="T57" s="408"/>
      <c r="U57" s="103"/>
      <c r="V57" s="103"/>
      <c r="W57" s="103"/>
      <c r="X57" s="103"/>
      <c r="Y57" s="103"/>
      <c r="Z57" s="103"/>
      <c r="AA57" s="103"/>
      <c r="AB57" s="103"/>
      <c r="AC57" s="103"/>
      <c r="AD57" s="103"/>
      <c r="AE57" s="103"/>
      <c r="AF57" s="103"/>
      <c r="AG57" s="103"/>
      <c r="AH57" s="103"/>
      <c r="AI57" s="103"/>
      <c r="AJ57" s="103"/>
      <c r="AK57" s="103"/>
      <c r="AL57" s="103"/>
      <c r="AM57" s="369" t="str">
        <f t="shared" si="3"/>
        <v/>
      </c>
    </row>
    <row r="58" spans="2:39" hidden="1" x14ac:dyDescent="0.2">
      <c r="B58" s="113">
        <v>7</v>
      </c>
      <c r="C58" s="407"/>
      <c r="D58" s="407"/>
      <c r="E58" s="407"/>
      <c r="F58" s="407"/>
      <c r="G58" s="407"/>
      <c r="H58" s="407"/>
      <c r="I58" s="407"/>
      <c r="J58" s="407"/>
      <c r="K58" s="409"/>
      <c r="L58" s="410"/>
      <c r="M58" s="410"/>
      <c r="N58" s="411"/>
      <c r="O58" s="412"/>
      <c r="P58" s="413"/>
      <c r="Q58" s="414"/>
      <c r="R58" s="408"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408"/>
      <c r="T58" s="408"/>
      <c r="U58" s="103"/>
      <c r="V58" s="103"/>
      <c r="W58" s="103"/>
      <c r="X58" s="103"/>
      <c r="Y58" s="103"/>
      <c r="Z58" s="103"/>
      <c r="AA58" s="103"/>
      <c r="AB58" s="103"/>
      <c r="AC58" s="103"/>
      <c r="AD58" s="103"/>
      <c r="AE58" s="103"/>
      <c r="AF58" s="103"/>
      <c r="AG58" s="103"/>
      <c r="AH58" s="103"/>
      <c r="AI58" s="103"/>
      <c r="AJ58" s="103"/>
      <c r="AK58" s="103"/>
      <c r="AL58" s="103"/>
      <c r="AM58" s="369" t="str">
        <f t="shared" si="3"/>
        <v/>
      </c>
    </row>
    <row r="59" spans="2:39" hidden="1" x14ac:dyDescent="0.2">
      <c r="B59" s="113">
        <v>8</v>
      </c>
      <c r="C59" s="407"/>
      <c r="D59" s="407"/>
      <c r="E59" s="407"/>
      <c r="F59" s="407"/>
      <c r="G59" s="407"/>
      <c r="H59" s="407"/>
      <c r="I59" s="407"/>
      <c r="J59" s="407"/>
      <c r="K59" s="409"/>
      <c r="L59" s="410"/>
      <c r="M59" s="410"/>
      <c r="N59" s="411"/>
      <c r="O59" s="412"/>
      <c r="P59" s="413"/>
      <c r="Q59" s="414"/>
      <c r="R59" s="408"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408"/>
      <c r="T59" s="408"/>
      <c r="U59" s="103"/>
      <c r="V59" s="103"/>
      <c r="W59" s="103"/>
      <c r="X59" s="103"/>
      <c r="Y59" s="103"/>
      <c r="Z59" s="103"/>
      <c r="AA59" s="103"/>
      <c r="AB59" s="103"/>
      <c r="AC59" s="103"/>
      <c r="AD59" s="103"/>
      <c r="AE59" s="103"/>
      <c r="AF59" s="103"/>
      <c r="AG59" s="103"/>
      <c r="AH59" s="103"/>
      <c r="AI59" s="103"/>
      <c r="AJ59" s="103"/>
      <c r="AK59" s="103"/>
      <c r="AL59" s="103"/>
      <c r="AM59" s="369" t="str">
        <f t="shared" si="3"/>
        <v/>
      </c>
    </row>
    <row r="60" spans="2:39" hidden="1" x14ac:dyDescent="0.2">
      <c r="B60" s="113">
        <v>9</v>
      </c>
      <c r="C60" s="407"/>
      <c r="D60" s="407"/>
      <c r="E60" s="407"/>
      <c r="F60" s="407"/>
      <c r="G60" s="407"/>
      <c r="H60" s="407"/>
      <c r="I60" s="407"/>
      <c r="J60" s="407"/>
      <c r="K60" s="409"/>
      <c r="L60" s="410"/>
      <c r="M60" s="410"/>
      <c r="N60" s="411"/>
      <c r="O60" s="412"/>
      <c r="P60" s="413"/>
      <c r="Q60" s="414"/>
      <c r="R60" s="408"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408"/>
      <c r="T60" s="408"/>
      <c r="U60" s="103"/>
      <c r="V60" s="103"/>
      <c r="W60" s="103"/>
      <c r="X60" s="103"/>
      <c r="Y60" s="103"/>
      <c r="Z60" s="103"/>
      <c r="AA60" s="103"/>
      <c r="AB60" s="103"/>
      <c r="AC60" s="103"/>
      <c r="AD60" s="103"/>
      <c r="AE60" s="103"/>
      <c r="AF60" s="103"/>
      <c r="AG60" s="103"/>
      <c r="AH60" s="103"/>
      <c r="AI60" s="103"/>
      <c r="AJ60" s="103"/>
      <c r="AK60" s="103"/>
      <c r="AL60" s="103"/>
      <c r="AM60" s="369" t="str">
        <f t="shared" si="3"/>
        <v/>
      </c>
    </row>
    <row r="61" spans="2:39" hidden="1" x14ac:dyDescent="0.2">
      <c r="B61" s="113">
        <v>10</v>
      </c>
      <c r="C61" s="407"/>
      <c r="D61" s="407"/>
      <c r="E61" s="407"/>
      <c r="F61" s="407"/>
      <c r="G61" s="407"/>
      <c r="H61" s="407"/>
      <c r="I61" s="407"/>
      <c r="J61" s="407"/>
      <c r="K61" s="409"/>
      <c r="L61" s="410"/>
      <c r="M61" s="410"/>
      <c r="N61" s="411"/>
      <c r="O61" s="412"/>
      <c r="P61" s="413"/>
      <c r="Q61" s="414"/>
      <c r="R61" s="408"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408"/>
      <c r="T61" s="408"/>
      <c r="U61" s="103"/>
      <c r="V61" s="103"/>
      <c r="W61" s="103"/>
      <c r="X61" s="103"/>
      <c r="Y61" s="103"/>
      <c r="Z61" s="103"/>
      <c r="AA61" s="103"/>
      <c r="AB61" s="103"/>
      <c r="AC61" s="103"/>
      <c r="AD61" s="103"/>
      <c r="AE61" s="103"/>
      <c r="AF61" s="103"/>
      <c r="AG61" s="103"/>
      <c r="AH61" s="103"/>
      <c r="AI61" s="103"/>
      <c r="AJ61" s="103"/>
      <c r="AK61" s="103"/>
      <c r="AL61" s="103"/>
      <c r="AM61" s="369" t="str">
        <f t="shared" si="3"/>
        <v/>
      </c>
    </row>
    <row r="62" spans="2:39" hidden="1" x14ac:dyDescent="0.2">
      <c r="B62" s="113">
        <v>11</v>
      </c>
      <c r="C62" s="407"/>
      <c r="D62" s="407"/>
      <c r="E62" s="407"/>
      <c r="F62" s="407"/>
      <c r="G62" s="407"/>
      <c r="H62" s="407"/>
      <c r="I62" s="407"/>
      <c r="J62" s="407"/>
      <c r="K62" s="409"/>
      <c r="L62" s="410"/>
      <c r="M62" s="410"/>
      <c r="N62" s="411"/>
      <c r="O62" s="412"/>
      <c r="P62" s="413"/>
      <c r="Q62" s="414"/>
      <c r="R62" s="408"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408"/>
      <c r="T62" s="408"/>
      <c r="U62" s="103"/>
      <c r="V62" s="103"/>
      <c r="W62" s="103"/>
      <c r="X62" s="103"/>
      <c r="Y62" s="103"/>
      <c r="Z62" s="103"/>
      <c r="AA62" s="103"/>
      <c r="AB62" s="103"/>
      <c r="AC62" s="103"/>
      <c r="AD62" s="103"/>
      <c r="AE62" s="103"/>
      <c r="AF62" s="103"/>
      <c r="AG62" s="103"/>
      <c r="AH62" s="103"/>
      <c r="AI62" s="103"/>
      <c r="AJ62" s="103"/>
      <c r="AK62" s="103"/>
      <c r="AL62" s="103"/>
      <c r="AM62" s="369" t="str">
        <f t="shared" si="3"/>
        <v/>
      </c>
    </row>
    <row r="63" spans="2:39" hidden="1" x14ac:dyDescent="0.2">
      <c r="B63" s="113">
        <v>12</v>
      </c>
      <c r="C63" s="407"/>
      <c r="D63" s="407"/>
      <c r="E63" s="407"/>
      <c r="F63" s="407"/>
      <c r="G63" s="407"/>
      <c r="H63" s="407"/>
      <c r="I63" s="407"/>
      <c r="J63" s="407"/>
      <c r="K63" s="409"/>
      <c r="L63" s="410"/>
      <c r="M63" s="410"/>
      <c r="N63" s="411"/>
      <c r="O63" s="412"/>
      <c r="P63" s="413"/>
      <c r="Q63" s="414"/>
      <c r="R63" s="408"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408"/>
      <c r="T63" s="408"/>
      <c r="U63" s="103"/>
      <c r="V63" s="103"/>
      <c r="W63" s="103"/>
      <c r="X63" s="103"/>
      <c r="Y63" s="103"/>
      <c r="Z63" s="103"/>
      <c r="AA63" s="103"/>
      <c r="AB63" s="103"/>
      <c r="AC63" s="103"/>
      <c r="AD63" s="103"/>
      <c r="AE63" s="103"/>
      <c r="AF63" s="103"/>
      <c r="AG63" s="103"/>
      <c r="AH63" s="103"/>
      <c r="AI63" s="103"/>
      <c r="AJ63" s="103"/>
      <c r="AK63" s="103"/>
      <c r="AL63" s="103"/>
      <c r="AM63" s="369" t="str">
        <f t="shared" si="3"/>
        <v/>
      </c>
    </row>
    <row r="64" spans="2:39" hidden="1" x14ac:dyDescent="0.2">
      <c r="B64" s="113">
        <v>13</v>
      </c>
      <c r="C64" s="407"/>
      <c r="D64" s="407"/>
      <c r="E64" s="407"/>
      <c r="F64" s="407"/>
      <c r="G64" s="407"/>
      <c r="H64" s="407"/>
      <c r="I64" s="407"/>
      <c r="J64" s="407"/>
      <c r="K64" s="409"/>
      <c r="L64" s="410"/>
      <c r="M64" s="410"/>
      <c r="N64" s="411"/>
      <c r="O64" s="412"/>
      <c r="P64" s="413"/>
      <c r="Q64" s="414"/>
      <c r="R64" s="408"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408"/>
      <c r="T64" s="408"/>
      <c r="U64" s="103"/>
      <c r="V64" s="103"/>
      <c r="W64" s="103"/>
      <c r="X64" s="103"/>
      <c r="Y64" s="103"/>
      <c r="Z64" s="103"/>
      <c r="AA64" s="103"/>
      <c r="AB64" s="103"/>
      <c r="AC64" s="103"/>
      <c r="AD64" s="103"/>
      <c r="AE64" s="103"/>
      <c r="AF64" s="103"/>
      <c r="AG64" s="103"/>
      <c r="AH64" s="103"/>
      <c r="AI64" s="103"/>
      <c r="AJ64" s="103"/>
      <c r="AK64" s="103"/>
      <c r="AL64" s="103"/>
      <c r="AM64" s="369" t="str">
        <f t="shared" si="3"/>
        <v/>
      </c>
    </row>
    <row r="65" spans="2:39" hidden="1" x14ac:dyDescent="0.2">
      <c r="B65" s="113">
        <v>14</v>
      </c>
      <c r="C65" s="407"/>
      <c r="D65" s="407"/>
      <c r="E65" s="407"/>
      <c r="F65" s="407"/>
      <c r="G65" s="407"/>
      <c r="H65" s="407"/>
      <c r="I65" s="407"/>
      <c r="J65" s="407"/>
      <c r="K65" s="409"/>
      <c r="L65" s="410"/>
      <c r="M65" s="410"/>
      <c r="N65" s="411"/>
      <c r="O65" s="412"/>
      <c r="P65" s="413"/>
      <c r="Q65" s="414"/>
      <c r="R65" s="408"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408"/>
      <c r="T65" s="408"/>
      <c r="U65" s="103"/>
      <c r="V65" s="103"/>
      <c r="W65" s="103"/>
      <c r="X65" s="103"/>
      <c r="Y65" s="103"/>
      <c r="Z65" s="103"/>
      <c r="AA65" s="103"/>
      <c r="AB65" s="103"/>
      <c r="AC65" s="103"/>
      <c r="AD65" s="103"/>
      <c r="AE65" s="103"/>
      <c r="AF65" s="103"/>
      <c r="AG65" s="103"/>
      <c r="AH65" s="103"/>
      <c r="AI65" s="103"/>
      <c r="AJ65" s="103"/>
      <c r="AK65" s="103"/>
      <c r="AL65" s="103"/>
      <c r="AM65" s="369" t="str">
        <f t="shared" si="3"/>
        <v/>
      </c>
    </row>
    <row r="66" spans="2:39" hidden="1" x14ac:dyDescent="0.2">
      <c r="B66" s="113">
        <v>15</v>
      </c>
      <c r="C66" s="407"/>
      <c r="D66" s="407"/>
      <c r="E66" s="407"/>
      <c r="F66" s="407"/>
      <c r="G66" s="407"/>
      <c r="H66" s="407"/>
      <c r="I66" s="407"/>
      <c r="J66" s="407"/>
      <c r="K66" s="409"/>
      <c r="L66" s="410"/>
      <c r="M66" s="410"/>
      <c r="N66" s="411"/>
      <c r="O66" s="412"/>
      <c r="P66" s="413"/>
      <c r="Q66" s="414"/>
      <c r="R66" s="408"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408"/>
      <c r="T66" s="408"/>
      <c r="U66" s="103"/>
      <c r="V66" s="103"/>
      <c r="W66" s="103"/>
      <c r="X66" s="103"/>
      <c r="Y66" s="103"/>
      <c r="Z66" s="103"/>
      <c r="AA66" s="103"/>
      <c r="AB66" s="103"/>
      <c r="AC66" s="103"/>
      <c r="AD66" s="103"/>
      <c r="AE66" s="103"/>
      <c r="AF66" s="103"/>
      <c r="AG66" s="103"/>
      <c r="AH66" s="103"/>
      <c r="AI66" s="103"/>
      <c r="AJ66" s="103"/>
      <c r="AK66" s="103"/>
      <c r="AL66" s="103"/>
      <c r="AM66" s="369" t="str">
        <f t="shared" si="3"/>
        <v/>
      </c>
    </row>
    <row r="67" spans="2:39" hidden="1" x14ac:dyDescent="0.2">
      <c r="B67" s="113">
        <v>16</v>
      </c>
      <c r="C67" s="407"/>
      <c r="D67" s="407"/>
      <c r="E67" s="407"/>
      <c r="F67" s="407"/>
      <c r="G67" s="407"/>
      <c r="H67" s="407"/>
      <c r="I67" s="407"/>
      <c r="J67" s="407"/>
      <c r="K67" s="409"/>
      <c r="L67" s="410"/>
      <c r="M67" s="410"/>
      <c r="N67" s="411"/>
      <c r="O67" s="412"/>
      <c r="P67" s="413"/>
      <c r="Q67" s="414"/>
      <c r="R67" s="408"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408"/>
      <c r="T67" s="408"/>
      <c r="U67" s="103"/>
      <c r="V67" s="103"/>
      <c r="W67" s="103"/>
      <c r="X67" s="103"/>
      <c r="Y67" s="103"/>
      <c r="Z67" s="103"/>
      <c r="AA67" s="103"/>
      <c r="AB67" s="103"/>
      <c r="AC67" s="103"/>
      <c r="AD67" s="103"/>
      <c r="AE67" s="103"/>
      <c r="AF67" s="103"/>
      <c r="AG67" s="103"/>
      <c r="AH67" s="103"/>
      <c r="AI67" s="103"/>
      <c r="AJ67" s="103"/>
      <c r="AK67" s="103"/>
      <c r="AL67" s="103"/>
      <c r="AM67" s="369" t="str">
        <f t="shared" si="3"/>
        <v/>
      </c>
    </row>
    <row r="68" spans="2:39" hidden="1" x14ac:dyDescent="0.2">
      <c r="B68" s="113">
        <v>17</v>
      </c>
      <c r="C68" s="407"/>
      <c r="D68" s="407"/>
      <c r="E68" s="407"/>
      <c r="F68" s="407"/>
      <c r="G68" s="407"/>
      <c r="H68" s="407"/>
      <c r="I68" s="407"/>
      <c r="J68" s="407"/>
      <c r="K68" s="409"/>
      <c r="L68" s="410"/>
      <c r="M68" s="410"/>
      <c r="N68" s="411"/>
      <c r="O68" s="412"/>
      <c r="P68" s="413"/>
      <c r="Q68" s="414"/>
      <c r="R68" s="408"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408"/>
      <c r="T68" s="408"/>
      <c r="U68" s="103"/>
      <c r="V68" s="103"/>
      <c r="W68" s="103"/>
      <c r="X68" s="103"/>
      <c r="Y68" s="103"/>
      <c r="Z68" s="103"/>
      <c r="AA68" s="103"/>
      <c r="AB68" s="103"/>
      <c r="AC68" s="103"/>
      <c r="AD68" s="103"/>
      <c r="AE68" s="103"/>
      <c r="AF68" s="103"/>
      <c r="AG68" s="103"/>
      <c r="AH68" s="103"/>
      <c r="AI68" s="103"/>
      <c r="AJ68" s="103"/>
      <c r="AK68" s="103"/>
      <c r="AL68" s="103"/>
      <c r="AM68" s="369" t="str">
        <f t="shared" si="3"/>
        <v/>
      </c>
    </row>
    <row r="69" spans="2:39" hidden="1" x14ac:dyDescent="0.2">
      <c r="B69" s="113">
        <v>18</v>
      </c>
      <c r="C69" s="407"/>
      <c r="D69" s="407"/>
      <c r="E69" s="407"/>
      <c r="F69" s="407"/>
      <c r="G69" s="407"/>
      <c r="H69" s="407"/>
      <c r="I69" s="407"/>
      <c r="J69" s="407"/>
      <c r="K69" s="409"/>
      <c r="L69" s="410"/>
      <c r="M69" s="410"/>
      <c r="N69" s="411"/>
      <c r="O69" s="412"/>
      <c r="P69" s="413"/>
      <c r="Q69" s="414"/>
      <c r="R69" s="408"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408"/>
      <c r="T69" s="408"/>
      <c r="U69" s="103"/>
      <c r="V69" s="103"/>
      <c r="W69" s="103"/>
      <c r="X69" s="103"/>
      <c r="Y69" s="103"/>
      <c r="Z69" s="103"/>
      <c r="AA69" s="103"/>
      <c r="AB69" s="103"/>
      <c r="AC69" s="103"/>
      <c r="AD69" s="103"/>
      <c r="AE69" s="103"/>
      <c r="AF69" s="103"/>
      <c r="AG69" s="103"/>
      <c r="AH69" s="103"/>
      <c r="AI69" s="103"/>
      <c r="AJ69" s="103"/>
      <c r="AK69" s="103"/>
      <c r="AL69" s="103"/>
      <c r="AM69" s="369" t="str">
        <f t="shared" si="3"/>
        <v/>
      </c>
    </row>
    <row r="70" spans="2:39" hidden="1" x14ac:dyDescent="0.2">
      <c r="B70" s="113">
        <v>19</v>
      </c>
      <c r="C70" s="407"/>
      <c r="D70" s="407"/>
      <c r="E70" s="407"/>
      <c r="F70" s="407"/>
      <c r="G70" s="407"/>
      <c r="H70" s="407"/>
      <c r="I70" s="407"/>
      <c r="J70" s="407"/>
      <c r="K70" s="409"/>
      <c r="L70" s="410"/>
      <c r="M70" s="410"/>
      <c r="N70" s="411"/>
      <c r="O70" s="412"/>
      <c r="P70" s="413"/>
      <c r="Q70" s="414"/>
      <c r="R70" s="408"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408"/>
      <c r="T70" s="408"/>
      <c r="U70" s="103"/>
      <c r="V70" s="103"/>
      <c r="W70" s="103"/>
      <c r="X70" s="103"/>
      <c r="Y70" s="103"/>
      <c r="Z70" s="103"/>
      <c r="AA70" s="103"/>
      <c r="AB70" s="103"/>
      <c r="AC70" s="103"/>
      <c r="AD70" s="103"/>
      <c r="AE70" s="103"/>
      <c r="AF70" s="103"/>
      <c r="AG70" s="103"/>
      <c r="AH70" s="103"/>
      <c r="AI70" s="103"/>
      <c r="AJ70" s="103"/>
      <c r="AK70" s="103"/>
      <c r="AL70" s="103"/>
      <c r="AM70" s="369" t="str">
        <f t="shared" si="3"/>
        <v/>
      </c>
    </row>
    <row r="71" spans="2:39" hidden="1" x14ac:dyDescent="0.2">
      <c r="B71" s="113">
        <v>20</v>
      </c>
      <c r="C71" s="407"/>
      <c r="D71" s="407"/>
      <c r="E71" s="407"/>
      <c r="F71" s="407"/>
      <c r="G71" s="407"/>
      <c r="H71" s="407"/>
      <c r="I71" s="407"/>
      <c r="J71" s="407"/>
      <c r="K71" s="409"/>
      <c r="L71" s="410"/>
      <c r="M71" s="410"/>
      <c r="N71" s="411"/>
      <c r="O71" s="412"/>
      <c r="P71" s="413"/>
      <c r="Q71" s="414"/>
      <c r="R71" s="408"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408"/>
      <c r="T71" s="408"/>
      <c r="U71" s="103"/>
      <c r="V71" s="103"/>
      <c r="W71" s="103"/>
      <c r="X71" s="103"/>
      <c r="Y71" s="103"/>
      <c r="Z71" s="103"/>
      <c r="AA71" s="103"/>
      <c r="AB71" s="103"/>
      <c r="AC71" s="103"/>
      <c r="AD71" s="103"/>
      <c r="AE71" s="103"/>
      <c r="AF71" s="103"/>
      <c r="AG71" s="103"/>
      <c r="AH71" s="103"/>
      <c r="AI71" s="103"/>
      <c r="AJ71" s="103"/>
      <c r="AK71" s="103"/>
      <c r="AL71" s="103"/>
      <c r="AM71" s="369" t="str">
        <f t="shared" si="3"/>
        <v/>
      </c>
    </row>
    <row r="72" spans="2:39" hidden="1" x14ac:dyDescent="0.2">
      <c r="B72" s="113">
        <v>21</v>
      </c>
      <c r="C72" s="407"/>
      <c r="D72" s="407"/>
      <c r="E72" s="407"/>
      <c r="F72" s="407"/>
      <c r="G72" s="407"/>
      <c r="H72" s="407"/>
      <c r="I72" s="407"/>
      <c r="J72" s="407"/>
      <c r="K72" s="409"/>
      <c r="L72" s="410"/>
      <c r="M72" s="410"/>
      <c r="N72" s="411"/>
      <c r="O72" s="412"/>
      <c r="P72" s="413"/>
      <c r="Q72" s="414"/>
      <c r="R72" s="408"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408"/>
      <c r="T72" s="408"/>
      <c r="U72" s="103"/>
      <c r="V72" s="103"/>
      <c r="W72" s="103"/>
      <c r="X72" s="103"/>
      <c r="Y72" s="103"/>
      <c r="Z72" s="103"/>
      <c r="AA72" s="103"/>
      <c r="AB72" s="103"/>
      <c r="AC72" s="103"/>
      <c r="AD72" s="103"/>
      <c r="AE72" s="103"/>
      <c r="AF72" s="103"/>
      <c r="AG72" s="103"/>
      <c r="AH72" s="103"/>
      <c r="AI72" s="103"/>
      <c r="AJ72" s="103"/>
      <c r="AK72" s="103"/>
      <c r="AL72" s="103"/>
      <c r="AM72" s="369" t="str">
        <f t="shared" si="3"/>
        <v/>
      </c>
    </row>
    <row r="73" spans="2:39" hidden="1" x14ac:dyDescent="0.2">
      <c r="B73" s="113">
        <v>22</v>
      </c>
      <c r="C73" s="407"/>
      <c r="D73" s="407"/>
      <c r="E73" s="407"/>
      <c r="F73" s="407"/>
      <c r="G73" s="407"/>
      <c r="H73" s="407"/>
      <c r="I73" s="407"/>
      <c r="J73" s="407"/>
      <c r="K73" s="409"/>
      <c r="L73" s="410"/>
      <c r="M73" s="410"/>
      <c r="N73" s="411"/>
      <c r="O73" s="412"/>
      <c r="P73" s="413"/>
      <c r="Q73" s="414"/>
      <c r="R73" s="408"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408"/>
      <c r="T73" s="408"/>
      <c r="U73" s="103"/>
      <c r="V73" s="103"/>
      <c r="W73" s="103"/>
      <c r="X73" s="103"/>
      <c r="Y73" s="103"/>
      <c r="Z73" s="103"/>
      <c r="AA73" s="103"/>
      <c r="AB73" s="103"/>
      <c r="AC73" s="103"/>
      <c r="AD73" s="103"/>
      <c r="AE73" s="103"/>
      <c r="AF73" s="103"/>
      <c r="AG73" s="103"/>
      <c r="AH73" s="103"/>
      <c r="AI73" s="103"/>
      <c r="AJ73" s="103"/>
      <c r="AK73" s="103"/>
      <c r="AL73" s="103"/>
      <c r="AM73" s="369" t="str">
        <f t="shared" si="3"/>
        <v/>
      </c>
    </row>
    <row r="74" spans="2:39" hidden="1" x14ac:dyDescent="0.2">
      <c r="B74" s="113">
        <v>23</v>
      </c>
      <c r="C74" s="407"/>
      <c r="D74" s="407"/>
      <c r="E74" s="407"/>
      <c r="F74" s="407"/>
      <c r="G74" s="407"/>
      <c r="H74" s="407"/>
      <c r="I74" s="407"/>
      <c r="J74" s="407"/>
      <c r="K74" s="409"/>
      <c r="L74" s="410"/>
      <c r="M74" s="410"/>
      <c r="N74" s="411"/>
      <c r="O74" s="412"/>
      <c r="P74" s="413"/>
      <c r="Q74" s="414"/>
      <c r="R74" s="408"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408"/>
      <c r="T74" s="408"/>
      <c r="U74" s="103"/>
      <c r="V74" s="103"/>
      <c r="W74" s="103"/>
      <c r="X74" s="103"/>
      <c r="Y74" s="103"/>
      <c r="Z74" s="103"/>
      <c r="AA74" s="103"/>
      <c r="AB74" s="103"/>
      <c r="AC74" s="103"/>
      <c r="AD74" s="103"/>
      <c r="AE74" s="103"/>
      <c r="AF74" s="103"/>
      <c r="AG74" s="103"/>
      <c r="AH74" s="103"/>
      <c r="AI74" s="103"/>
      <c r="AJ74" s="103"/>
      <c r="AK74" s="103"/>
      <c r="AL74" s="103"/>
      <c r="AM74" s="369" t="str">
        <f t="shared" si="3"/>
        <v/>
      </c>
    </row>
    <row r="75" spans="2:39" hidden="1" x14ac:dyDescent="0.2">
      <c r="B75" s="113">
        <v>24</v>
      </c>
      <c r="C75" s="407"/>
      <c r="D75" s="407"/>
      <c r="E75" s="407"/>
      <c r="F75" s="407"/>
      <c r="G75" s="407"/>
      <c r="H75" s="407"/>
      <c r="I75" s="407"/>
      <c r="J75" s="407"/>
      <c r="K75" s="409"/>
      <c r="L75" s="410"/>
      <c r="M75" s="410"/>
      <c r="N75" s="411"/>
      <c r="O75" s="412"/>
      <c r="P75" s="413"/>
      <c r="Q75" s="414"/>
      <c r="R75" s="408"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408"/>
      <c r="T75" s="408"/>
      <c r="U75" s="103"/>
      <c r="V75" s="103"/>
      <c r="W75" s="103"/>
      <c r="X75" s="103"/>
      <c r="Y75" s="103"/>
      <c r="Z75" s="103"/>
      <c r="AA75" s="103"/>
      <c r="AB75" s="103"/>
      <c r="AC75" s="103"/>
      <c r="AD75" s="103"/>
      <c r="AE75" s="103"/>
      <c r="AF75" s="103"/>
      <c r="AG75" s="103"/>
      <c r="AH75" s="103"/>
      <c r="AI75" s="103"/>
      <c r="AJ75" s="103"/>
      <c r="AK75" s="103"/>
      <c r="AL75" s="103"/>
      <c r="AM75" s="369" t="str">
        <f t="shared" si="3"/>
        <v/>
      </c>
    </row>
    <row r="76" spans="2:39" hidden="1" x14ac:dyDescent="0.2">
      <c r="B76" s="113">
        <v>25</v>
      </c>
      <c r="C76" s="407"/>
      <c r="D76" s="407"/>
      <c r="E76" s="407"/>
      <c r="F76" s="407"/>
      <c r="G76" s="407"/>
      <c r="H76" s="407"/>
      <c r="I76" s="407"/>
      <c r="J76" s="407"/>
      <c r="K76" s="409"/>
      <c r="L76" s="410"/>
      <c r="M76" s="410"/>
      <c r="N76" s="411"/>
      <c r="O76" s="412"/>
      <c r="P76" s="413"/>
      <c r="Q76" s="414"/>
      <c r="R76" s="408"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408"/>
      <c r="T76" s="408"/>
      <c r="U76" s="103"/>
      <c r="V76" s="103"/>
      <c r="W76" s="103"/>
      <c r="X76" s="103"/>
      <c r="Y76" s="103"/>
      <c r="Z76" s="103"/>
      <c r="AA76" s="103"/>
      <c r="AB76" s="103"/>
      <c r="AC76" s="103"/>
      <c r="AD76" s="103"/>
      <c r="AE76" s="103"/>
      <c r="AF76" s="103"/>
      <c r="AG76" s="103"/>
      <c r="AH76" s="103"/>
      <c r="AI76" s="103"/>
      <c r="AJ76" s="103"/>
      <c r="AK76" s="103"/>
      <c r="AL76" s="103"/>
      <c r="AM76" s="369" t="str">
        <f t="shared" si="3"/>
        <v/>
      </c>
    </row>
    <row r="77" spans="2:39" hidden="1" x14ac:dyDescent="0.2">
      <c r="B77" s="113">
        <v>26</v>
      </c>
      <c r="C77" s="407"/>
      <c r="D77" s="407"/>
      <c r="E77" s="407"/>
      <c r="F77" s="407"/>
      <c r="G77" s="407"/>
      <c r="H77" s="407"/>
      <c r="I77" s="407"/>
      <c r="J77" s="407"/>
      <c r="K77" s="409"/>
      <c r="L77" s="410"/>
      <c r="M77" s="410"/>
      <c r="N77" s="411"/>
      <c r="O77" s="412"/>
      <c r="P77" s="413"/>
      <c r="Q77" s="414"/>
      <c r="R77" s="408"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408"/>
      <c r="T77" s="408"/>
      <c r="U77" s="103"/>
      <c r="V77" s="103"/>
      <c r="W77" s="103"/>
      <c r="X77" s="103"/>
      <c r="Y77" s="103"/>
      <c r="Z77" s="103"/>
      <c r="AA77" s="103"/>
      <c r="AB77" s="103"/>
      <c r="AC77" s="103"/>
      <c r="AD77" s="103"/>
      <c r="AE77" s="103"/>
      <c r="AF77" s="103"/>
      <c r="AG77" s="103"/>
      <c r="AH77" s="103"/>
      <c r="AI77" s="103"/>
      <c r="AJ77" s="103"/>
      <c r="AK77" s="103"/>
      <c r="AL77" s="103"/>
      <c r="AM77" s="369" t="str">
        <f t="shared" si="3"/>
        <v/>
      </c>
    </row>
    <row r="78" spans="2:39" hidden="1" x14ac:dyDescent="0.2">
      <c r="B78" s="113">
        <v>27</v>
      </c>
      <c r="C78" s="407"/>
      <c r="D78" s="407"/>
      <c r="E78" s="407"/>
      <c r="F78" s="407"/>
      <c r="G78" s="407"/>
      <c r="H78" s="407"/>
      <c r="I78" s="407"/>
      <c r="J78" s="407"/>
      <c r="K78" s="409"/>
      <c r="L78" s="410"/>
      <c r="M78" s="410"/>
      <c r="N78" s="411"/>
      <c r="O78" s="412"/>
      <c r="P78" s="413"/>
      <c r="Q78" s="414"/>
      <c r="R78" s="408"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408"/>
      <c r="T78" s="408"/>
      <c r="U78" s="103"/>
      <c r="V78" s="103"/>
      <c r="W78" s="103"/>
      <c r="X78" s="103"/>
      <c r="Y78" s="103"/>
      <c r="Z78" s="103"/>
      <c r="AA78" s="103"/>
      <c r="AB78" s="103"/>
      <c r="AC78" s="103"/>
      <c r="AD78" s="103"/>
      <c r="AE78" s="103"/>
      <c r="AF78" s="103"/>
      <c r="AG78" s="103"/>
      <c r="AH78" s="103"/>
      <c r="AI78" s="103"/>
      <c r="AJ78" s="103"/>
      <c r="AK78" s="103"/>
      <c r="AL78" s="103"/>
      <c r="AM78" s="369" t="str">
        <f t="shared" si="3"/>
        <v/>
      </c>
    </row>
    <row r="79" spans="2:39" hidden="1" x14ac:dyDescent="0.2">
      <c r="B79" s="113">
        <v>28</v>
      </c>
      <c r="C79" s="407"/>
      <c r="D79" s="407"/>
      <c r="E79" s="407"/>
      <c r="F79" s="407"/>
      <c r="G79" s="407"/>
      <c r="H79" s="407"/>
      <c r="I79" s="407"/>
      <c r="J79" s="407"/>
      <c r="K79" s="409"/>
      <c r="L79" s="410"/>
      <c r="M79" s="410"/>
      <c r="N79" s="411"/>
      <c r="O79" s="412"/>
      <c r="P79" s="413"/>
      <c r="Q79" s="414"/>
      <c r="R79" s="408"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408"/>
      <c r="T79" s="408"/>
      <c r="U79" s="103"/>
      <c r="V79" s="103"/>
      <c r="W79" s="103"/>
      <c r="X79" s="103"/>
      <c r="Y79" s="103"/>
      <c r="Z79" s="103"/>
      <c r="AA79" s="103"/>
      <c r="AB79" s="103"/>
      <c r="AC79" s="103"/>
      <c r="AD79" s="103"/>
      <c r="AE79" s="103"/>
      <c r="AF79" s="103"/>
      <c r="AG79" s="103"/>
      <c r="AH79" s="103"/>
      <c r="AI79" s="103"/>
      <c r="AJ79" s="103"/>
      <c r="AK79" s="103"/>
      <c r="AL79" s="103"/>
      <c r="AM79" s="369" t="str">
        <f t="shared" si="3"/>
        <v/>
      </c>
    </row>
    <row r="80" spans="2:39" hidden="1" x14ac:dyDescent="0.2">
      <c r="B80" s="113">
        <v>29</v>
      </c>
      <c r="C80" s="407"/>
      <c r="D80" s="407"/>
      <c r="E80" s="407"/>
      <c r="F80" s="407"/>
      <c r="G80" s="407"/>
      <c r="H80" s="407"/>
      <c r="I80" s="407"/>
      <c r="J80" s="407"/>
      <c r="K80" s="409"/>
      <c r="L80" s="410"/>
      <c r="M80" s="410"/>
      <c r="N80" s="411"/>
      <c r="O80" s="412"/>
      <c r="P80" s="413"/>
      <c r="Q80" s="414"/>
      <c r="R80" s="408"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408"/>
      <c r="T80" s="408"/>
      <c r="U80" s="103"/>
      <c r="V80" s="103"/>
      <c r="W80" s="103"/>
      <c r="X80" s="103"/>
      <c r="Y80" s="103"/>
      <c r="Z80" s="103"/>
      <c r="AA80" s="103"/>
      <c r="AB80" s="103"/>
      <c r="AC80" s="103"/>
      <c r="AD80" s="103"/>
      <c r="AE80" s="103"/>
      <c r="AF80" s="103"/>
      <c r="AG80" s="103"/>
      <c r="AH80" s="103"/>
      <c r="AI80" s="103"/>
      <c r="AJ80" s="103"/>
      <c r="AK80" s="103"/>
      <c r="AL80" s="103"/>
      <c r="AM80" s="369" t="str">
        <f t="shared" si="3"/>
        <v/>
      </c>
    </row>
    <row r="81" spans="2:41" hidden="1" x14ac:dyDescent="0.2">
      <c r="B81" s="113">
        <v>30</v>
      </c>
      <c r="C81" s="407"/>
      <c r="D81" s="407"/>
      <c r="E81" s="407"/>
      <c r="F81" s="407"/>
      <c r="G81" s="407"/>
      <c r="H81" s="407"/>
      <c r="I81" s="407"/>
      <c r="J81" s="407"/>
      <c r="K81" s="409"/>
      <c r="L81" s="410"/>
      <c r="M81" s="410"/>
      <c r="N81" s="411"/>
      <c r="O81" s="412"/>
      <c r="P81" s="413"/>
      <c r="Q81" s="414"/>
      <c r="R81" s="408"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408"/>
      <c r="T81" s="408"/>
      <c r="U81" s="103"/>
      <c r="V81" s="103"/>
      <c r="W81" s="103"/>
      <c r="X81" s="103"/>
      <c r="Y81" s="103"/>
      <c r="Z81" s="103"/>
      <c r="AA81" s="103"/>
      <c r="AB81" s="103"/>
      <c r="AC81" s="103"/>
      <c r="AD81" s="103"/>
      <c r="AE81" s="103"/>
      <c r="AF81" s="103"/>
      <c r="AG81" s="103"/>
      <c r="AH81" s="103"/>
      <c r="AI81" s="103"/>
      <c r="AJ81" s="103"/>
      <c r="AK81" s="103"/>
      <c r="AL81" s="103"/>
      <c r="AM81" s="369"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49"/>
    </row>
    <row r="83" spans="2:41" ht="18" x14ac:dyDescent="0.2">
      <c r="B83" s="23" t="s">
        <v>32</v>
      </c>
      <c r="C83" s="1"/>
      <c r="D83" s="1"/>
      <c r="E83" s="1"/>
      <c r="F83" s="1"/>
      <c r="G83" s="1"/>
      <c r="H83" s="4"/>
      <c r="I83" s="4"/>
      <c r="J83" s="4"/>
      <c r="K83" s="4"/>
      <c r="L83" s="4"/>
      <c r="M83" s="4"/>
      <c r="N83" s="4"/>
      <c r="O83" s="4"/>
      <c r="P83" s="4"/>
      <c r="Q83" s="4"/>
      <c r="R83" s="4"/>
      <c r="S83" s="4"/>
      <c r="T83" s="4"/>
      <c r="U83" s="4"/>
      <c r="V83" s="4"/>
      <c r="W83" s="4"/>
      <c r="X83" s="4"/>
      <c r="Y83" s="1"/>
      <c r="Z83" s="1"/>
    </row>
    <row r="84" spans="2:41" ht="42.6" customHeight="1" x14ac:dyDescent="0.25">
      <c r="B84" s="10"/>
      <c r="C84" s="422" t="s">
        <v>33</v>
      </c>
      <c r="D84" s="424"/>
      <c r="E84" s="422" t="s">
        <v>34</v>
      </c>
      <c r="F84" s="424"/>
      <c r="G84" s="422" t="s">
        <v>35</v>
      </c>
      <c r="H84" s="424"/>
      <c r="I84" s="422" t="s">
        <v>36</v>
      </c>
      <c r="J84" s="423"/>
      <c r="K84" s="424"/>
      <c r="L84" s="422" t="s">
        <v>37</v>
      </c>
      <c r="M84" s="423"/>
      <c r="N84" s="423"/>
      <c r="O84" s="423"/>
      <c r="P84" s="424"/>
      <c r="Q84" s="422" t="s">
        <v>38</v>
      </c>
      <c r="R84" s="423"/>
      <c r="S84" s="424"/>
      <c r="T84" s="422" t="s">
        <v>39</v>
      </c>
      <c r="U84" s="423"/>
      <c r="V84" s="423"/>
      <c r="W84" s="423"/>
      <c r="X84" s="424"/>
      <c r="Y84" s="432" t="s">
        <v>40</v>
      </c>
      <c r="Z84" s="433"/>
      <c r="AA84" s="434"/>
      <c r="AB84" s="445" t="s">
        <v>41</v>
      </c>
      <c r="AC84" s="446"/>
      <c r="AD84" s="445" t="s">
        <v>42</v>
      </c>
      <c r="AE84" s="446"/>
      <c r="AF84" s="448" t="s">
        <v>43</v>
      </c>
      <c r="AG84" s="449"/>
      <c r="AH84" s="450"/>
      <c r="AI84" s="432" t="s">
        <v>44</v>
      </c>
      <c r="AJ84" s="433"/>
      <c r="AK84" s="433"/>
      <c r="AL84" s="434"/>
      <c r="AM84" s="25"/>
      <c r="AN84" s="25"/>
      <c r="AO84" s="25"/>
    </row>
    <row r="85" spans="2:41" ht="14.45" customHeight="1" x14ac:dyDescent="0.25">
      <c r="B85" s="10">
        <v>1</v>
      </c>
      <c r="C85" s="408" t="str">
        <f>IF($N21="","",VLOOKUP($N21,Reinforcements[],COLUMN(Reinforcements[[#Headers],[B (in)]])-1,FALSE))</f>
        <v/>
      </c>
      <c r="D85" s="408"/>
      <c r="E85" s="408" t="str">
        <f>IF($N21="","",VLOOKUP($N21,Reinforcements[],COLUMN(Reinforcements[[#Headers],[H (in)]])-1,FALSE))</f>
        <v/>
      </c>
      <c r="F85" s="408"/>
      <c r="G85" s="408" t="str">
        <f>IF($N21="","",VLOOKUP($N21,Reinforcements[],COLUMN(Reinforcements[[#Headers],[Gross Area (in2)]])-1,FALSE))</f>
        <v/>
      </c>
      <c r="H85" s="408"/>
      <c r="I85" s="408" t="str">
        <f>IF($N21="","",VLOOKUP($N21,Reinforcements[],COLUMN(Reinforcements[[#Headers],[Pole Face to Centroid (in)]])-1,FALSE))</f>
        <v/>
      </c>
      <c r="J85" s="408"/>
      <c r="K85" s="408"/>
      <c r="L85" s="408"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408"/>
      <c r="N85" s="408"/>
      <c r="O85" s="408"/>
      <c r="P85" s="408"/>
      <c r="Q85" s="408" t="str">
        <f>IF($N21="","",VLOOKUP($N21,Reinforcements[],COLUMN(Reinforcements[[#Headers],[Bottom Connection Length + Edge Dist (in)]])-1,FALSE))</f>
        <v/>
      </c>
      <c r="R85" s="408"/>
      <c r="S85" s="408"/>
      <c r="T85" s="421"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421"/>
      <c r="V85" s="421"/>
      <c r="W85" s="421"/>
      <c r="X85" s="421"/>
      <c r="Y85" s="421" t="str">
        <f>IF($N21="","",VLOOKUP($N21,Reinforcements[],COLUMN(Reinforcements[[#Headers],[Top Connection Length + Edge Dist (in)]])-1,FALSE))</f>
        <v/>
      </c>
      <c r="Z85" s="421"/>
      <c r="AA85" s="421"/>
      <c r="AB85" s="444" t="str">
        <f>IF($N21="","",VLOOKUP($N21,Reinforcements[],COLUMN(Reinforcements[[#Headers],[Lu (in)]])-1,FALSE))</f>
        <v/>
      </c>
      <c r="AC85" s="444"/>
      <c r="AD85" s="444" t="str">
        <f>IF($N21="","",VLOOKUP($N21,Reinforcements[],COLUMN(Reinforcements[[#Headers],[Net Area (in2)]])-1,FALSE))</f>
        <v/>
      </c>
      <c r="AE85" s="444"/>
      <c r="AF85" s="436" t="str">
        <f>IF($N21="","",VLOOKUP($N21,Reinforcements[],IF(RIGHT($AF$84,4)="(in)",COLUMN(Reinforcements[[#Headers],[Bolt Hole Size (in)]])-1,COLUMN(Reinforcements[[#Headers],[Bolt Hole Size (mm)]])-1),FALSE))</f>
        <v/>
      </c>
      <c r="AG85" s="436"/>
      <c r="AH85" s="436"/>
      <c r="AI85" s="408" t="str">
        <f>IF($N21="","",VLOOKUP($N21,Reinforcements[],COLUMN(Reinforcements[[#Headers],[Material]])-1,FALSE))</f>
        <v/>
      </c>
      <c r="AJ85" s="408"/>
      <c r="AK85" s="408"/>
      <c r="AL85" s="408"/>
      <c r="AM85" s="25"/>
      <c r="AN85" s="25"/>
      <c r="AO85" s="25"/>
    </row>
    <row r="86" spans="2:41" ht="14.45" customHeight="1" x14ac:dyDescent="0.25">
      <c r="B86" s="10">
        <v>2</v>
      </c>
      <c r="C86" s="408" t="str">
        <f>IF($N22="","",VLOOKUP($N22,Reinforcements[],COLUMN(Reinforcements[[#Headers],[B (in)]])-1,FALSE))</f>
        <v/>
      </c>
      <c r="D86" s="408"/>
      <c r="E86" s="408" t="str">
        <f>IF($N22="","",VLOOKUP($N22,Reinforcements[],COLUMN(Reinforcements[[#Headers],[H (in)]])-1,FALSE))</f>
        <v/>
      </c>
      <c r="F86" s="408"/>
      <c r="G86" s="408" t="str">
        <f>IF($N22="","",VLOOKUP($N22,Reinforcements[],COLUMN(Reinforcements[[#Headers],[Gross Area (in2)]])-1,FALSE))</f>
        <v/>
      </c>
      <c r="H86" s="408"/>
      <c r="I86" s="408" t="str">
        <f>IF($N22="","",VLOOKUP($N22,Reinforcements[],COLUMN(Reinforcements[[#Headers],[Pole Face to Centroid (in)]])-1,FALSE))</f>
        <v/>
      </c>
      <c r="J86" s="408"/>
      <c r="K86" s="408"/>
      <c r="L86" s="408"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408"/>
      <c r="N86" s="408"/>
      <c r="O86" s="408"/>
      <c r="P86" s="408"/>
      <c r="Q86" s="408" t="str">
        <f>IF($N22="","",VLOOKUP($N22,Reinforcements[],COLUMN(Reinforcements[[#Headers],[Bottom Connection Length + Edge Dist (in)]])-1,FALSE))</f>
        <v/>
      </c>
      <c r="R86" s="408"/>
      <c r="S86" s="408"/>
      <c r="T86" s="421"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421"/>
      <c r="V86" s="421"/>
      <c r="W86" s="421"/>
      <c r="X86" s="421"/>
      <c r="Y86" s="421" t="str">
        <f>IF($N22="","",VLOOKUP($N22,Reinforcements[],COLUMN(Reinforcements[[#Headers],[Top Connection Length + Edge Dist (in)]])-1,FALSE))</f>
        <v/>
      </c>
      <c r="Z86" s="421"/>
      <c r="AA86" s="421"/>
      <c r="AB86" s="444" t="str">
        <f>IF($N22="","",VLOOKUP($N22,Reinforcements[],COLUMN(Reinforcements[[#Headers],[Lu (in)]])-1,FALSE))</f>
        <v/>
      </c>
      <c r="AC86" s="444"/>
      <c r="AD86" s="444" t="str">
        <f>IF($N22="","",VLOOKUP($N22,Reinforcements[],COLUMN(Reinforcements[[#Headers],[Net Area (in2)]])-1,FALSE))</f>
        <v/>
      </c>
      <c r="AE86" s="444"/>
      <c r="AF86" s="436" t="str">
        <f>IF($N22="","",VLOOKUP($N22,Reinforcements[],IF(RIGHT($AF$84,4)="(in)",COLUMN(Reinforcements[[#Headers],[Bolt Hole Size (in)]])-1,COLUMN(Reinforcements[[#Headers],[Bolt Hole Size (mm)]])-1),FALSE))</f>
        <v/>
      </c>
      <c r="AG86" s="436"/>
      <c r="AH86" s="436"/>
      <c r="AI86" s="408" t="str">
        <f>IF($N22="","",VLOOKUP($N22,Reinforcements[],COLUMN(Reinforcements[[#Headers],[Material]])-1,FALSE))</f>
        <v/>
      </c>
      <c r="AJ86" s="408"/>
      <c r="AK86" s="408"/>
      <c r="AL86" s="408"/>
      <c r="AM86" s="25"/>
      <c r="AN86" s="25"/>
      <c r="AO86" s="25"/>
    </row>
    <row r="87" spans="2:41" ht="14.45" customHeight="1" x14ac:dyDescent="0.25">
      <c r="B87" s="10">
        <v>3</v>
      </c>
      <c r="C87" s="408" t="str">
        <f>IF($N23="","",VLOOKUP($N23,Reinforcements[],COLUMN(Reinforcements[[#Headers],[B (in)]])-1,FALSE))</f>
        <v/>
      </c>
      <c r="D87" s="408"/>
      <c r="E87" s="408" t="str">
        <f>IF($N23="","",VLOOKUP($N23,Reinforcements[],COLUMN(Reinforcements[[#Headers],[H (in)]])-1,FALSE))</f>
        <v/>
      </c>
      <c r="F87" s="408"/>
      <c r="G87" s="408" t="str">
        <f>IF($N23="","",VLOOKUP($N23,Reinforcements[],COLUMN(Reinforcements[[#Headers],[Gross Area (in2)]])-1,FALSE))</f>
        <v/>
      </c>
      <c r="H87" s="408"/>
      <c r="I87" s="408" t="str">
        <f>IF($N23="","",VLOOKUP($N23,Reinforcements[],COLUMN(Reinforcements[[#Headers],[Pole Face to Centroid (in)]])-1,FALSE))</f>
        <v/>
      </c>
      <c r="J87" s="408"/>
      <c r="K87" s="408"/>
      <c r="L87" s="408"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408"/>
      <c r="N87" s="408"/>
      <c r="O87" s="408"/>
      <c r="P87" s="408"/>
      <c r="Q87" s="408" t="str">
        <f>IF($N23="","",VLOOKUP($N23,Reinforcements[],COLUMN(Reinforcements[[#Headers],[Bottom Connection Length + Edge Dist (in)]])-1,FALSE))</f>
        <v/>
      </c>
      <c r="R87" s="408"/>
      <c r="S87" s="408"/>
      <c r="T87" s="421"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421"/>
      <c r="V87" s="421"/>
      <c r="W87" s="421"/>
      <c r="X87" s="421"/>
      <c r="Y87" s="421" t="str">
        <f>IF($N23="","",VLOOKUP($N23,Reinforcements[],COLUMN(Reinforcements[[#Headers],[Top Connection Length + Edge Dist (in)]])-1,FALSE))</f>
        <v/>
      </c>
      <c r="Z87" s="421"/>
      <c r="AA87" s="421"/>
      <c r="AB87" s="444" t="str">
        <f>IF($N23="","",VLOOKUP($N23,Reinforcements[],COLUMN(Reinforcements[[#Headers],[Lu (in)]])-1,FALSE))</f>
        <v/>
      </c>
      <c r="AC87" s="444"/>
      <c r="AD87" s="444" t="str">
        <f>IF($N23="","",VLOOKUP($N23,Reinforcements[],COLUMN(Reinforcements[[#Headers],[Net Area (in2)]])-1,FALSE))</f>
        <v/>
      </c>
      <c r="AE87" s="444"/>
      <c r="AF87" s="436" t="str">
        <f>IF($N23="","",VLOOKUP($N23,Reinforcements[],IF(RIGHT($AF$84,4)="(in)",COLUMN(Reinforcements[[#Headers],[Bolt Hole Size (in)]])-1,COLUMN(Reinforcements[[#Headers],[Bolt Hole Size (mm)]])-1),FALSE))</f>
        <v/>
      </c>
      <c r="AG87" s="436"/>
      <c r="AH87" s="436"/>
      <c r="AI87" s="408" t="str">
        <f>IF($N23="","",VLOOKUP($N23,Reinforcements[],COLUMN(Reinforcements[[#Headers],[Material]])-1,FALSE))</f>
        <v/>
      </c>
      <c r="AJ87" s="408"/>
      <c r="AK87" s="408"/>
      <c r="AL87" s="408"/>
      <c r="AM87" s="25"/>
      <c r="AN87" s="25"/>
      <c r="AO87" s="25"/>
    </row>
    <row r="88" spans="2:41" ht="14.45" customHeight="1" x14ac:dyDescent="0.25">
      <c r="B88" s="10">
        <v>4</v>
      </c>
      <c r="C88" s="408" t="str">
        <f>IF($N24="","",VLOOKUP($N24,Reinforcements[],COLUMN(Reinforcements[[#Headers],[B (in)]])-1,FALSE))</f>
        <v/>
      </c>
      <c r="D88" s="408"/>
      <c r="E88" s="408" t="str">
        <f>IF($N24="","",VLOOKUP($N24,Reinforcements[],COLUMN(Reinforcements[[#Headers],[H (in)]])-1,FALSE))</f>
        <v/>
      </c>
      <c r="F88" s="408"/>
      <c r="G88" s="408" t="str">
        <f>IF($N24="","",VLOOKUP($N24,Reinforcements[],COLUMN(Reinforcements[[#Headers],[Gross Area (in2)]])-1,FALSE))</f>
        <v/>
      </c>
      <c r="H88" s="408"/>
      <c r="I88" s="408" t="str">
        <f>IF($N24="","",VLOOKUP($N24,Reinforcements[],COLUMN(Reinforcements[[#Headers],[Pole Face to Centroid (in)]])-1,FALSE))</f>
        <v/>
      </c>
      <c r="J88" s="408"/>
      <c r="K88" s="408"/>
      <c r="L88" s="408"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408"/>
      <c r="N88" s="408"/>
      <c r="O88" s="408"/>
      <c r="P88" s="408"/>
      <c r="Q88" s="408" t="str">
        <f>IF($N24="","",VLOOKUP($N24,Reinforcements[],COLUMN(Reinforcements[[#Headers],[Bottom Connection Length + Edge Dist (in)]])-1,FALSE))</f>
        <v/>
      </c>
      <c r="R88" s="408"/>
      <c r="S88" s="408"/>
      <c r="T88" s="421"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421"/>
      <c r="V88" s="421"/>
      <c r="W88" s="421"/>
      <c r="X88" s="421"/>
      <c r="Y88" s="421" t="str">
        <f>IF($N24="","",VLOOKUP($N24,Reinforcements[],COLUMN(Reinforcements[[#Headers],[Top Connection Length + Edge Dist (in)]])-1,FALSE))</f>
        <v/>
      </c>
      <c r="Z88" s="421"/>
      <c r="AA88" s="421"/>
      <c r="AB88" s="444" t="str">
        <f>IF($N24="","",VLOOKUP($N24,Reinforcements[],COLUMN(Reinforcements[[#Headers],[Lu (in)]])-1,FALSE))</f>
        <v/>
      </c>
      <c r="AC88" s="444"/>
      <c r="AD88" s="444" t="str">
        <f>IF($N24="","",VLOOKUP($N24,Reinforcements[],COLUMN(Reinforcements[[#Headers],[Net Area (in2)]])-1,FALSE))</f>
        <v/>
      </c>
      <c r="AE88" s="444"/>
      <c r="AF88" s="436" t="str">
        <f>IF($N24="","",VLOOKUP($N24,Reinforcements[],IF(RIGHT($AF$84,4)="(in)",COLUMN(Reinforcements[[#Headers],[Bolt Hole Size (in)]])-1,COLUMN(Reinforcements[[#Headers],[Bolt Hole Size (mm)]])-1),FALSE))</f>
        <v/>
      </c>
      <c r="AG88" s="436"/>
      <c r="AH88" s="436"/>
      <c r="AI88" s="408" t="str">
        <f>IF($N24="","",VLOOKUP($N24,Reinforcements[],COLUMN(Reinforcements[[#Headers],[Material]])-1,FALSE))</f>
        <v/>
      </c>
      <c r="AJ88" s="408"/>
      <c r="AK88" s="408"/>
      <c r="AL88" s="408"/>
      <c r="AM88" s="25"/>
      <c r="AN88" s="25"/>
      <c r="AO88" s="25"/>
    </row>
    <row r="89" spans="2:41" ht="14.45" customHeight="1" x14ac:dyDescent="0.25">
      <c r="B89" s="10">
        <v>5</v>
      </c>
      <c r="C89" s="408" t="str">
        <f>IF($N25="","",VLOOKUP($N25,Reinforcements[],COLUMN(Reinforcements[[#Headers],[B (in)]])-1,FALSE))</f>
        <v/>
      </c>
      <c r="D89" s="408"/>
      <c r="E89" s="408" t="str">
        <f>IF($N25="","",VLOOKUP($N25,Reinforcements[],COLUMN(Reinforcements[[#Headers],[H (in)]])-1,FALSE))</f>
        <v/>
      </c>
      <c r="F89" s="408"/>
      <c r="G89" s="408" t="str">
        <f>IF($N25="","",VLOOKUP($N25,Reinforcements[],COLUMN(Reinforcements[[#Headers],[Gross Area (in2)]])-1,FALSE))</f>
        <v/>
      </c>
      <c r="H89" s="408"/>
      <c r="I89" s="408" t="str">
        <f>IF($N25="","",VLOOKUP($N25,Reinforcements[],COLUMN(Reinforcements[[#Headers],[Pole Face to Centroid (in)]])-1,FALSE))</f>
        <v/>
      </c>
      <c r="J89" s="408"/>
      <c r="K89" s="408"/>
      <c r="L89" s="408"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408"/>
      <c r="N89" s="408"/>
      <c r="O89" s="408"/>
      <c r="P89" s="408"/>
      <c r="Q89" s="408" t="str">
        <f>IF($N25="","",VLOOKUP($N25,Reinforcements[],COLUMN(Reinforcements[[#Headers],[Bottom Connection Length + Edge Dist (in)]])-1,FALSE))</f>
        <v/>
      </c>
      <c r="R89" s="408"/>
      <c r="S89" s="408"/>
      <c r="T89" s="421"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421"/>
      <c r="V89" s="421"/>
      <c r="W89" s="421"/>
      <c r="X89" s="421"/>
      <c r="Y89" s="421" t="str">
        <f>IF($N25="","",VLOOKUP($N25,Reinforcements[],COLUMN(Reinforcements[[#Headers],[Top Connection Length + Edge Dist (in)]])-1,FALSE))</f>
        <v/>
      </c>
      <c r="Z89" s="421"/>
      <c r="AA89" s="421"/>
      <c r="AB89" s="444" t="str">
        <f>IF($N25="","",VLOOKUP($N25,Reinforcements[],COLUMN(Reinforcements[[#Headers],[Lu (in)]])-1,FALSE))</f>
        <v/>
      </c>
      <c r="AC89" s="444"/>
      <c r="AD89" s="444" t="str">
        <f>IF($N25="","",VLOOKUP($N25,Reinforcements[],COLUMN(Reinforcements[[#Headers],[Net Area (in2)]])-1,FALSE))</f>
        <v/>
      </c>
      <c r="AE89" s="444"/>
      <c r="AF89" s="436" t="str">
        <f>IF($N25="","",VLOOKUP($N25,Reinforcements[],IF(RIGHT($AF$84,4)="(in)",COLUMN(Reinforcements[[#Headers],[Bolt Hole Size (in)]])-1,COLUMN(Reinforcements[[#Headers],[Bolt Hole Size (mm)]])-1),FALSE))</f>
        <v/>
      </c>
      <c r="AG89" s="436"/>
      <c r="AH89" s="436"/>
      <c r="AI89" s="408" t="str">
        <f>IF($N25="","",VLOOKUP($N25,Reinforcements[],COLUMN(Reinforcements[[#Headers],[Material]])-1,FALSE))</f>
        <v/>
      </c>
      <c r="AJ89" s="408"/>
      <c r="AK89" s="408"/>
      <c r="AL89" s="408"/>
      <c r="AM89" s="25"/>
      <c r="AN89" s="25"/>
      <c r="AO89" s="25"/>
    </row>
    <row r="90" spans="2:41" ht="14.45" customHeight="1" x14ac:dyDescent="0.25">
      <c r="B90" s="10">
        <v>6</v>
      </c>
      <c r="C90" s="408" t="str">
        <f>IF($N26="","",VLOOKUP($N26,Reinforcements[],COLUMN(Reinforcements[[#Headers],[B (in)]])-1,FALSE))</f>
        <v/>
      </c>
      <c r="D90" s="408"/>
      <c r="E90" s="408" t="str">
        <f>IF($N26="","",VLOOKUP($N26,Reinforcements[],COLUMN(Reinforcements[[#Headers],[H (in)]])-1,FALSE))</f>
        <v/>
      </c>
      <c r="F90" s="408"/>
      <c r="G90" s="408" t="str">
        <f>IF($N26="","",VLOOKUP($N26,Reinforcements[],COLUMN(Reinforcements[[#Headers],[Gross Area (in2)]])-1,FALSE))</f>
        <v/>
      </c>
      <c r="H90" s="408"/>
      <c r="I90" s="408" t="str">
        <f>IF($N26="","",VLOOKUP($N26,Reinforcements[],COLUMN(Reinforcements[[#Headers],[Pole Face to Centroid (in)]])-1,FALSE))</f>
        <v/>
      </c>
      <c r="J90" s="408"/>
      <c r="K90" s="408"/>
      <c r="L90" s="408"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408"/>
      <c r="N90" s="408"/>
      <c r="O90" s="408"/>
      <c r="P90" s="408"/>
      <c r="Q90" s="408" t="str">
        <f>IF($N26="","",VLOOKUP($N26,Reinforcements[],COLUMN(Reinforcements[[#Headers],[Bottom Connection Length + Edge Dist (in)]])-1,FALSE))</f>
        <v/>
      </c>
      <c r="R90" s="408"/>
      <c r="S90" s="408"/>
      <c r="T90" s="421"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421"/>
      <c r="V90" s="421"/>
      <c r="W90" s="421"/>
      <c r="X90" s="421"/>
      <c r="Y90" s="421" t="str">
        <f>IF($N26="","",VLOOKUP($N26,Reinforcements[],COLUMN(Reinforcements[[#Headers],[Top Connection Length + Edge Dist (in)]])-1,FALSE))</f>
        <v/>
      </c>
      <c r="Z90" s="421"/>
      <c r="AA90" s="421"/>
      <c r="AB90" s="444" t="str">
        <f>IF($N26="","",VLOOKUP($N26,Reinforcements[],COLUMN(Reinforcements[[#Headers],[Lu (in)]])-1,FALSE))</f>
        <v/>
      </c>
      <c r="AC90" s="444"/>
      <c r="AD90" s="444" t="str">
        <f>IF($N26="","",VLOOKUP($N26,Reinforcements[],COLUMN(Reinforcements[[#Headers],[Net Area (in2)]])-1,FALSE))</f>
        <v/>
      </c>
      <c r="AE90" s="444"/>
      <c r="AF90" s="436" t="str">
        <f>IF($N26="","",VLOOKUP($N26,Reinforcements[],IF(RIGHT($AF$84,4)="(in)",COLUMN(Reinforcements[[#Headers],[Bolt Hole Size (in)]])-1,COLUMN(Reinforcements[[#Headers],[Bolt Hole Size (mm)]])-1),FALSE))</f>
        <v/>
      </c>
      <c r="AG90" s="436"/>
      <c r="AH90" s="436"/>
      <c r="AI90" s="408" t="str">
        <f>IF($N26="","",VLOOKUP($N26,Reinforcements[],COLUMN(Reinforcements[[#Headers],[Material]])-1,FALSE))</f>
        <v/>
      </c>
      <c r="AJ90" s="408"/>
      <c r="AK90" s="408"/>
      <c r="AL90" s="408"/>
      <c r="AM90" s="25"/>
      <c r="AN90" s="25"/>
      <c r="AO90" s="25"/>
    </row>
    <row r="91" spans="2:41" ht="14.45" customHeight="1" x14ac:dyDescent="0.25">
      <c r="B91" s="10">
        <v>7</v>
      </c>
      <c r="C91" s="408" t="str">
        <f>IF($N27="","",VLOOKUP($N27,Reinforcements[],COLUMN(Reinforcements[[#Headers],[B (in)]])-1,FALSE))</f>
        <v/>
      </c>
      <c r="D91" s="408"/>
      <c r="E91" s="408" t="str">
        <f>IF($N27="","",VLOOKUP($N27,Reinforcements[],COLUMN(Reinforcements[[#Headers],[H (in)]])-1,FALSE))</f>
        <v/>
      </c>
      <c r="F91" s="408"/>
      <c r="G91" s="408" t="str">
        <f>IF($N27="","",VLOOKUP($N27,Reinforcements[],COLUMN(Reinforcements[[#Headers],[Gross Area (in2)]])-1,FALSE))</f>
        <v/>
      </c>
      <c r="H91" s="408"/>
      <c r="I91" s="408" t="str">
        <f>IF($N27="","",VLOOKUP($N27,Reinforcements[],COLUMN(Reinforcements[[#Headers],[Pole Face to Centroid (in)]])-1,FALSE))</f>
        <v/>
      </c>
      <c r="J91" s="408"/>
      <c r="K91" s="408"/>
      <c r="L91" s="408"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408"/>
      <c r="N91" s="408"/>
      <c r="O91" s="408"/>
      <c r="P91" s="408"/>
      <c r="Q91" s="408" t="str">
        <f>IF($N27="","",VLOOKUP($N27,Reinforcements[],COLUMN(Reinforcements[[#Headers],[Bottom Connection Length + Edge Dist (in)]])-1,FALSE))</f>
        <v/>
      </c>
      <c r="R91" s="408"/>
      <c r="S91" s="408"/>
      <c r="T91" s="421"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421"/>
      <c r="V91" s="421"/>
      <c r="W91" s="421"/>
      <c r="X91" s="421"/>
      <c r="Y91" s="421" t="str">
        <f>IF($N27="","",VLOOKUP($N27,Reinforcements[],COLUMN(Reinforcements[[#Headers],[Top Connection Length + Edge Dist (in)]])-1,FALSE))</f>
        <v/>
      </c>
      <c r="Z91" s="421"/>
      <c r="AA91" s="421"/>
      <c r="AB91" s="444" t="str">
        <f>IF($N27="","",VLOOKUP($N27,Reinforcements[],COLUMN(Reinforcements[[#Headers],[Lu (in)]])-1,FALSE))</f>
        <v/>
      </c>
      <c r="AC91" s="444"/>
      <c r="AD91" s="444" t="str">
        <f>IF($N27="","",VLOOKUP($N27,Reinforcements[],COLUMN(Reinforcements[[#Headers],[Net Area (in2)]])-1,FALSE))</f>
        <v/>
      </c>
      <c r="AE91" s="444"/>
      <c r="AF91" s="436" t="str">
        <f>IF($N27="","",VLOOKUP($N27,Reinforcements[],IF(RIGHT($AF$84,4)="(in)",COLUMN(Reinforcements[[#Headers],[Bolt Hole Size (in)]])-1,COLUMN(Reinforcements[[#Headers],[Bolt Hole Size (mm)]])-1),FALSE))</f>
        <v/>
      </c>
      <c r="AG91" s="436"/>
      <c r="AH91" s="436"/>
      <c r="AI91" s="408" t="str">
        <f>IF($N27="","",VLOOKUP($N27,Reinforcements[],COLUMN(Reinforcements[[#Headers],[Material]])-1,FALSE))</f>
        <v/>
      </c>
      <c r="AJ91" s="408"/>
      <c r="AK91" s="408"/>
      <c r="AL91" s="408"/>
      <c r="AM91" s="25"/>
      <c r="AN91" s="25"/>
      <c r="AO91" s="25"/>
    </row>
    <row r="92" spans="2:41" ht="14.45" customHeight="1" x14ac:dyDescent="0.25">
      <c r="B92" s="10">
        <v>8</v>
      </c>
      <c r="C92" s="408" t="str">
        <f>IF($N28="","",VLOOKUP($N28,Reinforcements[],COLUMN(Reinforcements[[#Headers],[B (in)]])-1,FALSE))</f>
        <v/>
      </c>
      <c r="D92" s="408"/>
      <c r="E92" s="408" t="str">
        <f>IF($N28="","",VLOOKUP($N28,Reinforcements[],COLUMN(Reinforcements[[#Headers],[H (in)]])-1,FALSE))</f>
        <v/>
      </c>
      <c r="F92" s="408"/>
      <c r="G92" s="408" t="str">
        <f>IF($N28="","",VLOOKUP($N28,Reinforcements[],COLUMN(Reinforcements[[#Headers],[Gross Area (in2)]])-1,FALSE))</f>
        <v/>
      </c>
      <c r="H92" s="408"/>
      <c r="I92" s="408" t="str">
        <f>IF($N28="","",VLOOKUP($N28,Reinforcements[],COLUMN(Reinforcements[[#Headers],[Pole Face to Centroid (in)]])-1,FALSE))</f>
        <v/>
      </c>
      <c r="J92" s="408"/>
      <c r="K92" s="408"/>
      <c r="L92" s="408"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408"/>
      <c r="N92" s="408"/>
      <c r="O92" s="408"/>
      <c r="P92" s="408"/>
      <c r="Q92" s="408" t="str">
        <f>IF($N28="","",VLOOKUP($N28,Reinforcements[],COLUMN(Reinforcements[[#Headers],[Bottom Connection Length + Edge Dist (in)]])-1,FALSE))</f>
        <v/>
      </c>
      <c r="R92" s="408"/>
      <c r="S92" s="408"/>
      <c r="T92" s="421"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421"/>
      <c r="V92" s="421"/>
      <c r="W92" s="421"/>
      <c r="X92" s="421"/>
      <c r="Y92" s="421" t="str">
        <f>IF($N28="","",VLOOKUP($N28,Reinforcements[],COLUMN(Reinforcements[[#Headers],[Top Connection Length + Edge Dist (in)]])-1,FALSE))</f>
        <v/>
      </c>
      <c r="Z92" s="421"/>
      <c r="AA92" s="421"/>
      <c r="AB92" s="444" t="str">
        <f>IF($N28="","",VLOOKUP($N28,Reinforcements[],COLUMN(Reinforcements[[#Headers],[Lu (in)]])-1,FALSE))</f>
        <v/>
      </c>
      <c r="AC92" s="444"/>
      <c r="AD92" s="444" t="str">
        <f>IF($N28="","",VLOOKUP($N28,Reinforcements[],COLUMN(Reinforcements[[#Headers],[Net Area (in2)]])-1,FALSE))</f>
        <v/>
      </c>
      <c r="AE92" s="444"/>
      <c r="AF92" s="436" t="str">
        <f>IF($N28="","",VLOOKUP($N28,Reinforcements[],IF(RIGHT($AF$84,4)="(in)",COLUMN(Reinforcements[[#Headers],[Bolt Hole Size (in)]])-1,COLUMN(Reinforcements[[#Headers],[Bolt Hole Size (mm)]])-1),FALSE))</f>
        <v/>
      </c>
      <c r="AG92" s="436"/>
      <c r="AH92" s="436"/>
      <c r="AI92" s="408" t="str">
        <f>IF($N28="","",VLOOKUP($N28,Reinforcements[],COLUMN(Reinforcements[[#Headers],[Material]])-1,FALSE))</f>
        <v/>
      </c>
      <c r="AJ92" s="408"/>
      <c r="AK92" s="408"/>
      <c r="AL92" s="408"/>
      <c r="AM92" s="25"/>
      <c r="AN92" s="25"/>
      <c r="AO92" s="25"/>
    </row>
    <row r="93" spans="2:41" ht="14.45" customHeight="1" x14ac:dyDescent="0.25">
      <c r="B93" s="10">
        <v>9</v>
      </c>
      <c r="C93" s="408" t="str">
        <f>IF($N29="","",VLOOKUP($N29,Reinforcements[],COLUMN(Reinforcements[[#Headers],[B (in)]])-1,FALSE))</f>
        <v/>
      </c>
      <c r="D93" s="408"/>
      <c r="E93" s="408" t="str">
        <f>IF($N29="","",VLOOKUP($N29,Reinforcements[],COLUMN(Reinforcements[[#Headers],[H (in)]])-1,FALSE))</f>
        <v/>
      </c>
      <c r="F93" s="408"/>
      <c r="G93" s="408" t="str">
        <f>IF($N29="","",VLOOKUP($N29,Reinforcements[],COLUMN(Reinforcements[[#Headers],[Gross Area (in2)]])-1,FALSE))</f>
        <v/>
      </c>
      <c r="H93" s="408"/>
      <c r="I93" s="408" t="str">
        <f>IF($N29="","",VLOOKUP($N29,Reinforcements[],COLUMN(Reinforcements[[#Headers],[Pole Face to Centroid (in)]])-1,FALSE))</f>
        <v/>
      </c>
      <c r="J93" s="408"/>
      <c r="K93" s="408"/>
      <c r="L93" s="408"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408"/>
      <c r="N93" s="408"/>
      <c r="O93" s="408"/>
      <c r="P93" s="408"/>
      <c r="Q93" s="408" t="str">
        <f>IF($N29="","",VLOOKUP($N29,Reinforcements[],COLUMN(Reinforcements[[#Headers],[Bottom Connection Length + Edge Dist (in)]])-1,FALSE))</f>
        <v/>
      </c>
      <c r="R93" s="408"/>
      <c r="S93" s="408"/>
      <c r="T93" s="421"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421"/>
      <c r="V93" s="421"/>
      <c r="W93" s="421"/>
      <c r="X93" s="421"/>
      <c r="Y93" s="421" t="str">
        <f>IF($N29="","",VLOOKUP($N29,Reinforcements[],COLUMN(Reinforcements[[#Headers],[Top Connection Length + Edge Dist (in)]])-1,FALSE))</f>
        <v/>
      </c>
      <c r="Z93" s="421"/>
      <c r="AA93" s="421"/>
      <c r="AB93" s="444" t="str">
        <f>IF($N29="","",VLOOKUP($N29,Reinforcements[],COLUMN(Reinforcements[[#Headers],[Lu (in)]])-1,FALSE))</f>
        <v/>
      </c>
      <c r="AC93" s="444"/>
      <c r="AD93" s="444" t="str">
        <f>IF($N29="","",VLOOKUP($N29,Reinforcements[],COLUMN(Reinforcements[[#Headers],[Net Area (in2)]])-1,FALSE))</f>
        <v/>
      </c>
      <c r="AE93" s="444"/>
      <c r="AF93" s="436" t="str">
        <f>IF($N29="","",VLOOKUP($N29,Reinforcements[],IF(RIGHT($AF$84,4)="(in)",COLUMN(Reinforcements[[#Headers],[Bolt Hole Size (in)]])-1,COLUMN(Reinforcements[[#Headers],[Bolt Hole Size (mm)]])-1),FALSE))</f>
        <v/>
      </c>
      <c r="AG93" s="436"/>
      <c r="AH93" s="436"/>
      <c r="AI93" s="408" t="str">
        <f>IF($N29="","",VLOOKUP($N29,Reinforcements[],COLUMN(Reinforcements[[#Headers],[Material]])-1,FALSE))</f>
        <v/>
      </c>
      <c r="AJ93" s="408"/>
      <c r="AK93" s="408"/>
      <c r="AL93" s="408"/>
      <c r="AM93" s="25"/>
      <c r="AN93" s="25"/>
      <c r="AO93" s="25"/>
    </row>
    <row r="94" spans="2:41" ht="14.45" customHeight="1" x14ac:dyDescent="0.25">
      <c r="B94" s="10">
        <v>10</v>
      </c>
      <c r="C94" s="408" t="str">
        <f>IF($N30="","",VLOOKUP($N30,Reinforcements[],COLUMN(Reinforcements[[#Headers],[B (in)]])-1,FALSE))</f>
        <v/>
      </c>
      <c r="D94" s="408"/>
      <c r="E94" s="408" t="str">
        <f>IF($N30="","",VLOOKUP($N30,Reinforcements[],COLUMN(Reinforcements[[#Headers],[H (in)]])-1,FALSE))</f>
        <v/>
      </c>
      <c r="F94" s="408"/>
      <c r="G94" s="408" t="str">
        <f>IF($N30="","",VLOOKUP($N30,Reinforcements[],COLUMN(Reinforcements[[#Headers],[Gross Area (in2)]])-1,FALSE))</f>
        <v/>
      </c>
      <c r="H94" s="408"/>
      <c r="I94" s="408" t="str">
        <f>IF($N30="","",VLOOKUP($N30,Reinforcements[],COLUMN(Reinforcements[[#Headers],[Pole Face to Centroid (in)]])-1,FALSE))</f>
        <v/>
      </c>
      <c r="J94" s="408"/>
      <c r="K94" s="408"/>
      <c r="L94" s="408"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408"/>
      <c r="N94" s="408"/>
      <c r="O94" s="408"/>
      <c r="P94" s="408"/>
      <c r="Q94" s="408" t="str">
        <f>IF($N30="","",VLOOKUP($N30,Reinforcements[],COLUMN(Reinforcements[[#Headers],[Bottom Connection Length + Edge Dist (in)]])-1,FALSE))</f>
        <v/>
      </c>
      <c r="R94" s="408"/>
      <c r="S94" s="408"/>
      <c r="T94" s="421"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421"/>
      <c r="V94" s="421"/>
      <c r="W94" s="421"/>
      <c r="X94" s="421"/>
      <c r="Y94" s="421" t="str">
        <f>IF($N30="","",VLOOKUP($N30,Reinforcements[],COLUMN(Reinforcements[[#Headers],[Top Connection Length + Edge Dist (in)]])-1,FALSE))</f>
        <v/>
      </c>
      <c r="Z94" s="421"/>
      <c r="AA94" s="421"/>
      <c r="AB94" s="444" t="str">
        <f>IF($N30="","",VLOOKUP($N30,Reinforcements[],COLUMN(Reinforcements[[#Headers],[Lu (in)]])-1,FALSE))</f>
        <v/>
      </c>
      <c r="AC94" s="444"/>
      <c r="AD94" s="444" t="str">
        <f>IF($N30="","",VLOOKUP($N30,Reinforcements[],COLUMN(Reinforcements[[#Headers],[Net Area (in2)]])-1,FALSE))</f>
        <v/>
      </c>
      <c r="AE94" s="444"/>
      <c r="AF94" s="436" t="str">
        <f>IF($N30="","",VLOOKUP($N30,Reinforcements[],IF(RIGHT($AF$84,4)="(in)",COLUMN(Reinforcements[[#Headers],[Bolt Hole Size (in)]])-1,COLUMN(Reinforcements[[#Headers],[Bolt Hole Size (mm)]])-1),FALSE))</f>
        <v/>
      </c>
      <c r="AG94" s="436"/>
      <c r="AH94" s="436"/>
      <c r="AI94" s="408" t="str">
        <f>IF($N30="","",VLOOKUP($N30,Reinforcements[],COLUMN(Reinforcements[[#Headers],[Material]])-1,FALSE))</f>
        <v/>
      </c>
      <c r="AJ94" s="408"/>
      <c r="AK94" s="408"/>
      <c r="AL94" s="408"/>
      <c r="AM94" s="25"/>
      <c r="AN94" s="25"/>
      <c r="AO94" s="25"/>
    </row>
    <row r="95" spans="2:41" ht="14.45" customHeight="1" x14ac:dyDescent="0.25">
      <c r="B95" s="10">
        <v>11</v>
      </c>
      <c r="C95" s="408" t="str">
        <f>IF($N31="","",VLOOKUP($N31,Reinforcements[],COLUMN(Reinforcements[[#Headers],[B (in)]])-1,FALSE))</f>
        <v/>
      </c>
      <c r="D95" s="408"/>
      <c r="E95" s="408" t="str">
        <f>IF($N31="","",VLOOKUP($N31,Reinforcements[],COLUMN(Reinforcements[[#Headers],[H (in)]])-1,FALSE))</f>
        <v/>
      </c>
      <c r="F95" s="408"/>
      <c r="G95" s="408" t="str">
        <f>IF($N31="","",VLOOKUP($N31,Reinforcements[],COLUMN(Reinforcements[[#Headers],[Gross Area (in2)]])-1,FALSE))</f>
        <v/>
      </c>
      <c r="H95" s="408"/>
      <c r="I95" s="408" t="str">
        <f>IF($N31="","",VLOOKUP($N31,Reinforcements[],COLUMN(Reinforcements[[#Headers],[Pole Face to Centroid (in)]])-1,FALSE))</f>
        <v/>
      </c>
      <c r="J95" s="408"/>
      <c r="K95" s="408"/>
      <c r="L95" s="408"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408"/>
      <c r="N95" s="408"/>
      <c r="O95" s="408"/>
      <c r="P95" s="408"/>
      <c r="Q95" s="408" t="str">
        <f>IF($N31="","",VLOOKUP($N31,Reinforcements[],COLUMN(Reinforcements[[#Headers],[Bottom Connection Length + Edge Dist (in)]])-1,FALSE))</f>
        <v/>
      </c>
      <c r="R95" s="408"/>
      <c r="S95" s="408"/>
      <c r="T95" s="421"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421"/>
      <c r="V95" s="421"/>
      <c r="W95" s="421"/>
      <c r="X95" s="421"/>
      <c r="Y95" s="421" t="str">
        <f>IF($N31="","",VLOOKUP($N31,Reinforcements[],COLUMN(Reinforcements[[#Headers],[Top Connection Length + Edge Dist (in)]])-1,FALSE))</f>
        <v/>
      </c>
      <c r="Z95" s="421"/>
      <c r="AA95" s="421"/>
      <c r="AB95" s="444" t="str">
        <f>IF($N31="","",VLOOKUP($N31,Reinforcements[],COLUMN(Reinforcements[[#Headers],[Lu (in)]])-1,FALSE))</f>
        <v/>
      </c>
      <c r="AC95" s="444"/>
      <c r="AD95" s="444" t="str">
        <f>IF($N31="","",VLOOKUP($N31,Reinforcements[],COLUMN(Reinforcements[[#Headers],[Net Area (in2)]])-1,FALSE))</f>
        <v/>
      </c>
      <c r="AE95" s="444"/>
      <c r="AF95" s="436" t="str">
        <f>IF($N31="","",VLOOKUP($N31,Reinforcements[],IF(RIGHT($AF$84,4)="(in)",COLUMN(Reinforcements[[#Headers],[Bolt Hole Size (in)]])-1,COLUMN(Reinforcements[[#Headers],[Bolt Hole Size (mm)]])-1),FALSE))</f>
        <v/>
      </c>
      <c r="AG95" s="436"/>
      <c r="AH95" s="436"/>
      <c r="AI95" s="408" t="str">
        <f>IF($N31="","",VLOOKUP($N31,Reinforcements[],COLUMN(Reinforcements[[#Headers],[Material]])-1,FALSE))</f>
        <v/>
      </c>
      <c r="AJ95" s="408"/>
      <c r="AK95" s="408"/>
      <c r="AL95" s="408"/>
      <c r="AM95" s="25"/>
      <c r="AN95" s="25"/>
      <c r="AO95" s="25"/>
    </row>
    <row r="96" spans="2:41" ht="14.45" customHeight="1" x14ac:dyDescent="0.25">
      <c r="B96" s="10">
        <v>12</v>
      </c>
      <c r="C96" s="408" t="str">
        <f>IF($N32="","",VLOOKUP($N32,Reinforcements[],COLUMN(Reinforcements[[#Headers],[B (in)]])-1,FALSE))</f>
        <v/>
      </c>
      <c r="D96" s="408"/>
      <c r="E96" s="408" t="str">
        <f>IF($N32="","",VLOOKUP($N32,Reinforcements[],COLUMN(Reinforcements[[#Headers],[H (in)]])-1,FALSE))</f>
        <v/>
      </c>
      <c r="F96" s="408"/>
      <c r="G96" s="408" t="str">
        <f>IF($N32="","",VLOOKUP($N32,Reinforcements[],COLUMN(Reinforcements[[#Headers],[Gross Area (in2)]])-1,FALSE))</f>
        <v/>
      </c>
      <c r="H96" s="408"/>
      <c r="I96" s="408" t="str">
        <f>IF($N32="","",VLOOKUP($N32,Reinforcements[],COLUMN(Reinforcements[[#Headers],[Pole Face to Centroid (in)]])-1,FALSE))</f>
        <v/>
      </c>
      <c r="J96" s="408"/>
      <c r="K96" s="408"/>
      <c r="L96" s="408"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408"/>
      <c r="N96" s="408"/>
      <c r="O96" s="408"/>
      <c r="P96" s="408"/>
      <c r="Q96" s="408" t="str">
        <f>IF($N32="","",VLOOKUP($N32,Reinforcements[],COLUMN(Reinforcements[[#Headers],[Bottom Connection Length + Edge Dist (in)]])-1,FALSE))</f>
        <v/>
      </c>
      <c r="R96" s="408"/>
      <c r="S96" s="408"/>
      <c r="T96" s="421"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421"/>
      <c r="V96" s="421"/>
      <c r="W96" s="421"/>
      <c r="X96" s="421"/>
      <c r="Y96" s="421" t="str">
        <f>IF($N32="","",VLOOKUP($N32,Reinforcements[],COLUMN(Reinforcements[[#Headers],[Top Connection Length + Edge Dist (in)]])-1,FALSE))</f>
        <v/>
      </c>
      <c r="Z96" s="421"/>
      <c r="AA96" s="421"/>
      <c r="AB96" s="444" t="str">
        <f>IF($N32="","",VLOOKUP($N32,Reinforcements[],COLUMN(Reinforcements[[#Headers],[Lu (in)]])-1,FALSE))</f>
        <v/>
      </c>
      <c r="AC96" s="444"/>
      <c r="AD96" s="444" t="str">
        <f>IF($N32="","",VLOOKUP($N32,Reinforcements[],COLUMN(Reinforcements[[#Headers],[Net Area (in2)]])-1,FALSE))</f>
        <v/>
      </c>
      <c r="AE96" s="444"/>
      <c r="AF96" s="436" t="str">
        <f>IF($N32="","",VLOOKUP($N32,Reinforcements[],IF(RIGHT($AF$84,4)="(in)",COLUMN(Reinforcements[[#Headers],[Bolt Hole Size (in)]])-1,COLUMN(Reinforcements[[#Headers],[Bolt Hole Size (mm)]])-1),FALSE))</f>
        <v/>
      </c>
      <c r="AG96" s="436"/>
      <c r="AH96" s="436"/>
      <c r="AI96" s="408" t="str">
        <f>IF($N32="","",VLOOKUP($N32,Reinforcements[],COLUMN(Reinforcements[[#Headers],[Material]])-1,FALSE))</f>
        <v/>
      </c>
      <c r="AJ96" s="408"/>
      <c r="AK96" s="408"/>
      <c r="AL96" s="408"/>
      <c r="AM96" s="25"/>
      <c r="AN96" s="25"/>
      <c r="AO96" s="25"/>
    </row>
    <row r="97" spans="2:41" ht="14.45" customHeight="1" x14ac:dyDescent="0.25">
      <c r="B97" s="10">
        <v>13</v>
      </c>
      <c r="C97" s="408" t="str">
        <f>IF($N33="","",VLOOKUP($N33,Reinforcements[],COLUMN(Reinforcements[[#Headers],[B (in)]])-1,FALSE))</f>
        <v/>
      </c>
      <c r="D97" s="408"/>
      <c r="E97" s="408" t="str">
        <f>IF($N33="","",VLOOKUP($N33,Reinforcements[],COLUMN(Reinforcements[[#Headers],[H (in)]])-1,FALSE))</f>
        <v/>
      </c>
      <c r="F97" s="408"/>
      <c r="G97" s="408" t="str">
        <f>IF($N33="","",VLOOKUP($N33,Reinforcements[],COLUMN(Reinforcements[[#Headers],[Gross Area (in2)]])-1,FALSE))</f>
        <v/>
      </c>
      <c r="H97" s="408"/>
      <c r="I97" s="408" t="str">
        <f>IF($N33="","",VLOOKUP($N33,Reinforcements[],COLUMN(Reinforcements[[#Headers],[Pole Face to Centroid (in)]])-1,FALSE))</f>
        <v/>
      </c>
      <c r="J97" s="408"/>
      <c r="K97" s="408"/>
      <c r="L97" s="408"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408"/>
      <c r="N97" s="408"/>
      <c r="O97" s="408"/>
      <c r="P97" s="408"/>
      <c r="Q97" s="408" t="str">
        <f>IF($N33="","",VLOOKUP($N33,Reinforcements[],COLUMN(Reinforcements[[#Headers],[Bottom Connection Length + Edge Dist (in)]])-1,FALSE))</f>
        <v/>
      </c>
      <c r="R97" s="408"/>
      <c r="S97" s="408"/>
      <c r="T97" s="421"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421"/>
      <c r="V97" s="421"/>
      <c r="W97" s="421"/>
      <c r="X97" s="421"/>
      <c r="Y97" s="421" t="str">
        <f>IF($N33="","",VLOOKUP($N33,Reinforcements[],COLUMN(Reinforcements[[#Headers],[Top Connection Length + Edge Dist (in)]])-1,FALSE))</f>
        <v/>
      </c>
      <c r="Z97" s="421"/>
      <c r="AA97" s="421"/>
      <c r="AB97" s="444" t="str">
        <f>IF($N33="","",VLOOKUP($N33,Reinforcements[],COLUMN(Reinforcements[[#Headers],[Lu (in)]])-1,FALSE))</f>
        <v/>
      </c>
      <c r="AC97" s="444"/>
      <c r="AD97" s="444" t="str">
        <f>IF($N33="","",VLOOKUP($N33,Reinforcements[],COLUMN(Reinforcements[[#Headers],[Net Area (in2)]])-1,FALSE))</f>
        <v/>
      </c>
      <c r="AE97" s="444"/>
      <c r="AF97" s="436" t="str">
        <f>IF($N33="","",VLOOKUP($N33,Reinforcements[],IF(RIGHT($AF$84,4)="(in)",COLUMN(Reinforcements[[#Headers],[Bolt Hole Size (in)]])-1,COLUMN(Reinforcements[[#Headers],[Bolt Hole Size (mm)]])-1),FALSE))</f>
        <v/>
      </c>
      <c r="AG97" s="436"/>
      <c r="AH97" s="436"/>
      <c r="AI97" s="408" t="str">
        <f>IF($N33="","",VLOOKUP($N33,Reinforcements[],COLUMN(Reinforcements[[#Headers],[Material]])-1,FALSE))</f>
        <v/>
      </c>
      <c r="AJ97" s="408"/>
      <c r="AK97" s="408"/>
      <c r="AL97" s="408"/>
      <c r="AM97" s="29"/>
      <c r="AN97" s="29"/>
      <c r="AO97" s="29"/>
    </row>
    <row r="98" spans="2:41" ht="14.45" customHeight="1" x14ac:dyDescent="0.25">
      <c r="B98" s="10">
        <v>14</v>
      </c>
      <c r="C98" s="408" t="str">
        <f>IF($N34="","",VLOOKUP($N34,Reinforcements[],COLUMN(Reinforcements[[#Headers],[B (in)]])-1,FALSE))</f>
        <v/>
      </c>
      <c r="D98" s="408"/>
      <c r="E98" s="408" t="str">
        <f>IF($N34="","",VLOOKUP($N34,Reinforcements[],COLUMN(Reinforcements[[#Headers],[H (in)]])-1,FALSE))</f>
        <v/>
      </c>
      <c r="F98" s="408"/>
      <c r="G98" s="408" t="str">
        <f>IF($N34="","",VLOOKUP($N34,Reinforcements[],COLUMN(Reinforcements[[#Headers],[Gross Area (in2)]])-1,FALSE))</f>
        <v/>
      </c>
      <c r="H98" s="408"/>
      <c r="I98" s="408" t="str">
        <f>IF($N34="","",VLOOKUP($N34,Reinforcements[],COLUMN(Reinforcements[[#Headers],[Pole Face to Centroid (in)]])-1,FALSE))</f>
        <v/>
      </c>
      <c r="J98" s="408"/>
      <c r="K98" s="408"/>
      <c r="L98" s="408"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408"/>
      <c r="N98" s="408"/>
      <c r="O98" s="408"/>
      <c r="P98" s="408"/>
      <c r="Q98" s="408" t="str">
        <f>IF($N34="","",VLOOKUP($N34,Reinforcements[],COLUMN(Reinforcements[[#Headers],[Bottom Connection Length + Edge Dist (in)]])-1,FALSE))</f>
        <v/>
      </c>
      <c r="R98" s="408"/>
      <c r="S98" s="408"/>
      <c r="T98" s="421"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421"/>
      <c r="V98" s="421"/>
      <c r="W98" s="421"/>
      <c r="X98" s="421"/>
      <c r="Y98" s="421" t="str">
        <f>IF($N34="","",VLOOKUP($N34,Reinforcements[],COLUMN(Reinforcements[[#Headers],[Top Connection Length + Edge Dist (in)]])-1,FALSE))</f>
        <v/>
      </c>
      <c r="Z98" s="421"/>
      <c r="AA98" s="421"/>
      <c r="AB98" s="444" t="str">
        <f>IF($N34="","",VLOOKUP($N34,Reinforcements[],COLUMN(Reinforcements[[#Headers],[Lu (in)]])-1,FALSE))</f>
        <v/>
      </c>
      <c r="AC98" s="444"/>
      <c r="AD98" s="444" t="str">
        <f>IF($N34="","",VLOOKUP($N34,Reinforcements[],COLUMN(Reinforcements[[#Headers],[Net Area (in2)]])-1,FALSE))</f>
        <v/>
      </c>
      <c r="AE98" s="444"/>
      <c r="AF98" s="436" t="str">
        <f>IF($N34="","",VLOOKUP($N34,Reinforcements[],IF(RIGHT($AF$84,4)="(in)",COLUMN(Reinforcements[[#Headers],[Bolt Hole Size (in)]])-1,COLUMN(Reinforcements[[#Headers],[Bolt Hole Size (mm)]])-1),FALSE))</f>
        <v/>
      </c>
      <c r="AG98" s="436"/>
      <c r="AH98" s="436"/>
      <c r="AI98" s="408" t="str">
        <f>IF($N34="","",VLOOKUP($N34,Reinforcements[],COLUMN(Reinforcements[[#Headers],[Material]])-1,FALSE))</f>
        <v/>
      </c>
      <c r="AJ98" s="408"/>
      <c r="AK98" s="408"/>
      <c r="AL98" s="408"/>
      <c r="AM98" s="29"/>
      <c r="AN98" s="29"/>
      <c r="AO98" s="29"/>
    </row>
    <row r="99" spans="2:41" ht="14.45" customHeight="1" x14ac:dyDescent="0.25">
      <c r="B99" s="10">
        <v>15</v>
      </c>
      <c r="C99" s="408" t="str">
        <f>IF($N35="","",VLOOKUP($N35,Reinforcements[],COLUMN(Reinforcements[[#Headers],[B (in)]])-1,FALSE))</f>
        <v/>
      </c>
      <c r="D99" s="408"/>
      <c r="E99" s="408" t="str">
        <f>IF($N35="","",VLOOKUP($N35,Reinforcements[],COLUMN(Reinforcements[[#Headers],[H (in)]])-1,FALSE))</f>
        <v/>
      </c>
      <c r="F99" s="408"/>
      <c r="G99" s="408" t="str">
        <f>IF($N35="","",VLOOKUP($N35,Reinforcements[],COLUMN(Reinforcements[[#Headers],[Gross Area (in2)]])-1,FALSE))</f>
        <v/>
      </c>
      <c r="H99" s="408"/>
      <c r="I99" s="408" t="str">
        <f>IF($N35="","",VLOOKUP($N35,Reinforcements[],COLUMN(Reinforcements[[#Headers],[Pole Face to Centroid (in)]])-1,FALSE))</f>
        <v/>
      </c>
      <c r="J99" s="408"/>
      <c r="K99" s="408"/>
      <c r="L99" s="408"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408"/>
      <c r="N99" s="408"/>
      <c r="O99" s="408"/>
      <c r="P99" s="408"/>
      <c r="Q99" s="408" t="str">
        <f>IF($N35="","",VLOOKUP($N35,Reinforcements[],COLUMN(Reinforcements[[#Headers],[Bottom Connection Length + Edge Dist (in)]])-1,FALSE))</f>
        <v/>
      </c>
      <c r="R99" s="408"/>
      <c r="S99" s="408"/>
      <c r="T99" s="421"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421"/>
      <c r="V99" s="421"/>
      <c r="W99" s="421"/>
      <c r="X99" s="421"/>
      <c r="Y99" s="421" t="str">
        <f>IF($N35="","",VLOOKUP($N35,Reinforcements[],COLUMN(Reinforcements[[#Headers],[Top Connection Length + Edge Dist (in)]])-1,FALSE))</f>
        <v/>
      </c>
      <c r="Z99" s="421"/>
      <c r="AA99" s="421"/>
      <c r="AB99" s="444" t="str">
        <f>IF($N35="","",VLOOKUP($N35,Reinforcements[],COLUMN(Reinforcements[[#Headers],[Lu (in)]])-1,FALSE))</f>
        <v/>
      </c>
      <c r="AC99" s="444"/>
      <c r="AD99" s="444" t="str">
        <f>IF($N35="","",VLOOKUP($N35,Reinforcements[],COLUMN(Reinforcements[[#Headers],[Net Area (in2)]])-1,FALSE))</f>
        <v/>
      </c>
      <c r="AE99" s="444"/>
      <c r="AF99" s="436" t="str">
        <f>IF($N35="","",VLOOKUP($N35,Reinforcements[],IF(RIGHT($AF$84,4)="(in)",COLUMN(Reinforcements[[#Headers],[Bolt Hole Size (in)]])-1,COLUMN(Reinforcements[[#Headers],[Bolt Hole Size (mm)]])-1),FALSE))</f>
        <v/>
      </c>
      <c r="AG99" s="436"/>
      <c r="AH99" s="436"/>
      <c r="AI99" s="408" t="str">
        <f>IF($N35="","",VLOOKUP($N35,Reinforcements[],COLUMN(Reinforcements[[#Headers],[Material]])-1,FALSE))</f>
        <v/>
      </c>
      <c r="AJ99" s="408"/>
      <c r="AK99" s="408"/>
      <c r="AL99" s="408"/>
      <c r="AM99" s="29"/>
      <c r="AN99" s="29"/>
      <c r="AO99" s="29"/>
    </row>
    <row r="100" spans="2:41" ht="14.45" customHeight="1" x14ac:dyDescent="0.25">
      <c r="B100" s="10">
        <v>16</v>
      </c>
      <c r="C100" s="408" t="str">
        <f>IF($N36="","",VLOOKUP($N36,Reinforcements[],COLUMN(Reinforcements[[#Headers],[B (in)]])-1,FALSE))</f>
        <v/>
      </c>
      <c r="D100" s="408"/>
      <c r="E100" s="408" t="str">
        <f>IF($N36="","",VLOOKUP($N36,Reinforcements[],COLUMN(Reinforcements[[#Headers],[H (in)]])-1,FALSE))</f>
        <v/>
      </c>
      <c r="F100" s="408"/>
      <c r="G100" s="408" t="str">
        <f>IF($N36="","",VLOOKUP($N36,Reinforcements[],COLUMN(Reinforcements[[#Headers],[Gross Area (in2)]])-1,FALSE))</f>
        <v/>
      </c>
      <c r="H100" s="408"/>
      <c r="I100" s="408" t="str">
        <f>IF($N36="","",VLOOKUP($N36,Reinforcements[],COLUMN(Reinforcements[[#Headers],[Pole Face to Centroid (in)]])-1,FALSE))</f>
        <v/>
      </c>
      <c r="J100" s="408"/>
      <c r="K100" s="408"/>
      <c r="L100" s="408"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408"/>
      <c r="N100" s="408"/>
      <c r="O100" s="408"/>
      <c r="P100" s="408"/>
      <c r="Q100" s="408" t="str">
        <f>IF($N36="","",VLOOKUP($N36,Reinforcements[],COLUMN(Reinforcements[[#Headers],[Bottom Connection Length + Edge Dist (in)]])-1,FALSE))</f>
        <v/>
      </c>
      <c r="R100" s="408"/>
      <c r="S100" s="408"/>
      <c r="T100" s="421"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421"/>
      <c r="V100" s="421"/>
      <c r="W100" s="421"/>
      <c r="X100" s="421"/>
      <c r="Y100" s="421" t="str">
        <f>IF($N36="","",VLOOKUP($N36,Reinforcements[],COLUMN(Reinforcements[[#Headers],[Top Connection Length + Edge Dist (in)]])-1,FALSE))</f>
        <v/>
      </c>
      <c r="Z100" s="421"/>
      <c r="AA100" s="421"/>
      <c r="AB100" s="444" t="str">
        <f>IF($N36="","",VLOOKUP($N36,Reinforcements[],COLUMN(Reinforcements[[#Headers],[Lu (in)]])-1,FALSE))</f>
        <v/>
      </c>
      <c r="AC100" s="444"/>
      <c r="AD100" s="444" t="str">
        <f>IF($N36="","",VLOOKUP($N36,Reinforcements[],COLUMN(Reinforcements[[#Headers],[Net Area (in2)]])-1,FALSE))</f>
        <v/>
      </c>
      <c r="AE100" s="444"/>
      <c r="AF100" s="436" t="str">
        <f>IF($N36="","",VLOOKUP($N36,Reinforcements[],IF(RIGHT($AF$84,4)="(in)",COLUMN(Reinforcements[[#Headers],[Bolt Hole Size (in)]])-1,COLUMN(Reinforcements[[#Headers],[Bolt Hole Size (mm)]])-1),FALSE))</f>
        <v/>
      </c>
      <c r="AG100" s="436"/>
      <c r="AH100" s="436"/>
      <c r="AI100" s="408" t="str">
        <f>IF($N36="","",VLOOKUP($N36,Reinforcements[],COLUMN(Reinforcements[[#Headers],[Material]])-1,FALSE))</f>
        <v/>
      </c>
      <c r="AJ100" s="408"/>
      <c r="AK100" s="408"/>
      <c r="AL100" s="408"/>
      <c r="AM100" s="29"/>
      <c r="AN100" s="29"/>
      <c r="AO100" s="29"/>
    </row>
    <row r="101" spans="2:41" ht="14.45" customHeight="1" x14ac:dyDescent="0.25">
      <c r="B101" s="10">
        <v>17</v>
      </c>
      <c r="C101" s="408" t="str">
        <f>IF($N37="","",VLOOKUP($N37,Reinforcements[],COLUMN(Reinforcements[[#Headers],[B (in)]])-1,FALSE))</f>
        <v/>
      </c>
      <c r="D101" s="408"/>
      <c r="E101" s="408" t="str">
        <f>IF($N37="","",VLOOKUP($N37,Reinforcements[],COLUMN(Reinforcements[[#Headers],[H (in)]])-1,FALSE))</f>
        <v/>
      </c>
      <c r="F101" s="408"/>
      <c r="G101" s="408" t="str">
        <f>IF($N37="","",VLOOKUP($N37,Reinforcements[],COLUMN(Reinforcements[[#Headers],[Gross Area (in2)]])-1,FALSE))</f>
        <v/>
      </c>
      <c r="H101" s="408"/>
      <c r="I101" s="408" t="str">
        <f>IF($N37="","",VLOOKUP($N37,Reinforcements[],COLUMN(Reinforcements[[#Headers],[Pole Face to Centroid (in)]])-1,FALSE))</f>
        <v/>
      </c>
      <c r="J101" s="408"/>
      <c r="K101" s="408"/>
      <c r="L101" s="408"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408"/>
      <c r="N101" s="408"/>
      <c r="O101" s="408"/>
      <c r="P101" s="408"/>
      <c r="Q101" s="408" t="str">
        <f>IF($N37="","",VLOOKUP($N37,Reinforcements[],COLUMN(Reinforcements[[#Headers],[Bottom Connection Length + Edge Dist (in)]])-1,FALSE))</f>
        <v/>
      </c>
      <c r="R101" s="408"/>
      <c r="S101" s="408"/>
      <c r="T101" s="421"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421"/>
      <c r="V101" s="421"/>
      <c r="W101" s="421"/>
      <c r="X101" s="421"/>
      <c r="Y101" s="421" t="str">
        <f>IF($N37="","",VLOOKUP($N37,Reinforcements[],COLUMN(Reinforcements[[#Headers],[Top Connection Length + Edge Dist (in)]])-1,FALSE))</f>
        <v/>
      </c>
      <c r="Z101" s="421"/>
      <c r="AA101" s="421"/>
      <c r="AB101" s="444" t="str">
        <f>IF($N37="","",VLOOKUP($N37,Reinforcements[],COLUMN(Reinforcements[[#Headers],[Lu (in)]])-1,FALSE))</f>
        <v/>
      </c>
      <c r="AC101" s="444"/>
      <c r="AD101" s="444" t="str">
        <f>IF($N37="","",VLOOKUP($N37,Reinforcements[],COLUMN(Reinforcements[[#Headers],[Net Area (in2)]])-1,FALSE))</f>
        <v/>
      </c>
      <c r="AE101" s="444"/>
      <c r="AF101" s="436" t="str">
        <f>IF($N37="","",VLOOKUP($N37,Reinforcements[],IF(RIGHT($AF$84,4)="(in)",COLUMN(Reinforcements[[#Headers],[Bolt Hole Size (in)]])-1,COLUMN(Reinforcements[[#Headers],[Bolt Hole Size (mm)]])-1),FALSE))</f>
        <v/>
      </c>
      <c r="AG101" s="436"/>
      <c r="AH101" s="436"/>
      <c r="AI101" s="408" t="str">
        <f>IF($N37="","",VLOOKUP($N37,Reinforcements[],COLUMN(Reinforcements[[#Headers],[Material]])-1,FALSE))</f>
        <v/>
      </c>
      <c r="AJ101" s="408"/>
      <c r="AK101" s="408"/>
      <c r="AL101" s="408"/>
      <c r="AM101" s="29"/>
      <c r="AN101" s="29"/>
      <c r="AO101" s="29"/>
    </row>
    <row r="102" spans="2:41" ht="14.45" customHeight="1" x14ac:dyDescent="0.25">
      <c r="B102" s="10">
        <v>18</v>
      </c>
      <c r="C102" s="408" t="str">
        <f>IF($N38="","",VLOOKUP($N38,Reinforcements[],COLUMN(Reinforcements[[#Headers],[B (in)]])-1,FALSE))</f>
        <v/>
      </c>
      <c r="D102" s="408"/>
      <c r="E102" s="408" t="str">
        <f>IF($N38="","",VLOOKUP($N38,Reinforcements[],COLUMN(Reinforcements[[#Headers],[H (in)]])-1,FALSE))</f>
        <v/>
      </c>
      <c r="F102" s="408"/>
      <c r="G102" s="408" t="str">
        <f>IF($N38="","",VLOOKUP($N38,Reinforcements[],COLUMN(Reinforcements[[#Headers],[Gross Area (in2)]])-1,FALSE))</f>
        <v/>
      </c>
      <c r="H102" s="408"/>
      <c r="I102" s="408" t="str">
        <f>IF($N38="","",VLOOKUP($N38,Reinforcements[],COLUMN(Reinforcements[[#Headers],[Pole Face to Centroid (in)]])-1,FALSE))</f>
        <v/>
      </c>
      <c r="J102" s="408"/>
      <c r="K102" s="408"/>
      <c r="L102" s="408"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408"/>
      <c r="N102" s="408"/>
      <c r="O102" s="408"/>
      <c r="P102" s="408"/>
      <c r="Q102" s="408" t="str">
        <f>IF($N38="","",VLOOKUP($N38,Reinforcements[],COLUMN(Reinforcements[[#Headers],[Bottom Connection Length + Edge Dist (in)]])-1,FALSE))</f>
        <v/>
      </c>
      <c r="R102" s="408"/>
      <c r="S102" s="408"/>
      <c r="T102" s="421"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421"/>
      <c r="V102" s="421"/>
      <c r="W102" s="421"/>
      <c r="X102" s="421"/>
      <c r="Y102" s="421" t="str">
        <f>IF($N38="","",VLOOKUP($N38,Reinforcements[],COLUMN(Reinforcements[[#Headers],[Top Connection Length + Edge Dist (in)]])-1,FALSE))</f>
        <v/>
      </c>
      <c r="Z102" s="421"/>
      <c r="AA102" s="421"/>
      <c r="AB102" s="444" t="str">
        <f>IF($N38="","",VLOOKUP($N38,Reinforcements[],COLUMN(Reinforcements[[#Headers],[Lu (in)]])-1,FALSE))</f>
        <v/>
      </c>
      <c r="AC102" s="444"/>
      <c r="AD102" s="444" t="str">
        <f>IF($N38="","",VLOOKUP($N38,Reinforcements[],COLUMN(Reinforcements[[#Headers],[Net Area (in2)]])-1,FALSE))</f>
        <v/>
      </c>
      <c r="AE102" s="444"/>
      <c r="AF102" s="436" t="str">
        <f>IF($N38="","",VLOOKUP($N38,Reinforcements[],IF(RIGHT($AF$84,4)="(in)",COLUMN(Reinforcements[[#Headers],[Bolt Hole Size (in)]])-1,COLUMN(Reinforcements[[#Headers],[Bolt Hole Size (mm)]])-1),FALSE))</f>
        <v/>
      </c>
      <c r="AG102" s="436"/>
      <c r="AH102" s="436"/>
      <c r="AI102" s="408" t="str">
        <f>IF($N38="","",VLOOKUP($N38,Reinforcements[],COLUMN(Reinforcements[[#Headers],[Material]])-1,FALSE))</f>
        <v/>
      </c>
      <c r="AJ102" s="408"/>
      <c r="AK102" s="408"/>
      <c r="AL102" s="408"/>
      <c r="AM102" s="29"/>
      <c r="AN102" s="29"/>
      <c r="AO102" s="29"/>
    </row>
    <row r="103" spans="2:41" ht="14.45" customHeight="1" x14ac:dyDescent="0.25">
      <c r="B103" s="10">
        <v>19</v>
      </c>
      <c r="C103" s="408" t="str">
        <f>IF($N39="","",VLOOKUP($N39,Reinforcements[],COLUMN(Reinforcements[[#Headers],[B (in)]])-1,FALSE))</f>
        <v/>
      </c>
      <c r="D103" s="408"/>
      <c r="E103" s="408" t="str">
        <f>IF($N39="","",VLOOKUP($N39,Reinforcements[],COLUMN(Reinforcements[[#Headers],[H (in)]])-1,FALSE))</f>
        <v/>
      </c>
      <c r="F103" s="408"/>
      <c r="G103" s="408" t="str">
        <f>IF($N39="","",VLOOKUP($N39,Reinforcements[],COLUMN(Reinforcements[[#Headers],[Gross Area (in2)]])-1,FALSE))</f>
        <v/>
      </c>
      <c r="H103" s="408"/>
      <c r="I103" s="408" t="str">
        <f>IF($N39="","",VLOOKUP($N39,Reinforcements[],COLUMN(Reinforcements[[#Headers],[Pole Face to Centroid (in)]])-1,FALSE))</f>
        <v/>
      </c>
      <c r="J103" s="408"/>
      <c r="K103" s="408"/>
      <c r="L103" s="408"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408"/>
      <c r="N103" s="408"/>
      <c r="O103" s="408"/>
      <c r="P103" s="408"/>
      <c r="Q103" s="408" t="str">
        <f>IF($N39="","",VLOOKUP($N39,Reinforcements[],COLUMN(Reinforcements[[#Headers],[Bottom Connection Length + Edge Dist (in)]])-1,FALSE))</f>
        <v/>
      </c>
      <c r="R103" s="408"/>
      <c r="S103" s="408"/>
      <c r="T103" s="421"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421"/>
      <c r="V103" s="421"/>
      <c r="W103" s="421"/>
      <c r="X103" s="421"/>
      <c r="Y103" s="421" t="str">
        <f>IF($N39="","",VLOOKUP($N39,Reinforcements[],COLUMN(Reinforcements[[#Headers],[Top Connection Length + Edge Dist (in)]])-1,FALSE))</f>
        <v/>
      </c>
      <c r="Z103" s="421"/>
      <c r="AA103" s="421"/>
      <c r="AB103" s="444" t="str">
        <f>IF($N39="","",VLOOKUP($N39,Reinforcements[],COLUMN(Reinforcements[[#Headers],[Lu (in)]])-1,FALSE))</f>
        <v/>
      </c>
      <c r="AC103" s="444"/>
      <c r="AD103" s="444" t="str">
        <f>IF($N39="","",VLOOKUP($N39,Reinforcements[],COLUMN(Reinforcements[[#Headers],[Net Area (in2)]])-1,FALSE))</f>
        <v/>
      </c>
      <c r="AE103" s="444"/>
      <c r="AF103" s="436" t="str">
        <f>IF($N39="","",VLOOKUP($N39,Reinforcements[],IF(RIGHT($AF$84,4)="(in)",COLUMN(Reinforcements[[#Headers],[Bolt Hole Size (in)]])-1,COLUMN(Reinforcements[[#Headers],[Bolt Hole Size (mm)]])-1),FALSE))</f>
        <v/>
      </c>
      <c r="AG103" s="436"/>
      <c r="AH103" s="436"/>
      <c r="AI103" s="408" t="str">
        <f>IF($N39="","",VLOOKUP($N39,Reinforcements[],COLUMN(Reinforcements[[#Headers],[Material]])-1,FALSE))</f>
        <v/>
      </c>
      <c r="AJ103" s="408"/>
      <c r="AK103" s="408"/>
      <c r="AL103" s="408"/>
      <c r="AM103" s="29"/>
      <c r="AN103" s="29"/>
      <c r="AO103" s="29"/>
    </row>
    <row r="104" spans="2:41" ht="14.45" customHeight="1" x14ac:dyDescent="0.25">
      <c r="B104" s="10">
        <v>20</v>
      </c>
      <c r="C104" s="408" t="str">
        <f>IF($N40="","",VLOOKUP($N40,Reinforcements[],COLUMN(Reinforcements[[#Headers],[B (in)]])-1,FALSE))</f>
        <v/>
      </c>
      <c r="D104" s="408"/>
      <c r="E104" s="408" t="str">
        <f>IF($N40="","",VLOOKUP($N40,Reinforcements[],COLUMN(Reinforcements[[#Headers],[H (in)]])-1,FALSE))</f>
        <v/>
      </c>
      <c r="F104" s="408"/>
      <c r="G104" s="408" t="str">
        <f>IF($N40="","",VLOOKUP($N40,Reinforcements[],COLUMN(Reinforcements[[#Headers],[Gross Area (in2)]])-1,FALSE))</f>
        <v/>
      </c>
      <c r="H104" s="408"/>
      <c r="I104" s="408" t="str">
        <f>IF($N40="","",VLOOKUP($N40,Reinforcements[],COLUMN(Reinforcements[[#Headers],[Pole Face to Centroid (in)]])-1,FALSE))</f>
        <v/>
      </c>
      <c r="J104" s="408"/>
      <c r="K104" s="408"/>
      <c r="L104" s="408"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408"/>
      <c r="N104" s="408"/>
      <c r="O104" s="408"/>
      <c r="P104" s="408"/>
      <c r="Q104" s="408" t="str">
        <f>IF($N40="","",VLOOKUP($N40,Reinforcements[],COLUMN(Reinforcements[[#Headers],[Bottom Connection Length + Edge Dist (in)]])-1,FALSE))</f>
        <v/>
      </c>
      <c r="R104" s="408"/>
      <c r="S104" s="408"/>
      <c r="T104" s="421"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421"/>
      <c r="V104" s="421"/>
      <c r="W104" s="421"/>
      <c r="X104" s="421"/>
      <c r="Y104" s="421" t="str">
        <f>IF($N40="","",VLOOKUP($N40,Reinforcements[],COLUMN(Reinforcements[[#Headers],[Top Connection Length + Edge Dist (in)]])-1,FALSE))</f>
        <v/>
      </c>
      <c r="Z104" s="421"/>
      <c r="AA104" s="421"/>
      <c r="AB104" s="444" t="str">
        <f>IF($N40="","",VLOOKUP($N40,Reinforcements[],COLUMN(Reinforcements[[#Headers],[Lu (in)]])-1,FALSE))</f>
        <v/>
      </c>
      <c r="AC104" s="444"/>
      <c r="AD104" s="444" t="str">
        <f>IF($N40="","",VLOOKUP($N40,Reinforcements[],COLUMN(Reinforcements[[#Headers],[Net Area (in2)]])-1,FALSE))</f>
        <v/>
      </c>
      <c r="AE104" s="444"/>
      <c r="AF104" s="436" t="str">
        <f>IF($N40="","",VLOOKUP($N40,Reinforcements[],IF(RIGHT($AF$84,4)="(in)",COLUMN(Reinforcements[[#Headers],[Bolt Hole Size (in)]])-1,COLUMN(Reinforcements[[#Headers],[Bolt Hole Size (mm)]])-1),FALSE))</f>
        <v/>
      </c>
      <c r="AG104" s="436"/>
      <c r="AH104" s="436"/>
      <c r="AI104" s="408" t="str">
        <f>IF($N40="","",VLOOKUP($N40,Reinforcements[],COLUMN(Reinforcements[[#Headers],[Material]])-1,FALSE))</f>
        <v/>
      </c>
      <c r="AJ104" s="408"/>
      <c r="AK104" s="408"/>
      <c r="AL104" s="408"/>
      <c r="AM104" s="29"/>
      <c r="AN104" s="29"/>
      <c r="AO104" s="29"/>
    </row>
    <row r="105" spans="2:41" ht="14.45" customHeight="1" x14ac:dyDescent="0.25">
      <c r="B105" s="10">
        <v>21</v>
      </c>
      <c r="C105" s="408" t="str">
        <f>IF($N41="","",VLOOKUP($N41,Reinforcements[],COLUMN(Reinforcements[[#Headers],[B (in)]])-1,FALSE))</f>
        <v/>
      </c>
      <c r="D105" s="408"/>
      <c r="E105" s="408" t="str">
        <f>IF($N41="","",VLOOKUP($N41,Reinforcements[],COLUMN(Reinforcements[[#Headers],[H (in)]])-1,FALSE))</f>
        <v/>
      </c>
      <c r="F105" s="408"/>
      <c r="G105" s="408" t="str">
        <f>IF($N41="","",VLOOKUP($N41,Reinforcements[],COLUMN(Reinforcements[[#Headers],[Gross Area (in2)]])-1,FALSE))</f>
        <v/>
      </c>
      <c r="H105" s="408"/>
      <c r="I105" s="408" t="str">
        <f>IF($N41="","",VLOOKUP($N41,Reinforcements[],COLUMN(Reinforcements[[#Headers],[Pole Face to Centroid (in)]])-1,FALSE))</f>
        <v/>
      </c>
      <c r="J105" s="408"/>
      <c r="K105" s="408"/>
      <c r="L105" s="408"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408"/>
      <c r="N105" s="408"/>
      <c r="O105" s="408"/>
      <c r="P105" s="408"/>
      <c r="Q105" s="408" t="str">
        <f>IF($N41="","",VLOOKUP($N41,Reinforcements[],COLUMN(Reinforcements[[#Headers],[Bottom Connection Length + Edge Dist (in)]])-1,FALSE))</f>
        <v/>
      </c>
      <c r="R105" s="408"/>
      <c r="S105" s="408"/>
      <c r="T105" s="421"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421"/>
      <c r="V105" s="421"/>
      <c r="W105" s="421"/>
      <c r="X105" s="421"/>
      <c r="Y105" s="421" t="str">
        <f>IF($N41="","",VLOOKUP($N41,Reinforcements[],COLUMN(Reinforcements[[#Headers],[Top Connection Length + Edge Dist (in)]])-1,FALSE))</f>
        <v/>
      </c>
      <c r="Z105" s="421"/>
      <c r="AA105" s="421"/>
      <c r="AB105" s="444" t="str">
        <f>IF($N41="","",VLOOKUP($N41,Reinforcements[],COLUMN(Reinforcements[[#Headers],[Lu (in)]])-1,FALSE))</f>
        <v/>
      </c>
      <c r="AC105" s="444"/>
      <c r="AD105" s="444" t="str">
        <f>IF($N41="","",VLOOKUP($N41,Reinforcements[],COLUMN(Reinforcements[[#Headers],[Net Area (in2)]])-1,FALSE))</f>
        <v/>
      </c>
      <c r="AE105" s="444"/>
      <c r="AF105" s="436" t="str">
        <f>IF($N41="","",VLOOKUP($N41,Reinforcements[],IF(RIGHT($AF$84,4)="(in)",COLUMN(Reinforcements[[#Headers],[Bolt Hole Size (in)]])-1,COLUMN(Reinforcements[[#Headers],[Bolt Hole Size (mm)]])-1),FALSE))</f>
        <v/>
      </c>
      <c r="AG105" s="436"/>
      <c r="AH105" s="436"/>
      <c r="AI105" s="408" t="str">
        <f>IF($N41="","",VLOOKUP($N41,Reinforcements[],COLUMN(Reinforcements[[#Headers],[Material]])-1,FALSE))</f>
        <v/>
      </c>
      <c r="AJ105" s="408"/>
      <c r="AK105" s="408"/>
      <c r="AL105" s="408"/>
      <c r="AM105" s="29"/>
      <c r="AN105" s="29"/>
      <c r="AO105" s="29"/>
    </row>
    <row r="106" spans="2:41" ht="14.45" hidden="1" customHeight="1" x14ac:dyDescent="0.25">
      <c r="B106" s="10">
        <v>22</v>
      </c>
      <c r="C106" s="408" t="str">
        <f>IF($N42="","",VLOOKUP($N42,Reinforcements[],COLUMN(Reinforcements[[#Headers],[B (in)]])-1,FALSE))</f>
        <v/>
      </c>
      <c r="D106" s="408"/>
      <c r="E106" s="408" t="str">
        <f>IF($N42="","",VLOOKUP($N42,Reinforcements[],COLUMN(Reinforcements[[#Headers],[H (in)]])-1,FALSE))</f>
        <v/>
      </c>
      <c r="F106" s="408"/>
      <c r="G106" s="408" t="str">
        <f>IF($N42="","",VLOOKUP($N42,Reinforcements[],COLUMN(Reinforcements[[#Headers],[Gross Area (in2)]])-1,FALSE))</f>
        <v/>
      </c>
      <c r="H106" s="408"/>
      <c r="I106" s="408" t="str">
        <f>IF($N42="","",VLOOKUP($N42,Reinforcements[],COLUMN(Reinforcements[[#Headers],[Pole Face to Centroid (in)]])-1,FALSE))</f>
        <v/>
      </c>
      <c r="J106" s="408"/>
      <c r="K106" s="408"/>
      <c r="L106" s="408"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408"/>
      <c r="N106" s="408"/>
      <c r="O106" s="408"/>
      <c r="P106" s="408"/>
      <c r="Q106" s="408" t="str">
        <f>IF($N42="","",VLOOKUP($N42,Reinforcements[],COLUMN(Reinforcements[[#Headers],[Bottom Connection Length + Edge Dist (in)]])-1,FALSE))</f>
        <v/>
      </c>
      <c r="R106" s="408"/>
      <c r="S106" s="408"/>
      <c r="T106" s="421"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421"/>
      <c r="V106" s="421"/>
      <c r="W106" s="421"/>
      <c r="X106" s="421"/>
      <c r="Y106" s="421" t="str">
        <f>IF($N42="","",VLOOKUP($N42,Reinforcements[],COLUMN(Reinforcements[[#Headers],[Top Connection Length + Edge Dist (in)]])-1,FALSE))</f>
        <v/>
      </c>
      <c r="Z106" s="421"/>
      <c r="AA106" s="421"/>
      <c r="AB106" s="444" t="str">
        <f>IF($N42="","",VLOOKUP($N42,Reinforcements[],COLUMN(Reinforcements[[#Headers],[Lu (in)]])-1,FALSE))</f>
        <v/>
      </c>
      <c r="AC106" s="444"/>
      <c r="AD106" s="444" t="str">
        <f>IF($N42="","",VLOOKUP($N42,Reinforcements[],COLUMN(Reinforcements[[#Headers],[Net Area (in2)]])-1,FALSE))</f>
        <v/>
      </c>
      <c r="AE106" s="444"/>
      <c r="AF106" s="436" t="str">
        <f>IF($N42="","",VLOOKUP($N42,Reinforcements[],IF(RIGHT($AF$84,4)="(in)",COLUMN(Reinforcements[[#Headers],[Bolt Hole Size (in)]])-1,COLUMN(Reinforcements[[#Headers],[Bolt Hole Size (mm)]])-1),FALSE))</f>
        <v/>
      </c>
      <c r="AG106" s="436"/>
      <c r="AH106" s="436"/>
      <c r="AI106" s="408" t="str">
        <f>IF($N42="","",VLOOKUP($N42,Reinforcements[],COLUMN(Reinforcements[[#Headers],[Material]])-1,FALSE))</f>
        <v/>
      </c>
      <c r="AJ106" s="408"/>
      <c r="AK106" s="408"/>
      <c r="AL106" s="408"/>
      <c r="AM106" s="29"/>
      <c r="AN106" s="29"/>
      <c r="AO106" s="29"/>
    </row>
    <row r="107" spans="2:41" ht="14.45" hidden="1" customHeight="1" x14ac:dyDescent="0.25">
      <c r="B107" s="10">
        <v>23</v>
      </c>
      <c r="C107" s="408" t="str">
        <f>IF($N43="","",VLOOKUP($N43,Reinforcements[],COLUMN(Reinforcements[[#Headers],[B (in)]])-1,FALSE))</f>
        <v/>
      </c>
      <c r="D107" s="408"/>
      <c r="E107" s="408" t="str">
        <f>IF($N43="","",VLOOKUP($N43,Reinforcements[],COLUMN(Reinforcements[[#Headers],[H (in)]])-1,FALSE))</f>
        <v/>
      </c>
      <c r="F107" s="408"/>
      <c r="G107" s="408" t="str">
        <f>IF($N43="","",VLOOKUP($N43,Reinforcements[],COLUMN(Reinforcements[[#Headers],[Gross Area (in2)]])-1,FALSE))</f>
        <v/>
      </c>
      <c r="H107" s="408"/>
      <c r="I107" s="408" t="str">
        <f>IF($N43="","",VLOOKUP($N43,Reinforcements[],COLUMN(Reinforcements[[#Headers],[Pole Face to Centroid (in)]])-1,FALSE))</f>
        <v/>
      </c>
      <c r="J107" s="408"/>
      <c r="K107" s="408"/>
      <c r="L107" s="408"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408"/>
      <c r="N107" s="408"/>
      <c r="O107" s="408"/>
      <c r="P107" s="408"/>
      <c r="Q107" s="408" t="str">
        <f>IF($N43="","",VLOOKUP($N43,Reinforcements[],COLUMN(Reinforcements[[#Headers],[Bottom Connection Length + Edge Dist (in)]])-1,FALSE))</f>
        <v/>
      </c>
      <c r="R107" s="408"/>
      <c r="S107" s="408"/>
      <c r="T107" s="421"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421"/>
      <c r="V107" s="421"/>
      <c r="W107" s="421"/>
      <c r="X107" s="421"/>
      <c r="Y107" s="421" t="str">
        <f>IF($N43="","",VLOOKUP($N43,Reinforcements[],COLUMN(Reinforcements[[#Headers],[Top Connection Length + Edge Dist (in)]])-1,FALSE))</f>
        <v/>
      </c>
      <c r="Z107" s="421"/>
      <c r="AA107" s="421"/>
      <c r="AB107" s="444" t="str">
        <f>IF($N43="","",VLOOKUP($N43,Reinforcements[],COLUMN(Reinforcements[[#Headers],[Lu (in)]])-1,FALSE))</f>
        <v/>
      </c>
      <c r="AC107" s="444"/>
      <c r="AD107" s="444" t="str">
        <f>IF($N43="","",VLOOKUP($N43,Reinforcements[],COLUMN(Reinforcements[[#Headers],[Net Area (in2)]])-1,FALSE))</f>
        <v/>
      </c>
      <c r="AE107" s="444"/>
      <c r="AF107" s="436" t="str">
        <f>IF($N43="","",VLOOKUP($N43,Reinforcements[],IF(RIGHT($AF$84,4)="(in)",COLUMN(Reinforcements[[#Headers],[Bolt Hole Size (in)]])-1,COLUMN(Reinforcements[[#Headers],[Bolt Hole Size (mm)]])-1),FALSE))</f>
        <v/>
      </c>
      <c r="AG107" s="436"/>
      <c r="AH107" s="436"/>
      <c r="AI107" s="408" t="str">
        <f>IF($N43="","",VLOOKUP($N43,Reinforcements[],COLUMN(Reinforcements[[#Headers],[Material]])-1,FALSE))</f>
        <v/>
      </c>
      <c r="AJ107" s="408"/>
      <c r="AK107" s="408"/>
      <c r="AL107" s="408"/>
      <c r="AM107" s="29"/>
      <c r="AN107" s="29"/>
      <c r="AO107" s="29"/>
    </row>
    <row r="108" spans="2:41" ht="14.45" hidden="1" customHeight="1" x14ac:dyDescent="0.25">
      <c r="B108" s="10">
        <v>24</v>
      </c>
      <c r="C108" s="408" t="str">
        <f>IF($N44="","",VLOOKUP($N44,Reinforcements[],COLUMN(Reinforcements[[#Headers],[B (in)]])-1,FALSE))</f>
        <v/>
      </c>
      <c r="D108" s="408"/>
      <c r="E108" s="408" t="str">
        <f>IF($N44="","",VLOOKUP($N44,Reinforcements[],COLUMN(Reinforcements[[#Headers],[H (in)]])-1,FALSE))</f>
        <v/>
      </c>
      <c r="F108" s="408"/>
      <c r="G108" s="408" t="str">
        <f>IF($N44="","",VLOOKUP($N44,Reinforcements[],COLUMN(Reinforcements[[#Headers],[Gross Area (in2)]])-1,FALSE))</f>
        <v/>
      </c>
      <c r="H108" s="408"/>
      <c r="I108" s="408" t="str">
        <f>IF($N44="","",VLOOKUP($N44,Reinforcements[],COLUMN(Reinforcements[[#Headers],[Pole Face to Centroid (in)]])-1,FALSE))</f>
        <v/>
      </c>
      <c r="J108" s="408"/>
      <c r="K108" s="408"/>
      <c r="L108" s="408"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408"/>
      <c r="N108" s="408"/>
      <c r="O108" s="408"/>
      <c r="P108" s="408"/>
      <c r="Q108" s="408" t="str">
        <f>IF($N44="","",VLOOKUP($N44,Reinforcements[],COLUMN(Reinforcements[[#Headers],[Bottom Connection Length + Edge Dist (in)]])-1,FALSE))</f>
        <v/>
      </c>
      <c r="R108" s="408"/>
      <c r="S108" s="408"/>
      <c r="T108" s="421"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421"/>
      <c r="V108" s="421"/>
      <c r="W108" s="421"/>
      <c r="X108" s="421"/>
      <c r="Y108" s="421" t="str">
        <f>IF($N44="","",VLOOKUP($N44,Reinforcements[],COLUMN(Reinforcements[[#Headers],[Top Connection Length + Edge Dist (in)]])-1,FALSE))</f>
        <v/>
      </c>
      <c r="Z108" s="421"/>
      <c r="AA108" s="421"/>
      <c r="AB108" s="444" t="str">
        <f>IF($N44="","",VLOOKUP($N44,Reinforcements[],COLUMN(Reinforcements[[#Headers],[Lu (in)]])-1,FALSE))</f>
        <v/>
      </c>
      <c r="AC108" s="444"/>
      <c r="AD108" s="444" t="str">
        <f>IF($N44="","",VLOOKUP($N44,Reinforcements[],COLUMN(Reinforcements[[#Headers],[Net Area (in2)]])-1,FALSE))</f>
        <v/>
      </c>
      <c r="AE108" s="444"/>
      <c r="AF108" s="436" t="str">
        <f>IF($N44="","",VLOOKUP($N44,Reinforcements[],IF(RIGHT($AF$84,4)="(in)",COLUMN(Reinforcements[[#Headers],[Bolt Hole Size (in)]])-1,COLUMN(Reinforcements[[#Headers],[Bolt Hole Size (mm)]])-1),FALSE))</f>
        <v/>
      </c>
      <c r="AG108" s="436"/>
      <c r="AH108" s="436"/>
      <c r="AI108" s="408" t="str">
        <f>IF($N44="","",VLOOKUP($N44,Reinforcements[],COLUMN(Reinforcements[[#Headers],[Material]])-1,FALSE))</f>
        <v/>
      </c>
      <c r="AJ108" s="408"/>
      <c r="AK108" s="408"/>
      <c r="AL108" s="408"/>
      <c r="AM108" s="29"/>
      <c r="AN108" s="29"/>
      <c r="AO108" s="29"/>
    </row>
    <row r="109" spans="2:41" ht="14.45" hidden="1" customHeight="1" x14ac:dyDescent="0.25">
      <c r="B109" s="10">
        <v>25</v>
      </c>
      <c r="C109" s="408" t="str">
        <f>IF($N45="","",VLOOKUP($N45,Reinforcements[],COLUMN(Reinforcements[[#Headers],[B (in)]])-1,FALSE))</f>
        <v/>
      </c>
      <c r="D109" s="408"/>
      <c r="E109" s="408" t="str">
        <f>IF($N45="","",VLOOKUP($N45,Reinforcements[],COLUMN(Reinforcements[[#Headers],[H (in)]])-1,FALSE))</f>
        <v/>
      </c>
      <c r="F109" s="408"/>
      <c r="G109" s="408" t="str">
        <f>IF($N45="","",VLOOKUP($N45,Reinforcements[],COLUMN(Reinforcements[[#Headers],[Gross Area (in2)]])-1,FALSE))</f>
        <v/>
      </c>
      <c r="H109" s="408"/>
      <c r="I109" s="408" t="str">
        <f>IF($N45="","",VLOOKUP($N45,Reinforcements[],COLUMN(Reinforcements[[#Headers],[Pole Face to Centroid (in)]])-1,FALSE))</f>
        <v/>
      </c>
      <c r="J109" s="408"/>
      <c r="K109" s="408"/>
      <c r="L109" s="408"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408"/>
      <c r="N109" s="408"/>
      <c r="O109" s="408"/>
      <c r="P109" s="408"/>
      <c r="Q109" s="408" t="str">
        <f>IF($N45="","",VLOOKUP($N45,Reinforcements[],COLUMN(Reinforcements[[#Headers],[Bottom Connection Length + Edge Dist (in)]])-1,FALSE))</f>
        <v/>
      </c>
      <c r="R109" s="408"/>
      <c r="S109" s="408"/>
      <c r="T109" s="421"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421"/>
      <c r="V109" s="421"/>
      <c r="W109" s="421"/>
      <c r="X109" s="421"/>
      <c r="Y109" s="421" t="str">
        <f>IF($N45="","",VLOOKUP($N45,Reinforcements[],COLUMN(Reinforcements[[#Headers],[Top Connection Length + Edge Dist (in)]])-1,FALSE))</f>
        <v/>
      </c>
      <c r="Z109" s="421"/>
      <c r="AA109" s="421"/>
      <c r="AB109" s="444" t="str">
        <f>IF($N45="","",VLOOKUP($N45,Reinforcements[],COLUMN(Reinforcements[[#Headers],[Lu (in)]])-1,FALSE))</f>
        <v/>
      </c>
      <c r="AC109" s="444"/>
      <c r="AD109" s="444" t="str">
        <f>IF($N45="","",VLOOKUP($N45,Reinforcements[],COLUMN(Reinforcements[[#Headers],[Net Area (in2)]])-1,FALSE))</f>
        <v/>
      </c>
      <c r="AE109" s="444"/>
      <c r="AF109" s="436" t="str">
        <f>IF($N45="","",VLOOKUP($N45,Reinforcements[],IF(RIGHT($AF$84,4)="(in)",COLUMN(Reinforcements[[#Headers],[Bolt Hole Size (in)]])-1,COLUMN(Reinforcements[[#Headers],[Bolt Hole Size (mm)]])-1),FALSE))</f>
        <v/>
      </c>
      <c r="AG109" s="436"/>
      <c r="AH109" s="436"/>
      <c r="AI109" s="408" t="str">
        <f>IF($N45="","",VLOOKUP($N45,Reinforcements[],COLUMN(Reinforcements[[#Headers],[Material]])-1,FALSE))</f>
        <v/>
      </c>
      <c r="AJ109" s="408"/>
      <c r="AK109" s="408"/>
      <c r="AL109" s="408"/>
      <c r="AM109" s="29"/>
      <c r="AN109" s="29"/>
      <c r="AO109" s="29"/>
    </row>
    <row r="110" spans="2:41" ht="14.45" hidden="1" customHeight="1" x14ac:dyDescent="0.25">
      <c r="B110" s="10">
        <v>26</v>
      </c>
      <c r="C110" s="408" t="str">
        <f>IF($N46="","",VLOOKUP($N46,Reinforcements[],COLUMN(Reinforcements[[#Headers],[B (in)]])-1,FALSE))</f>
        <v/>
      </c>
      <c r="D110" s="408"/>
      <c r="E110" s="408" t="str">
        <f>IF($N46="","",VLOOKUP($N46,Reinforcements[],COLUMN(Reinforcements[[#Headers],[H (in)]])-1,FALSE))</f>
        <v/>
      </c>
      <c r="F110" s="408"/>
      <c r="G110" s="408" t="str">
        <f>IF($N46="","",VLOOKUP($N46,Reinforcements[],COLUMN(Reinforcements[[#Headers],[Gross Area (in2)]])-1,FALSE))</f>
        <v/>
      </c>
      <c r="H110" s="408"/>
      <c r="I110" s="408" t="str">
        <f>IF($N46="","",VLOOKUP($N46,Reinforcements[],COLUMN(Reinforcements[[#Headers],[Pole Face to Centroid (in)]])-1,FALSE))</f>
        <v/>
      </c>
      <c r="J110" s="408"/>
      <c r="K110" s="408"/>
      <c r="L110" s="408"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408"/>
      <c r="N110" s="408"/>
      <c r="O110" s="408"/>
      <c r="P110" s="408"/>
      <c r="Q110" s="408" t="str">
        <f>IF($N46="","",VLOOKUP($N46,Reinforcements[],COLUMN(Reinforcements[[#Headers],[Bottom Connection Length + Edge Dist (in)]])-1,FALSE))</f>
        <v/>
      </c>
      <c r="R110" s="408"/>
      <c r="S110" s="408"/>
      <c r="T110" s="421"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421"/>
      <c r="V110" s="421"/>
      <c r="W110" s="421"/>
      <c r="X110" s="421"/>
      <c r="Y110" s="421" t="str">
        <f>IF($N46="","",VLOOKUP($N46,Reinforcements[],COLUMN(Reinforcements[[#Headers],[Top Connection Length + Edge Dist (in)]])-1,FALSE))</f>
        <v/>
      </c>
      <c r="Z110" s="421"/>
      <c r="AA110" s="421"/>
      <c r="AB110" s="444" t="str">
        <f>IF($N46="","",VLOOKUP($N46,Reinforcements[],COLUMN(Reinforcements[[#Headers],[Lu (in)]])-1,FALSE))</f>
        <v/>
      </c>
      <c r="AC110" s="444"/>
      <c r="AD110" s="444" t="str">
        <f>IF($N46="","",VLOOKUP($N46,Reinforcements[],COLUMN(Reinforcements[[#Headers],[Net Area (in2)]])-1,FALSE))</f>
        <v/>
      </c>
      <c r="AE110" s="444"/>
      <c r="AF110" s="436" t="str">
        <f>IF($N46="","",VLOOKUP($N46,Reinforcements[],IF(RIGHT($AF$84,4)="(in)",COLUMN(Reinforcements[[#Headers],[Bolt Hole Size (in)]])-1,COLUMN(Reinforcements[[#Headers],[Bolt Hole Size (mm)]])-1),FALSE))</f>
        <v/>
      </c>
      <c r="AG110" s="436"/>
      <c r="AH110" s="436"/>
      <c r="AI110" s="408" t="str">
        <f>IF($N46="","",VLOOKUP($N46,Reinforcements[],COLUMN(Reinforcements[[#Headers],[Material]])-1,FALSE))</f>
        <v/>
      </c>
      <c r="AJ110" s="408"/>
      <c r="AK110" s="408"/>
      <c r="AL110" s="408"/>
      <c r="AM110" s="29"/>
      <c r="AN110" s="29"/>
      <c r="AO110" s="29"/>
    </row>
    <row r="111" spans="2:41" ht="14.45" hidden="1" customHeight="1" x14ac:dyDescent="0.25">
      <c r="B111" s="10">
        <v>27</v>
      </c>
      <c r="C111" s="408" t="str">
        <f>IF($N47="","",VLOOKUP($N47,Reinforcements[],COLUMN(Reinforcements[[#Headers],[B (in)]])-1,FALSE))</f>
        <v/>
      </c>
      <c r="D111" s="408"/>
      <c r="E111" s="408" t="str">
        <f>IF($N47="","",VLOOKUP($N47,Reinforcements[],COLUMN(Reinforcements[[#Headers],[H (in)]])-1,FALSE))</f>
        <v/>
      </c>
      <c r="F111" s="408"/>
      <c r="G111" s="408" t="str">
        <f>IF($N47="","",VLOOKUP($N47,Reinforcements[],COLUMN(Reinforcements[[#Headers],[Gross Area (in2)]])-1,FALSE))</f>
        <v/>
      </c>
      <c r="H111" s="408"/>
      <c r="I111" s="408" t="str">
        <f>IF($N47="","",VLOOKUP($N47,Reinforcements[],COLUMN(Reinforcements[[#Headers],[Pole Face to Centroid (in)]])-1,FALSE))</f>
        <v/>
      </c>
      <c r="J111" s="408"/>
      <c r="K111" s="408"/>
      <c r="L111" s="408"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408"/>
      <c r="N111" s="408"/>
      <c r="O111" s="408"/>
      <c r="P111" s="408"/>
      <c r="Q111" s="408" t="str">
        <f>IF($N47="","",VLOOKUP($N47,Reinforcements[],COLUMN(Reinforcements[[#Headers],[Bottom Connection Length + Edge Dist (in)]])-1,FALSE))</f>
        <v/>
      </c>
      <c r="R111" s="408"/>
      <c r="S111" s="408"/>
      <c r="T111" s="421"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421"/>
      <c r="V111" s="421"/>
      <c r="W111" s="421"/>
      <c r="X111" s="421"/>
      <c r="Y111" s="421" t="str">
        <f>IF($N47="","",VLOOKUP($N47,Reinforcements[],COLUMN(Reinforcements[[#Headers],[Top Connection Length + Edge Dist (in)]])-1,FALSE))</f>
        <v/>
      </c>
      <c r="Z111" s="421"/>
      <c r="AA111" s="421"/>
      <c r="AB111" s="444" t="str">
        <f>IF($N47="","",VLOOKUP($N47,Reinforcements[],COLUMN(Reinforcements[[#Headers],[Lu (in)]])-1,FALSE))</f>
        <v/>
      </c>
      <c r="AC111" s="444"/>
      <c r="AD111" s="444" t="str">
        <f>IF($N47="","",VLOOKUP($N47,Reinforcements[],COLUMN(Reinforcements[[#Headers],[Net Area (in2)]])-1,FALSE))</f>
        <v/>
      </c>
      <c r="AE111" s="444"/>
      <c r="AF111" s="436" t="str">
        <f>IF($N47="","",VLOOKUP($N47,Reinforcements[],IF(RIGHT($AF$84,4)="(in)",COLUMN(Reinforcements[[#Headers],[Bolt Hole Size (in)]])-1,COLUMN(Reinforcements[[#Headers],[Bolt Hole Size (mm)]])-1),FALSE))</f>
        <v/>
      </c>
      <c r="AG111" s="436"/>
      <c r="AH111" s="436"/>
      <c r="AI111" s="408" t="str">
        <f>IF($N47="","",VLOOKUP($N47,Reinforcements[],COLUMN(Reinforcements[[#Headers],[Material]])-1,FALSE))</f>
        <v/>
      </c>
      <c r="AJ111" s="408"/>
      <c r="AK111" s="408"/>
      <c r="AL111" s="408"/>
      <c r="AM111" s="29"/>
      <c r="AN111" s="29"/>
      <c r="AO111" s="29"/>
    </row>
    <row r="112" spans="2:41" ht="14.45" hidden="1" customHeight="1" x14ac:dyDescent="0.25">
      <c r="B112" s="10">
        <v>28</v>
      </c>
      <c r="C112" s="408" t="str">
        <f>IF($N48="","",VLOOKUP($N48,Reinforcements[],COLUMN(Reinforcements[[#Headers],[B (in)]])-1,FALSE))</f>
        <v/>
      </c>
      <c r="D112" s="408"/>
      <c r="E112" s="408" t="str">
        <f>IF($N48="","",VLOOKUP($N48,Reinforcements[],COLUMN(Reinforcements[[#Headers],[H (in)]])-1,FALSE))</f>
        <v/>
      </c>
      <c r="F112" s="408"/>
      <c r="G112" s="408" t="str">
        <f>IF($N48="","",VLOOKUP($N48,Reinforcements[],COLUMN(Reinforcements[[#Headers],[Gross Area (in2)]])-1,FALSE))</f>
        <v/>
      </c>
      <c r="H112" s="408"/>
      <c r="I112" s="408" t="str">
        <f>IF($N48="","",VLOOKUP($N48,Reinforcements[],COLUMN(Reinforcements[[#Headers],[Pole Face to Centroid (in)]])-1,FALSE))</f>
        <v/>
      </c>
      <c r="J112" s="408"/>
      <c r="K112" s="408"/>
      <c r="L112" s="408"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408"/>
      <c r="N112" s="408"/>
      <c r="O112" s="408"/>
      <c r="P112" s="408"/>
      <c r="Q112" s="408" t="str">
        <f>IF($N48="","",VLOOKUP($N48,Reinforcements[],COLUMN(Reinforcements[[#Headers],[Bottom Connection Length + Edge Dist (in)]])-1,FALSE))</f>
        <v/>
      </c>
      <c r="R112" s="408"/>
      <c r="S112" s="408"/>
      <c r="T112" s="421"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421"/>
      <c r="V112" s="421"/>
      <c r="W112" s="421"/>
      <c r="X112" s="421"/>
      <c r="Y112" s="421" t="str">
        <f>IF($N48="","",VLOOKUP($N48,Reinforcements[],COLUMN(Reinforcements[[#Headers],[Top Connection Length + Edge Dist (in)]])-1,FALSE))</f>
        <v/>
      </c>
      <c r="Z112" s="421"/>
      <c r="AA112" s="421"/>
      <c r="AB112" s="444" t="str">
        <f>IF($N48="","",VLOOKUP($N48,Reinforcements[],COLUMN(Reinforcements[[#Headers],[Lu (in)]])-1,FALSE))</f>
        <v/>
      </c>
      <c r="AC112" s="444"/>
      <c r="AD112" s="444" t="str">
        <f>IF($N48="","",VLOOKUP($N48,Reinforcements[],COLUMN(Reinforcements[[#Headers],[Net Area (in2)]])-1,FALSE))</f>
        <v/>
      </c>
      <c r="AE112" s="444"/>
      <c r="AF112" s="436" t="str">
        <f>IF($N48="","",VLOOKUP($N48,Reinforcements[],IF(RIGHT($AF$84,4)="(in)",COLUMN(Reinforcements[[#Headers],[Bolt Hole Size (in)]])-1,COLUMN(Reinforcements[[#Headers],[Bolt Hole Size (mm)]])-1),FALSE))</f>
        <v/>
      </c>
      <c r="AG112" s="436"/>
      <c r="AH112" s="436"/>
      <c r="AI112" s="408" t="str">
        <f>IF($N48="","",VLOOKUP($N48,Reinforcements[],COLUMN(Reinforcements[[#Headers],[Material]])-1,FALSE))</f>
        <v/>
      </c>
      <c r="AJ112" s="408"/>
      <c r="AK112" s="408"/>
      <c r="AL112" s="408"/>
      <c r="AM112" s="29"/>
      <c r="AN112" s="29"/>
      <c r="AO112" s="29"/>
    </row>
    <row r="113" spans="2:41" ht="14.45" hidden="1" customHeight="1" x14ac:dyDescent="0.25">
      <c r="B113" s="10">
        <v>29</v>
      </c>
      <c r="C113" s="408" t="str">
        <f>IF($N49="","",VLOOKUP($N49,Reinforcements[],COLUMN(Reinforcements[[#Headers],[B (in)]])-1,FALSE))</f>
        <v/>
      </c>
      <c r="D113" s="408"/>
      <c r="E113" s="408" t="str">
        <f>IF($N49="","",VLOOKUP($N49,Reinforcements[],COLUMN(Reinforcements[[#Headers],[H (in)]])-1,FALSE))</f>
        <v/>
      </c>
      <c r="F113" s="408"/>
      <c r="G113" s="408" t="str">
        <f>IF($N49="","",VLOOKUP($N49,Reinforcements[],COLUMN(Reinforcements[[#Headers],[Gross Area (in2)]])-1,FALSE))</f>
        <v/>
      </c>
      <c r="H113" s="408"/>
      <c r="I113" s="408" t="str">
        <f>IF($N49="","",VLOOKUP($N49,Reinforcements[],COLUMN(Reinforcements[[#Headers],[Pole Face to Centroid (in)]])-1,FALSE))</f>
        <v/>
      </c>
      <c r="J113" s="408"/>
      <c r="K113" s="408"/>
      <c r="L113" s="408"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408"/>
      <c r="N113" s="408"/>
      <c r="O113" s="408"/>
      <c r="P113" s="408"/>
      <c r="Q113" s="408" t="str">
        <f>IF($N49="","",VLOOKUP($N49,Reinforcements[],COLUMN(Reinforcements[[#Headers],[Bottom Connection Length + Edge Dist (in)]])-1,FALSE))</f>
        <v/>
      </c>
      <c r="R113" s="408"/>
      <c r="S113" s="408"/>
      <c r="T113" s="421"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421"/>
      <c r="V113" s="421"/>
      <c r="W113" s="421"/>
      <c r="X113" s="421"/>
      <c r="Y113" s="421" t="str">
        <f>IF($N49="","",VLOOKUP($N49,Reinforcements[],COLUMN(Reinforcements[[#Headers],[Top Connection Length + Edge Dist (in)]])-1,FALSE))</f>
        <v/>
      </c>
      <c r="Z113" s="421"/>
      <c r="AA113" s="421"/>
      <c r="AB113" s="444" t="str">
        <f>IF($N49="","",VLOOKUP($N49,Reinforcements[],COLUMN(Reinforcements[[#Headers],[Lu (in)]])-1,FALSE))</f>
        <v/>
      </c>
      <c r="AC113" s="444"/>
      <c r="AD113" s="444" t="str">
        <f>IF($N49="","",VLOOKUP($N49,Reinforcements[],COLUMN(Reinforcements[[#Headers],[Net Area (in2)]])-1,FALSE))</f>
        <v/>
      </c>
      <c r="AE113" s="444"/>
      <c r="AF113" s="436" t="str">
        <f>IF($N49="","",VLOOKUP($N49,Reinforcements[],IF(RIGHT($AF$84,4)="(in)",COLUMN(Reinforcements[[#Headers],[Bolt Hole Size (in)]])-1,COLUMN(Reinforcements[[#Headers],[Bolt Hole Size (mm)]])-1),FALSE))</f>
        <v/>
      </c>
      <c r="AG113" s="436"/>
      <c r="AH113" s="436"/>
      <c r="AI113" s="408" t="str">
        <f>IF($N49="","",VLOOKUP($N49,Reinforcements[],COLUMN(Reinforcements[[#Headers],[Material]])-1,FALSE))</f>
        <v/>
      </c>
      <c r="AJ113" s="408"/>
      <c r="AK113" s="408"/>
      <c r="AL113" s="408"/>
      <c r="AM113" s="29"/>
      <c r="AN113" s="29"/>
      <c r="AO113" s="29"/>
    </row>
    <row r="114" spans="2:41" ht="14.45" hidden="1" customHeight="1" x14ac:dyDescent="0.25">
      <c r="B114" s="10">
        <v>30</v>
      </c>
      <c r="C114" s="408" t="str">
        <f>IF($N50="","",VLOOKUP($N50,Reinforcements[],COLUMN(Reinforcements[[#Headers],[B (in)]])-1,FALSE))</f>
        <v/>
      </c>
      <c r="D114" s="408"/>
      <c r="E114" s="408" t="str">
        <f>IF($N50="","",VLOOKUP($N50,Reinforcements[],COLUMN(Reinforcements[[#Headers],[H (in)]])-1,FALSE))</f>
        <v/>
      </c>
      <c r="F114" s="408"/>
      <c r="G114" s="408" t="str">
        <f>IF($N50="","",VLOOKUP($N50,Reinforcements[],COLUMN(Reinforcements[[#Headers],[Gross Area (in2)]])-1,FALSE))</f>
        <v/>
      </c>
      <c r="H114" s="408"/>
      <c r="I114" s="408" t="str">
        <f>IF($N50="","",VLOOKUP($N50,Reinforcements[],COLUMN(Reinforcements[[#Headers],[Pole Face to Centroid (in)]])-1,FALSE))</f>
        <v/>
      </c>
      <c r="J114" s="408"/>
      <c r="K114" s="408"/>
      <c r="L114" s="408"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408"/>
      <c r="N114" s="408"/>
      <c r="O114" s="408"/>
      <c r="P114" s="408"/>
      <c r="Q114" s="408" t="str">
        <f>IF($N50="","",VLOOKUP($N50,Reinforcements[],COLUMN(Reinforcements[[#Headers],[Bottom Connection Length + Edge Dist (in)]])-1,FALSE))</f>
        <v/>
      </c>
      <c r="R114" s="408"/>
      <c r="S114" s="408"/>
      <c r="T114" s="421"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421"/>
      <c r="V114" s="421"/>
      <c r="W114" s="421"/>
      <c r="X114" s="421"/>
      <c r="Y114" s="421" t="str">
        <f>IF($N50="","",VLOOKUP($N50,Reinforcements[],COLUMN(Reinforcements[[#Headers],[Top Connection Length + Edge Dist (in)]])-1,FALSE))</f>
        <v/>
      </c>
      <c r="Z114" s="421"/>
      <c r="AA114" s="421"/>
      <c r="AB114" s="444" t="str">
        <f>IF($N50="","",VLOOKUP($N50,Reinforcements[],COLUMN(Reinforcements[[#Headers],[Lu (in)]])-1,FALSE))</f>
        <v/>
      </c>
      <c r="AC114" s="444"/>
      <c r="AD114" s="444" t="str">
        <f>IF($N50="","",VLOOKUP($N50,Reinforcements[],COLUMN(Reinforcements[[#Headers],[Net Area (in2)]])-1,FALSE))</f>
        <v/>
      </c>
      <c r="AE114" s="444"/>
      <c r="AF114" s="436" t="str">
        <f>IF($N50="","",VLOOKUP($N50,Reinforcements[],IF(RIGHT($AF$84,4)="(in)",COLUMN(Reinforcements[[#Headers],[Bolt Hole Size (in)]])-1,COLUMN(Reinforcements[[#Headers],[Bolt Hole Size (mm)]])-1),FALSE))</f>
        <v/>
      </c>
      <c r="AG114" s="436"/>
      <c r="AH114" s="436"/>
      <c r="AI114" s="408" t="str">
        <f>IF($N50="","",VLOOKUP($N50,Reinforcements[],COLUMN(Reinforcements[[#Headers],[Material]])-1,FALSE))</f>
        <v/>
      </c>
      <c r="AJ114" s="408"/>
      <c r="AK114" s="408"/>
      <c r="AL114" s="408"/>
      <c r="AM114" s="29"/>
      <c r="AN114" s="29"/>
      <c r="AO114" s="29"/>
    </row>
    <row r="115" spans="2:41" ht="15.75" hidden="1" x14ac:dyDescent="0.25">
      <c r="B115" s="11"/>
      <c r="C115" s="417" t="s">
        <v>45</v>
      </c>
      <c r="D115" s="418"/>
      <c r="E115" s="418"/>
      <c r="F115" s="418"/>
      <c r="G115" s="418"/>
      <c r="H115" s="418"/>
      <c r="I115" s="418"/>
      <c r="J115" s="418"/>
      <c r="K115" s="418"/>
      <c r="L115" s="418"/>
      <c r="M115" s="418"/>
      <c r="N115" s="418"/>
      <c r="O115" s="418"/>
      <c r="P115" s="418"/>
      <c r="Q115" s="418"/>
      <c r="R115" s="418"/>
      <c r="S115" s="418"/>
      <c r="T115" s="418"/>
      <c r="U115" s="418"/>
      <c r="V115" s="418"/>
      <c r="W115" s="418"/>
      <c r="X115" s="418"/>
      <c r="Y115" s="418"/>
      <c r="Z115" s="418"/>
      <c r="AA115" s="418"/>
      <c r="AB115" s="418"/>
      <c r="AC115" s="418"/>
      <c r="AD115" s="418"/>
      <c r="AE115" s="418"/>
      <c r="AF115" s="418"/>
      <c r="AG115" s="418"/>
      <c r="AH115" s="418"/>
      <c r="AI115" s="418"/>
      <c r="AJ115" s="418"/>
      <c r="AK115" s="418"/>
      <c r="AL115" s="419"/>
      <c r="AM115" s="29"/>
      <c r="AN115" s="29"/>
      <c r="AO115" s="29"/>
    </row>
    <row r="116" spans="2:41" ht="24.75" customHeight="1" x14ac:dyDescent="0.2"/>
    <row r="117" spans="2:41" ht="18" x14ac:dyDescent="0.2">
      <c r="B117" s="23" t="s">
        <v>46</v>
      </c>
    </row>
    <row r="118" spans="2:41" ht="42" customHeight="1" x14ac:dyDescent="0.2">
      <c r="B118" s="465" t="s">
        <v>47</v>
      </c>
      <c r="C118" s="465"/>
      <c r="D118" s="465"/>
      <c r="E118" s="465"/>
      <c r="F118" s="461" t="s">
        <v>48</v>
      </c>
      <c r="G118" s="461"/>
      <c r="H118" s="461" t="s">
        <v>49</v>
      </c>
      <c r="I118" s="461"/>
      <c r="J118" s="461" t="s">
        <v>50</v>
      </c>
      <c r="K118" s="461"/>
      <c r="L118" s="461" t="s">
        <v>51</v>
      </c>
      <c r="M118" s="461"/>
      <c r="N118" s="461" t="s">
        <v>52</v>
      </c>
      <c r="O118" s="461"/>
      <c r="P118" s="462" t="s">
        <v>53</v>
      </c>
      <c r="Q118" s="463"/>
      <c r="R118" s="462" t="s">
        <v>54</v>
      </c>
      <c r="S118" s="464"/>
      <c r="T118" s="464"/>
      <c r="U118" s="462" t="s">
        <v>55</v>
      </c>
      <c r="V118" s="464"/>
      <c r="W118" s="463"/>
      <c r="X118" s="462" t="s">
        <v>56</v>
      </c>
      <c r="Y118" s="464"/>
      <c r="Z118" s="463"/>
      <c r="AA118" s="462" t="s">
        <v>57</v>
      </c>
      <c r="AB118" s="464"/>
      <c r="AC118" s="463"/>
      <c r="AD118" s="462" t="s">
        <v>58</v>
      </c>
      <c r="AE118" s="464"/>
      <c r="AF118" s="462" t="s">
        <v>59</v>
      </c>
      <c r="AG118" s="464"/>
      <c r="AH118" s="463"/>
      <c r="AI118" s="462" t="s">
        <v>60</v>
      </c>
      <c r="AJ118" s="464"/>
      <c r="AK118" s="469" t="str">
        <f>CONCATENATE("Rev ",Rev," Connection Capacity (kip)")</f>
        <v>Rev H Connection Capacity (kip)</v>
      </c>
      <c r="AL118" s="470"/>
      <c r="AM118" s="471"/>
    </row>
    <row r="119" spans="2:41" ht="12.75" customHeight="1" x14ac:dyDescent="0.2">
      <c r="B119" s="454" t="str">
        <f>IF('Reinforcements'!B61="","",'Reinforcements'!B61)</f>
        <v>MP3-05 1.25in MOD</v>
      </c>
      <c r="C119" s="455"/>
      <c r="D119" s="455"/>
      <c r="E119" s="455"/>
      <c r="F119" s="458" t="str">
        <f>IF($B119="","","Top")</f>
        <v>Top</v>
      </c>
      <c r="G119" s="459"/>
      <c r="H119" s="459">
        <f>IF($B119="","",VLOOKUP($B119,Reinforcements[],COLUMN(Reinforcements[[#Headers],['# of End Connection Bolts          (Top)]])-1,FALSE))</f>
        <v>10</v>
      </c>
      <c r="I119" s="459"/>
      <c r="J119" s="459" t="str">
        <f>IF($B119="","",VLOOKUP($B119,Reinforcements[],COLUMN(Reinforcements[[#Headers],[Threads Included (N) or Excluded (X) (Top)]])-1,FALSE))</f>
        <v>N</v>
      </c>
      <c r="K119" s="459"/>
      <c r="L119" s="459">
        <f>IF($B119="","",VLOOKUP($B119,Reinforcements[],COLUMN(Reinforcements[[#Headers],[End Connection Bolt Spacing (in) (T)]])-1,FALSE))</f>
        <v>3</v>
      </c>
      <c r="M119" s="459"/>
      <c r="N119" s="459">
        <f>IF($B119="","",VLOOKUP($B119,Reinforcements[],COLUMN(Reinforcements[[#Headers],[End Connection Edge Distance (in) (T)]])-1,FALSE))</f>
        <v>2</v>
      </c>
      <c r="O119" s="459"/>
      <c r="P119" s="459">
        <f>IF($B119="","",VLOOKUP($B119,Reinforcements[],COLUMN(Reinforcements[[#Headers],[Top Weld Grade (ksi)]])-1,FALSE))</f>
        <v>0</v>
      </c>
      <c r="Q119" s="459"/>
      <c r="R119" s="459" t="str">
        <f>IF($B119="","",VLOOKUP($B119,Reinforcements[],COLUMN(Reinforcements[[#Headers],[Top Transverse (Horizontal) Weld]])-1,FALSE))</f>
        <v>-</v>
      </c>
      <c r="S119" s="459"/>
      <c r="T119" s="459"/>
      <c r="U119" s="459" t="str">
        <f>IF($B119="","",VLOOKUP($B119,Reinforcements[],COLUMN(Reinforcements[[#Headers],[Top Transverse Weld Length]])-1,FALSE))</f>
        <v>-</v>
      </c>
      <c r="V119" s="459"/>
      <c r="W119" s="459"/>
      <c r="X119" s="459" t="str">
        <f>IF($B119="","",VLOOKUP($B119,Reinforcements[],COLUMN(Reinforcements[[#Headers],[Top Transverse Weld Groove Depth (in)]])-1,FALSE))</f>
        <v>-</v>
      </c>
      <c r="Y119" s="459"/>
      <c r="Z119" s="459"/>
      <c r="AA119" s="459" t="str">
        <f>IF($B119="","",VLOOKUP($B119,Reinforcements[],COLUMN(Reinforcements[[#Headers],[Top Transverse Weld Groove Angle (degrees)]])-1,FALSE))</f>
        <v>-</v>
      </c>
      <c r="AB119" s="459"/>
      <c r="AC119" s="459"/>
      <c r="AD119" s="459" t="str">
        <f>IF($B119="","",VLOOKUP($B119,Reinforcements[],COLUMN(Reinforcements[[#Headers],[Top Transverse Weld Fillet Size (in)]])-1,FALSE))</f>
        <v>-</v>
      </c>
      <c r="AE119" s="459"/>
      <c r="AF119" s="459">
        <f>IF($B119="","",VLOOKUP($B119,Reinforcements[],COLUMN(Reinforcements[[#Headers],[Top Longitudinal Weld Length]])-1,FALSE))</f>
        <v>0</v>
      </c>
      <c r="AG119" s="459"/>
      <c r="AH119" s="459"/>
      <c r="AI119" s="467">
        <f>IF($B119="","",VLOOKUP($B119,Reinforcements[],COLUMN(Reinforcements[[#Headers],[Top Longitudinal Weld Fillet Size (in)]])-1,FALSE))</f>
        <v>0</v>
      </c>
      <c r="AJ119" s="467"/>
      <c r="AK119" s="472"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v>
      </c>
      <c r="AL119" s="472"/>
      <c r="AM119" s="473"/>
    </row>
    <row r="120" spans="2:41" ht="12.75" customHeight="1" x14ac:dyDescent="0.2">
      <c r="B120" s="456"/>
      <c r="C120" s="457"/>
      <c r="D120" s="457"/>
      <c r="E120" s="457"/>
      <c r="F120" s="466" t="str">
        <f>IF($B119="","","Bottom")</f>
        <v>Bottom</v>
      </c>
      <c r="G120" s="460"/>
      <c r="H120" s="460" t="str">
        <f>IF($B119="","",VLOOKUP($B119,Reinforcements[],COLUMN(Reinforcements[[#Headers],['# of End Connection Bolts          (Bottom)]])-1,FALSE))</f>
        <v>-</v>
      </c>
      <c r="I120" s="460"/>
      <c r="J120" s="460" t="str">
        <f>IF($B119="","",VLOOKUP($B119,Reinforcements[],COLUMN(Reinforcements[[#Headers],[Threads Included (N) or Excluded (X) (Bottom)]])-1,FALSE))</f>
        <v>-</v>
      </c>
      <c r="K120" s="460"/>
      <c r="L120" s="460" t="str">
        <f>IF($B119="","",VLOOKUP($B119,Reinforcements[],COLUMN(Reinforcements[[#Headers],[End Connection Bolt Spacing (in) (B)]])-1,FALSE))</f>
        <v>-</v>
      </c>
      <c r="M120" s="460"/>
      <c r="N120" s="460" t="str">
        <f>IF($B119="","",VLOOKUP($B119,Reinforcements[],COLUMN(Reinforcements[[#Headers],[End Connection Edge Distance (in) (B)]])-1,FALSE))</f>
        <v>-</v>
      </c>
      <c r="O120" s="460"/>
      <c r="P120" s="460">
        <f>IF($B119="","",VLOOKUP($B119,Reinforcements[],COLUMN(Reinforcements[[#Headers],[Bottom Weld Grade (ksi)]])-1,FALSE))</f>
        <v>80</v>
      </c>
      <c r="Q120" s="460"/>
      <c r="R120" s="460" t="str">
        <f>IF($B119="","",VLOOKUP($B119,Reinforcements[],COLUMN(Reinforcements[[#Headers],[Bottom Transverse (Horizontal) Weld]])-1,FALSE))</f>
        <v>None</v>
      </c>
      <c r="S120" s="460"/>
      <c r="T120" s="460"/>
      <c r="U120" s="460">
        <f>IF($B119="","",VLOOKUP($B119,Reinforcements[],COLUMN(Reinforcements[[#Headers],[Bottom Transverse Weld Length]])-1,FALSE))</f>
        <v>0</v>
      </c>
      <c r="V120" s="460"/>
      <c r="W120" s="460"/>
      <c r="X120" s="460">
        <f>IF($B119="","",VLOOKUP($B119,Reinforcements[],COLUMN(Reinforcements[[#Headers],[Bottom Transverse Weld Groove Depth (in)]])-1,FALSE))</f>
        <v>0</v>
      </c>
      <c r="Y120" s="460"/>
      <c r="Z120" s="460"/>
      <c r="AA120" s="460">
        <f>IF($B119="","",VLOOKUP($B119,Reinforcements[],COLUMN(Reinforcements[[#Headers],[Bottom Transverse Weld Groove Angle (degrees)]])-1,FALSE))</f>
        <v>0</v>
      </c>
      <c r="AB120" s="460"/>
      <c r="AC120" s="460"/>
      <c r="AD120" s="460">
        <f>IF($B119="","",VLOOKUP($B119,Reinforcements[],COLUMN(Reinforcements[[#Headers],[Bottom Transverse Weld Fillet Size (in)]])-1,FALSE))</f>
        <v>0</v>
      </c>
      <c r="AE120" s="460"/>
      <c r="AF120" s="460">
        <f>IF($B119="","",VLOOKUP($B119,Reinforcements[],COLUMN(Reinforcements[[#Headers],[Bottom Longitudinal Weld Length]])-1,FALSE))</f>
        <v>20</v>
      </c>
      <c r="AG120" s="460"/>
      <c r="AH120" s="460"/>
      <c r="AI120" s="468">
        <f>IF($B119="","",VLOOKUP($B119,Reinforcements[],COLUMN(Reinforcements[[#Headers],[Bottom Longitudinal Weld Fillet Size (in)]])-1,FALSE))</f>
        <v>0.375</v>
      </c>
      <c r="AJ120" s="468"/>
      <c r="AK120" s="474"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v>
      </c>
      <c r="AL120" s="474"/>
      <c r="AM120" s="475"/>
    </row>
    <row r="121" spans="2:41" ht="12.75" customHeight="1" x14ac:dyDescent="0.2">
      <c r="B121" s="454" t="str">
        <f>IF('Reinforcements'!B62="","",'Reinforcements'!B62)</f>
        <v>TS 1.25x4.50 CJP</v>
      </c>
      <c r="C121" s="455"/>
      <c r="D121" s="455"/>
      <c r="E121" s="455"/>
      <c r="F121" s="458" t="str">
        <f>IF($B121="","","Top")</f>
        <v>Top</v>
      </c>
      <c r="G121" s="459"/>
      <c r="H121" s="459" t="str">
        <f>IF($B121="","",VLOOKUP($B121,Reinforcements[],COLUMN(Reinforcements[[#Headers],['# of End Connection Bolts          (Top)]])-1,FALSE))</f>
        <v>-</v>
      </c>
      <c r="I121" s="459"/>
      <c r="J121" s="459" t="str">
        <f>IF($B121="","",VLOOKUP($B121,Reinforcements[],COLUMN(Reinforcements[[#Headers],[Threads Included (N) or Excluded (X) (Top)]])-1,FALSE))</f>
        <v>-</v>
      </c>
      <c r="K121" s="459"/>
      <c r="L121" s="459" t="str">
        <f>IF($B121="","",VLOOKUP($B121,Reinforcements[],COLUMN(Reinforcements[[#Headers],[End Connection Bolt Spacing (in) (T)]])-1,FALSE))</f>
        <v>-</v>
      </c>
      <c r="M121" s="459"/>
      <c r="N121" s="459" t="str">
        <f>IF($B121="","",VLOOKUP($B121,Reinforcements[],COLUMN(Reinforcements[[#Headers],[End Connection Edge Distance (in) (T)]])-1,FALSE))</f>
        <v>-</v>
      </c>
      <c r="O121" s="459"/>
      <c r="P121" s="459">
        <f>IF($B121="","",VLOOKUP($B121,Reinforcements[],COLUMN(Reinforcements[[#Headers],[Top Weld Grade (ksi)]])-1,FALSE))</f>
        <v>80</v>
      </c>
      <c r="Q121" s="459"/>
      <c r="R121" s="459" t="str">
        <f>IF($B121="","",VLOOKUP($B121,Reinforcements[],COLUMN(Reinforcements[[#Headers],[Top Transverse (Horizontal) Weld]])-1,FALSE))</f>
        <v>None</v>
      </c>
      <c r="S121" s="459"/>
      <c r="T121" s="459"/>
      <c r="U121" s="459" t="str">
        <f>IF($B121="","",VLOOKUP($B121,Reinforcements[],COLUMN(Reinforcements[[#Headers],[Top Transverse Weld Length]])-1,FALSE))</f>
        <v>-</v>
      </c>
      <c r="V121" s="459"/>
      <c r="W121" s="459"/>
      <c r="X121" s="459" t="str">
        <f>IF($B121="","",VLOOKUP($B121,Reinforcements[],COLUMN(Reinforcements[[#Headers],[Top Transverse Weld Groove Depth (in)]])-1,FALSE))</f>
        <v>-</v>
      </c>
      <c r="Y121" s="459"/>
      <c r="Z121" s="459"/>
      <c r="AA121" s="459" t="str">
        <f>IF($B121="","",VLOOKUP($B121,Reinforcements[],COLUMN(Reinforcements[[#Headers],[Top Transverse Weld Groove Angle (degrees)]])-1,FALSE))</f>
        <v>-</v>
      </c>
      <c r="AB121" s="459"/>
      <c r="AC121" s="459"/>
      <c r="AD121" s="459" t="str">
        <f>IF($B121="","",VLOOKUP($B121,Reinforcements[],COLUMN(Reinforcements[[#Headers],[Top Transverse Weld Fillet Size (in)]])-1,FALSE))</f>
        <v>-</v>
      </c>
      <c r="AE121" s="459"/>
      <c r="AF121" s="459">
        <f>IF($B121="","",VLOOKUP($B121,Reinforcements[],COLUMN(Reinforcements[[#Headers],[Top Longitudinal Weld Length]])-1,FALSE))</f>
        <v>90</v>
      </c>
      <c r="AG121" s="459"/>
      <c r="AH121" s="459"/>
      <c r="AI121" s="467">
        <f>IF($B121="","",VLOOKUP($B121,Reinforcements[],COLUMN(Reinforcements[[#Headers],[Top Longitudinal Weld Fillet Size (in)]])-1,FALSE))</f>
        <v>0.3125</v>
      </c>
      <c r="AJ121" s="467"/>
      <c r="AK121" s="472"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v>
      </c>
      <c r="AL121" s="472"/>
      <c r="AM121" s="473"/>
    </row>
    <row r="122" spans="2:41" ht="12.75" customHeight="1" x14ac:dyDescent="0.2">
      <c r="B122" s="456"/>
      <c r="C122" s="457"/>
      <c r="D122" s="457"/>
      <c r="E122" s="457"/>
      <c r="F122" s="466" t="str">
        <f>IF($B121="","","Bottom")</f>
        <v>Bottom</v>
      </c>
      <c r="G122" s="460"/>
      <c r="H122" s="460" t="str">
        <f>IF($B121="","",VLOOKUP($B121,Reinforcements[],COLUMN(Reinforcements[[#Headers],['# of End Connection Bolts          (Bottom)]])-1,FALSE))</f>
        <v>-</v>
      </c>
      <c r="I122" s="460"/>
      <c r="J122" s="460" t="str">
        <f>IF($B121="","",VLOOKUP($B121,Reinforcements[],COLUMN(Reinforcements[[#Headers],[Threads Included (N) or Excluded (X) (Bottom)]])-1,FALSE))</f>
        <v>-</v>
      </c>
      <c r="K122" s="460"/>
      <c r="L122" s="460" t="str">
        <f>IF($B121="","",VLOOKUP($B121,Reinforcements[],COLUMN(Reinforcements[[#Headers],[End Connection Bolt Spacing (in) (B)]])-1,FALSE))</f>
        <v>-</v>
      </c>
      <c r="M122" s="460"/>
      <c r="N122" s="460" t="str">
        <f>IF($B121="","",VLOOKUP($B121,Reinforcements[],COLUMN(Reinforcements[[#Headers],[End Connection Edge Distance (in) (B)]])-1,FALSE))</f>
        <v>-</v>
      </c>
      <c r="O122" s="460"/>
      <c r="P122" s="460">
        <f>IF($B121="","",VLOOKUP($B121,Reinforcements[],COLUMN(Reinforcements[[#Headers],[Bottom Weld Grade (ksi)]])-1,FALSE))</f>
        <v>80</v>
      </c>
      <c r="Q122" s="460"/>
      <c r="R122" s="460" t="str">
        <f>IF($B121="","",VLOOKUP($B121,Reinforcements[],COLUMN(Reinforcements[[#Headers],[Bottom Transverse (Horizontal) Weld]])-1,FALSE))</f>
        <v>CJP Groove</v>
      </c>
      <c r="S122" s="460"/>
      <c r="T122" s="460"/>
      <c r="U122" s="460">
        <f>IF($B121="","",VLOOKUP($B121,Reinforcements[],COLUMN(Reinforcements[[#Headers],[Bottom Transverse Weld Length]])-1,FALSE))</f>
        <v>4.5</v>
      </c>
      <c r="V122" s="460"/>
      <c r="W122" s="460"/>
      <c r="X122" s="460">
        <f>IF($B121="","",VLOOKUP($B121,Reinforcements[],COLUMN(Reinforcements[[#Headers],[Bottom Transverse Weld Groove Depth (in)]])-1,FALSE))</f>
        <v>1.25</v>
      </c>
      <c r="Y122" s="460"/>
      <c r="Z122" s="460"/>
      <c r="AA122" s="460">
        <f>IF($B121="","",VLOOKUP($B121,Reinforcements[],COLUMN(Reinforcements[[#Headers],[Bottom Transverse Weld Groove Angle (degrees)]])-1,FALSE))</f>
        <v>45</v>
      </c>
      <c r="AB122" s="460"/>
      <c r="AC122" s="460"/>
      <c r="AD122" s="460">
        <f>IF($B121="","",VLOOKUP($B121,Reinforcements[],COLUMN(Reinforcements[[#Headers],[Bottom Transverse Weld Fillet Size (in)]])-1,FALSE))</f>
        <v>1</v>
      </c>
      <c r="AE122" s="460"/>
      <c r="AF122" s="460" t="str">
        <f>IF($B121="","",VLOOKUP($B121,Reinforcements[],COLUMN(Reinforcements[[#Headers],[Bottom Longitudinal Weld Length]])-1,FALSE))</f>
        <v>-</v>
      </c>
      <c r="AG122" s="460"/>
      <c r="AH122" s="460"/>
      <c r="AI122" s="468" t="str">
        <f>IF($B121="","",VLOOKUP($B121,Reinforcements[],COLUMN(Reinforcements[[#Headers],[Bottom Longitudinal Weld Fillet Size (in)]])-1,FALSE))</f>
        <v>-</v>
      </c>
      <c r="AJ122" s="468"/>
      <c r="AK122" s="474"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v>
      </c>
      <c r="AL122" s="474"/>
      <c r="AM122" s="475"/>
    </row>
    <row r="123" spans="2:41" ht="12.75" customHeight="1" x14ac:dyDescent="0.2">
      <c r="B123" s="454" t="str">
        <f>IF('Reinforcements'!B63="","",'Reinforcements'!B63)</f>
        <v>TS 1.25x4.50 1-2 PJP</v>
      </c>
      <c r="C123" s="455"/>
      <c r="D123" s="455"/>
      <c r="E123" s="455"/>
      <c r="F123" s="458" t="str">
        <f>IF($B123="","","Top")</f>
        <v>Top</v>
      </c>
      <c r="G123" s="459"/>
      <c r="H123" s="459" t="str">
        <f>IF($B123="","",VLOOKUP($B123,Reinforcements[],COLUMN(Reinforcements[[#Headers],['# of End Connection Bolts          (Top)]])-1,FALSE))</f>
        <v>-</v>
      </c>
      <c r="I123" s="459"/>
      <c r="J123" s="459" t="str">
        <f>IF($B123="","",VLOOKUP($B123,Reinforcements[],COLUMN(Reinforcements[[#Headers],[Threads Included (N) or Excluded (X) (Top)]])-1,FALSE))</f>
        <v>-</v>
      </c>
      <c r="K123" s="459"/>
      <c r="L123" s="459" t="str">
        <f>IF($B123="","",VLOOKUP($B123,Reinforcements[],COLUMN(Reinforcements[[#Headers],[End Connection Bolt Spacing (in) (T)]])-1,FALSE))</f>
        <v>-</v>
      </c>
      <c r="M123" s="459"/>
      <c r="N123" s="459" t="str">
        <f>IF($B123="","",VLOOKUP($B123,Reinforcements[],COLUMN(Reinforcements[[#Headers],[End Connection Edge Distance (in) (T)]])-1,FALSE))</f>
        <v>-</v>
      </c>
      <c r="O123" s="459"/>
      <c r="P123" s="459">
        <f>IF($B123="","",VLOOKUP($B123,Reinforcements[],COLUMN(Reinforcements[[#Headers],[Top Weld Grade (ksi)]])-1,FALSE))</f>
        <v>80</v>
      </c>
      <c r="Q123" s="459"/>
      <c r="R123" s="459" t="str">
        <f>IF($B123="","",VLOOKUP($B123,Reinforcements[],COLUMN(Reinforcements[[#Headers],[Top Transverse (Horizontal) Weld]])-1,FALSE))</f>
        <v>None</v>
      </c>
      <c r="S123" s="459"/>
      <c r="T123" s="459"/>
      <c r="U123" s="459" t="str">
        <f>IF($B123="","",VLOOKUP($B123,Reinforcements[],COLUMN(Reinforcements[[#Headers],[Top Transverse Weld Length]])-1,FALSE))</f>
        <v>-</v>
      </c>
      <c r="V123" s="459"/>
      <c r="W123" s="459"/>
      <c r="X123" s="459" t="str">
        <f>IF($B123="","",VLOOKUP($B123,Reinforcements[],COLUMN(Reinforcements[[#Headers],[Top Transverse Weld Groove Depth (in)]])-1,FALSE))</f>
        <v>-</v>
      </c>
      <c r="Y123" s="459"/>
      <c r="Z123" s="459"/>
      <c r="AA123" s="459" t="str">
        <f>IF($B123="","",VLOOKUP($B123,Reinforcements[],COLUMN(Reinforcements[[#Headers],[Top Transverse Weld Groove Angle (degrees)]])-1,FALSE))</f>
        <v>-</v>
      </c>
      <c r="AB123" s="459"/>
      <c r="AC123" s="459"/>
      <c r="AD123" s="459" t="str">
        <f>IF($B123="","",VLOOKUP($B123,Reinforcements[],COLUMN(Reinforcements[[#Headers],[Top Transverse Weld Fillet Size (in)]])-1,FALSE))</f>
        <v>-</v>
      </c>
      <c r="AE123" s="459"/>
      <c r="AF123" s="459">
        <f>IF($B123="","",VLOOKUP($B123,Reinforcements[],COLUMN(Reinforcements[[#Headers],[Top Longitudinal Weld Length]])-1,FALSE))</f>
        <v>24</v>
      </c>
      <c r="AG123" s="459"/>
      <c r="AH123" s="459"/>
      <c r="AI123" s="467">
        <f>IF($B123="","",VLOOKUP($B123,Reinforcements[],COLUMN(Reinforcements[[#Headers],[Top Longitudinal Weld Fillet Size (in)]])-1,FALSE))</f>
        <v>0.3125</v>
      </c>
      <c r="AJ123" s="467"/>
      <c r="AK123" s="472"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v>
      </c>
      <c r="AL123" s="472"/>
      <c r="AM123" s="473"/>
    </row>
    <row r="124" spans="2:41" ht="12.75" customHeight="1" x14ac:dyDescent="0.2">
      <c r="B124" s="456"/>
      <c r="C124" s="457"/>
      <c r="D124" s="457"/>
      <c r="E124" s="457"/>
      <c r="F124" s="466" t="str">
        <f>IF($B123="","","Bottom")</f>
        <v>Bottom</v>
      </c>
      <c r="G124" s="460"/>
      <c r="H124" s="460" t="str">
        <f>IF($B123="","",VLOOKUP($B123,Reinforcements[],COLUMN(Reinforcements[[#Headers],['# of End Connection Bolts          (Bottom)]])-1,FALSE))</f>
        <v>-</v>
      </c>
      <c r="I124" s="460"/>
      <c r="J124" s="460" t="str">
        <f>IF($B123="","",VLOOKUP($B123,Reinforcements[],COLUMN(Reinforcements[[#Headers],[Threads Included (N) or Excluded (X) (Bottom)]])-1,FALSE))</f>
        <v>-</v>
      </c>
      <c r="K124" s="460"/>
      <c r="L124" s="460" t="str">
        <f>IF($B123="","",VLOOKUP($B123,Reinforcements[],COLUMN(Reinforcements[[#Headers],[End Connection Bolt Spacing (in) (B)]])-1,FALSE))</f>
        <v>-</v>
      </c>
      <c r="M124" s="460"/>
      <c r="N124" s="460" t="str">
        <f>IF($B123="","",VLOOKUP($B123,Reinforcements[],COLUMN(Reinforcements[[#Headers],[End Connection Edge Distance (in) (B)]])-1,FALSE))</f>
        <v>-</v>
      </c>
      <c r="O124" s="460"/>
      <c r="P124" s="460">
        <f>IF($B123="","",VLOOKUP($B123,Reinforcements[],COLUMN(Reinforcements[[#Headers],[Bottom Weld Grade (ksi)]])-1,FALSE))</f>
        <v>80</v>
      </c>
      <c r="Q124" s="460"/>
      <c r="R124" s="460" t="str">
        <f>IF($B123="","",VLOOKUP($B123,Reinforcements[],COLUMN(Reinforcements[[#Headers],[Bottom Transverse (Horizontal) Weld]])-1,FALSE))</f>
        <v>PJP Groove</v>
      </c>
      <c r="S124" s="460"/>
      <c r="T124" s="460"/>
      <c r="U124" s="460">
        <f>IF($B123="","",VLOOKUP($B123,Reinforcements[],COLUMN(Reinforcements[[#Headers],[Bottom Transverse Weld Length]])-1,FALSE))</f>
        <v>7.5</v>
      </c>
      <c r="V124" s="460"/>
      <c r="W124" s="460"/>
      <c r="X124" s="460">
        <f>IF($B123="","",VLOOKUP($B123,Reinforcements[],COLUMN(Reinforcements[[#Headers],[Bottom Transverse Weld Groove Depth (in)]])-1,FALSE))</f>
        <v>0.5</v>
      </c>
      <c r="Y124" s="460"/>
      <c r="Z124" s="460"/>
      <c r="AA124" s="460">
        <f>IF($B123="","",VLOOKUP($B123,Reinforcements[],COLUMN(Reinforcements[[#Headers],[Bottom Transverse Weld Groove Angle (degrees)]])-1,FALSE))</f>
        <v>45</v>
      </c>
      <c r="AB124" s="460"/>
      <c r="AC124" s="460"/>
      <c r="AD124" s="460">
        <f>IF($B123="","",VLOOKUP($B123,Reinforcements[],COLUMN(Reinforcements[[#Headers],[Bottom Transverse Weld Fillet Size (in)]])-1,FALSE))</f>
        <v>0.5</v>
      </c>
      <c r="AE124" s="460"/>
      <c r="AF124" s="460" t="str">
        <f>IF($B123="","",VLOOKUP($B123,Reinforcements[],COLUMN(Reinforcements[[#Headers],[Bottom Longitudinal Weld Length]])-1,FALSE))</f>
        <v>-</v>
      </c>
      <c r="AG124" s="460"/>
      <c r="AH124" s="460"/>
      <c r="AI124" s="468" t="str">
        <f>IF($B123="","",VLOOKUP($B123,Reinforcements[],COLUMN(Reinforcements[[#Headers],[Bottom Longitudinal Weld Fillet Size (in)]])-1,FALSE))</f>
        <v>-</v>
      </c>
      <c r="AJ124" s="468"/>
      <c r="AK124" s="474"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v>
      </c>
      <c r="AL124" s="474"/>
      <c r="AM124" s="475"/>
    </row>
    <row r="125" spans="2:41" ht="12.75" customHeight="1" x14ac:dyDescent="0.2">
      <c r="B125" s="454" t="str">
        <f>IF('Reinforcements'!B64="","",'Reinforcements'!B64)</f>
        <v>TS 1.25x3.75 1-2 PJP</v>
      </c>
      <c r="C125" s="455"/>
      <c r="D125" s="455"/>
      <c r="E125" s="455"/>
      <c r="F125" s="458" t="str">
        <f>IF($B125="","","Top")</f>
        <v>Top</v>
      </c>
      <c r="G125" s="459"/>
      <c r="H125" s="459" t="str">
        <f>IF($B125="","",VLOOKUP($B125,Reinforcements[],COLUMN(Reinforcements[[#Headers],['# of End Connection Bolts          (Top)]])-1,FALSE))</f>
        <v>-</v>
      </c>
      <c r="I125" s="459"/>
      <c r="J125" s="459" t="str">
        <f>IF($B125="","",VLOOKUP($B125,Reinforcements[],COLUMN(Reinforcements[[#Headers],[Threads Included (N) or Excluded (X) (Top)]])-1,FALSE))</f>
        <v>-</v>
      </c>
      <c r="K125" s="459"/>
      <c r="L125" s="459" t="str">
        <f>IF($B125="","",VLOOKUP($B125,Reinforcements[],COLUMN(Reinforcements[[#Headers],[End Connection Bolt Spacing (in) (T)]])-1,FALSE))</f>
        <v>-</v>
      </c>
      <c r="M125" s="459"/>
      <c r="N125" s="459" t="str">
        <f>IF($B125="","",VLOOKUP($B125,Reinforcements[],COLUMN(Reinforcements[[#Headers],[End Connection Edge Distance (in) (T)]])-1,FALSE))</f>
        <v>-</v>
      </c>
      <c r="O125" s="459"/>
      <c r="P125" s="459">
        <f>IF($B125="","",VLOOKUP($B125,Reinforcements[],COLUMN(Reinforcements[[#Headers],[Top Weld Grade (ksi)]])-1,FALSE))</f>
        <v>80</v>
      </c>
      <c r="Q125" s="459"/>
      <c r="R125" s="459" t="str">
        <f>IF($B125="","",VLOOKUP($B125,Reinforcements[],COLUMN(Reinforcements[[#Headers],[Top Transverse (Horizontal) Weld]])-1,FALSE))</f>
        <v>None</v>
      </c>
      <c r="S125" s="459"/>
      <c r="T125" s="459"/>
      <c r="U125" s="459" t="str">
        <f>IF($B125="","",VLOOKUP($B125,Reinforcements[],COLUMN(Reinforcements[[#Headers],[Top Transverse Weld Length]])-1,FALSE))</f>
        <v>-</v>
      </c>
      <c r="V125" s="459"/>
      <c r="W125" s="459"/>
      <c r="X125" s="459" t="str">
        <f>IF($B125="","",VLOOKUP($B125,Reinforcements[],COLUMN(Reinforcements[[#Headers],[Top Transverse Weld Groove Depth (in)]])-1,FALSE))</f>
        <v>-</v>
      </c>
      <c r="Y125" s="459"/>
      <c r="Z125" s="459"/>
      <c r="AA125" s="459" t="str">
        <f>IF($B125="","",VLOOKUP($B125,Reinforcements[],COLUMN(Reinforcements[[#Headers],[Top Transverse Weld Groove Angle (degrees)]])-1,FALSE))</f>
        <v>-</v>
      </c>
      <c r="AB125" s="459"/>
      <c r="AC125" s="459"/>
      <c r="AD125" s="459" t="str">
        <f>IF($B125="","",VLOOKUP($B125,Reinforcements[],COLUMN(Reinforcements[[#Headers],[Top Transverse Weld Fillet Size (in)]])-1,FALSE))</f>
        <v>-</v>
      </c>
      <c r="AE125" s="459"/>
      <c r="AF125" s="459">
        <f>IF($B125="","",VLOOKUP($B125,Reinforcements[],COLUMN(Reinforcements[[#Headers],[Top Longitudinal Weld Length]])-1,FALSE))</f>
        <v>36</v>
      </c>
      <c r="AG125" s="459"/>
      <c r="AH125" s="459"/>
      <c r="AI125" s="467">
        <f>IF($B125="","",VLOOKUP($B125,Reinforcements[],COLUMN(Reinforcements[[#Headers],[Top Longitudinal Weld Fillet Size (in)]])-1,FALSE))</f>
        <v>0.3125</v>
      </c>
      <c r="AJ125" s="467"/>
      <c r="AK125" s="472"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v>
      </c>
      <c r="AL125" s="472"/>
      <c r="AM125" s="473"/>
    </row>
    <row r="126" spans="2:41" ht="12.75" customHeight="1" x14ac:dyDescent="0.2">
      <c r="B126" s="456"/>
      <c r="C126" s="457"/>
      <c r="D126" s="457"/>
      <c r="E126" s="457"/>
      <c r="F126" s="466" t="str">
        <f>IF($B125="","","Bottom")</f>
        <v>Bottom</v>
      </c>
      <c r="G126" s="460"/>
      <c r="H126" s="460" t="str">
        <f>IF($B125="","",VLOOKUP($B125,Reinforcements[],COLUMN(Reinforcements[[#Headers],['# of End Connection Bolts          (Bottom)]])-1,FALSE))</f>
        <v>-</v>
      </c>
      <c r="I126" s="460"/>
      <c r="J126" s="460" t="str">
        <f>IF($B125="","",VLOOKUP($B125,Reinforcements[],COLUMN(Reinforcements[[#Headers],[Threads Included (N) or Excluded (X) (Bottom)]])-1,FALSE))</f>
        <v>-</v>
      </c>
      <c r="K126" s="460"/>
      <c r="L126" s="460" t="str">
        <f>IF($B125="","",VLOOKUP($B125,Reinforcements[],COLUMN(Reinforcements[[#Headers],[End Connection Bolt Spacing (in) (B)]])-1,FALSE))</f>
        <v>-</v>
      </c>
      <c r="M126" s="460"/>
      <c r="N126" s="460" t="str">
        <f>IF($B125="","",VLOOKUP($B125,Reinforcements[],COLUMN(Reinforcements[[#Headers],[End Connection Edge Distance (in) (B)]])-1,FALSE))</f>
        <v>-</v>
      </c>
      <c r="O126" s="460"/>
      <c r="P126" s="460">
        <f>IF($B125="","",VLOOKUP($B125,Reinforcements[],COLUMN(Reinforcements[[#Headers],[Bottom Weld Grade (ksi)]])-1,FALSE))</f>
        <v>80</v>
      </c>
      <c r="Q126" s="460"/>
      <c r="R126" s="460" t="str">
        <f>IF($B125="","",VLOOKUP($B125,Reinforcements[],COLUMN(Reinforcements[[#Headers],[Bottom Transverse (Horizontal) Weld]])-1,FALSE))</f>
        <v>PJP Groove</v>
      </c>
      <c r="S126" s="460"/>
      <c r="T126" s="460"/>
      <c r="U126" s="460">
        <f>IF($B125="","",VLOOKUP($B125,Reinforcements[],COLUMN(Reinforcements[[#Headers],[Bottom Transverse Weld Length]])-1,FALSE))</f>
        <v>6</v>
      </c>
      <c r="V126" s="460"/>
      <c r="W126" s="460"/>
      <c r="X126" s="460">
        <f>IF($B125="","",VLOOKUP($B125,Reinforcements[],COLUMN(Reinforcements[[#Headers],[Bottom Transverse Weld Groove Depth (in)]])-1,FALSE))</f>
        <v>0.5</v>
      </c>
      <c r="Y126" s="460"/>
      <c r="Z126" s="460"/>
      <c r="AA126" s="460">
        <f>IF($B125="","",VLOOKUP($B125,Reinforcements[],COLUMN(Reinforcements[[#Headers],[Bottom Transverse Weld Groove Angle (degrees)]])-1,FALSE))</f>
        <v>45</v>
      </c>
      <c r="AB126" s="460"/>
      <c r="AC126" s="460"/>
      <c r="AD126" s="460">
        <f>IF($B125="","",VLOOKUP($B125,Reinforcements[],COLUMN(Reinforcements[[#Headers],[Bottom Transverse Weld Fillet Size (in)]])-1,FALSE))</f>
        <v>0.5</v>
      </c>
      <c r="AE126" s="460"/>
      <c r="AF126" s="460" t="str">
        <f>IF($B125="","",VLOOKUP($B125,Reinforcements[],COLUMN(Reinforcements[[#Headers],[Bottom Longitudinal Weld Length]])-1,FALSE))</f>
        <v>-</v>
      </c>
      <c r="AG126" s="460"/>
      <c r="AH126" s="460"/>
      <c r="AI126" s="468" t="str">
        <f>IF($B125="","",VLOOKUP($B125,Reinforcements[],COLUMN(Reinforcements[[#Headers],[Bottom Longitudinal Weld Fillet Size (in)]])-1,FALSE))</f>
        <v>-</v>
      </c>
      <c r="AJ126" s="468"/>
      <c r="AK126" s="474"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v>
      </c>
      <c r="AL126" s="474"/>
      <c r="AM126" s="475"/>
    </row>
    <row r="127" spans="2:41" ht="12.75" customHeight="1" x14ac:dyDescent="0.2">
      <c r="B127" s="454" t="str">
        <f>IF('Reinforcements'!B65="","",'Reinforcements'!B65)</f>
        <v>TS 1.25x6.00 1-2 PJP</v>
      </c>
      <c r="C127" s="455"/>
      <c r="D127" s="455"/>
      <c r="E127" s="455"/>
      <c r="F127" s="458" t="str">
        <f>IF($B127="","","Top")</f>
        <v>Top</v>
      </c>
      <c r="G127" s="459"/>
      <c r="H127" s="459" t="str">
        <f>IF($B127="","",VLOOKUP($B127,Reinforcements[],COLUMN(Reinforcements[[#Headers],['# of End Connection Bolts          (Top)]])-1,FALSE))</f>
        <v>-</v>
      </c>
      <c r="I127" s="459"/>
      <c r="J127" s="459" t="str">
        <f>IF($B127="","",VLOOKUP($B127,Reinforcements[],COLUMN(Reinforcements[[#Headers],[Threads Included (N) or Excluded (X) (Top)]])-1,FALSE))</f>
        <v>-</v>
      </c>
      <c r="K127" s="459"/>
      <c r="L127" s="459" t="str">
        <f>IF($B127="","",VLOOKUP($B127,Reinforcements[],COLUMN(Reinforcements[[#Headers],[End Connection Bolt Spacing (in) (T)]])-1,FALSE))</f>
        <v>-</v>
      </c>
      <c r="M127" s="459"/>
      <c r="N127" s="459" t="str">
        <f>IF($B127="","",VLOOKUP($B127,Reinforcements[],COLUMN(Reinforcements[[#Headers],[End Connection Edge Distance (in) (T)]])-1,FALSE))</f>
        <v>-</v>
      </c>
      <c r="O127" s="459"/>
      <c r="P127" s="459">
        <f>IF($B127="","",VLOOKUP($B127,Reinforcements[],COLUMN(Reinforcements[[#Headers],[Top Weld Grade (ksi)]])-1,FALSE))</f>
        <v>80</v>
      </c>
      <c r="Q127" s="459"/>
      <c r="R127" s="459" t="str">
        <f>IF($B127="","",VLOOKUP($B127,Reinforcements[],COLUMN(Reinforcements[[#Headers],[Top Transverse (Horizontal) Weld]])-1,FALSE))</f>
        <v>None</v>
      </c>
      <c r="S127" s="459"/>
      <c r="T127" s="459"/>
      <c r="U127" s="459" t="str">
        <f>IF($B127="","",VLOOKUP($B127,Reinforcements[],COLUMN(Reinforcements[[#Headers],[Top Transverse Weld Length]])-1,FALSE))</f>
        <v>-</v>
      </c>
      <c r="V127" s="459"/>
      <c r="W127" s="459"/>
      <c r="X127" s="459" t="str">
        <f>IF($B127="","",VLOOKUP($B127,Reinforcements[],COLUMN(Reinforcements[[#Headers],[Top Transverse Weld Groove Depth (in)]])-1,FALSE))</f>
        <v>-</v>
      </c>
      <c r="Y127" s="459"/>
      <c r="Z127" s="459"/>
      <c r="AA127" s="459" t="str">
        <f>IF($B127="","",VLOOKUP($B127,Reinforcements[],COLUMN(Reinforcements[[#Headers],[Top Transverse Weld Groove Angle (degrees)]])-1,FALSE))</f>
        <v>-</v>
      </c>
      <c r="AB127" s="459"/>
      <c r="AC127" s="459"/>
      <c r="AD127" s="459" t="str">
        <f>IF($B127="","",VLOOKUP($B127,Reinforcements[],COLUMN(Reinforcements[[#Headers],[Top Transverse Weld Fillet Size (in)]])-1,FALSE))</f>
        <v>-</v>
      </c>
      <c r="AE127" s="459"/>
      <c r="AF127" s="459">
        <f>IF($B127="","",VLOOKUP($B127,Reinforcements[],COLUMN(Reinforcements[[#Headers],[Top Longitudinal Weld Length]])-1,FALSE))</f>
        <v>36</v>
      </c>
      <c r="AG127" s="459"/>
      <c r="AH127" s="459"/>
      <c r="AI127" s="467">
        <f>IF($B127="","",VLOOKUP($B127,Reinforcements[],COLUMN(Reinforcements[[#Headers],[Top Longitudinal Weld Fillet Size (in)]])-1,FALSE))</f>
        <v>0.3125</v>
      </c>
      <c r="AJ127" s="467"/>
      <c r="AK127" s="472"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v>
      </c>
      <c r="AL127" s="472"/>
      <c r="AM127" s="473"/>
    </row>
    <row r="128" spans="2:41" ht="12.75" customHeight="1" x14ac:dyDescent="0.2">
      <c r="B128" s="456"/>
      <c r="C128" s="457"/>
      <c r="D128" s="457"/>
      <c r="E128" s="457"/>
      <c r="F128" s="466" t="str">
        <f>IF($B127="","","Bottom")</f>
        <v>Bottom</v>
      </c>
      <c r="G128" s="460"/>
      <c r="H128" s="460" t="str">
        <f>IF($B127="","",VLOOKUP($B127,Reinforcements[],COLUMN(Reinforcements[[#Headers],['# of End Connection Bolts          (Bottom)]])-1,FALSE))</f>
        <v>-</v>
      </c>
      <c r="I128" s="460"/>
      <c r="J128" s="460" t="str">
        <f>IF($B127="","",VLOOKUP($B127,Reinforcements[],COLUMN(Reinforcements[[#Headers],[Threads Included (N) or Excluded (X) (Bottom)]])-1,FALSE))</f>
        <v>-</v>
      </c>
      <c r="K128" s="460"/>
      <c r="L128" s="460" t="str">
        <f>IF($B127="","",VLOOKUP($B127,Reinforcements[],COLUMN(Reinforcements[[#Headers],[End Connection Bolt Spacing (in) (B)]])-1,FALSE))</f>
        <v>-</v>
      </c>
      <c r="M128" s="460"/>
      <c r="N128" s="460" t="str">
        <f>IF($B127="","",VLOOKUP($B127,Reinforcements[],COLUMN(Reinforcements[[#Headers],[End Connection Edge Distance (in) (B)]])-1,FALSE))</f>
        <v>-</v>
      </c>
      <c r="O128" s="460"/>
      <c r="P128" s="460">
        <f>IF($B127="","",VLOOKUP($B127,Reinforcements[],COLUMN(Reinforcements[[#Headers],[Bottom Weld Grade (ksi)]])-1,FALSE))</f>
        <v>80</v>
      </c>
      <c r="Q128" s="460"/>
      <c r="R128" s="460" t="str">
        <f>IF($B127="","",VLOOKUP($B127,Reinforcements[],COLUMN(Reinforcements[[#Headers],[Bottom Transverse (Horizontal) Weld]])-1,FALSE))</f>
        <v>PJP Groove</v>
      </c>
      <c r="S128" s="460"/>
      <c r="T128" s="460"/>
      <c r="U128" s="460">
        <f>IF($B127="","",VLOOKUP($B127,Reinforcements[],COLUMN(Reinforcements[[#Headers],[Bottom Transverse Weld Length]])-1,FALSE))</f>
        <v>10.5</v>
      </c>
      <c r="V128" s="460"/>
      <c r="W128" s="460"/>
      <c r="X128" s="460">
        <f>IF($B127="","",VLOOKUP($B127,Reinforcements[],COLUMN(Reinforcements[[#Headers],[Bottom Transverse Weld Groove Depth (in)]])-1,FALSE))</f>
        <v>0.5</v>
      </c>
      <c r="Y128" s="460"/>
      <c r="Z128" s="460"/>
      <c r="AA128" s="460">
        <f>IF($B127="","",VLOOKUP($B127,Reinforcements[],COLUMN(Reinforcements[[#Headers],[Bottom Transverse Weld Groove Angle (degrees)]])-1,FALSE))</f>
        <v>45</v>
      </c>
      <c r="AB128" s="460"/>
      <c r="AC128" s="460"/>
      <c r="AD128" s="460">
        <f>IF($B127="","",VLOOKUP($B127,Reinforcements[],COLUMN(Reinforcements[[#Headers],[Bottom Transverse Weld Fillet Size (in)]])-1,FALSE))</f>
        <v>0.5</v>
      </c>
      <c r="AE128" s="460"/>
      <c r="AF128" s="460" t="str">
        <f>IF($B127="","",VLOOKUP($B127,Reinforcements[],COLUMN(Reinforcements[[#Headers],[Bottom Longitudinal Weld Length]])-1,FALSE))</f>
        <v>-</v>
      </c>
      <c r="AG128" s="460"/>
      <c r="AH128" s="460"/>
      <c r="AI128" s="468" t="str">
        <f>IF($B127="","",VLOOKUP($B127,Reinforcements[],COLUMN(Reinforcements[[#Headers],[Bottom Longitudinal Weld Fillet Size (in)]])-1,FALSE))</f>
        <v>-</v>
      </c>
      <c r="AJ128" s="468"/>
      <c r="AK128" s="474"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v>
      </c>
      <c r="AL128" s="474"/>
      <c r="AM128" s="475"/>
    </row>
    <row r="129" spans="2:39" ht="12.75" customHeight="1" x14ac:dyDescent="0.2">
      <c r="B129" s="454" t="str">
        <f>IF('Reinforcements'!B66="","",'Reinforcements'!B66)</f>
        <v>TS 1.25x3.00 1-2 PJP</v>
      </c>
      <c r="C129" s="455"/>
      <c r="D129" s="455"/>
      <c r="E129" s="455"/>
      <c r="F129" s="458" t="str">
        <f>IF($B129="","","Top")</f>
        <v>Top</v>
      </c>
      <c r="G129" s="459"/>
      <c r="H129" s="459" t="str">
        <f>IF($B129="","",VLOOKUP($B129,Reinforcements[],COLUMN(Reinforcements[[#Headers],['# of End Connection Bolts          (Top)]])-1,FALSE))</f>
        <v>-</v>
      </c>
      <c r="I129" s="459"/>
      <c r="J129" s="459" t="str">
        <f>IF($B129="","",VLOOKUP($B129,Reinforcements[],COLUMN(Reinforcements[[#Headers],[Threads Included (N) or Excluded (X) (Top)]])-1,FALSE))</f>
        <v>-</v>
      </c>
      <c r="K129" s="459"/>
      <c r="L129" s="459" t="str">
        <f>IF($B129="","",VLOOKUP($B129,Reinforcements[],COLUMN(Reinforcements[[#Headers],[End Connection Bolt Spacing (in) (T)]])-1,FALSE))</f>
        <v>-</v>
      </c>
      <c r="M129" s="459"/>
      <c r="N129" s="459" t="str">
        <f>IF($B129="","",VLOOKUP($B129,Reinforcements[],COLUMN(Reinforcements[[#Headers],[End Connection Edge Distance (in) (T)]])-1,FALSE))</f>
        <v>-</v>
      </c>
      <c r="O129" s="459"/>
      <c r="P129" s="459">
        <f>IF($B129="","",VLOOKUP($B129,Reinforcements[],COLUMN(Reinforcements[[#Headers],[Top Weld Grade (ksi)]])-1,FALSE))</f>
        <v>80</v>
      </c>
      <c r="Q129" s="459"/>
      <c r="R129" s="459" t="str">
        <f>IF($B129="","",VLOOKUP($B129,Reinforcements[],COLUMN(Reinforcements[[#Headers],[Top Transverse (Horizontal) Weld]])-1,FALSE))</f>
        <v>None</v>
      </c>
      <c r="S129" s="459"/>
      <c r="T129" s="459"/>
      <c r="U129" s="459" t="str">
        <f>IF($B129="","",VLOOKUP($B129,Reinforcements[],COLUMN(Reinforcements[[#Headers],[Top Transverse Weld Length]])-1,FALSE))</f>
        <v>-</v>
      </c>
      <c r="V129" s="459"/>
      <c r="W129" s="459"/>
      <c r="X129" s="459" t="str">
        <f>IF($B129="","",VLOOKUP($B129,Reinforcements[],COLUMN(Reinforcements[[#Headers],[Top Transverse Weld Groove Depth (in)]])-1,FALSE))</f>
        <v>-</v>
      </c>
      <c r="Y129" s="459"/>
      <c r="Z129" s="459"/>
      <c r="AA129" s="459" t="str">
        <f>IF($B129="","",VLOOKUP($B129,Reinforcements[],COLUMN(Reinforcements[[#Headers],[Top Transverse Weld Groove Angle (degrees)]])-1,FALSE))</f>
        <v>-</v>
      </c>
      <c r="AB129" s="459"/>
      <c r="AC129" s="459"/>
      <c r="AD129" s="459" t="str">
        <f>IF($B129="","",VLOOKUP($B129,Reinforcements[],COLUMN(Reinforcements[[#Headers],[Top Transverse Weld Fillet Size (in)]])-1,FALSE))</f>
        <v>-</v>
      </c>
      <c r="AE129" s="459"/>
      <c r="AF129" s="459">
        <f>IF($B129="","",VLOOKUP($B129,Reinforcements[],COLUMN(Reinforcements[[#Headers],[Top Longitudinal Weld Length]])-1,FALSE))</f>
        <v>15</v>
      </c>
      <c r="AG129" s="459"/>
      <c r="AH129" s="459"/>
      <c r="AI129" s="467">
        <f>IF($B129="","",VLOOKUP($B129,Reinforcements[],COLUMN(Reinforcements[[#Headers],[Top Longitudinal Weld Fillet Size (in)]])-1,FALSE))</f>
        <v>0.375</v>
      </c>
      <c r="AJ129" s="467"/>
      <c r="AK129" s="472"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v>
      </c>
      <c r="AL129" s="472"/>
      <c r="AM129" s="473"/>
    </row>
    <row r="130" spans="2:39" ht="12.75" customHeight="1" x14ac:dyDescent="0.2">
      <c r="B130" s="456"/>
      <c r="C130" s="457"/>
      <c r="D130" s="457"/>
      <c r="E130" s="457"/>
      <c r="F130" s="466" t="str">
        <f>IF($B129="","","Bottom")</f>
        <v>Bottom</v>
      </c>
      <c r="G130" s="460"/>
      <c r="H130" s="460" t="str">
        <f>IF($B129="","",VLOOKUP($B129,Reinforcements[],COLUMN(Reinforcements[[#Headers],['# of End Connection Bolts          (Bottom)]])-1,FALSE))</f>
        <v>-</v>
      </c>
      <c r="I130" s="460"/>
      <c r="J130" s="460" t="str">
        <f>IF($B129="","",VLOOKUP($B129,Reinforcements[],COLUMN(Reinforcements[[#Headers],[Threads Included (N) or Excluded (X) (Bottom)]])-1,FALSE))</f>
        <v>-</v>
      </c>
      <c r="K130" s="460"/>
      <c r="L130" s="460" t="str">
        <f>IF($B129="","",VLOOKUP($B129,Reinforcements[],COLUMN(Reinforcements[[#Headers],[End Connection Bolt Spacing (in) (B)]])-1,FALSE))</f>
        <v>-</v>
      </c>
      <c r="M130" s="460"/>
      <c r="N130" s="460" t="str">
        <f>IF($B129="","",VLOOKUP($B129,Reinforcements[],COLUMN(Reinforcements[[#Headers],[End Connection Edge Distance (in) (B)]])-1,FALSE))</f>
        <v>-</v>
      </c>
      <c r="O130" s="460"/>
      <c r="P130" s="460">
        <f>IF($B129="","",VLOOKUP($B129,Reinforcements[],COLUMN(Reinforcements[[#Headers],[Bottom Weld Grade (ksi)]])-1,FALSE))</f>
        <v>80</v>
      </c>
      <c r="Q130" s="460"/>
      <c r="R130" s="460" t="str">
        <f>IF($B129="","",VLOOKUP($B129,Reinforcements[],COLUMN(Reinforcements[[#Headers],[Bottom Transverse (Horizontal) Weld]])-1,FALSE))</f>
        <v>PJP Groove</v>
      </c>
      <c r="S130" s="460"/>
      <c r="T130" s="460"/>
      <c r="U130" s="460">
        <f>IF($B129="","",VLOOKUP($B129,Reinforcements[],COLUMN(Reinforcements[[#Headers],[Bottom Transverse Weld Length]])-1,FALSE))</f>
        <v>4.5</v>
      </c>
      <c r="V130" s="460"/>
      <c r="W130" s="460"/>
      <c r="X130" s="460">
        <f>IF($B129="","",VLOOKUP($B129,Reinforcements[],COLUMN(Reinforcements[[#Headers],[Bottom Transverse Weld Groove Depth (in)]])-1,FALSE))</f>
        <v>0.5</v>
      </c>
      <c r="Y130" s="460"/>
      <c r="Z130" s="460"/>
      <c r="AA130" s="460">
        <f>IF($B129="","",VLOOKUP($B129,Reinforcements[],COLUMN(Reinforcements[[#Headers],[Bottom Transverse Weld Groove Angle (degrees)]])-1,FALSE))</f>
        <v>45</v>
      </c>
      <c r="AB130" s="460"/>
      <c r="AC130" s="460"/>
      <c r="AD130" s="460">
        <f>IF($B129="","",VLOOKUP($B129,Reinforcements[],COLUMN(Reinforcements[[#Headers],[Bottom Transverse Weld Fillet Size (in)]])-1,FALSE))</f>
        <v>0.5</v>
      </c>
      <c r="AE130" s="460"/>
      <c r="AF130" s="460" t="str">
        <f>IF($B129="","",VLOOKUP($B129,Reinforcements[],COLUMN(Reinforcements[[#Headers],[Bottom Longitudinal Weld Length]])-1,FALSE))</f>
        <v>-</v>
      </c>
      <c r="AG130" s="460"/>
      <c r="AH130" s="460"/>
      <c r="AI130" s="468" t="str">
        <f>IF($B129="","",VLOOKUP($B129,Reinforcements[],COLUMN(Reinforcements[[#Headers],[Bottom Longitudinal Weld Fillet Size (in)]])-1,FALSE))</f>
        <v>-</v>
      </c>
      <c r="AJ130" s="468"/>
      <c r="AK130" s="474"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v>
      </c>
      <c r="AL130" s="474"/>
      <c r="AM130" s="475"/>
    </row>
    <row r="131" spans="2:39" ht="12.75" customHeight="1" x14ac:dyDescent="0.2">
      <c r="B131" s="454" t="str">
        <f>IF('Reinforcements'!B67="","",'Reinforcements'!B67)</f>
        <v>TS 1.25x3.75 CJP</v>
      </c>
      <c r="C131" s="455"/>
      <c r="D131" s="455"/>
      <c r="E131" s="455"/>
      <c r="F131" s="458" t="str">
        <f>IF($B131="","","Top")</f>
        <v>Top</v>
      </c>
      <c r="G131" s="459"/>
      <c r="H131" s="459" t="str">
        <f>IF($B131="","",VLOOKUP($B131,Reinforcements[],COLUMN(Reinforcements[[#Headers],['# of End Connection Bolts          (Top)]])-1,FALSE))</f>
        <v>-</v>
      </c>
      <c r="I131" s="459"/>
      <c r="J131" s="459" t="str">
        <f>IF($B131="","",VLOOKUP($B131,Reinforcements[],COLUMN(Reinforcements[[#Headers],[Threads Included (N) or Excluded (X) (Top)]])-1,FALSE))</f>
        <v>-</v>
      </c>
      <c r="K131" s="459"/>
      <c r="L131" s="459" t="str">
        <f>IF($B131="","",VLOOKUP($B131,Reinforcements[],COLUMN(Reinforcements[[#Headers],[End Connection Bolt Spacing (in) (T)]])-1,FALSE))</f>
        <v>-</v>
      </c>
      <c r="M131" s="459"/>
      <c r="N131" s="459" t="str">
        <f>IF($B131="","",VLOOKUP($B131,Reinforcements[],COLUMN(Reinforcements[[#Headers],[End Connection Edge Distance (in) (T)]])-1,FALSE))</f>
        <v>-</v>
      </c>
      <c r="O131" s="459"/>
      <c r="P131" s="459">
        <f>IF($B131="","",VLOOKUP($B131,Reinforcements[],COLUMN(Reinforcements[[#Headers],[Top Weld Grade (ksi)]])-1,FALSE))</f>
        <v>80</v>
      </c>
      <c r="Q131" s="459"/>
      <c r="R131" s="459" t="str">
        <f>IF($B131="","",VLOOKUP($B131,Reinforcements[],COLUMN(Reinforcements[[#Headers],[Top Transverse (Horizontal) Weld]])-1,FALSE))</f>
        <v>None</v>
      </c>
      <c r="S131" s="459"/>
      <c r="T131" s="459"/>
      <c r="U131" s="459" t="str">
        <f>IF($B131="","",VLOOKUP($B131,Reinforcements[],COLUMN(Reinforcements[[#Headers],[Top Transverse Weld Length]])-1,FALSE))</f>
        <v>-</v>
      </c>
      <c r="V131" s="459"/>
      <c r="W131" s="459"/>
      <c r="X131" s="459" t="str">
        <f>IF($B131="","",VLOOKUP($B131,Reinforcements[],COLUMN(Reinforcements[[#Headers],[Top Transverse Weld Groove Depth (in)]])-1,FALSE))</f>
        <v>-</v>
      </c>
      <c r="Y131" s="459"/>
      <c r="Z131" s="459"/>
      <c r="AA131" s="459" t="str">
        <f>IF($B131="","",VLOOKUP($B131,Reinforcements[],COLUMN(Reinforcements[[#Headers],[Top Transverse Weld Groove Angle (degrees)]])-1,FALSE))</f>
        <v>-</v>
      </c>
      <c r="AB131" s="459"/>
      <c r="AC131" s="459"/>
      <c r="AD131" s="459" t="str">
        <f>IF($B131="","",VLOOKUP($B131,Reinforcements[],COLUMN(Reinforcements[[#Headers],[Top Transverse Weld Fillet Size (in)]])-1,FALSE))</f>
        <v>-</v>
      </c>
      <c r="AE131" s="459"/>
      <c r="AF131" s="459">
        <f>IF($B131="","",VLOOKUP($B131,Reinforcements[],COLUMN(Reinforcements[[#Headers],[Top Longitudinal Weld Length]])-1,FALSE))</f>
        <v>90</v>
      </c>
      <c r="AG131" s="459"/>
      <c r="AH131" s="459"/>
      <c r="AI131" s="467">
        <f>IF($B131="","",VLOOKUP($B131,Reinforcements[],COLUMN(Reinforcements[[#Headers],[Top Longitudinal Weld Fillet Size (in)]])-1,FALSE))</f>
        <v>0.375</v>
      </c>
      <c r="AJ131" s="467"/>
      <c r="AK131" s="472"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v>
      </c>
      <c r="AL131" s="472"/>
      <c r="AM131" s="473"/>
    </row>
    <row r="132" spans="2:39" ht="12.75" customHeight="1" x14ac:dyDescent="0.2">
      <c r="B132" s="456"/>
      <c r="C132" s="457"/>
      <c r="D132" s="457"/>
      <c r="E132" s="457"/>
      <c r="F132" s="466" t="str">
        <f>IF($B131="","","Bottom")</f>
        <v>Bottom</v>
      </c>
      <c r="G132" s="460"/>
      <c r="H132" s="460" t="str">
        <f>IF($B131="","",VLOOKUP($B131,Reinforcements[],COLUMN(Reinforcements[[#Headers],['# of End Connection Bolts          (Bottom)]])-1,FALSE))</f>
        <v>-</v>
      </c>
      <c r="I132" s="460"/>
      <c r="J132" s="460" t="str">
        <f>IF($B131="","",VLOOKUP($B131,Reinforcements[],COLUMN(Reinforcements[[#Headers],[Threads Included (N) or Excluded (X) (Bottom)]])-1,FALSE))</f>
        <v>-</v>
      </c>
      <c r="K132" s="460"/>
      <c r="L132" s="460" t="str">
        <f>IF($B131="","",VLOOKUP($B131,Reinforcements[],COLUMN(Reinforcements[[#Headers],[End Connection Bolt Spacing (in) (B)]])-1,FALSE))</f>
        <v>-</v>
      </c>
      <c r="M132" s="460"/>
      <c r="N132" s="460" t="str">
        <f>IF($B131="","",VLOOKUP($B131,Reinforcements[],COLUMN(Reinforcements[[#Headers],[End Connection Edge Distance (in) (B)]])-1,FALSE))</f>
        <v>-</v>
      </c>
      <c r="O132" s="460"/>
      <c r="P132" s="460">
        <f>IF($B131="","",VLOOKUP($B131,Reinforcements[],COLUMN(Reinforcements[[#Headers],[Bottom Weld Grade (ksi)]])-1,FALSE))</f>
        <v>80</v>
      </c>
      <c r="Q132" s="460"/>
      <c r="R132" s="460" t="str">
        <f>IF($B131="","",VLOOKUP($B131,Reinforcements[],COLUMN(Reinforcements[[#Headers],[Bottom Transverse (Horizontal) Weld]])-1,FALSE))</f>
        <v>CJP Groove</v>
      </c>
      <c r="S132" s="460"/>
      <c r="T132" s="460"/>
      <c r="U132" s="460">
        <f>IF($B131="","",VLOOKUP($B131,Reinforcements[],COLUMN(Reinforcements[[#Headers],[Bottom Transverse Weld Length]])-1,FALSE))</f>
        <v>3</v>
      </c>
      <c r="V132" s="460"/>
      <c r="W132" s="460"/>
      <c r="X132" s="460">
        <f>IF($B131="","",VLOOKUP($B131,Reinforcements[],COLUMN(Reinforcements[[#Headers],[Bottom Transverse Weld Groove Depth (in)]])-1,FALSE))</f>
        <v>1.25</v>
      </c>
      <c r="Y132" s="460"/>
      <c r="Z132" s="460"/>
      <c r="AA132" s="460">
        <f>IF($B131="","",VLOOKUP($B131,Reinforcements[],COLUMN(Reinforcements[[#Headers],[Bottom Transverse Weld Groove Angle (degrees)]])-1,FALSE))</f>
        <v>45</v>
      </c>
      <c r="AB132" s="460"/>
      <c r="AC132" s="460"/>
      <c r="AD132" s="460">
        <f>IF($B131="","",VLOOKUP($B131,Reinforcements[],COLUMN(Reinforcements[[#Headers],[Bottom Transverse Weld Fillet Size (in)]])-1,FALSE))</f>
        <v>1</v>
      </c>
      <c r="AE132" s="460"/>
      <c r="AF132" s="460" t="str">
        <f>IF($B131="","",VLOOKUP($B131,Reinforcements[],COLUMN(Reinforcements[[#Headers],[Bottom Longitudinal Weld Length]])-1,FALSE))</f>
        <v>-</v>
      </c>
      <c r="AG132" s="460"/>
      <c r="AH132" s="460"/>
      <c r="AI132" s="468" t="str">
        <f>IF($B131="","",VLOOKUP($B131,Reinforcements[],COLUMN(Reinforcements[[#Headers],[Bottom Longitudinal Weld Fillet Size (in)]])-1,FALSE))</f>
        <v>-</v>
      </c>
      <c r="AJ132" s="468"/>
      <c r="AK132" s="474"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v>
      </c>
      <c r="AL132" s="474"/>
      <c r="AM132" s="475"/>
    </row>
    <row r="133" spans="2:39" ht="12.75" customHeight="1" x14ac:dyDescent="0.2">
      <c r="B133" s="454" t="str">
        <f>IF('Reinforcements'!B68="","",'Reinforcements'!B68)</f>
        <v>TS 1.25x3.00 5-8 PJP</v>
      </c>
      <c r="C133" s="455"/>
      <c r="D133" s="455"/>
      <c r="E133" s="455"/>
      <c r="F133" s="458" t="str">
        <f>IF($B133="","","Top")</f>
        <v>Top</v>
      </c>
      <c r="G133" s="459"/>
      <c r="H133" s="459" t="str">
        <f>IF($B133="","",VLOOKUP($B133,Reinforcements[],COLUMN(Reinforcements[[#Headers],['# of End Connection Bolts          (Top)]])-1,FALSE))</f>
        <v>-</v>
      </c>
      <c r="I133" s="459"/>
      <c r="J133" s="459" t="str">
        <f>IF($B133="","",VLOOKUP($B133,Reinforcements[],COLUMN(Reinforcements[[#Headers],[Threads Included (N) or Excluded (X) (Top)]])-1,FALSE))</f>
        <v>-</v>
      </c>
      <c r="K133" s="459"/>
      <c r="L133" s="459" t="str">
        <f>IF($B133="","",VLOOKUP($B133,Reinforcements[],COLUMN(Reinforcements[[#Headers],[End Connection Bolt Spacing (in) (T)]])-1,FALSE))</f>
        <v>-</v>
      </c>
      <c r="M133" s="459"/>
      <c r="N133" s="459" t="str">
        <f>IF($B133="","",VLOOKUP($B133,Reinforcements[],COLUMN(Reinforcements[[#Headers],[End Connection Edge Distance (in) (T)]])-1,FALSE))</f>
        <v>-</v>
      </c>
      <c r="O133" s="459"/>
      <c r="P133" s="459">
        <f>IF($B133="","",VLOOKUP($B133,Reinforcements[],COLUMN(Reinforcements[[#Headers],[Top Weld Grade (ksi)]])-1,FALSE))</f>
        <v>80</v>
      </c>
      <c r="Q133" s="459"/>
      <c r="R133" s="459" t="str">
        <f>IF($B133="","",VLOOKUP($B133,Reinforcements[],COLUMN(Reinforcements[[#Headers],[Top Transverse (Horizontal) Weld]])-1,FALSE))</f>
        <v>None</v>
      </c>
      <c r="S133" s="459"/>
      <c r="T133" s="459"/>
      <c r="U133" s="459" t="str">
        <f>IF($B133="","",VLOOKUP($B133,Reinforcements[],COLUMN(Reinforcements[[#Headers],[Top Transverse Weld Length]])-1,FALSE))</f>
        <v>-</v>
      </c>
      <c r="V133" s="459"/>
      <c r="W133" s="459"/>
      <c r="X133" s="459" t="str">
        <f>IF($B133="","",VLOOKUP($B133,Reinforcements[],COLUMN(Reinforcements[[#Headers],[Top Transverse Weld Groove Depth (in)]])-1,FALSE))</f>
        <v>-</v>
      </c>
      <c r="Y133" s="459"/>
      <c r="Z133" s="459"/>
      <c r="AA133" s="459" t="str">
        <f>IF($B133="","",VLOOKUP($B133,Reinforcements[],COLUMN(Reinforcements[[#Headers],[Top Transverse Weld Groove Angle (degrees)]])-1,FALSE))</f>
        <v>-</v>
      </c>
      <c r="AB133" s="459"/>
      <c r="AC133" s="459"/>
      <c r="AD133" s="459" t="str">
        <f>IF($B133="","",VLOOKUP($B133,Reinforcements[],COLUMN(Reinforcements[[#Headers],[Top Transverse Weld Fillet Size (in)]])-1,FALSE))</f>
        <v>-</v>
      </c>
      <c r="AE133" s="459"/>
      <c r="AF133" s="459">
        <f>IF($B133="","",VLOOKUP($B133,Reinforcements[],COLUMN(Reinforcements[[#Headers],[Top Longitudinal Weld Length]])-1,FALSE))</f>
        <v>90</v>
      </c>
      <c r="AG133" s="459"/>
      <c r="AH133" s="459"/>
      <c r="AI133" s="467">
        <f>IF($B133="","",VLOOKUP($B133,Reinforcements[],COLUMN(Reinforcements[[#Headers],[Top Longitudinal Weld Fillet Size (in)]])-1,FALSE))</f>
        <v>0.375</v>
      </c>
      <c r="AJ133" s="467"/>
      <c r="AK133" s="472"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v>
      </c>
      <c r="AL133" s="472"/>
      <c r="AM133" s="473"/>
    </row>
    <row r="134" spans="2:39" ht="12.75" customHeight="1" x14ac:dyDescent="0.2">
      <c r="B134" s="456"/>
      <c r="C134" s="457"/>
      <c r="D134" s="457"/>
      <c r="E134" s="457"/>
      <c r="F134" s="466" t="str">
        <f>IF($B133="","","Bottom")</f>
        <v>Bottom</v>
      </c>
      <c r="G134" s="460"/>
      <c r="H134" s="460" t="str">
        <f>IF($B133="","",VLOOKUP($B133,Reinforcements[],COLUMN(Reinforcements[[#Headers],['# of End Connection Bolts          (Bottom)]])-1,FALSE))</f>
        <v>-</v>
      </c>
      <c r="I134" s="460"/>
      <c r="J134" s="460" t="str">
        <f>IF($B133="","",VLOOKUP($B133,Reinforcements[],COLUMN(Reinforcements[[#Headers],[Threads Included (N) or Excluded (X) (Bottom)]])-1,FALSE))</f>
        <v>-</v>
      </c>
      <c r="K134" s="460"/>
      <c r="L134" s="460" t="str">
        <f>IF($B133="","",VLOOKUP($B133,Reinforcements[],COLUMN(Reinforcements[[#Headers],[End Connection Bolt Spacing (in) (B)]])-1,FALSE))</f>
        <v>-</v>
      </c>
      <c r="M134" s="460"/>
      <c r="N134" s="460" t="str">
        <f>IF($B133="","",VLOOKUP($B133,Reinforcements[],COLUMN(Reinforcements[[#Headers],[End Connection Edge Distance (in) (B)]])-1,FALSE))</f>
        <v>-</v>
      </c>
      <c r="O134" s="460"/>
      <c r="P134" s="460">
        <f>IF($B133="","",VLOOKUP($B133,Reinforcements[],COLUMN(Reinforcements[[#Headers],[Bottom Weld Grade (ksi)]])-1,FALSE))</f>
        <v>80</v>
      </c>
      <c r="Q134" s="460"/>
      <c r="R134" s="460" t="str">
        <f>IF($B133="","",VLOOKUP($B133,Reinforcements[],COLUMN(Reinforcements[[#Headers],[Bottom Transverse (Horizontal) Weld]])-1,FALSE))</f>
        <v>PJP Groove</v>
      </c>
      <c r="S134" s="460"/>
      <c r="T134" s="460"/>
      <c r="U134" s="460">
        <f>IF($B133="","",VLOOKUP($B133,Reinforcements[],COLUMN(Reinforcements[[#Headers],[Bottom Transverse Weld Length]])-1,FALSE))</f>
        <v>4.5</v>
      </c>
      <c r="V134" s="460"/>
      <c r="W134" s="460"/>
      <c r="X134" s="460">
        <f>IF($B133="","",VLOOKUP($B133,Reinforcements[],COLUMN(Reinforcements[[#Headers],[Bottom Transverse Weld Groove Depth (in)]])-1,FALSE))</f>
        <v>0.625</v>
      </c>
      <c r="Y134" s="460"/>
      <c r="Z134" s="460"/>
      <c r="AA134" s="460">
        <f>IF($B133="","",VLOOKUP($B133,Reinforcements[],COLUMN(Reinforcements[[#Headers],[Bottom Transverse Weld Groove Angle (degrees)]])-1,FALSE))</f>
        <v>45</v>
      </c>
      <c r="AB134" s="460"/>
      <c r="AC134" s="460"/>
      <c r="AD134" s="460">
        <f>IF($B133="","",VLOOKUP($B133,Reinforcements[],COLUMN(Reinforcements[[#Headers],[Bottom Transverse Weld Fillet Size (in)]])-1,FALSE))</f>
        <v>0.625</v>
      </c>
      <c r="AE134" s="460"/>
      <c r="AF134" s="460" t="str">
        <f>IF($B133="","",VLOOKUP($B133,Reinforcements[],COLUMN(Reinforcements[[#Headers],[Bottom Longitudinal Weld Length]])-1,FALSE))</f>
        <v>-</v>
      </c>
      <c r="AG134" s="460"/>
      <c r="AH134" s="460"/>
      <c r="AI134" s="468" t="str">
        <f>IF($B133="","",VLOOKUP($B133,Reinforcements[],COLUMN(Reinforcements[[#Headers],[Bottom Longitudinal Weld Fillet Size (in)]])-1,FALSE))</f>
        <v>-</v>
      </c>
      <c r="AJ134" s="468"/>
      <c r="AK134" s="474"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v>
      </c>
      <c r="AL134" s="474"/>
      <c r="AM134" s="475"/>
    </row>
    <row r="135" spans="2:39" ht="12.75" customHeight="1" x14ac:dyDescent="0.2">
      <c r="B135" s="454" t="str">
        <f>IF('Reinforcements'!B69="","",'Reinforcements'!B69)</f>
        <v>2.25 AR</v>
      </c>
      <c r="C135" s="455"/>
      <c r="D135" s="455"/>
      <c r="E135" s="455"/>
      <c r="F135" s="458" t="str">
        <f>IF($B135="","","Top")</f>
        <v>Top</v>
      </c>
      <c r="G135" s="459"/>
      <c r="H135" s="459" t="str">
        <f>IF($B135="","",VLOOKUP($B135,Reinforcements[],COLUMN(Reinforcements[[#Headers],['# of End Connection Bolts          (Top)]])-1,FALSE))</f>
        <v>-</v>
      </c>
      <c r="I135" s="459"/>
      <c r="J135" s="459" t="str">
        <f>IF($B135="","",VLOOKUP($B135,Reinforcements[],COLUMN(Reinforcements[[#Headers],[Threads Included (N) or Excluded (X) (Top)]])-1,FALSE))</f>
        <v>-</v>
      </c>
      <c r="K135" s="459"/>
      <c r="L135" s="459" t="str">
        <f>IF($B135="","",VLOOKUP($B135,Reinforcements[],COLUMN(Reinforcements[[#Headers],[End Connection Bolt Spacing (in) (T)]])-1,FALSE))</f>
        <v>-</v>
      </c>
      <c r="M135" s="459"/>
      <c r="N135" s="459" t="str">
        <f>IF($B135="","",VLOOKUP($B135,Reinforcements[],COLUMN(Reinforcements[[#Headers],[End Connection Edge Distance (in) (T)]])-1,FALSE))</f>
        <v>-</v>
      </c>
      <c r="O135" s="459"/>
      <c r="P135" s="459">
        <f>IF($B135="","",VLOOKUP($B135,Reinforcements[],COLUMN(Reinforcements[[#Headers],[Top Weld Grade (ksi)]])-1,FALSE))</f>
        <v>0</v>
      </c>
      <c r="Q135" s="459"/>
      <c r="R135" s="459">
        <f>IF($B135="","",VLOOKUP($B135,Reinforcements[],COLUMN(Reinforcements[[#Headers],[Top Transverse (Horizontal) Weld]])-1,FALSE))</f>
        <v>0</v>
      </c>
      <c r="S135" s="459"/>
      <c r="T135" s="459"/>
      <c r="U135" s="459">
        <f>IF($B135="","",VLOOKUP($B135,Reinforcements[],COLUMN(Reinforcements[[#Headers],[Top Transverse Weld Length]])-1,FALSE))</f>
        <v>0</v>
      </c>
      <c r="V135" s="459"/>
      <c r="W135" s="459"/>
      <c r="X135" s="459" t="str">
        <f>IF($B135="","",VLOOKUP($B135,Reinforcements[],COLUMN(Reinforcements[[#Headers],[Top Transverse Weld Groove Depth (in)]])-1,FALSE))</f>
        <v>-</v>
      </c>
      <c r="Y135" s="459"/>
      <c r="Z135" s="459"/>
      <c r="AA135" s="459" t="str">
        <f>IF($B135="","",VLOOKUP($B135,Reinforcements[],COLUMN(Reinforcements[[#Headers],[Top Transverse Weld Groove Angle (degrees)]])-1,FALSE))</f>
        <v>-</v>
      </c>
      <c r="AB135" s="459"/>
      <c r="AC135" s="459"/>
      <c r="AD135" s="459">
        <f>IF($B135="","",VLOOKUP($B135,Reinforcements[],COLUMN(Reinforcements[[#Headers],[Top Transverse Weld Fillet Size (in)]])-1,FALSE))</f>
        <v>0</v>
      </c>
      <c r="AE135" s="459"/>
      <c r="AF135" s="459">
        <f>IF($B135="","",VLOOKUP($B135,Reinforcements[],COLUMN(Reinforcements[[#Headers],[Top Longitudinal Weld Length]])-1,FALSE))</f>
        <v>0</v>
      </c>
      <c r="AG135" s="459"/>
      <c r="AH135" s="459"/>
      <c r="AI135" s="467">
        <f>IF($B135="","",VLOOKUP($B135,Reinforcements[],COLUMN(Reinforcements[[#Headers],[Top Longitudinal Weld Fillet Size (in)]])-1,FALSE))</f>
        <v>0</v>
      </c>
      <c r="AJ135" s="467"/>
      <c r="AK135" s="472"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v>
      </c>
      <c r="AL135" s="472"/>
      <c r="AM135" s="473"/>
    </row>
    <row r="136" spans="2:39" ht="12.75" customHeight="1" x14ac:dyDescent="0.2">
      <c r="B136" s="456"/>
      <c r="C136" s="457"/>
      <c r="D136" s="457"/>
      <c r="E136" s="457"/>
      <c r="F136" s="466" t="str">
        <f>IF($B135="","","Bottom")</f>
        <v>Bottom</v>
      </c>
      <c r="G136" s="460"/>
      <c r="H136" s="460" t="str">
        <f>IF($B135="","",VLOOKUP($B135,Reinforcements[],COLUMN(Reinforcements[[#Headers],['# of End Connection Bolts          (Bottom)]])-1,FALSE))</f>
        <v>-</v>
      </c>
      <c r="I136" s="460"/>
      <c r="J136" s="460" t="str">
        <f>IF($B135="","",VLOOKUP($B135,Reinforcements[],COLUMN(Reinforcements[[#Headers],[Threads Included (N) or Excluded (X) (Bottom)]])-1,FALSE))</f>
        <v>-</v>
      </c>
      <c r="K136" s="460"/>
      <c r="L136" s="460" t="str">
        <f>IF($B135="","",VLOOKUP($B135,Reinforcements[],COLUMN(Reinforcements[[#Headers],[End Connection Bolt Spacing (in) (B)]])-1,FALSE))</f>
        <v>-</v>
      </c>
      <c r="M136" s="460"/>
      <c r="N136" s="460" t="str">
        <f>IF($B135="","",VLOOKUP($B135,Reinforcements[],COLUMN(Reinforcements[[#Headers],[End Connection Edge Distance (in) (B)]])-1,FALSE))</f>
        <v>-</v>
      </c>
      <c r="O136" s="460"/>
      <c r="P136" s="460">
        <f>IF($B135="","",VLOOKUP($B135,Reinforcements[],COLUMN(Reinforcements[[#Headers],[Bottom Weld Grade (ksi)]])-1,FALSE))</f>
        <v>0</v>
      </c>
      <c r="Q136" s="460"/>
      <c r="R136" s="460">
        <f>IF($B135="","",VLOOKUP($B135,Reinforcements[],COLUMN(Reinforcements[[#Headers],[Bottom Transverse (Horizontal) Weld]])-1,FALSE))</f>
        <v>0</v>
      </c>
      <c r="S136" s="460"/>
      <c r="T136" s="460"/>
      <c r="U136" s="460">
        <f>IF($B135="","",VLOOKUP($B135,Reinforcements[],COLUMN(Reinforcements[[#Headers],[Bottom Transverse Weld Length]])-1,FALSE))</f>
        <v>0</v>
      </c>
      <c r="V136" s="460"/>
      <c r="W136" s="460"/>
      <c r="X136" s="460">
        <f>IF($B135="","",VLOOKUP($B135,Reinforcements[],COLUMN(Reinforcements[[#Headers],[Bottom Transverse Weld Groove Depth (in)]])-1,FALSE))</f>
        <v>0</v>
      </c>
      <c r="Y136" s="460"/>
      <c r="Z136" s="460"/>
      <c r="AA136" s="460">
        <f>IF($B135="","",VLOOKUP($B135,Reinforcements[],COLUMN(Reinforcements[[#Headers],[Bottom Transverse Weld Groove Angle (degrees)]])-1,FALSE))</f>
        <v>0</v>
      </c>
      <c r="AB136" s="460"/>
      <c r="AC136" s="460"/>
      <c r="AD136" s="460">
        <f>IF($B135="","",VLOOKUP($B135,Reinforcements[],COLUMN(Reinforcements[[#Headers],[Bottom Transverse Weld Fillet Size (in)]])-1,FALSE))</f>
        <v>0</v>
      </c>
      <c r="AE136" s="460"/>
      <c r="AF136" s="460" t="str">
        <f>IF($B135="","",VLOOKUP($B135,Reinforcements[],COLUMN(Reinforcements[[#Headers],[Bottom Longitudinal Weld Length]])-1,FALSE))</f>
        <v>-</v>
      </c>
      <c r="AG136" s="460"/>
      <c r="AH136" s="460"/>
      <c r="AI136" s="468" t="str">
        <f>IF($B135="","",VLOOKUP($B135,Reinforcements[],COLUMN(Reinforcements[[#Headers],[Bottom Longitudinal Weld Fillet Size (in)]])-1,FALSE))</f>
        <v>-</v>
      </c>
      <c r="AJ136" s="468"/>
      <c r="AK136" s="474"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v>
      </c>
      <c r="AL136" s="474"/>
      <c r="AM136" s="475"/>
    </row>
    <row r="137" spans="2:39" ht="12.75" hidden="1" customHeight="1" x14ac:dyDescent="0.2">
      <c r="B137" s="454" t="str">
        <f>IF('Reinforcements'!B70="","",'Reinforcements'!B70)</f>
        <v/>
      </c>
      <c r="C137" s="455"/>
      <c r="D137" s="455"/>
      <c r="E137" s="455"/>
      <c r="F137" s="458" t="str">
        <f>IF($B137="","","Top")</f>
        <v/>
      </c>
      <c r="G137" s="459"/>
      <c r="H137" s="459" t="str">
        <f>IF($B137="","",VLOOKUP($B137,Reinforcements[],COLUMN(Reinforcements[[#Headers],['# of End Connection Bolts          (Top)]])-1,FALSE))</f>
        <v/>
      </c>
      <c r="I137" s="459"/>
      <c r="J137" s="459" t="str">
        <f>IF($B137="","",VLOOKUP($B137,Reinforcements[],COLUMN(Reinforcements[[#Headers],[Threads Included (N) or Excluded (X) (Top)]])-1,FALSE))</f>
        <v/>
      </c>
      <c r="K137" s="459"/>
      <c r="L137" s="459" t="str">
        <f>IF($B137="","",VLOOKUP($B137,Reinforcements[],COLUMN(Reinforcements[[#Headers],[End Connection Bolt Spacing (in) (T)]])-1,FALSE))</f>
        <v/>
      </c>
      <c r="M137" s="459"/>
      <c r="N137" s="459" t="str">
        <f>IF($B137="","",VLOOKUP($B137,Reinforcements[],COLUMN(Reinforcements[[#Headers],[End Connection Edge Distance (in) (T)]])-1,FALSE))</f>
        <v/>
      </c>
      <c r="O137" s="459"/>
      <c r="P137" s="459" t="str">
        <f>IF($B137="","",VLOOKUP($B137,Reinforcements[],COLUMN(Reinforcements[[#Headers],[Top Weld Grade (ksi)]])-1,FALSE))</f>
        <v/>
      </c>
      <c r="Q137" s="459"/>
      <c r="R137" s="459" t="str">
        <f>IF($B137="","",VLOOKUP($B137,Reinforcements[],COLUMN(Reinforcements[[#Headers],[Top Transverse (Horizontal) Weld]])-1,FALSE))</f>
        <v/>
      </c>
      <c r="S137" s="459"/>
      <c r="T137" s="459"/>
      <c r="U137" s="459" t="str">
        <f>IF($B137="","",VLOOKUP($B137,Reinforcements[],COLUMN(Reinforcements[[#Headers],[Top Transverse Weld Length]])-1,FALSE))</f>
        <v/>
      </c>
      <c r="V137" s="459"/>
      <c r="W137" s="459"/>
      <c r="X137" s="459" t="str">
        <f>IF($B137="","",VLOOKUP($B137,Reinforcements[],COLUMN(Reinforcements[[#Headers],[Top Transverse Weld Groove Depth (in)]])-1,FALSE))</f>
        <v/>
      </c>
      <c r="Y137" s="459"/>
      <c r="Z137" s="459"/>
      <c r="AA137" s="459" t="str">
        <f>IF($B137="","",VLOOKUP($B137,Reinforcements[],COLUMN(Reinforcements[[#Headers],[Top Transverse Weld Groove Angle (degrees)]])-1,FALSE))</f>
        <v/>
      </c>
      <c r="AB137" s="459"/>
      <c r="AC137" s="459"/>
      <c r="AD137" s="459" t="str">
        <f>IF($B137="","",VLOOKUP($B137,Reinforcements[],COLUMN(Reinforcements[[#Headers],[Top Transverse Weld Fillet Size (in)]])-1,FALSE))</f>
        <v/>
      </c>
      <c r="AE137" s="459"/>
      <c r="AF137" s="459" t="str">
        <f>IF($B137="","",VLOOKUP($B137,Reinforcements[],COLUMN(Reinforcements[[#Headers],[Top Longitudinal Weld Length]])-1,FALSE))</f>
        <v/>
      </c>
      <c r="AG137" s="459"/>
      <c r="AH137" s="459"/>
      <c r="AI137" s="467" t="str">
        <f>IF($B137="","",VLOOKUP($B137,Reinforcements[],COLUMN(Reinforcements[[#Headers],[Top Longitudinal Weld Fillet Size (in)]])-1,FALSE))</f>
        <v/>
      </c>
      <c r="AJ137" s="467"/>
      <c r="AK137" s="472"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472"/>
      <c r="AM137" s="473"/>
    </row>
    <row r="138" spans="2:39" ht="12.75" hidden="1" customHeight="1" x14ac:dyDescent="0.2">
      <c r="B138" s="456"/>
      <c r="C138" s="457"/>
      <c r="D138" s="457"/>
      <c r="E138" s="457"/>
      <c r="F138" s="466" t="str">
        <f>IF($B137="","","Bottom")</f>
        <v/>
      </c>
      <c r="G138" s="460"/>
      <c r="H138" s="460" t="str">
        <f>IF($B137="","",VLOOKUP($B137,Reinforcements[],COLUMN(Reinforcements[[#Headers],['# of End Connection Bolts          (Bottom)]])-1,FALSE))</f>
        <v/>
      </c>
      <c r="I138" s="460"/>
      <c r="J138" s="460" t="str">
        <f>IF($B137="","",VLOOKUP($B137,Reinforcements[],COLUMN(Reinforcements[[#Headers],[Threads Included (N) or Excluded (X) (Bottom)]])-1,FALSE))</f>
        <v/>
      </c>
      <c r="K138" s="460"/>
      <c r="L138" s="460" t="str">
        <f>IF($B137="","",VLOOKUP($B137,Reinforcements[],COLUMN(Reinforcements[[#Headers],[End Connection Bolt Spacing (in) (B)]])-1,FALSE))</f>
        <v/>
      </c>
      <c r="M138" s="460"/>
      <c r="N138" s="460" t="str">
        <f>IF($B137="","",VLOOKUP($B137,Reinforcements[],COLUMN(Reinforcements[[#Headers],[End Connection Edge Distance (in) (B)]])-1,FALSE))</f>
        <v/>
      </c>
      <c r="O138" s="460"/>
      <c r="P138" s="460" t="str">
        <f>IF($B137="","",VLOOKUP($B137,Reinforcements[],COLUMN(Reinforcements[[#Headers],[Bottom Weld Grade (ksi)]])-1,FALSE))</f>
        <v/>
      </c>
      <c r="Q138" s="460"/>
      <c r="R138" s="460" t="str">
        <f>IF($B137="","",VLOOKUP($B137,Reinforcements[],COLUMN(Reinforcements[[#Headers],[Bottom Transverse (Horizontal) Weld]])-1,FALSE))</f>
        <v/>
      </c>
      <c r="S138" s="460"/>
      <c r="T138" s="460"/>
      <c r="U138" s="460" t="str">
        <f>IF($B137="","",VLOOKUP($B137,Reinforcements[],COLUMN(Reinforcements[[#Headers],[Bottom Transverse Weld Length]])-1,FALSE))</f>
        <v/>
      </c>
      <c r="V138" s="460"/>
      <c r="W138" s="460"/>
      <c r="X138" s="460" t="str">
        <f>IF($B137="","",VLOOKUP($B137,Reinforcements[],COLUMN(Reinforcements[[#Headers],[Bottom Transverse Weld Groove Depth (in)]])-1,FALSE))</f>
        <v/>
      </c>
      <c r="Y138" s="460"/>
      <c r="Z138" s="460"/>
      <c r="AA138" s="460" t="str">
        <f>IF($B137="","",VLOOKUP($B137,Reinforcements[],COLUMN(Reinforcements[[#Headers],[Bottom Transverse Weld Groove Angle (degrees)]])-1,FALSE))</f>
        <v/>
      </c>
      <c r="AB138" s="460"/>
      <c r="AC138" s="460"/>
      <c r="AD138" s="460" t="str">
        <f>IF($B137="","",VLOOKUP($B137,Reinforcements[],COLUMN(Reinforcements[[#Headers],[Bottom Transverse Weld Fillet Size (in)]])-1,FALSE))</f>
        <v/>
      </c>
      <c r="AE138" s="460"/>
      <c r="AF138" s="460" t="str">
        <f>IF($B137="","",VLOOKUP($B137,Reinforcements[],COLUMN(Reinforcements[[#Headers],[Bottom Longitudinal Weld Length]])-1,FALSE))</f>
        <v/>
      </c>
      <c r="AG138" s="460"/>
      <c r="AH138" s="460"/>
      <c r="AI138" s="468" t="str">
        <f>IF($B137="","",VLOOKUP($B137,Reinforcements[],COLUMN(Reinforcements[[#Headers],[Bottom Longitudinal Weld Fillet Size (in)]])-1,FALSE))</f>
        <v/>
      </c>
      <c r="AJ138" s="468"/>
      <c r="AK138" s="474"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474"/>
      <c r="AM138" s="475"/>
    </row>
    <row r="139" spans="2:39" ht="12.75" hidden="1" customHeight="1" x14ac:dyDescent="0.2">
      <c r="B139" s="454" t="str">
        <f>IF('Reinforcements'!B71="","",'Reinforcements'!B71)</f>
        <v/>
      </c>
      <c r="C139" s="455"/>
      <c r="D139" s="455"/>
      <c r="E139" s="455"/>
      <c r="F139" s="458" t="str">
        <f>IF($B139="","","Top")</f>
        <v/>
      </c>
      <c r="G139" s="459"/>
      <c r="H139" s="459" t="str">
        <f>IF($B139="","",VLOOKUP($B139,Reinforcements[],COLUMN(Reinforcements[[#Headers],['# of End Connection Bolts          (Top)]])-1,FALSE))</f>
        <v/>
      </c>
      <c r="I139" s="459"/>
      <c r="J139" s="459" t="str">
        <f>IF($B139="","",VLOOKUP($B139,Reinforcements[],COLUMN(Reinforcements[[#Headers],[Threads Included (N) or Excluded (X) (Top)]])-1,FALSE))</f>
        <v/>
      </c>
      <c r="K139" s="459"/>
      <c r="L139" s="459" t="str">
        <f>IF($B139="","",VLOOKUP($B139,Reinforcements[],COLUMN(Reinforcements[[#Headers],[End Connection Bolt Spacing (in) (T)]])-1,FALSE))</f>
        <v/>
      </c>
      <c r="M139" s="459"/>
      <c r="N139" s="459" t="str">
        <f>IF($B139="","",VLOOKUP($B139,Reinforcements[],COLUMN(Reinforcements[[#Headers],[End Connection Edge Distance (in) (T)]])-1,FALSE))</f>
        <v/>
      </c>
      <c r="O139" s="459"/>
      <c r="P139" s="459" t="str">
        <f>IF($B139="","",VLOOKUP($B139,Reinforcements[],COLUMN(Reinforcements[[#Headers],[Top Weld Grade (ksi)]])-1,FALSE))</f>
        <v/>
      </c>
      <c r="Q139" s="459"/>
      <c r="R139" s="459" t="str">
        <f>IF($B139="","",VLOOKUP($B139,Reinforcements[],COLUMN(Reinforcements[[#Headers],[Top Transverse (Horizontal) Weld]])-1,FALSE))</f>
        <v/>
      </c>
      <c r="S139" s="459"/>
      <c r="T139" s="459"/>
      <c r="U139" s="459" t="str">
        <f>IF($B139="","",VLOOKUP($B139,Reinforcements[],COLUMN(Reinforcements[[#Headers],[Top Transverse Weld Length]])-1,FALSE))</f>
        <v/>
      </c>
      <c r="V139" s="459"/>
      <c r="W139" s="459"/>
      <c r="X139" s="459" t="str">
        <f>IF($B139="","",VLOOKUP($B139,Reinforcements[],COLUMN(Reinforcements[[#Headers],[Top Transverse Weld Groove Depth (in)]])-1,FALSE))</f>
        <v/>
      </c>
      <c r="Y139" s="459"/>
      <c r="Z139" s="459"/>
      <c r="AA139" s="459" t="str">
        <f>IF($B139="","",VLOOKUP($B139,Reinforcements[],COLUMN(Reinforcements[[#Headers],[Top Transverse Weld Groove Angle (degrees)]])-1,FALSE))</f>
        <v/>
      </c>
      <c r="AB139" s="459"/>
      <c r="AC139" s="459"/>
      <c r="AD139" s="459" t="str">
        <f>IF($B139="","",VLOOKUP($B139,Reinforcements[],COLUMN(Reinforcements[[#Headers],[Top Transverse Weld Fillet Size (in)]])-1,FALSE))</f>
        <v/>
      </c>
      <c r="AE139" s="459"/>
      <c r="AF139" s="459" t="str">
        <f>IF($B139="","",VLOOKUP($B139,Reinforcements[],COLUMN(Reinforcements[[#Headers],[Top Longitudinal Weld Length]])-1,FALSE))</f>
        <v/>
      </c>
      <c r="AG139" s="459"/>
      <c r="AH139" s="459"/>
      <c r="AI139" s="467" t="str">
        <f>IF($B139="","",VLOOKUP($B139,Reinforcements[],COLUMN(Reinforcements[[#Headers],[Top Longitudinal Weld Fillet Size (in)]])-1,FALSE))</f>
        <v/>
      </c>
      <c r="AJ139" s="467"/>
      <c r="AK139" s="472"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472"/>
      <c r="AM139" s="473"/>
    </row>
    <row r="140" spans="2:39" ht="12.75" hidden="1" customHeight="1" x14ac:dyDescent="0.2">
      <c r="B140" s="456"/>
      <c r="C140" s="457"/>
      <c r="D140" s="457"/>
      <c r="E140" s="457"/>
      <c r="F140" s="466" t="str">
        <f>IF($B139="","","Bottom")</f>
        <v/>
      </c>
      <c r="G140" s="460"/>
      <c r="H140" s="460" t="str">
        <f>IF($B139="","",VLOOKUP($B139,Reinforcements[],COLUMN(Reinforcements[[#Headers],['# of End Connection Bolts          (Bottom)]])-1,FALSE))</f>
        <v/>
      </c>
      <c r="I140" s="460"/>
      <c r="J140" s="460" t="str">
        <f>IF($B139="","",VLOOKUP($B139,Reinforcements[],COLUMN(Reinforcements[[#Headers],[Threads Included (N) or Excluded (X) (Bottom)]])-1,FALSE))</f>
        <v/>
      </c>
      <c r="K140" s="460"/>
      <c r="L140" s="460" t="str">
        <f>IF($B139="","",VLOOKUP($B139,Reinforcements[],COLUMN(Reinforcements[[#Headers],[End Connection Bolt Spacing (in) (B)]])-1,FALSE))</f>
        <v/>
      </c>
      <c r="M140" s="460"/>
      <c r="N140" s="460" t="str">
        <f>IF($B139="","",VLOOKUP($B139,Reinforcements[],COLUMN(Reinforcements[[#Headers],[End Connection Edge Distance (in) (B)]])-1,FALSE))</f>
        <v/>
      </c>
      <c r="O140" s="460"/>
      <c r="P140" s="460" t="str">
        <f>IF($B139="","",VLOOKUP($B139,Reinforcements[],COLUMN(Reinforcements[[#Headers],[Bottom Weld Grade (ksi)]])-1,FALSE))</f>
        <v/>
      </c>
      <c r="Q140" s="460"/>
      <c r="R140" s="460" t="str">
        <f>IF($B139="","",VLOOKUP($B139,Reinforcements[],COLUMN(Reinforcements[[#Headers],[Bottom Transverse (Horizontal) Weld]])-1,FALSE))</f>
        <v/>
      </c>
      <c r="S140" s="460"/>
      <c r="T140" s="460"/>
      <c r="U140" s="460" t="str">
        <f>IF($B139="","",VLOOKUP($B139,Reinforcements[],COLUMN(Reinforcements[[#Headers],[Bottom Transverse Weld Length]])-1,FALSE))</f>
        <v/>
      </c>
      <c r="V140" s="460"/>
      <c r="W140" s="460"/>
      <c r="X140" s="460" t="str">
        <f>IF($B139="","",VLOOKUP($B139,Reinforcements[],COLUMN(Reinforcements[[#Headers],[Bottom Transverse Weld Groove Depth (in)]])-1,FALSE))</f>
        <v/>
      </c>
      <c r="Y140" s="460"/>
      <c r="Z140" s="460"/>
      <c r="AA140" s="460" t="str">
        <f>IF($B139="","",VLOOKUP($B139,Reinforcements[],COLUMN(Reinforcements[[#Headers],[Bottom Transverse Weld Groove Angle (degrees)]])-1,FALSE))</f>
        <v/>
      </c>
      <c r="AB140" s="460"/>
      <c r="AC140" s="460"/>
      <c r="AD140" s="460" t="str">
        <f>IF($B139="","",VLOOKUP($B139,Reinforcements[],COLUMN(Reinforcements[[#Headers],[Bottom Transverse Weld Fillet Size (in)]])-1,FALSE))</f>
        <v/>
      </c>
      <c r="AE140" s="460"/>
      <c r="AF140" s="460" t="str">
        <f>IF($B139="","",VLOOKUP($B139,Reinforcements[],COLUMN(Reinforcements[[#Headers],[Bottom Longitudinal Weld Length]])-1,FALSE))</f>
        <v/>
      </c>
      <c r="AG140" s="460"/>
      <c r="AH140" s="460"/>
      <c r="AI140" s="468" t="str">
        <f>IF($B139="","",VLOOKUP($B139,Reinforcements[],COLUMN(Reinforcements[[#Headers],[Bottom Longitudinal Weld Fillet Size (in)]])-1,FALSE))</f>
        <v/>
      </c>
      <c r="AJ140" s="468"/>
      <c r="AK140" s="474"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474"/>
      <c r="AM140" s="475"/>
    </row>
    <row r="141" spans="2:39" ht="12.75" hidden="1" customHeight="1" x14ac:dyDescent="0.2">
      <c r="B141" s="454" t="str">
        <f>IF('Reinforcements'!B72="","",'Reinforcements'!B72)</f>
        <v/>
      </c>
      <c r="C141" s="455"/>
      <c r="D141" s="455"/>
      <c r="E141" s="455"/>
      <c r="F141" s="458" t="str">
        <f>IF($B141="","","Top")</f>
        <v/>
      </c>
      <c r="G141" s="459"/>
      <c r="H141" s="459" t="str">
        <f>IF($B141="","",VLOOKUP($B141,Reinforcements[],COLUMN(Reinforcements[[#Headers],['# of End Connection Bolts          (Top)]])-1,FALSE))</f>
        <v/>
      </c>
      <c r="I141" s="459"/>
      <c r="J141" s="459" t="str">
        <f>IF($B141="","",VLOOKUP($B141,Reinforcements[],COLUMN(Reinforcements[[#Headers],[Threads Included (N) or Excluded (X) (Top)]])-1,FALSE))</f>
        <v/>
      </c>
      <c r="K141" s="459"/>
      <c r="L141" s="459" t="str">
        <f>IF($B141="","",VLOOKUP($B141,Reinforcements[],COLUMN(Reinforcements[[#Headers],[End Connection Bolt Spacing (in) (T)]])-1,FALSE))</f>
        <v/>
      </c>
      <c r="M141" s="459"/>
      <c r="N141" s="459" t="str">
        <f>IF($B141="","",VLOOKUP($B141,Reinforcements[],COLUMN(Reinforcements[[#Headers],[End Connection Edge Distance (in) (T)]])-1,FALSE))</f>
        <v/>
      </c>
      <c r="O141" s="459"/>
      <c r="P141" s="459" t="str">
        <f>IF($B141="","",VLOOKUP($B141,Reinforcements[],COLUMN(Reinforcements[[#Headers],[Top Weld Grade (ksi)]])-1,FALSE))</f>
        <v/>
      </c>
      <c r="Q141" s="459"/>
      <c r="R141" s="459" t="str">
        <f>IF($B141="","",VLOOKUP($B141,Reinforcements[],COLUMN(Reinforcements[[#Headers],[Top Transverse (Horizontal) Weld]])-1,FALSE))</f>
        <v/>
      </c>
      <c r="S141" s="459"/>
      <c r="T141" s="459"/>
      <c r="U141" s="459" t="str">
        <f>IF($B141="","",VLOOKUP($B141,Reinforcements[],COLUMN(Reinforcements[[#Headers],[Top Transverse Weld Length]])-1,FALSE))</f>
        <v/>
      </c>
      <c r="V141" s="459"/>
      <c r="W141" s="459"/>
      <c r="X141" s="459" t="str">
        <f>IF($B141="","",VLOOKUP($B141,Reinforcements[],COLUMN(Reinforcements[[#Headers],[Top Transverse Weld Groove Depth (in)]])-1,FALSE))</f>
        <v/>
      </c>
      <c r="Y141" s="459"/>
      <c r="Z141" s="459"/>
      <c r="AA141" s="459" t="str">
        <f>IF($B141="","",VLOOKUP($B141,Reinforcements[],COLUMN(Reinforcements[[#Headers],[Top Transverse Weld Groove Angle (degrees)]])-1,FALSE))</f>
        <v/>
      </c>
      <c r="AB141" s="459"/>
      <c r="AC141" s="459"/>
      <c r="AD141" s="459" t="str">
        <f>IF($B141="","",VLOOKUP($B141,Reinforcements[],COLUMN(Reinforcements[[#Headers],[Top Transverse Weld Fillet Size (in)]])-1,FALSE))</f>
        <v/>
      </c>
      <c r="AE141" s="459"/>
      <c r="AF141" s="459" t="str">
        <f>IF($B141="","",VLOOKUP($B141,Reinforcements[],COLUMN(Reinforcements[[#Headers],[Top Longitudinal Weld Length]])-1,FALSE))</f>
        <v/>
      </c>
      <c r="AG141" s="459"/>
      <c r="AH141" s="459"/>
      <c r="AI141" s="467" t="str">
        <f>IF($B141="","",VLOOKUP($B141,Reinforcements[],COLUMN(Reinforcements[[#Headers],[Top Longitudinal Weld Fillet Size (in)]])-1,FALSE))</f>
        <v/>
      </c>
      <c r="AJ141" s="467"/>
      <c r="AK141" s="472"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472"/>
      <c r="AM141" s="473"/>
    </row>
    <row r="142" spans="2:39" ht="12.75" hidden="1" customHeight="1" x14ac:dyDescent="0.2">
      <c r="B142" s="456"/>
      <c r="C142" s="457"/>
      <c r="D142" s="457"/>
      <c r="E142" s="457"/>
      <c r="F142" s="466" t="str">
        <f>IF($B141="","","Bottom")</f>
        <v/>
      </c>
      <c r="G142" s="460"/>
      <c r="H142" s="460" t="str">
        <f>IF($B141="","",VLOOKUP($B141,Reinforcements[],COLUMN(Reinforcements[[#Headers],['# of End Connection Bolts          (Bottom)]])-1,FALSE))</f>
        <v/>
      </c>
      <c r="I142" s="460"/>
      <c r="J142" s="460" t="str">
        <f>IF($B141="","",VLOOKUP($B141,Reinforcements[],COLUMN(Reinforcements[[#Headers],[Threads Included (N) or Excluded (X) (Bottom)]])-1,FALSE))</f>
        <v/>
      </c>
      <c r="K142" s="460"/>
      <c r="L142" s="460" t="str">
        <f>IF($B141="","",VLOOKUP($B141,Reinforcements[],COLUMN(Reinforcements[[#Headers],[End Connection Bolt Spacing (in) (B)]])-1,FALSE))</f>
        <v/>
      </c>
      <c r="M142" s="460"/>
      <c r="N142" s="460" t="str">
        <f>IF($B141="","",VLOOKUP($B141,Reinforcements[],COLUMN(Reinforcements[[#Headers],[End Connection Edge Distance (in) (B)]])-1,FALSE))</f>
        <v/>
      </c>
      <c r="O142" s="460"/>
      <c r="P142" s="460" t="str">
        <f>IF($B141="","",VLOOKUP($B141,Reinforcements[],COLUMN(Reinforcements[[#Headers],[Bottom Weld Grade (ksi)]])-1,FALSE))</f>
        <v/>
      </c>
      <c r="Q142" s="460"/>
      <c r="R142" s="460" t="str">
        <f>IF($B141="","",VLOOKUP($B141,Reinforcements[],COLUMN(Reinforcements[[#Headers],[Bottom Transverse (Horizontal) Weld]])-1,FALSE))</f>
        <v/>
      </c>
      <c r="S142" s="460"/>
      <c r="T142" s="460"/>
      <c r="U142" s="460" t="str">
        <f>IF($B141="","",VLOOKUP($B141,Reinforcements[],COLUMN(Reinforcements[[#Headers],[Bottom Transverse Weld Length]])-1,FALSE))</f>
        <v/>
      </c>
      <c r="V142" s="460"/>
      <c r="W142" s="460"/>
      <c r="X142" s="460" t="str">
        <f>IF($B141="","",VLOOKUP($B141,Reinforcements[],COLUMN(Reinforcements[[#Headers],[Bottom Transverse Weld Groove Depth (in)]])-1,FALSE))</f>
        <v/>
      </c>
      <c r="Y142" s="460"/>
      <c r="Z142" s="460"/>
      <c r="AA142" s="460" t="str">
        <f>IF($B141="","",VLOOKUP($B141,Reinforcements[],COLUMN(Reinforcements[[#Headers],[Bottom Transverse Weld Groove Angle (degrees)]])-1,FALSE))</f>
        <v/>
      </c>
      <c r="AB142" s="460"/>
      <c r="AC142" s="460"/>
      <c r="AD142" s="460" t="str">
        <f>IF($B141="","",VLOOKUP($B141,Reinforcements[],COLUMN(Reinforcements[[#Headers],[Bottom Transverse Weld Fillet Size (in)]])-1,FALSE))</f>
        <v/>
      </c>
      <c r="AE142" s="460"/>
      <c r="AF142" s="460" t="str">
        <f>IF($B141="","",VLOOKUP($B141,Reinforcements[],COLUMN(Reinforcements[[#Headers],[Bottom Longitudinal Weld Length]])-1,FALSE))</f>
        <v/>
      </c>
      <c r="AG142" s="460"/>
      <c r="AH142" s="460"/>
      <c r="AI142" s="468" t="str">
        <f>IF($B141="","",VLOOKUP($B141,Reinforcements[],COLUMN(Reinforcements[[#Headers],[Bottom Longitudinal Weld Fillet Size (in)]])-1,FALSE))</f>
        <v/>
      </c>
      <c r="AJ142" s="468"/>
      <c r="AK142" s="474"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474"/>
      <c r="AM142" s="475"/>
    </row>
    <row r="143" spans="2:39" ht="12.75" hidden="1" customHeight="1" x14ac:dyDescent="0.2">
      <c r="B143" s="454" t="str">
        <f>IF('Reinforcements'!B73="","",'Reinforcements'!B73)</f>
        <v/>
      </c>
      <c r="C143" s="455"/>
      <c r="D143" s="455"/>
      <c r="E143" s="455"/>
      <c r="F143" s="458" t="str">
        <f>IF($B143="","","Top")</f>
        <v/>
      </c>
      <c r="G143" s="459"/>
      <c r="H143" s="459" t="str">
        <f>IF($B143="","",VLOOKUP($B143,Reinforcements[],COLUMN(Reinforcements[[#Headers],['# of End Connection Bolts          (Top)]])-1,FALSE))</f>
        <v/>
      </c>
      <c r="I143" s="459"/>
      <c r="J143" s="459" t="str">
        <f>IF($B143="","",VLOOKUP($B143,Reinforcements[],COLUMN(Reinforcements[[#Headers],[Threads Included (N) or Excluded (X) (Top)]])-1,FALSE))</f>
        <v/>
      </c>
      <c r="K143" s="459"/>
      <c r="L143" s="459" t="str">
        <f>IF($B143="","",VLOOKUP($B143,Reinforcements[],COLUMN(Reinforcements[[#Headers],[End Connection Bolt Spacing (in) (T)]])-1,FALSE))</f>
        <v/>
      </c>
      <c r="M143" s="459"/>
      <c r="N143" s="459" t="str">
        <f>IF($B143="","",VLOOKUP($B143,Reinforcements[],COLUMN(Reinforcements[[#Headers],[End Connection Edge Distance (in) (T)]])-1,FALSE))</f>
        <v/>
      </c>
      <c r="O143" s="459"/>
      <c r="P143" s="459" t="str">
        <f>IF($B143="","",VLOOKUP($B143,Reinforcements[],COLUMN(Reinforcements[[#Headers],[Top Weld Grade (ksi)]])-1,FALSE))</f>
        <v/>
      </c>
      <c r="Q143" s="459"/>
      <c r="R143" s="459" t="str">
        <f>IF($B143="","",VLOOKUP($B143,Reinforcements[],COLUMN(Reinforcements[[#Headers],[Top Transverse (Horizontal) Weld]])-1,FALSE))</f>
        <v/>
      </c>
      <c r="S143" s="459"/>
      <c r="T143" s="459"/>
      <c r="U143" s="459" t="str">
        <f>IF($B143="","",VLOOKUP($B143,Reinforcements[],COLUMN(Reinforcements[[#Headers],[Top Transverse Weld Length]])-1,FALSE))</f>
        <v/>
      </c>
      <c r="V143" s="459"/>
      <c r="W143" s="459"/>
      <c r="X143" s="459" t="str">
        <f>IF($B143="","",VLOOKUP($B143,Reinforcements[],COLUMN(Reinforcements[[#Headers],[Top Transverse Weld Groove Depth (in)]])-1,FALSE))</f>
        <v/>
      </c>
      <c r="Y143" s="459"/>
      <c r="Z143" s="459"/>
      <c r="AA143" s="459" t="str">
        <f>IF($B143="","",VLOOKUP($B143,Reinforcements[],COLUMN(Reinforcements[[#Headers],[Top Transverse Weld Groove Angle (degrees)]])-1,FALSE))</f>
        <v/>
      </c>
      <c r="AB143" s="459"/>
      <c r="AC143" s="459"/>
      <c r="AD143" s="459" t="str">
        <f>IF($B143="","",VLOOKUP($B143,Reinforcements[],COLUMN(Reinforcements[[#Headers],[Top Transverse Weld Fillet Size (in)]])-1,FALSE))</f>
        <v/>
      </c>
      <c r="AE143" s="459"/>
      <c r="AF143" s="459" t="str">
        <f>IF($B143="","",VLOOKUP($B143,Reinforcements[],COLUMN(Reinforcements[[#Headers],[Top Longitudinal Weld Length]])-1,FALSE))</f>
        <v/>
      </c>
      <c r="AG143" s="459"/>
      <c r="AH143" s="459"/>
      <c r="AI143" s="467" t="str">
        <f>IF($B143="","",VLOOKUP($B143,Reinforcements[],COLUMN(Reinforcements[[#Headers],[Top Longitudinal Weld Fillet Size (in)]])-1,FALSE))</f>
        <v/>
      </c>
      <c r="AJ143" s="467"/>
      <c r="AK143" s="472"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472"/>
      <c r="AM143" s="473"/>
    </row>
    <row r="144" spans="2:39" ht="12.75" hidden="1" customHeight="1" x14ac:dyDescent="0.2">
      <c r="B144" s="456"/>
      <c r="C144" s="457"/>
      <c r="D144" s="457"/>
      <c r="E144" s="457"/>
      <c r="F144" s="466" t="str">
        <f>IF($B143="","","Bottom")</f>
        <v/>
      </c>
      <c r="G144" s="460"/>
      <c r="H144" s="460" t="str">
        <f>IF($B143="","",VLOOKUP($B143,Reinforcements[],COLUMN(Reinforcements[[#Headers],['# of End Connection Bolts          (Bottom)]])-1,FALSE))</f>
        <v/>
      </c>
      <c r="I144" s="460"/>
      <c r="J144" s="460" t="str">
        <f>IF($B143="","",VLOOKUP($B143,Reinforcements[],COLUMN(Reinforcements[[#Headers],[Threads Included (N) or Excluded (X) (Bottom)]])-1,FALSE))</f>
        <v/>
      </c>
      <c r="K144" s="460"/>
      <c r="L144" s="460" t="str">
        <f>IF($B143="","",VLOOKUP($B143,Reinforcements[],COLUMN(Reinforcements[[#Headers],[End Connection Bolt Spacing (in) (B)]])-1,FALSE))</f>
        <v/>
      </c>
      <c r="M144" s="460"/>
      <c r="N144" s="460" t="str">
        <f>IF($B143="","",VLOOKUP($B143,Reinforcements[],COLUMN(Reinforcements[[#Headers],[End Connection Edge Distance (in) (B)]])-1,FALSE))</f>
        <v/>
      </c>
      <c r="O144" s="460"/>
      <c r="P144" s="460" t="str">
        <f>IF($B143="","",VLOOKUP($B143,Reinforcements[],COLUMN(Reinforcements[[#Headers],[Bottom Weld Grade (ksi)]])-1,FALSE))</f>
        <v/>
      </c>
      <c r="Q144" s="460"/>
      <c r="R144" s="460" t="str">
        <f>IF($B143="","",VLOOKUP($B143,Reinforcements[],COLUMN(Reinforcements[[#Headers],[Bottom Transverse (Horizontal) Weld]])-1,FALSE))</f>
        <v/>
      </c>
      <c r="S144" s="460"/>
      <c r="T144" s="460"/>
      <c r="U144" s="460" t="str">
        <f>IF($B143="","",VLOOKUP($B143,Reinforcements[],COLUMN(Reinforcements[[#Headers],[Bottom Transverse Weld Length]])-1,FALSE))</f>
        <v/>
      </c>
      <c r="V144" s="460"/>
      <c r="W144" s="460"/>
      <c r="X144" s="460" t="str">
        <f>IF($B143="","",VLOOKUP($B143,Reinforcements[],COLUMN(Reinforcements[[#Headers],[Bottom Transverse Weld Groove Depth (in)]])-1,FALSE))</f>
        <v/>
      </c>
      <c r="Y144" s="460"/>
      <c r="Z144" s="460"/>
      <c r="AA144" s="460" t="str">
        <f>IF($B143="","",VLOOKUP($B143,Reinforcements[],COLUMN(Reinforcements[[#Headers],[Bottom Transverse Weld Groove Angle (degrees)]])-1,FALSE))</f>
        <v/>
      </c>
      <c r="AB144" s="460"/>
      <c r="AC144" s="460"/>
      <c r="AD144" s="460" t="str">
        <f>IF($B143="","",VLOOKUP($B143,Reinforcements[],COLUMN(Reinforcements[[#Headers],[Bottom Transverse Weld Fillet Size (in)]])-1,FALSE))</f>
        <v/>
      </c>
      <c r="AE144" s="460"/>
      <c r="AF144" s="460" t="str">
        <f>IF($B143="","",VLOOKUP($B143,Reinforcements[],COLUMN(Reinforcements[[#Headers],[Bottom Longitudinal Weld Length]])-1,FALSE))</f>
        <v/>
      </c>
      <c r="AG144" s="460"/>
      <c r="AH144" s="460"/>
      <c r="AI144" s="468" t="str">
        <f>IF($B143="","",VLOOKUP($B143,Reinforcements[],COLUMN(Reinforcements[[#Headers],[Bottom Longitudinal Weld Fillet Size (in)]])-1,FALSE))</f>
        <v/>
      </c>
      <c r="AJ144" s="468"/>
      <c r="AK144" s="474"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474"/>
      <c r="AM144" s="475"/>
    </row>
    <row r="145" spans="2:39" ht="12.75" hidden="1" customHeight="1" x14ac:dyDescent="0.2">
      <c r="B145" s="454" t="str">
        <f>IF('Reinforcements'!B74="","",'Reinforcements'!B74)</f>
        <v/>
      </c>
      <c r="C145" s="455"/>
      <c r="D145" s="455"/>
      <c r="E145" s="455"/>
      <c r="F145" s="458" t="str">
        <f t="shared" ref="F145" si="5">IF($B145="","","Top")</f>
        <v/>
      </c>
      <c r="G145" s="459"/>
      <c r="H145" s="459" t="str">
        <f>IF($B145="","",VLOOKUP($B145,Reinforcements[],COLUMN(Reinforcements[[#Headers],['# of End Connection Bolts          (Top)]])-1,FALSE))</f>
        <v/>
      </c>
      <c r="I145" s="459"/>
      <c r="J145" s="459" t="str">
        <f>IF($B145="","",VLOOKUP($B145,Reinforcements[],COLUMN(Reinforcements[[#Headers],[Threads Included (N) or Excluded (X) (Top)]])-1,FALSE))</f>
        <v/>
      </c>
      <c r="K145" s="459"/>
      <c r="L145" s="459" t="str">
        <f>IF($B145="","",VLOOKUP($B145,Reinforcements[],COLUMN(Reinforcements[[#Headers],[End Connection Bolt Spacing (in) (T)]])-1,FALSE))</f>
        <v/>
      </c>
      <c r="M145" s="459"/>
      <c r="N145" s="459" t="str">
        <f>IF($B145="","",VLOOKUP($B145,Reinforcements[],COLUMN(Reinforcements[[#Headers],[End Connection Edge Distance (in) (T)]])-1,FALSE))</f>
        <v/>
      </c>
      <c r="O145" s="459"/>
      <c r="P145" s="459" t="str">
        <f>IF($B145="","",VLOOKUP($B145,Reinforcements[],COLUMN(Reinforcements[[#Headers],[Top Weld Grade (ksi)]])-1,FALSE))</f>
        <v/>
      </c>
      <c r="Q145" s="459"/>
      <c r="R145" s="459" t="str">
        <f>IF($B145="","",VLOOKUP($B145,Reinforcements[],COLUMN(Reinforcements[[#Headers],[Top Transverse (Horizontal) Weld]])-1,FALSE))</f>
        <v/>
      </c>
      <c r="S145" s="459"/>
      <c r="T145" s="459"/>
      <c r="U145" s="459" t="str">
        <f>IF($B145="","",VLOOKUP($B145,Reinforcements[],COLUMN(Reinforcements[[#Headers],[Top Transverse Weld Length]])-1,FALSE))</f>
        <v/>
      </c>
      <c r="V145" s="459"/>
      <c r="W145" s="459"/>
      <c r="X145" s="459" t="str">
        <f>IF($B145="","",VLOOKUP($B145,Reinforcements[],COLUMN(Reinforcements[[#Headers],[Top Transverse Weld Groove Depth (in)]])-1,FALSE))</f>
        <v/>
      </c>
      <c r="Y145" s="459"/>
      <c r="Z145" s="459"/>
      <c r="AA145" s="459" t="str">
        <f>IF($B145="","",VLOOKUP($B145,Reinforcements[],COLUMN(Reinforcements[[#Headers],[Top Transverse Weld Groove Angle (degrees)]])-1,FALSE))</f>
        <v/>
      </c>
      <c r="AB145" s="459"/>
      <c r="AC145" s="459"/>
      <c r="AD145" s="459" t="str">
        <f>IF($B145="","",VLOOKUP($B145,Reinforcements[],COLUMN(Reinforcements[[#Headers],[Top Transverse Weld Fillet Size (in)]])-1,FALSE))</f>
        <v/>
      </c>
      <c r="AE145" s="459"/>
      <c r="AF145" s="459" t="str">
        <f>IF($B145="","",VLOOKUP($B145,Reinforcements[],COLUMN(Reinforcements[[#Headers],[Top Longitudinal Weld Length]])-1,FALSE))</f>
        <v/>
      </c>
      <c r="AG145" s="459"/>
      <c r="AH145" s="459"/>
      <c r="AI145" s="467" t="str">
        <f>IF($B145="","",VLOOKUP($B145,Reinforcements[],COLUMN(Reinforcements[[#Headers],[Top Longitudinal Weld Fillet Size (in)]])-1,FALSE))</f>
        <v/>
      </c>
      <c r="AJ145" s="467"/>
      <c r="AK145" s="472"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472"/>
      <c r="AM145" s="473"/>
    </row>
    <row r="146" spans="2:39" ht="12.75" hidden="1" customHeight="1" x14ac:dyDescent="0.2">
      <c r="B146" s="456"/>
      <c r="C146" s="457"/>
      <c r="D146" s="457"/>
      <c r="E146" s="457"/>
      <c r="F146" s="466" t="str">
        <f t="shared" ref="F146" si="6">IF($B145="","","Bottom")</f>
        <v/>
      </c>
      <c r="G146" s="460"/>
      <c r="H146" s="460" t="str">
        <f>IF($B145="","",VLOOKUP($B145,Reinforcements[],COLUMN(Reinforcements[[#Headers],['# of End Connection Bolts          (Bottom)]])-1,FALSE))</f>
        <v/>
      </c>
      <c r="I146" s="460"/>
      <c r="J146" s="460" t="str">
        <f>IF($B145="","",VLOOKUP($B145,Reinforcements[],COLUMN(Reinforcements[[#Headers],[Threads Included (N) or Excluded (X) (Bottom)]])-1,FALSE))</f>
        <v/>
      </c>
      <c r="K146" s="460"/>
      <c r="L146" s="460" t="str">
        <f>IF($B145="","",VLOOKUP($B145,Reinforcements[],COLUMN(Reinforcements[[#Headers],[End Connection Bolt Spacing (in) (B)]])-1,FALSE))</f>
        <v/>
      </c>
      <c r="M146" s="460"/>
      <c r="N146" s="460" t="str">
        <f>IF($B145="","",VLOOKUP($B145,Reinforcements[],COLUMN(Reinforcements[[#Headers],[End Connection Edge Distance (in) (B)]])-1,FALSE))</f>
        <v/>
      </c>
      <c r="O146" s="460"/>
      <c r="P146" s="460" t="str">
        <f>IF($B145="","",VLOOKUP($B145,Reinforcements[],COLUMN(Reinforcements[[#Headers],[Bottom Weld Grade (ksi)]])-1,FALSE))</f>
        <v/>
      </c>
      <c r="Q146" s="460"/>
      <c r="R146" s="460" t="str">
        <f>IF($B145="","",VLOOKUP($B145,Reinforcements[],COLUMN(Reinforcements[[#Headers],[Bottom Transverse (Horizontal) Weld]])-1,FALSE))</f>
        <v/>
      </c>
      <c r="S146" s="460"/>
      <c r="T146" s="460"/>
      <c r="U146" s="460" t="str">
        <f>IF($B145="","",VLOOKUP($B145,Reinforcements[],COLUMN(Reinforcements[[#Headers],[Bottom Transverse Weld Length]])-1,FALSE))</f>
        <v/>
      </c>
      <c r="V146" s="460"/>
      <c r="W146" s="460"/>
      <c r="X146" s="460" t="str">
        <f>IF($B145="","",VLOOKUP($B145,Reinforcements[],COLUMN(Reinforcements[[#Headers],[Bottom Transverse Weld Groove Depth (in)]])-1,FALSE))</f>
        <v/>
      </c>
      <c r="Y146" s="460"/>
      <c r="Z146" s="460"/>
      <c r="AA146" s="460" t="str">
        <f>IF($B145="","",VLOOKUP($B145,Reinforcements[],COLUMN(Reinforcements[[#Headers],[Bottom Transverse Weld Groove Angle (degrees)]])-1,FALSE))</f>
        <v/>
      </c>
      <c r="AB146" s="460"/>
      <c r="AC146" s="460"/>
      <c r="AD146" s="460" t="str">
        <f>IF($B145="","",VLOOKUP($B145,Reinforcements[],COLUMN(Reinforcements[[#Headers],[Bottom Transverse Weld Fillet Size (in)]])-1,FALSE))</f>
        <v/>
      </c>
      <c r="AE146" s="460"/>
      <c r="AF146" s="460" t="str">
        <f>IF($B145="","",VLOOKUP($B145,Reinforcements[],COLUMN(Reinforcements[[#Headers],[Bottom Longitudinal Weld Length]])-1,FALSE))</f>
        <v/>
      </c>
      <c r="AG146" s="460"/>
      <c r="AH146" s="460"/>
      <c r="AI146" s="468" t="str">
        <f>IF($B145="","",VLOOKUP($B145,Reinforcements[],COLUMN(Reinforcements[[#Headers],[Bottom Longitudinal Weld Fillet Size (in)]])-1,FALSE))</f>
        <v/>
      </c>
      <c r="AJ146" s="468"/>
      <c r="AK146" s="474"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474"/>
      <c r="AM146" s="475"/>
    </row>
    <row r="147" spans="2:39" ht="12.75" hidden="1" customHeight="1" x14ac:dyDescent="0.2">
      <c r="B147" s="454" t="str">
        <f>IF('Reinforcements'!B75="","",'Reinforcements'!B75)</f>
        <v/>
      </c>
      <c r="C147" s="455"/>
      <c r="D147" s="455"/>
      <c r="E147" s="455"/>
      <c r="F147" s="458" t="str">
        <f t="shared" ref="F147" si="7">IF($B147="","","Top")</f>
        <v/>
      </c>
      <c r="G147" s="459"/>
      <c r="H147" s="459" t="str">
        <f>IF($B147="","",VLOOKUP($B147,Reinforcements[],COLUMN(Reinforcements[[#Headers],['# of End Connection Bolts          (Top)]])-1,FALSE))</f>
        <v/>
      </c>
      <c r="I147" s="459"/>
      <c r="J147" s="459" t="str">
        <f>IF($B147="","",VLOOKUP($B147,Reinforcements[],COLUMN(Reinforcements[[#Headers],[Threads Included (N) or Excluded (X) (Top)]])-1,FALSE))</f>
        <v/>
      </c>
      <c r="K147" s="459"/>
      <c r="L147" s="459" t="str">
        <f>IF($B147="","",VLOOKUP($B147,Reinforcements[],COLUMN(Reinforcements[[#Headers],[End Connection Bolt Spacing (in) (T)]])-1,FALSE))</f>
        <v/>
      </c>
      <c r="M147" s="459"/>
      <c r="N147" s="459" t="str">
        <f>IF($B147="","",VLOOKUP($B147,Reinforcements[],COLUMN(Reinforcements[[#Headers],[End Connection Edge Distance (in) (T)]])-1,FALSE))</f>
        <v/>
      </c>
      <c r="O147" s="459"/>
      <c r="P147" s="459" t="str">
        <f>IF($B147="","",VLOOKUP($B147,Reinforcements[],COLUMN(Reinforcements[[#Headers],[Top Weld Grade (ksi)]])-1,FALSE))</f>
        <v/>
      </c>
      <c r="Q147" s="459"/>
      <c r="R147" s="459" t="str">
        <f>IF($B147="","",VLOOKUP($B147,Reinforcements[],COLUMN(Reinforcements[[#Headers],[Top Transverse (Horizontal) Weld]])-1,FALSE))</f>
        <v/>
      </c>
      <c r="S147" s="459"/>
      <c r="T147" s="459"/>
      <c r="U147" s="459" t="str">
        <f>IF($B147="","",VLOOKUP($B147,Reinforcements[],COLUMN(Reinforcements[[#Headers],[Top Transverse Weld Length]])-1,FALSE))</f>
        <v/>
      </c>
      <c r="V147" s="459"/>
      <c r="W147" s="459"/>
      <c r="X147" s="459" t="str">
        <f>IF($B147="","",VLOOKUP($B147,Reinforcements[],COLUMN(Reinforcements[[#Headers],[Top Transverse Weld Groove Depth (in)]])-1,FALSE))</f>
        <v/>
      </c>
      <c r="Y147" s="459"/>
      <c r="Z147" s="459"/>
      <c r="AA147" s="459" t="str">
        <f>IF($B147="","",VLOOKUP($B147,Reinforcements[],COLUMN(Reinforcements[[#Headers],[Top Transverse Weld Groove Angle (degrees)]])-1,FALSE))</f>
        <v/>
      </c>
      <c r="AB147" s="459"/>
      <c r="AC147" s="459"/>
      <c r="AD147" s="459" t="str">
        <f>IF($B147="","",VLOOKUP($B147,Reinforcements[],COLUMN(Reinforcements[[#Headers],[Top Transverse Weld Fillet Size (in)]])-1,FALSE))</f>
        <v/>
      </c>
      <c r="AE147" s="459"/>
      <c r="AF147" s="459" t="str">
        <f>IF($B147="","",VLOOKUP($B147,Reinforcements[],COLUMN(Reinforcements[[#Headers],[Top Longitudinal Weld Length]])-1,FALSE))</f>
        <v/>
      </c>
      <c r="AG147" s="459"/>
      <c r="AH147" s="459"/>
      <c r="AI147" s="467" t="str">
        <f>IF($B147="","",VLOOKUP($B147,Reinforcements[],COLUMN(Reinforcements[[#Headers],[Top Longitudinal Weld Fillet Size (in)]])-1,FALSE))</f>
        <v/>
      </c>
      <c r="AJ147" s="467"/>
      <c r="AK147" s="472"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472"/>
      <c r="AM147" s="473"/>
    </row>
    <row r="148" spans="2:39" ht="12.75" hidden="1" customHeight="1" x14ac:dyDescent="0.2">
      <c r="B148" s="456"/>
      <c r="C148" s="457"/>
      <c r="D148" s="457"/>
      <c r="E148" s="457"/>
      <c r="F148" s="466" t="str">
        <f t="shared" ref="F148" si="8">IF($B147="","","Bottom")</f>
        <v/>
      </c>
      <c r="G148" s="460"/>
      <c r="H148" s="460" t="str">
        <f>IF($B147="","",VLOOKUP($B147,Reinforcements[],COLUMN(Reinforcements[[#Headers],['# of End Connection Bolts          (Bottom)]])-1,FALSE))</f>
        <v/>
      </c>
      <c r="I148" s="460"/>
      <c r="J148" s="460" t="str">
        <f>IF($B147="","",VLOOKUP($B147,Reinforcements[],COLUMN(Reinforcements[[#Headers],[Threads Included (N) or Excluded (X) (Bottom)]])-1,FALSE))</f>
        <v/>
      </c>
      <c r="K148" s="460"/>
      <c r="L148" s="460" t="str">
        <f>IF($B147="","",VLOOKUP($B147,Reinforcements[],COLUMN(Reinforcements[[#Headers],[End Connection Bolt Spacing (in) (B)]])-1,FALSE))</f>
        <v/>
      </c>
      <c r="M148" s="460"/>
      <c r="N148" s="460" t="str">
        <f>IF($B147="","",VLOOKUP($B147,Reinforcements[],COLUMN(Reinforcements[[#Headers],[End Connection Edge Distance (in) (B)]])-1,FALSE))</f>
        <v/>
      </c>
      <c r="O148" s="460"/>
      <c r="P148" s="460" t="str">
        <f>IF($B147="","",VLOOKUP($B147,Reinforcements[],COLUMN(Reinforcements[[#Headers],[Bottom Weld Grade (ksi)]])-1,FALSE))</f>
        <v/>
      </c>
      <c r="Q148" s="460"/>
      <c r="R148" s="460" t="str">
        <f>IF($B147="","",VLOOKUP($B147,Reinforcements[],COLUMN(Reinforcements[[#Headers],[Bottom Transverse (Horizontal) Weld]])-1,FALSE))</f>
        <v/>
      </c>
      <c r="S148" s="460"/>
      <c r="T148" s="460"/>
      <c r="U148" s="460" t="str">
        <f>IF($B147="","",VLOOKUP($B147,Reinforcements[],COLUMN(Reinforcements[[#Headers],[Bottom Transverse Weld Length]])-1,FALSE))</f>
        <v/>
      </c>
      <c r="V148" s="460"/>
      <c r="W148" s="460"/>
      <c r="X148" s="460" t="str">
        <f>IF($B147="","",VLOOKUP($B147,Reinforcements[],COLUMN(Reinforcements[[#Headers],[Bottom Transverse Weld Groove Depth (in)]])-1,FALSE))</f>
        <v/>
      </c>
      <c r="Y148" s="460"/>
      <c r="Z148" s="460"/>
      <c r="AA148" s="460" t="str">
        <f>IF($B147="","",VLOOKUP($B147,Reinforcements[],COLUMN(Reinforcements[[#Headers],[Bottom Transverse Weld Groove Angle (degrees)]])-1,FALSE))</f>
        <v/>
      </c>
      <c r="AB148" s="460"/>
      <c r="AC148" s="460"/>
      <c r="AD148" s="460" t="str">
        <f>IF($B147="","",VLOOKUP($B147,Reinforcements[],COLUMN(Reinforcements[[#Headers],[Bottom Transverse Weld Fillet Size (in)]])-1,FALSE))</f>
        <v/>
      </c>
      <c r="AE148" s="460"/>
      <c r="AF148" s="460" t="str">
        <f>IF($B147="","",VLOOKUP($B147,Reinforcements[],COLUMN(Reinforcements[[#Headers],[Bottom Longitudinal Weld Length]])-1,FALSE))</f>
        <v/>
      </c>
      <c r="AG148" s="460"/>
      <c r="AH148" s="460"/>
      <c r="AI148" s="468" t="str">
        <f>IF($B147="","",VLOOKUP($B147,Reinforcements[],COLUMN(Reinforcements[[#Headers],[Bottom Longitudinal Weld Fillet Size (in)]])-1,FALSE))</f>
        <v/>
      </c>
      <c r="AJ148" s="468"/>
      <c r="AK148" s="474"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474"/>
      <c r="AM148" s="475"/>
    </row>
    <row r="149" spans="2:39" ht="12.75" hidden="1" customHeight="1" x14ac:dyDescent="0.2">
      <c r="B149" s="454" t="str">
        <f>IF('Reinforcements'!B76="","",'Reinforcements'!B76)</f>
        <v/>
      </c>
      <c r="C149" s="455"/>
      <c r="D149" s="455"/>
      <c r="E149" s="455"/>
      <c r="F149" s="458" t="str">
        <f t="shared" ref="F149" si="9">IF($B149="","","Top")</f>
        <v/>
      </c>
      <c r="G149" s="459"/>
      <c r="H149" s="459" t="str">
        <f>IF($B149="","",VLOOKUP($B149,Reinforcements[],COLUMN(Reinforcements[[#Headers],['# of End Connection Bolts          (Top)]])-1,FALSE))</f>
        <v/>
      </c>
      <c r="I149" s="459"/>
      <c r="J149" s="459" t="str">
        <f>IF($B149="","",VLOOKUP($B149,Reinforcements[],COLUMN(Reinforcements[[#Headers],[Threads Included (N) or Excluded (X) (Top)]])-1,FALSE))</f>
        <v/>
      </c>
      <c r="K149" s="459"/>
      <c r="L149" s="459" t="str">
        <f>IF($B149="","",VLOOKUP($B149,Reinforcements[],COLUMN(Reinforcements[[#Headers],[End Connection Bolt Spacing (in) (T)]])-1,FALSE))</f>
        <v/>
      </c>
      <c r="M149" s="459"/>
      <c r="N149" s="459" t="str">
        <f>IF($B149="","",VLOOKUP($B149,Reinforcements[],COLUMN(Reinforcements[[#Headers],[End Connection Edge Distance (in) (T)]])-1,FALSE))</f>
        <v/>
      </c>
      <c r="O149" s="459"/>
      <c r="P149" s="459" t="str">
        <f>IF($B149="","",VLOOKUP($B149,Reinforcements[],COLUMN(Reinforcements[[#Headers],[Top Weld Grade (ksi)]])-1,FALSE))</f>
        <v/>
      </c>
      <c r="Q149" s="459"/>
      <c r="R149" s="459" t="str">
        <f>IF($B149="","",VLOOKUP($B149,Reinforcements[],COLUMN(Reinforcements[[#Headers],[Top Transverse (Horizontal) Weld]])-1,FALSE))</f>
        <v/>
      </c>
      <c r="S149" s="459"/>
      <c r="T149" s="459"/>
      <c r="U149" s="459" t="str">
        <f>IF($B149="","",VLOOKUP($B149,Reinforcements[],COLUMN(Reinforcements[[#Headers],[Top Transverse Weld Length]])-1,FALSE))</f>
        <v/>
      </c>
      <c r="V149" s="459"/>
      <c r="W149" s="459"/>
      <c r="X149" s="459" t="str">
        <f>IF($B149="","",VLOOKUP($B149,Reinforcements[],COLUMN(Reinforcements[[#Headers],[Top Transverse Weld Groove Depth (in)]])-1,FALSE))</f>
        <v/>
      </c>
      <c r="Y149" s="459"/>
      <c r="Z149" s="459"/>
      <c r="AA149" s="459" t="str">
        <f>IF($B149="","",VLOOKUP($B149,Reinforcements[],COLUMN(Reinforcements[[#Headers],[Top Transverse Weld Groove Angle (degrees)]])-1,FALSE))</f>
        <v/>
      </c>
      <c r="AB149" s="459"/>
      <c r="AC149" s="459"/>
      <c r="AD149" s="459" t="str">
        <f>IF($B149="","",VLOOKUP($B149,Reinforcements[],COLUMN(Reinforcements[[#Headers],[Top Transverse Weld Fillet Size (in)]])-1,FALSE))</f>
        <v/>
      </c>
      <c r="AE149" s="459"/>
      <c r="AF149" s="459" t="str">
        <f>IF($B149="","",VLOOKUP($B149,Reinforcements[],COLUMN(Reinforcements[[#Headers],[Top Longitudinal Weld Length]])-1,FALSE))</f>
        <v/>
      </c>
      <c r="AG149" s="459"/>
      <c r="AH149" s="459"/>
      <c r="AI149" s="467" t="str">
        <f>IF($B149="","",VLOOKUP($B149,Reinforcements[],COLUMN(Reinforcements[[#Headers],[Top Longitudinal Weld Fillet Size (in)]])-1,FALSE))</f>
        <v/>
      </c>
      <c r="AJ149" s="467"/>
      <c r="AK149" s="472"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472"/>
      <c r="AM149" s="473"/>
    </row>
    <row r="150" spans="2:39" ht="12.75" hidden="1" customHeight="1" x14ac:dyDescent="0.2">
      <c r="B150" s="456"/>
      <c r="C150" s="457"/>
      <c r="D150" s="457"/>
      <c r="E150" s="457"/>
      <c r="F150" s="466" t="str">
        <f t="shared" ref="F150" si="10">IF($B149="","","Bottom")</f>
        <v/>
      </c>
      <c r="G150" s="460"/>
      <c r="H150" s="460" t="str">
        <f>IF($B149="","",VLOOKUP($B149,Reinforcements[],COLUMN(Reinforcements[[#Headers],['# of End Connection Bolts          (Bottom)]])-1,FALSE))</f>
        <v/>
      </c>
      <c r="I150" s="460"/>
      <c r="J150" s="460" t="str">
        <f>IF($B149="","",VLOOKUP($B149,Reinforcements[],COLUMN(Reinforcements[[#Headers],[Threads Included (N) or Excluded (X) (Bottom)]])-1,FALSE))</f>
        <v/>
      </c>
      <c r="K150" s="460"/>
      <c r="L150" s="460" t="str">
        <f>IF($B149="","",VLOOKUP($B149,Reinforcements[],COLUMN(Reinforcements[[#Headers],[End Connection Bolt Spacing (in) (B)]])-1,FALSE))</f>
        <v/>
      </c>
      <c r="M150" s="460"/>
      <c r="N150" s="460" t="str">
        <f>IF($B149="","",VLOOKUP($B149,Reinforcements[],COLUMN(Reinforcements[[#Headers],[End Connection Edge Distance (in) (B)]])-1,FALSE))</f>
        <v/>
      </c>
      <c r="O150" s="460"/>
      <c r="P150" s="460" t="str">
        <f>IF($B149="","",VLOOKUP($B149,Reinforcements[],COLUMN(Reinforcements[[#Headers],[Bottom Weld Grade (ksi)]])-1,FALSE))</f>
        <v/>
      </c>
      <c r="Q150" s="460"/>
      <c r="R150" s="460" t="str">
        <f>IF($B149="","",VLOOKUP($B149,Reinforcements[],COLUMN(Reinforcements[[#Headers],[Bottom Transverse (Horizontal) Weld]])-1,FALSE))</f>
        <v/>
      </c>
      <c r="S150" s="460"/>
      <c r="T150" s="460"/>
      <c r="U150" s="460" t="str">
        <f>IF($B149="","",VLOOKUP($B149,Reinforcements[],COLUMN(Reinforcements[[#Headers],[Bottom Transverse Weld Length]])-1,FALSE))</f>
        <v/>
      </c>
      <c r="V150" s="460"/>
      <c r="W150" s="460"/>
      <c r="X150" s="460" t="str">
        <f>IF($B149="","",VLOOKUP($B149,Reinforcements[],COLUMN(Reinforcements[[#Headers],[Bottom Transverse Weld Groove Depth (in)]])-1,FALSE))</f>
        <v/>
      </c>
      <c r="Y150" s="460"/>
      <c r="Z150" s="460"/>
      <c r="AA150" s="460" t="str">
        <f>IF($B149="","",VLOOKUP($B149,Reinforcements[],COLUMN(Reinforcements[[#Headers],[Bottom Transverse Weld Groove Angle (degrees)]])-1,FALSE))</f>
        <v/>
      </c>
      <c r="AB150" s="460"/>
      <c r="AC150" s="460"/>
      <c r="AD150" s="460" t="str">
        <f>IF($B149="","",VLOOKUP($B149,Reinforcements[],COLUMN(Reinforcements[[#Headers],[Bottom Transverse Weld Fillet Size (in)]])-1,FALSE))</f>
        <v/>
      </c>
      <c r="AE150" s="460"/>
      <c r="AF150" s="460" t="str">
        <f>IF($B149="","",VLOOKUP($B149,Reinforcements[],COLUMN(Reinforcements[[#Headers],[Bottom Longitudinal Weld Length]])-1,FALSE))</f>
        <v/>
      </c>
      <c r="AG150" s="460"/>
      <c r="AH150" s="460"/>
      <c r="AI150" s="468" t="str">
        <f>IF($B149="","",VLOOKUP($B149,Reinforcements[],COLUMN(Reinforcements[[#Headers],[Bottom Longitudinal Weld Fillet Size (in)]])-1,FALSE))</f>
        <v/>
      </c>
      <c r="AJ150" s="468"/>
      <c r="AK150" s="474"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474"/>
      <c r="AM150" s="475"/>
    </row>
    <row r="151" spans="2:39" ht="12.75" hidden="1" customHeight="1" x14ac:dyDescent="0.2">
      <c r="B151" s="454" t="str">
        <f>IF('Reinforcements'!B77="","",'Reinforcements'!B77)</f>
        <v/>
      </c>
      <c r="C151" s="455"/>
      <c r="D151" s="455"/>
      <c r="E151" s="455"/>
      <c r="F151" s="458" t="str">
        <f t="shared" ref="F151" si="11">IF($B151="","","Top")</f>
        <v/>
      </c>
      <c r="G151" s="459"/>
      <c r="H151" s="459" t="str">
        <f>IF($B151="","",VLOOKUP($B151,Reinforcements[],COLUMN(Reinforcements[[#Headers],['# of End Connection Bolts          (Top)]])-1,FALSE))</f>
        <v/>
      </c>
      <c r="I151" s="459"/>
      <c r="J151" s="459" t="str">
        <f>IF($B151="","",VLOOKUP($B151,Reinforcements[],COLUMN(Reinforcements[[#Headers],[Threads Included (N) or Excluded (X) (Top)]])-1,FALSE))</f>
        <v/>
      </c>
      <c r="K151" s="459"/>
      <c r="L151" s="459" t="str">
        <f>IF($B151="","",VLOOKUP($B151,Reinforcements[],COLUMN(Reinforcements[[#Headers],[End Connection Bolt Spacing (in) (T)]])-1,FALSE))</f>
        <v/>
      </c>
      <c r="M151" s="459"/>
      <c r="N151" s="459" t="str">
        <f>IF($B151="","",VLOOKUP($B151,Reinforcements[],COLUMN(Reinforcements[[#Headers],[End Connection Edge Distance (in) (T)]])-1,FALSE))</f>
        <v/>
      </c>
      <c r="O151" s="459"/>
      <c r="P151" s="459" t="str">
        <f>IF($B151="","",VLOOKUP($B151,Reinforcements[],COLUMN(Reinforcements[[#Headers],[Top Weld Grade (ksi)]])-1,FALSE))</f>
        <v/>
      </c>
      <c r="Q151" s="459"/>
      <c r="R151" s="459" t="str">
        <f>IF($B151="","",VLOOKUP($B151,Reinforcements[],COLUMN(Reinforcements[[#Headers],[Top Transverse (Horizontal) Weld]])-1,FALSE))</f>
        <v/>
      </c>
      <c r="S151" s="459"/>
      <c r="T151" s="459"/>
      <c r="U151" s="459" t="str">
        <f>IF($B151="","",VLOOKUP($B151,Reinforcements[],COLUMN(Reinforcements[[#Headers],[Top Transverse Weld Length]])-1,FALSE))</f>
        <v/>
      </c>
      <c r="V151" s="459"/>
      <c r="W151" s="459"/>
      <c r="X151" s="459" t="str">
        <f>IF($B151="","",VLOOKUP($B151,Reinforcements[],COLUMN(Reinforcements[[#Headers],[Top Transverse Weld Groove Depth (in)]])-1,FALSE))</f>
        <v/>
      </c>
      <c r="Y151" s="459"/>
      <c r="Z151" s="459"/>
      <c r="AA151" s="459" t="str">
        <f>IF($B151="","",VLOOKUP($B151,Reinforcements[],COLUMN(Reinforcements[[#Headers],[Top Transverse Weld Groove Angle (degrees)]])-1,FALSE))</f>
        <v/>
      </c>
      <c r="AB151" s="459"/>
      <c r="AC151" s="459"/>
      <c r="AD151" s="459" t="str">
        <f>IF($B151="","",VLOOKUP($B151,Reinforcements[],COLUMN(Reinforcements[[#Headers],[Top Transverse Weld Fillet Size (in)]])-1,FALSE))</f>
        <v/>
      </c>
      <c r="AE151" s="459"/>
      <c r="AF151" s="459" t="str">
        <f>IF($B151="","",VLOOKUP($B151,Reinforcements[],COLUMN(Reinforcements[[#Headers],[Top Longitudinal Weld Length]])-1,FALSE))</f>
        <v/>
      </c>
      <c r="AG151" s="459"/>
      <c r="AH151" s="459"/>
      <c r="AI151" s="467" t="str">
        <f>IF($B151="","",VLOOKUP($B151,Reinforcements[],COLUMN(Reinforcements[[#Headers],[Top Longitudinal Weld Fillet Size (in)]])-1,FALSE))</f>
        <v/>
      </c>
      <c r="AJ151" s="467"/>
      <c r="AK151" s="472"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472"/>
      <c r="AM151" s="473"/>
    </row>
    <row r="152" spans="2:39" ht="12.75" hidden="1" customHeight="1" x14ac:dyDescent="0.2">
      <c r="B152" s="456"/>
      <c r="C152" s="457"/>
      <c r="D152" s="457"/>
      <c r="E152" s="457"/>
      <c r="F152" s="466" t="str">
        <f t="shared" ref="F152" si="12">IF($B151="","","Bottom")</f>
        <v/>
      </c>
      <c r="G152" s="460"/>
      <c r="H152" s="460" t="str">
        <f>IF($B151="","",VLOOKUP($B151,Reinforcements[],COLUMN(Reinforcements[[#Headers],['# of End Connection Bolts          (Bottom)]])-1,FALSE))</f>
        <v/>
      </c>
      <c r="I152" s="460"/>
      <c r="J152" s="460" t="str">
        <f>IF($B151="","",VLOOKUP($B151,Reinforcements[],COLUMN(Reinforcements[[#Headers],[Threads Included (N) or Excluded (X) (Bottom)]])-1,FALSE))</f>
        <v/>
      </c>
      <c r="K152" s="460"/>
      <c r="L152" s="460" t="str">
        <f>IF($B151="","",VLOOKUP($B151,Reinforcements[],COLUMN(Reinforcements[[#Headers],[End Connection Bolt Spacing (in) (B)]])-1,FALSE))</f>
        <v/>
      </c>
      <c r="M152" s="460"/>
      <c r="N152" s="460" t="str">
        <f>IF($B151="","",VLOOKUP($B151,Reinforcements[],COLUMN(Reinforcements[[#Headers],[End Connection Edge Distance (in) (B)]])-1,FALSE))</f>
        <v/>
      </c>
      <c r="O152" s="460"/>
      <c r="P152" s="460" t="str">
        <f>IF($B151="","",VLOOKUP($B151,Reinforcements[],COLUMN(Reinforcements[[#Headers],[Bottom Weld Grade (ksi)]])-1,FALSE))</f>
        <v/>
      </c>
      <c r="Q152" s="460"/>
      <c r="R152" s="460" t="str">
        <f>IF($B151="","",VLOOKUP($B151,Reinforcements[],COLUMN(Reinforcements[[#Headers],[Bottom Transverse (Horizontal) Weld]])-1,FALSE))</f>
        <v/>
      </c>
      <c r="S152" s="460"/>
      <c r="T152" s="460"/>
      <c r="U152" s="460" t="str">
        <f>IF($B151="","",VLOOKUP($B151,Reinforcements[],COLUMN(Reinforcements[[#Headers],[Bottom Transverse Weld Length]])-1,FALSE))</f>
        <v/>
      </c>
      <c r="V152" s="460"/>
      <c r="W152" s="460"/>
      <c r="X152" s="460" t="str">
        <f>IF($B151="","",VLOOKUP($B151,Reinforcements[],COLUMN(Reinforcements[[#Headers],[Bottom Transverse Weld Groove Depth (in)]])-1,FALSE))</f>
        <v/>
      </c>
      <c r="Y152" s="460"/>
      <c r="Z152" s="460"/>
      <c r="AA152" s="460" t="str">
        <f>IF($B151="","",VLOOKUP($B151,Reinforcements[],COLUMN(Reinforcements[[#Headers],[Bottom Transverse Weld Groove Angle (degrees)]])-1,FALSE))</f>
        <v/>
      </c>
      <c r="AB152" s="460"/>
      <c r="AC152" s="460"/>
      <c r="AD152" s="460" t="str">
        <f>IF($B151="","",VLOOKUP($B151,Reinforcements[],COLUMN(Reinforcements[[#Headers],[Bottom Transverse Weld Fillet Size (in)]])-1,FALSE))</f>
        <v/>
      </c>
      <c r="AE152" s="460"/>
      <c r="AF152" s="460" t="str">
        <f>IF($B151="","",VLOOKUP($B151,Reinforcements[],COLUMN(Reinforcements[[#Headers],[Bottom Longitudinal Weld Length]])-1,FALSE))</f>
        <v/>
      </c>
      <c r="AG152" s="460"/>
      <c r="AH152" s="460"/>
      <c r="AI152" s="468" t="str">
        <f>IF($B151="","",VLOOKUP($B151,Reinforcements[],COLUMN(Reinforcements[[#Headers],[Bottom Longitudinal Weld Fillet Size (in)]])-1,FALSE))</f>
        <v/>
      </c>
      <c r="AJ152" s="468"/>
      <c r="AK152" s="474"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474"/>
      <c r="AM152" s="475"/>
    </row>
    <row r="153" spans="2:39" ht="12.75" hidden="1" customHeight="1" x14ac:dyDescent="0.2">
      <c r="B153" s="454" t="str">
        <f>IF('Reinforcements'!B78="","",'Reinforcements'!B78)</f>
        <v/>
      </c>
      <c r="C153" s="455"/>
      <c r="D153" s="455"/>
      <c r="E153" s="455"/>
      <c r="F153" s="458" t="str">
        <f t="shared" ref="F153" si="13">IF($B153="","","Top")</f>
        <v/>
      </c>
      <c r="G153" s="459"/>
      <c r="H153" s="459" t="str">
        <f>IF($B153="","",VLOOKUP($B153,Reinforcements[],COLUMN(Reinforcements[[#Headers],['# of End Connection Bolts          (Top)]])-1,FALSE))</f>
        <v/>
      </c>
      <c r="I153" s="459"/>
      <c r="J153" s="459" t="str">
        <f>IF($B153="","",VLOOKUP($B153,Reinforcements[],COLUMN(Reinforcements[[#Headers],[Threads Included (N) or Excluded (X) (Top)]])-1,FALSE))</f>
        <v/>
      </c>
      <c r="K153" s="459"/>
      <c r="L153" s="459" t="str">
        <f>IF($B153="","",VLOOKUP($B153,Reinforcements[],COLUMN(Reinforcements[[#Headers],[End Connection Bolt Spacing (in) (T)]])-1,FALSE))</f>
        <v/>
      </c>
      <c r="M153" s="459"/>
      <c r="N153" s="459" t="str">
        <f>IF($B153="","",VLOOKUP($B153,Reinforcements[],COLUMN(Reinforcements[[#Headers],[End Connection Edge Distance (in) (T)]])-1,FALSE))</f>
        <v/>
      </c>
      <c r="O153" s="459"/>
      <c r="P153" s="459" t="str">
        <f>IF($B153="","",VLOOKUP($B153,Reinforcements[],COLUMN(Reinforcements[[#Headers],[Top Weld Grade (ksi)]])-1,FALSE))</f>
        <v/>
      </c>
      <c r="Q153" s="459"/>
      <c r="R153" s="459" t="str">
        <f>IF($B153="","",VLOOKUP($B153,Reinforcements[],COLUMN(Reinforcements[[#Headers],[Top Transverse (Horizontal) Weld]])-1,FALSE))</f>
        <v/>
      </c>
      <c r="S153" s="459"/>
      <c r="T153" s="459"/>
      <c r="U153" s="459" t="str">
        <f>IF($B153="","",VLOOKUP($B153,Reinforcements[],COLUMN(Reinforcements[[#Headers],[Top Transverse Weld Length]])-1,FALSE))</f>
        <v/>
      </c>
      <c r="V153" s="459"/>
      <c r="W153" s="459"/>
      <c r="X153" s="459" t="str">
        <f>IF($B153="","",VLOOKUP($B153,Reinforcements[],COLUMN(Reinforcements[[#Headers],[Top Transverse Weld Groove Depth (in)]])-1,FALSE))</f>
        <v/>
      </c>
      <c r="Y153" s="459"/>
      <c r="Z153" s="459"/>
      <c r="AA153" s="459" t="str">
        <f>IF($B153="","",VLOOKUP($B153,Reinforcements[],COLUMN(Reinforcements[[#Headers],[Top Transverse Weld Groove Angle (degrees)]])-1,FALSE))</f>
        <v/>
      </c>
      <c r="AB153" s="459"/>
      <c r="AC153" s="459"/>
      <c r="AD153" s="459" t="str">
        <f>IF($B153="","",VLOOKUP($B153,Reinforcements[],COLUMN(Reinforcements[[#Headers],[Top Transverse Weld Fillet Size (in)]])-1,FALSE))</f>
        <v/>
      </c>
      <c r="AE153" s="459"/>
      <c r="AF153" s="459" t="str">
        <f>IF($B153="","",VLOOKUP($B153,Reinforcements[],COLUMN(Reinforcements[[#Headers],[Top Longitudinal Weld Length]])-1,FALSE))</f>
        <v/>
      </c>
      <c r="AG153" s="459"/>
      <c r="AH153" s="459"/>
      <c r="AI153" s="467" t="str">
        <f>IF($B153="","",VLOOKUP($B153,Reinforcements[],COLUMN(Reinforcements[[#Headers],[Top Longitudinal Weld Fillet Size (in)]])-1,FALSE))</f>
        <v/>
      </c>
      <c r="AJ153" s="467"/>
      <c r="AK153" s="472"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472"/>
      <c r="AM153" s="473"/>
    </row>
    <row r="154" spans="2:39" ht="12.75" hidden="1" customHeight="1" x14ac:dyDescent="0.2">
      <c r="B154" s="456"/>
      <c r="C154" s="457"/>
      <c r="D154" s="457"/>
      <c r="E154" s="457"/>
      <c r="F154" s="466" t="str">
        <f t="shared" ref="F154" si="14">IF($B153="","","Bottom")</f>
        <v/>
      </c>
      <c r="G154" s="460"/>
      <c r="H154" s="460" t="str">
        <f>IF($B153="","",VLOOKUP($B153,Reinforcements[],COLUMN(Reinforcements[[#Headers],['# of End Connection Bolts          (Bottom)]])-1,FALSE))</f>
        <v/>
      </c>
      <c r="I154" s="460"/>
      <c r="J154" s="460" t="str">
        <f>IF($B153="","",VLOOKUP($B153,Reinforcements[],COLUMN(Reinforcements[[#Headers],[Threads Included (N) or Excluded (X) (Bottom)]])-1,FALSE))</f>
        <v/>
      </c>
      <c r="K154" s="460"/>
      <c r="L154" s="460" t="str">
        <f>IF($B153="","",VLOOKUP($B153,Reinforcements[],COLUMN(Reinforcements[[#Headers],[End Connection Bolt Spacing (in) (B)]])-1,FALSE))</f>
        <v/>
      </c>
      <c r="M154" s="460"/>
      <c r="N154" s="460" t="str">
        <f>IF($B153="","",VLOOKUP($B153,Reinforcements[],COLUMN(Reinforcements[[#Headers],[End Connection Edge Distance (in) (B)]])-1,FALSE))</f>
        <v/>
      </c>
      <c r="O154" s="460"/>
      <c r="P154" s="460" t="str">
        <f>IF($B153="","",VLOOKUP($B153,Reinforcements[],COLUMN(Reinforcements[[#Headers],[Bottom Weld Grade (ksi)]])-1,FALSE))</f>
        <v/>
      </c>
      <c r="Q154" s="460"/>
      <c r="R154" s="460" t="str">
        <f>IF($B153="","",VLOOKUP($B153,Reinforcements[],COLUMN(Reinforcements[[#Headers],[Bottom Transverse (Horizontal) Weld]])-1,FALSE))</f>
        <v/>
      </c>
      <c r="S154" s="460"/>
      <c r="T154" s="460"/>
      <c r="U154" s="460" t="str">
        <f>IF($B153="","",VLOOKUP($B153,Reinforcements[],COLUMN(Reinforcements[[#Headers],[Bottom Transverse Weld Length]])-1,FALSE))</f>
        <v/>
      </c>
      <c r="V154" s="460"/>
      <c r="W154" s="460"/>
      <c r="X154" s="460" t="str">
        <f>IF($B153="","",VLOOKUP($B153,Reinforcements[],COLUMN(Reinforcements[[#Headers],[Bottom Transverse Weld Groove Depth (in)]])-1,FALSE))</f>
        <v/>
      </c>
      <c r="Y154" s="460"/>
      <c r="Z154" s="460"/>
      <c r="AA154" s="460" t="str">
        <f>IF($B153="","",VLOOKUP($B153,Reinforcements[],COLUMN(Reinforcements[[#Headers],[Bottom Transverse Weld Groove Angle (degrees)]])-1,FALSE))</f>
        <v/>
      </c>
      <c r="AB154" s="460"/>
      <c r="AC154" s="460"/>
      <c r="AD154" s="460" t="str">
        <f>IF($B153="","",VLOOKUP($B153,Reinforcements[],COLUMN(Reinforcements[[#Headers],[Bottom Transverse Weld Fillet Size (in)]])-1,FALSE))</f>
        <v/>
      </c>
      <c r="AE154" s="460"/>
      <c r="AF154" s="460" t="str">
        <f>IF($B153="","",VLOOKUP($B153,Reinforcements[],COLUMN(Reinforcements[[#Headers],[Bottom Longitudinal Weld Length]])-1,FALSE))</f>
        <v/>
      </c>
      <c r="AG154" s="460"/>
      <c r="AH154" s="460"/>
      <c r="AI154" s="468" t="str">
        <f>IF($B153="","",VLOOKUP($B153,Reinforcements[],COLUMN(Reinforcements[[#Headers],[Bottom Longitudinal Weld Fillet Size (in)]])-1,FALSE))</f>
        <v/>
      </c>
      <c r="AJ154" s="468"/>
      <c r="AK154" s="474"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474"/>
      <c r="AM154" s="475"/>
    </row>
    <row r="155" spans="2:39" ht="12.75" hidden="1" customHeight="1" x14ac:dyDescent="0.2">
      <c r="B155" s="454" t="str">
        <f>IF('Reinforcements'!B79="","",'Reinforcements'!B79)</f>
        <v/>
      </c>
      <c r="C155" s="455"/>
      <c r="D155" s="455"/>
      <c r="E155" s="455"/>
      <c r="F155" s="458" t="str">
        <f t="shared" ref="F155" si="15">IF($B155="","","Top")</f>
        <v/>
      </c>
      <c r="G155" s="459"/>
      <c r="H155" s="459" t="str">
        <f>IF($B155="","",VLOOKUP($B155,Reinforcements[],COLUMN(Reinforcements[[#Headers],['# of End Connection Bolts          (Top)]])-1,FALSE))</f>
        <v/>
      </c>
      <c r="I155" s="459"/>
      <c r="J155" s="459" t="str">
        <f>IF($B155="","",VLOOKUP($B155,Reinforcements[],COLUMN(Reinforcements[[#Headers],[Threads Included (N) or Excluded (X) (Top)]])-1,FALSE))</f>
        <v/>
      </c>
      <c r="K155" s="459"/>
      <c r="L155" s="459" t="str">
        <f>IF($B155="","",VLOOKUP($B155,Reinforcements[],COLUMN(Reinforcements[[#Headers],[End Connection Bolt Spacing (in) (T)]])-1,FALSE))</f>
        <v/>
      </c>
      <c r="M155" s="459"/>
      <c r="N155" s="459" t="str">
        <f>IF($B155="","",VLOOKUP($B155,Reinforcements[],COLUMN(Reinforcements[[#Headers],[End Connection Edge Distance (in) (T)]])-1,FALSE))</f>
        <v/>
      </c>
      <c r="O155" s="459"/>
      <c r="P155" s="459" t="str">
        <f>IF($B155="","",VLOOKUP($B155,Reinforcements[],COLUMN(Reinforcements[[#Headers],[Top Weld Grade (ksi)]])-1,FALSE))</f>
        <v/>
      </c>
      <c r="Q155" s="459"/>
      <c r="R155" s="459" t="str">
        <f>IF($B155="","",VLOOKUP($B155,Reinforcements[],COLUMN(Reinforcements[[#Headers],[Top Transverse (Horizontal) Weld]])-1,FALSE))</f>
        <v/>
      </c>
      <c r="S155" s="459"/>
      <c r="T155" s="459"/>
      <c r="U155" s="459" t="str">
        <f>IF($B155="","",VLOOKUP($B155,Reinforcements[],COLUMN(Reinforcements[[#Headers],[Top Transverse Weld Length]])-1,FALSE))</f>
        <v/>
      </c>
      <c r="V155" s="459"/>
      <c r="W155" s="459"/>
      <c r="X155" s="459" t="str">
        <f>IF($B155="","",VLOOKUP($B155,Reinforcements[],COLUMN(Reinforcements[[#Headers],[Top Transverse Weld Groove Depth (in)]])-1,FALSE))</f>
        <v/>
      </c>
      <c r="Y155" s="459"/>
      <c r="Z155" s="459"/>
      <c r="AA155" s="459" t="str">
        <f>IF($B155="","",VLOOKUP($B155,Reinforcements[],COLUMN(Reinforcements[[#Headers],[Top Transverse Weld Groove Angle (degrees)]])-1,FALSE))</f>
        <v/>
      </c>
      <c r="AB155" s="459"/>
      <c r="AC155" s="459"/>
      <c r="AD155" s="459" t="str">
        <f>IF($B155="","",VLOOKUP($B155,Reinforcements[],COLUMN(Reinforcements[[#Headers],[Top Transverse Weld Fillet Size (in)]])-1,FALSE))</f>
        <v/>
      </c>
      <c r="AE155" s="459"/>
      <c r="AF155" s="459" t="str">
        <f>IF($B155="","",VLOOKUP($B155,Reinforcements[],COLUMN(Reinforcements[[#Headers],[Top Longitudinal Weld Length]])-1,FALSE))</f>
        <v/>
      </c>
      <c r="AG155" s="459"/>
      <c r="AH155" s="459"/>
      <c r="AI155" s="467" t="str">
        <f>IF($B155="","",VLOOKUP($B155,Reinforcements[],COLUMN(Reinforcements[[#Headers],[Top Longitudinal Weld Fillet Size (in)]])-1,FALSE))</f>
        <v/>
      </c>
      <c r="AJ155" s="467"/>
      <c r="AK155" s="472"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472"/>
      <c r="AM155" s="473"/>
    </row>
    <row r="156" spans="2:39" ht="12.75" hidden="1" customHeight="1" x14ac:dyDescent="0.2">
      <c r="B156" s="456"/>
      <c r="C156" s="457"/>
      <c r="D156" s="457"/>
      <c r="E156" s="457"/>
      <c r="F156" s="466" t="str">
        <f t="shared" ref="F156" si="16">IF($B155="","","Bottom")</f>
        <v/>
      </c>
      <c r="G156" s="460"/>
      <c r="H156" s="460" t="str">
        <f>IF($B155="","",VLOOKUP($B155,Reinforcements[],COLUMN(Reinforcements[[#Headers],['# of End Connection Bolts          (Bottom)]])-1,FALSE))</f>
        <v/>
      </c>
      <c r="I156" s="460"/>
      <c r="J156" s="460" t="str">
        <f>IF($B155="","",VLOOKUP($B155,Reinforcements[],COLUMN(Reinforcements[[#Headers],[Threads Included (N) or Excluded (X) (Bottom)]])-1,FALSE))</f>
        <v/>
      </c>
      <c r="K156" s="460"/>
      <c r="L156" s="460" t="str">
        <f>IF($B155="","",VLOOKUP($B155,Reinforcements[],COLUMN(Reinforcements[[#Headers],[End Connection Bolt Spacing (in) (B)]])-1,FALSE))</f>
        <v/>
      </c>
      <c r="M156" s="460"/>
      <c r="N156" s="460" t="str">
        <f>IF($B155="","",VLOOKUP($B155,Reinforcements[],COLUMN(Reinforcements[[#Headers],[End Connection Edge Distance (in) (B)]])-1,FALSE))</f>
        <v/>
      </c>
      <c r="O156" s="460"/>
      <c r="P156" s="460" t="str">
        <f>IF($B155="","",VLOOKUP($B155,Reinforcements[],COLUMN(Reinforcements[[#Headers],[Bottom Weld Grade (ksi)]])-1,FALSE))</f>
        <v/>
      </c>
      <c r="Q156" s="460"/>
      <c r="R156" s="460" t="str">
        <f>IF($B155="","",VLOOKUP($B155,Reinforcements[],COLUMN(Reinforcements[[#Headers],[Bottom Transverse (Horizontal) Weld]])-1,FALSE))</f>
        <v/>
      </c>
      <c r="S156" s="460"/>
      <c r="T156" s="460"/>
      <c r="U156" s="460" t="str">
        <f>IF($B155="","",VLOOKUP($B155,Reinforcements[],COLUMN(Reinforcements[[#Headers],[Bottom Transverse Weld Length]])-1,FALSE))</f>
        <v/>
      </c>
      <c r="V156" s="460"/>
      <c r="W156" s="460"/>
      <c r="X156" s="460" t="str">
        <f>IF($B155="","",VLOOKUP($B155,Reinforcements[],COLUMN(Reinforcements[[#Headers],[Bottom Transverse Weld Groove Depth (in)]])-1,FALSE))</f>
        <v/>
      </c>
      <c r="Y156" s="460"/>
      <c r="Z156" s="460"/>
      <c r="AA156" s="460" t="str">
        <f>IF($B155="","",VLOOKUP($B155,Reinforcements[],COLUMN(Reinforcements[[#Headers],[Bottom Transverse Weld Groove Angle (degrees)]])-1,FALSE))</f>
        <v/>
      </c>
      <c r="AB156" s="460"/>
      <c r="AC156" s="460"/>
      <c r="AD156" s="460" t="str">
        <f>IF($B155="","",VLOOKUP($B155,Reinforcements[],COLUMN(Reinforcements[[#Headers],[Bottom Transverse Weld Fillet Size (in)]])-1,FALSE))</f>
        <v/>
      </c>
      <c r="AE156" s="460"/>
      <c r="AF156" s="460" t="str">
        <f>IF($B155="","",VLOOKUP($B155,Reinforcements[],COLUMN(Reinforcements[[#Headers],[Bottom Longitudinal Weld Length]])-1,FALSE))</f>
        <v/>
      </c>
      <c r="AG156" s="460"/>
      <c r="AH156" s="460"/>
      <c r="AI156" s="468" t="str">
        <f>IF($B155="","",VLOOKUP($B155,Reinforcements[],COLUMN(Reinforcements[[#Headers],[Bottom Longitudinal Weld Fillet Size (in)]])-1,FALSE))</f>
        <v/>
      </c>
      <c r="AJ156" s="468"/>
      <c r="AK156" s="474"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474"/>
      <c r="AM156" s="475"/>
    </row>
    <row r="157" spans="2:39" ht="12.75" hidden="1" customHeight="1" x14ac:dyDescent="0.2">
      <c r="B157" s="454" t="str">
        <f>IF('Reinforcements'!B80="","",'Reinforcements'!B80)</f>
        <v/>
      </c>
      <c r="C157" s="455"/>
      <c r="D157" s="455"/>
      <c r="E157" s="455"/>
      <c r="F157" s="458" t="str">
        <f t="shared" ref="F157" si="17">IF($B157="","","Top")</f>
        <v/>
      </c>
      <c r="G157" s="459"/>
      <c r="H157" s="459" t="str">
        <f>IF($B157="","",VLOOKUP($B157,Reinforcements[],COLUMN(Reinforcements[[#Headers],['# of End Connection Bolts          (Top)]])-1,FALSE))</f>
        <v/>
      </c>
      <c r="I157" s="459"/>
      <c r="J157" s="459" t="str">
        <f>IF($B157="","",VLOOKUP($B157,Reinforcements[],COLUMN(Reinforcements[[#Headers],[Threads Included (N) or Excluded (X) (Top)]])-1,FALSE))</f>
        <v/>
      </c>
      <c r="K157" s="459"/>
      <c r="L157" s="459" t="str">
        <f>IF($B157="","",VLOOKUP($B157,Reinforcements[],COLUMN(Reinforcements[[#Headers],[End Connection Bolt Spacing (in) (T)]])-1,FALSE))</f>
        <v/>
      </c>
      <c r="M157" s="459"/>
      <c r="N157" s="459" t="str">
        <f>IF($B157="","",VLOOKUP($B157,Reinforcements[],COLUMN(Reinforcements[[#Headers],[End Connection Edge Distance (in) (T)]])-1,FALSE))</f>
        <v/>
      </c>
      <c r="O157" s="459"/>
      <c r="P157" s="459" t="str">
        <f>IF($B157="","",VLOOKUP($B157,Reinforcements[],COLUMN(Reinforcements[[#Headers],[Top Weld Grade (ksi)]])-1,FALSE))</f>
        <v/>
      </c>
      <c r="Q157" s="459"/>
      <c r="R157" s="459" t="str">
        <f>IF($B157="","",VLOOKUP($B157,Reinforcements[],COLUMN(Reinforcements[[#Headers],[Top Transverse (Horizontal) Weld]])-1,FALSE))</f>
        <v/>
      </c>
      <c r="S157" s="459"/>
      <c r="T157" s="459"/>
      <c r="U157" s="459" t="str">
        <f>IF($B157="","",VLOOKUP($B157,Reinforcements[],COLUMN(Reinforcements[[#Headers],[Top Transverse Weld Length]])-1,FALSE))</f>
        <v/>
      </c>
      <c r="V157" s="459"/>
      <c r="W157" s="459"/>
      <c r="X157" s="459" t="str">
        <f>IF($B157="","",VLOOKUP($B157,Reinforcements[],COLUMN(Reinforcements[[#Headers],[Top Transverse Weld Groove Depth (in)]])-1,FALSE))</f>
        <v/>
      </c>
      <c r="Y157" s="459"/>
      <c r="Z157" s="459"/>
      <c r="AA157" s="459" t="str">
        <f>IF($B157="","",VLOOKUP($B157,Reinforcements[],COLUMN(Reinforcements[[#Headers],[Top Transverse Weld Groove Angle (degrees)]])-1,FALSE))</f>
        <v/>
      </c>
      <c r="AB157" s="459"/>
      <c r="AC157" s="459"/>
      <c r="AD157" s="459" t="str">
        <f>IF($B157="","",VLOOKUP($B157,Reinforcements[],COLUMN(Reinforcements[[#Headers],[Top Transverse Weld Fillet Size (in)]])-1,FALSE))</f>
        <v/>
      </c>
      <c r="AE157" s="459"/>
      <c r="AF157" s="459" t="str">
        <f>IF($B157="","",VLOOKUP($B157,Reinforcements[],COLUMN(Reinforcements[[#Headers],[Top Longitudinal Weld Length]])-1,FALSE))</f>
        <v/>
      </c>
      <c r="AG157" s="459"/>
      <c r="AH157" s="459"/>
      <c r="AI157" s="467" t="str">
        <f>IF($B157="","",VLOOKUP($B157,Reinforcements[],COLUMN(Reinforcements[[#Headers],[Top Longitudinal Weld Fillet Size (in)]])-1,FALSE))</f>
        <v/>
      </c>
      <c r="AJ157" s="467"/>
      <c r="AK157" s="472"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472"/>
      <c r="AM157" s="473"/>
    </row>
    <row r="158" spans="2:39" ht="12.75" hidden="1" customHeight="1" x14ac:dyDescent="0.2">
      <c r="B158" s="456"/>
      <c r="C158" s="457"/>
      <c r="D158" s="457"/>
      <c r="E158" s="457"/>
      <c r="F158" s="466" t="str">
        <f t="shared" ref="F158" si="18">IF($B157="","","Bottom")</f>
        <v/>
      </c>
      <c r="G158" s="460"/>
      <c r="H158" s="460" t="str">
        <f>IF($B157="","",VLOOKUP($B157,Reinforcements[],COLUMN(Reinforcements[[#Headers],['# of End Connection Bolts          (Bottom)]])-1,FALSE))</f>
        <v/>
      </c>
      <c r="I158" s="460"/>
      <c r="J158" s="460" t="str">
        <f>IF($B157="","",VLOOKUP($B157,Reinforcements[],COLUMN(Reinforcements[[#Headers],[Threads Included (N) or Excluded (X) (Bottom)]])-1,FALSE))</f>
        <v/>
      </c>
      <c r="K158" s="460"/>
      <c r="L158" s="460" t="str">
        <f>IF($B157="","",VLOOKUP($B157,Reinforcements[],COLUMN(Reinforcements[[#Headers],[End Connection Bolt Spacing (in) (B)]])-1,FALSE))</f>
        <v/>
      </c>
      <c r="M158" s="460"/>
      <c r="N158" s="460" t="str">
        <f>IF($B157="","",VLOOKUP($B157,Reinforcements[],COLUMN(Reinforcements[[#Headers],[End Connection Edge Distance (in) (B)]])-1,FALSE))</f>
        <v/>
      </c>
      <c r="O158" s="460"/>
      <c r="P158" s="460" t="str">
        <f>IF($B157="","",VLOOKUP($B157,Reinforcements[],COLUMN(Reinforcements[[#Headers],[Bottom Weld Grade (ksi)]])-1,FALSE))</f>
        <v/>
      </c>
      <c r="Q158" s="460"/>
      <c r="R158" s="460" t="str">
        <f>IF($B157="","",VLOOKUP($B157,Reinforcements[],COLUMN(Reinforcements[[#Headers],[Bottom Transverse (Horizontal) Weld]])-1,FALSE))</f>
        <v/>
      </c>
      <c r="S158" s="460"/>
      <c r="T158" s="460"/>
      <c r="U158" s="460" t="str">
        <f>IF($B157="","",VLOOKUP($B157,Reinforcements[],COLUMN(Reinforcements[[#Headers],[Bottom Transverse Weld Length]])-1,FALSE))</f>
        <v/>
      </c>
      <c r="V158" s="460"/>
      <c r="W158" s="460"/>
      <c r="X158" s="460" t="str">
        <f>IF($B157="","",VLOOKUP($B157,Reinforcements[],COLUMN(Reinforcements[[#Headers],[Bottom Transverse Weld Groove Depth (in)]])-1,FALSE))</f>
        <v/>
      </c>
      <c r="Y158" s="460"/>
      <c r="Z158" s="460"/>
      <c r="AA158" s="460" t="str">
        <f>IF($B157="","",VLOOKUP($B157,Reinforcements[],COLUMN(Reinforcements[[#Headers],[Bottom Transverse Weld Groove Angle (degrees)]])-1,FALSE))</f>
        <v/>
      </c>
      <c r="AB158" s="460"/>
      <c r="AC158" s="460"/>
      <c r="AD158" s="460" t="str">
        <f>IF($B157="","",VLOOKUP($B157,Reinforcements[],COLUMN(Reinforcements[[#Headers],[Bottom Transverse Weld Fillet Size (in)]])-1,FALSE))</f>
        <v/>
      </c>
      <c r="AE158" s="460"/>
      <c r="AF158" s="460" t="str">
        <f>IF($B157="","",VLOOKUP($B157,Reinforcements[],COLUMN(Reinforcements[[#Headers],[Bottom Longitudinal Weld Length]])-1,FALSE))</f>
        <v/>
      </c>
      <c r="AG158" s="460"/>
      <c r="AH158" s="460"/>
      <c r="AI158" s="468" t="str">
        <f>IF($B157="","",VLOOKUP($B157,Reinforcements[],COLUMN(Reinforcements[[#Headers],[Bottom Longitudinal Weld Fillet Size (in)]])-1,FALSE))</f>
        <v/>
      </c>
      <c r="AJ158" s="468"/>
      <c r="AK158" s="474"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474"/>
      <c r="AM158" s="475"/>
    </row>
    <row r="159" spans="2:39" ht="12.75" hidden="1" customHeight="1" x14ac:dyDescent="0.2">
      <c r="B159" s="454" t="str">
        <f>IF('Reinforcements'!B81="","",'Reinforcements'!B81)</f>
        <v/>
      </c>
      <c r="C159" s="455"/>
      <c r="D159" s="455"/>
      <c r="E159" s="455"/>
      <c r="F159" s="458" t="str">
        <f t="shared" ref="F159" si="19">IF($B159="","","Top")</f>
        <v/>
      </c>
      <c r="G159" s="459"/>
      <c r="H159" s="459" t="str">
        <f>IF($B159="","",VLOOKUP($B159,Reinforcements[],COLUMN(Reinforcements[[#Headers],['# of End Connection Bolts          (Top)]])-1,FALSE))</f>
        <v/>
      </c>
      <c r="I159" s="459"/>
      <c r="J159" s="459" t="str">
        <f>IF($B159="","",VLOOKUP($B159,Reinforcements[],COLUMN(Reinforcements[[#Headers],[Threads Included (N) or Excluded (X) (Top)]])-1,FALSE))</f>
        <v/>
      </c>
      <c r="K159" s="459"/>
      <c r="L159" s="459" t="str">
        <f>IF($B159="","",VLOOKUP($B159,Reinforcements[],COLUMN(Reinforcements[[#Headers],[End Connection Bolt Spacing (in) (T)]])-1,FALSE))</f>
        <v/>
      </c>
      <c r="M159" s="459"/>
      <c r="N159" s="459" t="str">
        <f>IF($B159="","",VLOOKUP($B159,Reinforcements[],COLUMN(Reinforcements[[#Headers],[End Connection Edge Distance (in) (T)]])-1,FALSE))</f>
        <v/>
      </c>
      <c r="O159" s="459"/>
      <c r="P159" s="459" t="str">
        <f>IF($B159="","",VLOOKUP($B159,Reinforcements[],COLUMN(Reinforcements[[#Headers],[Top Weld Grade (ksi)]])-1,FALSE))</f>
        <v/>
      </c>
      <c r="Q159" s="459"/>
      <c r="R159" s="459" t="str">
        <f>IF($B159="","",VLOOKUP($B159,Reinforcements[],COLUMN(Reinforcements[[#Headers],[Top Transverse (Horizontal) Weld]])-1,FALSE))</f>
        <v/>
      </c>
      <c r="S159" s="459"/>
      <c r="T159" s="459"/>
      <c r="U159" s="459" t="str">
        <f>IF($B159="","",VLOOKUP($B159,Reinforcements[],COLUMN(Reinforcements[[#Headers],[Top Transverse Weld Length]])-1,FALSE))</f>
        <v/>
      </c>
      <c r="V159" s="459"/>
      <c r="W159" s="459"/>
      <c r="X159" s="459" t="str">
        <f>IF($B159="","",VLOOKUP($B159,Reinforcements[],COLUMN(Reinforcements[[#Headers],[Top Transverse Weld Groove Depth (in)]])-1,FALSE))</f>
        <v/>
      </c>
      <c r="Y159" s="459"/>
      <c r="Z159" s="459"/>
      <c r="AA159" s="459" t="str">
        <f>IF($B159="","",VLOOKUP($B159,Reinforcements[],COLUMN(Reinforcements[[#Headers],[Top Transverse Weld Groove Angle (degrees)]])-1,FALSE))</f>
        <v/>
      </c>
      <c r="AB159" s="459"/>
      <c r="AC159" s="459"/>
      <c r="AD159" s="459" t="str">
        <f>IF($B159="","",VLOOKUP($B159,Reinforcements[],COLUMN(Reinforcements[[#Headers],[Top Transverse Weld Fillet Size (in)]])-1,FALSE))</f>
        <v/>
      </c>
      <c r="AE159" s="459"/>
      <c r="AF159" s="459" t="str">
        <f>IF($B159="","",VLOOKUP($B159,Reinforcements[],COLUMN(Reinforcements[[#Headers],[Top Longitudinal Weld Length]])-1,FALSE))</f>
        <v/>
      </c>
      <c r="AG159" s="459"/>
      <c r="AH159" s="459"/>
      <c r="AI159" s="467" t="str">
        <f>IF($B159="","",VLOOKUP($B159,Reinforcements[],COLUMN(Reinforcements[[#Headers],[Top Longitudinal Weld Fillet Size (in)]])-1,FALSE))</f>
        <v/>
      </c>
      <c r="AJ159" s="467"/>
      <c r="AK159" s="472"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472"/>
      <c r="AM159" s="473"/>
    </row>
    <row r="160" spans="2:39" ht="12.75" hidden="1" customHeight="1" x14ac:dyDescent="0.2">
      <c r="B160" s="456"/>
      <c r="C160" s="457"/>
      <c r="D160" s="457"/>
      <c r="E160" s="457"/>
      <c r="F160" s="466" t="str">
        <f t="shared" ref="F160" si="20">IF($B159="","","Bottom")</f>
        <v/>
      </c>
      <c r="G160" s="460"/>
      <c r="H160" s="460" t="str">
        <f>IF($B159="","",VLOOKUP($B159,Reinforcements[],COLUMN(Reinforcements[[#Headers],['# of End Connection Bolts          (Bottom)]])-1,FALSE))</f>
        <v/>
      </c>
      <c r="I160" s="460"/>
      <c r="J160" s="460" t="str">
        <f>IF($B159="","",VLOOKUP($B159,Reinforcements[],COLUMN(Reinforcements[[#Headers],[Threads Included (N) or Excluded (X) (Bottom)]])-1,FALSE))</f>
        <v/>
      </c>
      <c r="K160" s="460"/>
      <c r="L160" s="460" t="str">
        <f>IF($B159="","",VLOOKUP($B159,Reinforcements[],COLUMN(Reinforcements[[#Headers],[End Connection Bolt Spacing (in) (B)]])-1,FALSE))</f>
        <v/>
      </c>
      <c r="M160" s="460"/>
      <c r="N160" s="460" t="str">
        <f>IF($B159="","",VLOOKUP($B159,Reinforcements[],COLUMN(Reinforcements[[#Headers],[End Connection Edge Distance (in) (B)]])-1,FALSE))</f>
        <v/>
      </c>
      <c r="O160" s="460"/>
      <c r="P160" s="460" t="str">
        <f>IF($B159="","",VLOOKUP($B159,Reinforcements[],COLUMN(Reinforcements[[#Headers],[Bottom Weld Grade (ksi)]])-1,FALSE))</f>
        <v/>
      </c>
      <c r="Q160" s="460"/>
      <c r="R160" s="460" t="str">
        <f>IF($B159="","",VLOOKUP($B159,Reinforcements[],COLUMN(Reinforcements[[#Headers],[Bottom Transverse (Horizontal) Weld]])-1,FALSE))</f>
        <v/>
      </c>
      <c r="S160" s="460"/>
      <c r="T160" s="460"/>
      <c r="U160" s="460" t="str">
        <f>IF($B159="","",VLOOKUP($B159,Reinforcements[],COLUMN(Reinforcements[[#Headers],[Bottom Transverse Weld Length]])-1,FALSE))</f>
        <v/>
      </c>
      <c r="V160" s="460"/>
      <c r="W160" s="460"/>
      <c r="X160" s="460" t="str">
        <f>IF($B159="","",VLOOKUP($B159,Reinforcements[],COLUMN(Reinforcements[[#Headers],[Bottom Transverse Weld Groove Depth (in)]])-1,FALSE))</f>
        <v/>
      </c>
      <c r="Y160" s="460"/>
      <c r="Z160" s="460"/>
      <c r="AA160" s="460" t="str">
        <f>IF($B159="","",VLOOKUP($B159,Reinforcements[],COLUMN(Reinforcements[[#Headers],[Bottom Transverse Weld Groove Angle (degrees)]])-1,FALSE))</f>
        <v/>
      </c>
      <c r="AB160" s="460"/>
      <c r="AC160" s="460"/>
      <c r="AD160" s="460" t="str">
        <f>IF($B159="","",VLOOKUP($B159,Reinforcements[],COLUMN(Reinforcements[[#Headers],[Bottom Transverse Weld Fillet Size (in)]])-1,FALSE))</f>
        <v/>
      </c>
      <c r="AE160" s="460"/>
      <c r="AF160" s="460" t="str">
        <f>IF($B159="","",VLOOKUP($B159,Reinforcements[],COLUMN(Reinforcements[[#Headers],[Bottom Longitudinal Weld Length]])-1,FALSE))</f>
        <v/>
      </c>
      <c r="AG160" s="460"/>
      <c r="AH160" s="460"/>
      <c r="AI160" s="468" t="str">
        <f>IF($B159="","",VLOOKUP($B159,Reinforcements[],COLUMN(Reinforcements[[#Headers],[Bottom Longitudinal Weld Fillet Size (in)]])-1,FALSE))</f>
        <v/>
      </c>
      <c r="AJ160" s="468"/>
      <c r="AK160" s="474"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474"/>
      <c r="AM160" s="475"/>
    </row>
    <row r="161" spans="1:39" ht="12.75" hidden="1" customHeight="1" x14ac:dyDescent="0.2">
      <c r="B161" s="454" t="str">
        <f>IF('Reinforcements'!B82="","",'Reinforcements'!B82)</f>
        <v/>
      </c>
      <c r="C161" s="455"/>
      <c r="D161" s="455"/>
      <c r="E161" s="455"/>
      <c r="F161" s="458" t="str">
        <f t="shared" ref="F161:F163" si="21">IF($B161="","","Top")</f>
        <v/>
      </c>
      <c r="G161" s="459"/>
      <c r="H161" s="459" t="str">
        <f>IF($B161="","",VLOOKUP($B161,Reinforcements[],COLUMN(Reinforcements[[#Headers],['# of End Connection Bolts          (Top)]])-1,FALSE))</f>
        <v/>
      </c>
      <c r="I161" s="459"/>
      <c r="J161" s="459" t="str">
        <f>IF($B161="","",VLOOKUP($B161,Reinforcements[],COLUMN(Reinforcements[[#Headers],[Threads Included (N) or Excluded (X) (Top)]])-1,FALSE))</f>
        <v/>
      </c>
      <c r="K161" s="459"/>
      <c r="L161" s="459" t="str">
        <f>IF($B161="","",VLOOKUP($B161,Reinforcements[],COLUMN(Reinforcements[[#Headers],[End Connection Bolt Spacing (in) (T)]])-1,FALSE))</f>
        <v/>
      </c>
      <c r="M161" s="459"/>
      <c r="N161" s="459" t="str">
        <f>IF($B161="","",VLOOKUP($B161,Reinforcements[],COLUMN(Reinforcements[[#Headers],[End Connection Edge Distance (in) (T)]])-1,FALSE))</f>
        <v/>
      </c>
      <c r="O161" s="459"/>
      <c r="P161" s="459" t="str">
        <f>IF($B161="","",VLOOKUP($B161,Reinforcements[],COLUMN(Reinforcements[[#Headers],[Top Weld Grade (ksi)]])-1,FALSE))</f>
        <v/>
      </c>
      <c r="Q161" s="459"/>
      <c r="R161" s="459" t="str">
        <f>IF($B161="","",VLOOKUP($B161,Reinforcements[],COLUMN(Reinforcements[[#Headers],[Top Transverse (Horizontal) Weld]])-1,FALSE))</f>
        <v/>
      </c>
      <c r="S161" s="459"/>
      <c r="T161" s="459"/>
      <c r="U161" s="459" t="str">
        <f>IF($B161="","",VLOOKUP($B161,Reinforcements[],COLUMN(Reinforcements[[#Headers],[Top Transverse Weld Length]])-1,FALSE))</f>
        <v/>
      </c>
      <c r="V161" s="459"/>
      <c r="W161" s="459"/>
      <c r="X161" s="459" t="str">
        <f>IF($B161="","",VLOOKUP($B161,Reinforcements[],COLUMN(Reinforcements[[#Headers],[Top Transverse Weld Groove Depth (in)]])-1,FALSE))</f>
        <v/>
      </c>
      <c r="Y161" s="459"/>
      <c r="Z161" s="459"/>
      <c r="AA161" s="459" t="str">
        <f>IF($B161="","",VLOOKUP($B161,Reinforcements[],COLUMN(Reinforcements[[#Headers],[Top Transverse Weld Groove Angle (degrees)]])-1,FALSE))</f>
        <v/>
      </c>
      <c r="AB161" s="459"/>
      <c r="AC161" s="459"/>
      <c r="AD161" s="459" t="str">
        <f>IF($B161="","",VLOOKUP($B161,Reinforcements[],COLUMN(Reinforcements[[#Headers],[Top Transverse Weld Fillet Size (in)]])-1,FALSE))</f>
        <v/>
      </c>
      <c r="AE161" s="459"/>
      <c r="AF161" s="459" t="str">
        <f>IF($B161="","",VLOOKUP($B161,Reinforcements[],COLUMN(Reinforcements[[#Headers],[Top Longitudinal Weld Length]])-1,FALSE))</f>
        <v/>
      </c>
      <c r="AG161" s="459"/>
      <c r="AH161" s="459"/>
      <c r="AI161" s="467" t="str">
        <f>IF($B161="","",VLOOKUP($B161,Reinforcements[],COLUMN(Reinforcements[[#Headers],[Top Longitudinal Weld Fillet Size (in)]])-1,FALSE))</f>
        <v/>
      </c>
      <c r="AJ161" s="467"/>
      <c r="AK161" s="472"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472"/>
      <c r="AM161" s="473"/>
    </row>
    <row r="162" spans="1:39" ht="12.75" hidden="1" customHeight="1" x14ac:dyDescent="0.2">
      <c r="B162" s="456"/>
      <c r="C162" s="457"/>
      <c r="D162" s="457"/>
      <c r="E162" s="457"/>
      <c r="F162" s="466" t="str">
        <f t="shared" ref="F162" si="22">IF($B161="","","Bottom")</f>
        <v/>
      </c>
      <c r="G162" s="460"/>
      <c r="H162" s="460" t="str">
        <f>IF($B161="","",VLOOKUP($B161,Reinforcements[],COLUMN(Reinforcements[[#Headers],['# of End Connection Bolts          (Bottom)]])-1,FALSE))</f>
        <v/>
      </c>
      <c r="I162" s="460"/>
      <c r="J162" s="460" t="str">
        <f>IF($B161="","",VLOOKUP($B161,Reinforcements[],COLUMN(Reinforcements[[#Headers],[Threads Included (N) or Excluded (X) (Bottom)]])-1,FALSE))</f>
        <v/>
      </c>
      <c r="K162" s="460"/>
      <c r="L162" s="460" t="str">
        <f>IF($B161="","",VLOOKUP($B161,Reinforcements[],COLUMN(Reinforcements[[#Headers],[End Connection Bolt Spacing (in) (B)]])-1,FALSE))</f>
        <v/>
      </c>
      <c r="M162" s="460"/>
      <c r="N162" s="460" t="str">
        <f>IF($B161="","",VLOOKUP($B161,Reinforcements[],COLUMN(Reinforcements[[#Headers],[End Connection Edge Distance (in) (B)]])-1,FALSE))</f>
        <v/>
      </c>
      <c r="O162" s="460"/>
      <c r="P162" s="460" t="str">
        <f>IF($B161="","",VLOOKUP($B161,Reinforcements[],COLUMN(Reinforcements[[#Headers],[Bottom Weld Grade (ksi)]])-1,FALSE))</f>
        <v/>
      </c>
      <c r="Q162" s="460"/>
      <c r="R162" s="460" t="str">
        <f>IF($B161="","",VLOOKUP($B161,Reinforcements[],COLUMN(Reinforcements[[#Headers],[Bottom Transverse (Horizontal) Weld]])-1,FALSE))</f>
        <v/>
      </c>
      <c r="S162" s="460"/>
      <c r="T162" s="460"/>
      <c r="U162" s="460" t="str">
        <f>IF($B161="","",VLOOKUP($B161,Reinforcements[],COLUMN(Reinforcements[[#Headers],[Bottom Transverse Weld Length]])-1,FALSE))</f>
        <v/>
      </c>
      <c r="V162" s="460"/>
      <c r="W162" s="460"/>
      <c r="X162" s="460" t="str">
        <f>IF($B161="","",VLOOKUP($B161,Reinforcements[],COLUMN(Reinforcements[[#Headers],[Bottom Transverse Weld Groove Depth (in)]])-1,FALSE))</f>
        <v/>
      </c>
      <c r="Y162" s="460"/>
      <c r="Z162" s="460"/>
      <c r="AA162" s="460" t="str">
        <f>IF($B161="","",VLOOKUP($B161,Reinforcements[],COLUMN(Reinforcements[[#Headers],[Bottom Transverse Weld Groove Angle (degrees)]])-1,FALSE))</f>
        <v/>
      </c>
      <c r="AB162" s="460"/>
      <c r="AC162" s="460"/>
      <c r="AD162" s="460" t="str">
        <f>IF($B161="","",VLOOKUP($B161,Reinforcements[],COLUMN(Reinforcements[[#Headers],[Bottom Transverse Weld Fillet Size (in)]])-1,FALSE))</f>
        <v/>
      </c>
      <c r="AE162" s="460"/>
      <c r="AF162" s="460" t="str">
        <f>IF($B161="","",VLOOKUP($B161,Reinforcements[],COLUMN(Reinforcements[[#Headers],[Bottom Longitudinal Weld Length]])-1,FALSE))</f>
        <v/>
      </c>
      <c r="AG162" s="460"/>
      <c r="AH162" s="460"/>
      <c r="AI162" s="468" t="str">
        <f>IF($B161="","",VLOOKUP($B161,Reinforcements[],COLUMN(Reinforcements[[#Headers],[Bottom Longitudinal Weld Fillet Size (in)]])-1,FALSE))</f>
        <v/>
      </c>
      <c r="AJ162" s="468"/>
      <c r="AK162" s="474"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474"/>
      <c r="AM162" s="475"/>
    </row>
    <row r="163" spans="1:39" ht="12.75" hidden="1" customHeight="1" x14ac:dyDescent="0.2">
      <c r="B163" s="454" t="str">
        <f>IF('Reinforcements'!B83="","",'Reinforcements'!B83)</f>
        <v/>
      </c>
      <c r="C163" s="455"/>
      <c r="D163" s="455"/>
      <c r="E163" s="455"/>
      <c r="F163" s="458" t="str">
        <f t="shared" si="21"/>
        <v/>
      </c>
      <c r="G163" s="459"/>
      <c r="H163" s="459" t="str">
        <f>IF($B163="","",VLOOKUP($B163,Reinforcements[],COLUMN(Reinforcements[[#Headers],['# of End Connection Bolts          (Top)]])-1,FALSE))</f>
        <v/>
      </c>
      <c r="I163" s="459"/>
      <c r="J163" s="459" t="str">
        <f>IF($B163="","",VLOOKUP($B163,Reinforcements[],COLUMN(Reinforcements[[#Headers],[Threads Included (N) or Excluded (X) (Top)]])-1,FALSE))</f>
        <v/>
      </c>
      <c r="K163" s="459"/>
      <c r="L163" s="459" t="str">
        <f>IF($B163="","",VLOOKUP($B163,Reinforcements[],COLUMN(Reinforcements[[#Headers],[End Connection Bolt Spacing (in) (T)]])-1,FALSE))</f>
        <v/>
      </c>
      <c r="M163" s="459"/>
      <c r="N163" s="459" t="str">
        <f>IF($B163="","",VLOOKUP($B163,Reinforcements[],COLUMN(Reinforcements[[#Headers],[End Connection Edge Distance (in) (T)]])-1,FALSE))</f>
        <v/>
      </c>
      <c r="O163" s="459"/>
      <c r="P163" s="459" t="str">
        <f>IF($B163="","",VLOOKUP($B163,Reinforcements[],COLUMN(Reinforcements[[#Headers],[Top Weld Grade (ksi)]])-1,FALSE))</f>
        <v/>
      </c>
      <c r="Q163" s="459"/>
      <c r="R163" s="459" t="str">
        <f>IF($B163="","",VLOOKUP($B163,Reinforcements[],COLUMN(Reinforcements[[#Headers],[Top Transverse (Horizontal) Weld]])-1,FALSE))</f>
        <v/>
      </c>
      <c r="S163" s="459"/>
      <c r="T163" s="459"/>
      <c r="U163" s="459" t="str">
        <f>IF($B163="","",VLOOKUP($B163,Reinforcements[],COLUMN(Reinforcements[[#Headers],[Top Transverse Weld Length]])-1,FALSE))</f>
        <v/>
      </c>
      <c r="V163" s="459"/>
      <c r="W163" s="459"/>
      <c r="X163" s="459" t="str">
        <f>IF($B163="","",VLOOKUP($B163,Reinforcements[],COLUMN(Reinforcements[[#Headers],[Top Transverse Weld Groove Depth (in)]])-1,FALSE))</f>
        <v/>
      </c>
      <c r="Y163" s="459"/>
      <c r="Z163" s="459"/>
      <c r="AA163" s="459" t="str">
        <f>IF($B163="","",VLOOKUP($B163,Reinforcements[],COLUMN(Reinforcements[[#Headers],[Top Transverse Weld Groove Angle (degrees)]])-1,FALSE))</f>
        <v/>
      </c>
      <c r="AB163" s="459"/>
      <c r="AC163" s="459"/>
      <c r="AD163" s="459" t="str">
        <f>IF($B163="","",VLOOKUP($B163,Reinforcements[],COLUMN(Reinforcements[[#Headers],[Top Transverse Weld Fillet Size (in)]])-1,FALSE))</f>
        <v/>
      </c>
      <c r="AE163" s="459"/>
      <c r="AF163" s="459" t="str">
        <f>IF($B163="","",VLOOKUP($B163,Reinforcements[],COLUMN(Reinforcements[[#Headers],[Top Longitudinal Weld Length]])-1,FALSE))</f>
        <v/>
      </c>
      <c r="AG163" s="459"/>
      <c r="AH163" s="459"/>
      <c r="AI163" s="467" t="str">
        <f>IF($B163="","",VLOOKUP($B163,Reinforcements[],COLUMN(Reinforcements[[#Headers],[Top Longitudinal Weld Fillet Size (in)]])-1,FALSE))</f>
        <v/>
      </c>
      <c r="AJ163" s="467"/>
      <c r="AK163" s="472"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472"/>
      <c r="AM163" s="473"/>
    </row>
    <row r="164" spans="1:39" ht="12.75" hidden="1" customHeight="1" x14ac:dyDescent="0.2">
      <c r="A164" s="47">
        <f>COUNTIF(B119:B164,"")-23</f>
        <v>14</v>
      </c>
      <c r="B164" s="456"/>
      <c r="C164" s="457"/>
      <c r="D164" s="457"/>
      <c r="E164" s="457"/>
      <c r="F164" s="466" t="str">
        <f t="shared" ref="F164" si="23">IF($B163="","","Bottom")</f>
        <v/>
      </c>
      <c r="G164" s="460"/>
      <c r="H164" s="460" t="str">
        <f>IF($B163="","",VLOOKUP($B163,Reinforcements[],COLUMN(Reinforcements[[#Headers],['# of End Connection Bolts          (Bottom)]])-1,FALSE))</f>
        <v/>
      </c>
      <c r="I164" s="460"/>
      <c r="J164" s="460" t="str">
        <f>IF($B163="","",VLOOKUP($B163,Reinforcements[],COLUMN(Reinforcements[[#Headers],[Threads Included (N) or Excluded (X) (Bottom)]])-1,FALSE))</f>
        <v/>
      </c>
      <c r="K164" s="460"/>
      <c r="L164" s="460" t="str">
        <f>IF($B163="","",VLOOKUP($B163,Reinforcements[],COLUMN(Reinforcements[[#Headers],[End Connection Bolt Spacing (in) (B)]])-1,FALSE))</f>
        <v/>
      </c>
      <c r="M164" s="460"/>
      <c r="N164" s="460" t="str">
        <f>IF($B163="","",VLOOKUP($B163,Reinforcements[],COLUMN(Reinforcements[[#Headers],[End Connection Edge Distance (in) (B)]])-1,FALSE))</f>
        <v/>
      </c>
      <c r="O164" s="460"/>
      <c r="P164" s="460" t="str">
        <f>IF($B163="","",VLOOKUP($B163,Reinforcements[],COLUMN(Reinforcements[[#Headers],[Bottom Weld Grade (ksi)]])-1,FALSE))</f>
        <v/>
      </c>
      <c r="Q164" s="460"/>
      <c r="R164" s="460" t="str">
        <f>IF($B163="","",VLOOKUP($B163,Reinforcements[],COLUMN(Reinforcements[[#Headers],[Bottom Transverse (Horizontal) Weld]])-1,FALSE))</f>
        <v/>
      </c>
      <c r="S164" s="460"/>
      <c r="T164" s="460"/>
      <c r="U164" s="460" t="str">
        <f>IF($B163="","",VLOOKUP($B163,Reinforcements[],COLUMN(Reinforcements[[#Headers],[Bottom Transverse Weld Length]])-1,FALSE))</f>
        <v/>
      </c>
      <c r="V164" s="460"/>
      <c r="W164" s="460"/>
      <c r="X164" s="460" t="str">
        <f>IF($B163="","",VLOOKUP($B163,Reinforcements[],COLUMN(Reinforcements[[#Headers],[Bottom Transverse Weld Groove Depth (in)]])-1,FALSE))</f>
        <v/>
      </c>
      <c r="Y164" s="460"/>
      <c r="Z164" s="460"/>
      <c r="AA164" s="460" t="str">
        <f>IF($B163="","",VLOOKUP($B163,Reinforcements[],COLUMN(Reinforcements[[#Headers],[Bottom Transverse Weld Groove Angle (degrees)]])-1,FALSE))</f>
        <v/>
      </c>
      <c r="AB164" s="460"/>
      <c r="AC164" s="460"/>
      <c r="AD164" s="460" t="str">
        <f>IF($B163="","",VLOOKUP($B163,Reinforcements[],COLUMN(Reinforcements[[#Headers],[Bottom Transverse Weld Fillet Size (in)]])-1,FALSE))</f>
        <v/>
      </c>
      <c r="AE164" s="460"/>
      <c r="AF164" s="460" t="str">
        <f>IF($B163="","",VLOOKUP($B163,Reinforcements[],COLUMN(Reinforcements[[#Headers],[Bottom Longitudinal Weld Length]])-1,FALSE))</f>
        <v/>
      </c>
      <c r="AG164" s="460"/>
      <c r="AH164" s="460"/>
      <c r="AI164" s="468" t="str">
        <f>IF($B163="","",VLOOKUP($B163,Reinforcements[],COLUMN(Reinforcements[[#Headers],[Bottom Longitudinal Weld Fillet Size (in)]])-1,FALSE))</f>
        <v/>
      </c>
      <c r="AJ164" s="468"/>
      <c r="AK164" s="474"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474"/>
      <c r="AM164" s="475"/>
    </row>
    <row r="173" spans="1:39" x14ac:dyDescent="0.2">
      <c r="T173" s="49" t="s">
        <v>2</v>
      </c>
    </row>
  </sheetData>
  <sheetProtection algorithmName="SHA-512" hashValue="nXdGTMjxrLSz+evr4iV39DJt16OSonuDsRNqYNPgfqGSGIoKaqgFTn1Cy55U0bN3nS/94TiqmvmpaLovTmC1cw==" saltValue="sWnuRDvpnHZnd7Gh0PNgvg==" spinCount="100000" sheet="1" objects="1" scenarios="1"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174" priority="74" stopIfTrue="1">
      <formula>AND(U$20="")</formula>
    </cfRule>
  </conditionalFormatting>
  <conditionalFormatting sqref="C85:C114 E85:E114 G85:G114 I85:I114 Q85:Q114 AI85:AI114 AF85:AF114 AD85:AD114 Y85:Y114 AB85:AB114 L85:L114 T85:T114 L119">
    <cfRule type="containsErrors" dxfId="173" priority="73">
      <formula>ISERROR(C85)</formula>
    </cfRule>
  </conditionalFormatting>
  <conditionalFormatting sqref="AI85:AI114">
    <cfRule type="cellIs" dxfId="172" priority="72" operator="equal">
      <formula>0</formula>
    </cfRule>
  </conditionalFormatting>
  <conditionalFormatting sqref="C115">
    <cfRule type="containsErrors" dxfId="171" priority="67">
      <formula>ISERROR(C115)</formula>
    </cfRule>
  </conditionalFormatting>
  <conditionalFormatting sqref="U52:AF81">
    <cfRule type="expression" dxfId="170" priority="45" stopIfTrue="1">
      <formula>AND(U52&lt;&gt;"")</formula>
    </cfRule>
  </conditionalFormatting>
  <conditionalFormatting sqref="U52:AF81">
    <cfRule type="expression" dxfId="169" priority="44" stopIfTrue="1">
      <formula>AND(U$20="")</formula>
    </cfRule>
  </conditionalFormatting>
  <conditionalFormatting sqref="AG52:AL81">
    <cfRule type="expression" dxfId="168" priority="43" stopIfTrue="1">
      <formula>AND(AG52&lt;&gt;"")</formula>
    </cfRule>
  </conditionalFormatting>
  <conditionalFormatting sqref="AG52:AL81">
    <cfRule type="expression" dxfId="167" priority="42" stopIfTrue="1">
      <formula>AND(AG$20="")</formula>
    </cfRule>
  </conditionalFormatting>
  <conditionalFormatting sqref="U21:AL50">
    <cfRule type="expression" dxfId="166" priority="38">
      <formula>AND(U$20="")</formula>
    </cfRule>
    <cfRule type="expression" dxfId="165" priority="39">
      <formula>AND(U21&lt;&gt;"")</formula>
    </cfRule>
  </conditionalFormatting>
  <conditionalFormatting sqref="L120">
    <cfRule type="containsErrors" dxfId="164" priority="37">
      <formula>ISERROR(L120)</formula>
    </cfRule>
  </conditionalFormatting>
  <conditionalFormatting sqref="AA119">
    <cfRule type="containsErrors" dxfId="163" priority="29">
      <formula>ISERROR(AA119)</formula>
    </cfRule>
  </conditionalFormatting>
  <conditionalFormatting sqref="AA120">
    <cfRule type="containsErrors" dxfId="162" priority="27">
      <formula>ISERROR(AA120)</formula>
    </cfRule>
  </conditionalFormatting>
  <conditionalFormatting sqref="AI119">
    <cfRule type="containsErrors" dxfId="161" priority="24">
      <formula>ISERROR(AI119)</formula>
    </cfRule>
  </conditionalFormatting>
  <conditionalFormatting sqref="AI120">
    <cfRule type="containsErrors" dxfId="160" priority="23">
      <formula>ISERROR(AI120)</formula>
    </cfRule>
  </conditionalFormatting>
  <conditionalFormatting sqref="AF119">
    <cfRule type="containsErrors" dxfId="159" priority="22">
      <formula>ISERROR(AF119)</formula>
    </cfRule>
  </conditionalFormatting>
  <conditionalFormatting sqref="AF120">
    <cfRule type="containsErrors" dxfId="158" priority="21">
      <formula>ISERROR(AF120)</formula>
    </cfRule>
  </conditionalFormatting>
  <conditionalFormatting sqref="L121 L123 L125 L127 L129 L131 L133 L135 L137 L139 L141 L143 L145 L147 L149 L151 L153 L155 L157 L159 L161 L163">
    <cfRule type="containsErrors" dxfId="157" priority="8">
      <formula>ISERROR(L121)</formula>
    </cfRule>
  </conditionalFormatting>
  <conditionalFormatting sqref="L122 L124 L126 L128 L130 L132 L134 L136 L138 L140 L142 L144 L146 L148 L150 L152 L154 L156 L158 L160 L162 L164">
    <cfRule type="containsErrors" dxfId="156" priority="7">
      <formula>ISERROR(L122)</formula>
    </cfRule>
  </conditionalFormatting>
  <conditionalFormatting sqref="AA121 AA123 AA125 AA127 AA129 AA131 AA133 AA135 AA137 AA139 AA141 AA143 AA145 AA147 AA149 AA151 AA153 AA155 AA157 AA159 AA161 AA163">
    <cfRule type="containsErrors" dxfId="155" priority="6">
      <formula>ISERROR(AA121)</formula>
    </cfRule>
  </conditionalFormatting>
  <conditionalFormatting sqref="AA122 AA124 AA126 AA128 AA130 AA132 AA134 AA136 AA138 AA140 AA142 AA144 AA146 AA148 AA150 AA152 AA154 AA156 AA158 AA160 AA162 AA164">
    <cfRule type="containsErrors" dxfId="154" priority="5">
      <formula>ISERROR(AA122)</formula>
    </cfRule>
  </conditionalFormatting>
  <conditionalFormatting sqref="AI121 AI123 AI125 AI127 AI129 AI131 AI133 AI135 AI137 AI139 AI141 AI143 AI145 AI147 AI149 AI151 AI153 AI155 AI157 AI159 AI161 AI163">
    <cfRule type="containsErrors" dxfId="153" priority="4">
      <formula>ISERROR(AI121)</formula>
    </cfRule>
  </conditionalFormatting>
  <conditionalFormatting sqref="AI122 AI124 AI126 AI128 AI130 AI132 AI134 AI136 AI138 AI140 AI142 AI144 AI146 AI148 AI150 AI152 AI154 AI156 AI158 AI160 AI162 AI164">
    <cfRule type="containsErrors" dxfId="152" priority="3">
      <formula>ISERROR(AI122)</formula>
    </cfRule>
  </conditionalFormatting>
  <conditionalFormatting sqref="AF121 AF123 AF125 AF127 AF129 AF131 AF133 AF135 AF137 AF139 AF141 AF143 AF145 AF147 AF149 AF151 AF153 AF155 AF157 AF159 AF161 AF163">
    <cfRule type="containsErrors" dxfId="151" priority="2">
      <formula>ISERROR(AF121)</formula>
    </cfRule>
  </conditionalFormatting>
  <conditionalFormatting sqref="AF122 AF124 AF126 AF128 AF130 AF132 AF134 AF136 AF138 AF140 AF142 AF144 AF146 AF148 AF150 AF152 AF154 AF156 AF158 AF160 AF162 AF164">
    <cfRule type="containsErrors" dxfId="150"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zoomScaleNormal="100" workbookViewId="0">
      <selection activeCell="G6" sqref="G6:H104"/>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16" hidden="1" customWidth="1"/>
    <col min="92" max="92" width="19.7109375" hidden="1" customWidth="1"/>
    <col min="93" max="93" width="3.85546875" hidden="1" customWidth="1"/>
    <col min="94" max="110" width="3.7109375" hidden="1" customWidth="1"/>
    <col min="111" max="111" width="12.42578125" hidden="1" customWidth="1"/>
    <col min="112"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19"/>
      <c r="M1" s="19"/>
      <c r="N1" s="19"/>
      <c r="O1" s="19"/>
      <c r="P1" s="19"/>
      <c r="Q1" s="19"/>
      <c r="R1" s="19"/>
      <c r="S1" s="19"/>
      <c r="T1" s="19"/>
      <c r="U1" s="19"/>
      <c r="V1" s="19"/>
      <c r="W1" s="19"/>
      <c r="AD1" s="18"/>
      <c r="BT1" s="49"/>
      <c r="BW1" s="34"/>
    </row>
    <row r="2" spans="2:177" ht="39" customHeight="1" x14ac:dyDescent="0.2">
      <c r="C2" s="566" t="str">
        <f>IF('Macro References'!$A$20=TRUE,'Macro References'!C22,"")</f>
        <v/>
      </c>
      <c r="D2" s="566"/>
      <c r="E2" s="566"/>
      <c r="F2" s="566"/>
      <c r="G2" s="566"/>
      <c r="H2" s="566"/>
      <c r="I2" s="566"/>
      <c r="J2" s="566"/>
      <c r="K2" s="566"/>
      <c r="L2" s="567" t="str">
        <f>IF('Macro References'!$A$20=TRUE,'Macro References'!C21,"")</f>
        <v>TNX Geometry Input</v>
      </c>
      <c r="M2" s="567"/>
      <c r="N2" s="567"/>
      <c r="O2" s="567"/>
      <c r="P2" s="567"/>
      <c r="Q2" s="567"/>
      <c r="R2" s="567"/>
      <c r="S2" s="567"/>
      <c r="T2" s="567"/>
      <c r="U2" s="567"/>
      <c r="V2" s="567"/>
      <c r="W2" s="567"/>
      <c r="X2" s="567"/>
      <c r="Y2" s="567"/>
      <c r="Z2" s="567"/>
      <c r="AA2" s="567"/>
      <c r="AB2" s="567"/>
      <c r="AC2" s="567"/>
      <c r="AD2" s="567"/>
      <c r="AE2" s="567"/>
      <c r="AF2" s="567"/>
      <c r="AG2" s="567"/>
      <c r="AH2" s="567"/>
      <c r="AI2" s="567"/>
      <c r="AJ2" s="567"/>
      <c r="AK2" s="567"/>
      <c r="AL2" s="567"/>
      <c r="AM2" s="567"/>
      <c r="AN2" s="567"/>
      <c r="AO2" s="567"/>
      <c r="AP2" s="567"/>
      <c r="AQ2" s="567"/>
      <c r="AR2" s="567"/>
      <c r="AS2" s="567"/>
      <c r="AT2" s="567"/>
      <c r="AU2" s="567"/>
      <c r="AV2" s="567"/>
      <c r="AW2" s="567"/>
      <c r="AX2" s="567"/>
      <c r="AZ2" s="566" t="str">
        <f>IF('Macro References'!$A$20=TRUE,'Macro References'!C23,"")</f>
        <v>Analysis Results</v>
      </c>
      <c r="BA2" s="566"/>
      <c r="BB2" s="566"/>
      <c r="BC2" s="566"/>
      <c r="BD2" s="566"/>
      <c r="BE2" s="566"/>
      <c r="BF2" s="566"/>
      <c r="BG2" s="566"/>
      <c r="BH2" s="566"/>
      <c r="BI2" s="566"/>
      <c r="BJ2" s="566"/>
      <c r="BK2" s="566"/>
      <c r="BL2" s="566"/>
      <c r="BM2" s="566"/>
      <c r="BN2" s="566"/>
      <c r="BO2" s="566"/>
      <c r="BP2" s="566"/>
      <c r="BQ2" s="566"/>
      <c r="BR2" s="566"/>
      <c r="BS2" s="566"/>
      <c r="BT2" s="566"/>
      <c r="BV2" s="49"/>
      <c r="BW2"/>
      <c r="BX2"/>
      <c r="BY2"/>
      <c r="BZ2" s="49"/>
      <c r="CA2"/>
      <c r="CB2"/>
      <c r="CC2"/>
      <c r="CD2"/>
      <c r="CE2"/>
      <c r="CF2"/>
      <c r="CG2"/>
      <c r="CH2"/>
      <c r="CI2"/>
      <c r="CJ2"/>
      <c r="CK2"/>
      <c r="CL2"/>
      <c r="CM2"/>
      <c r="CN2" s="481" t="str">
        <f>IF('Macro References'!$A$20=TRUE,'Macro References'!C24,"")</f>
        <v>Additional Calculations</v>
      </c>
      <c r="CO2" s="481"/>
      <c r="CP2" s="481"/>
      <c r="CQ2" s="481"/>
      <c r="CR2" s="481"/>
      <c r="CS2" s="481"/>
      <c r="CT2" s="481"/>
      <c r="CU2" s="481"/>
      <c r="CV2" s="481"/>
      <c r="CW2" s="481"/>
      <c r="CX2" s="481"/>
      <c r="CY2" s="481"/>
      <c r="CZ2" s="481"/>
      <c r="DA2" s="481"/>
      <c r="DB2" s="481"/>
      <c r="DC2" s="481"/>
      <c r="DD2" s="481"/>
      <c r="DE2" s="481"/>
      <c r="DF2" s="481"/>
      <c r="DG2" s="481"/>
      <c r="DH2" s="481"/>
      <c r="DI2" s="481"/>
      <c r="DJ2" s="481"/>
      <c r="DK2" s="481"/>
      <c r="DL2" s="481"/>
      <c r="DM2" s="481"/>
      <c r="DN2" s="481"/>
      <c r="DO2" s="481"/>
      <c r="DP2" s="481"/>
      <c r="DQ2" s="481"/>
      <c r="DR2" s="481"/>
      <c r="DS2" s="481"/>
      <c r="DT2" s="481"/>
      <c r="DU2" s="481"/>
      <c r="DV2" s="481"/>
      <c r="DW2" s="481"/>
      <c r="DX2" s="481"/>
      <c r="DY2" s="481"/>
      <c r="DZ2" s="481"/>
      <c r="EA2" s="481"/>
      <c r="EB2" s="481"/>
      <c r="EC2" s="481"/>
      <c r="ED2" s="481"/>
      <c r="EE2" s="481"/>
      <c r="EF2" s="481"/>
      <c r="EG2" s="481"/>
      <c r="EH2" s="481"/>
      <c r="EI2" s="481"/>
      <c r="EJ2" s="481"/>
      <c r="EK2" s="481"/>
      <c r="EL2" s="481"/>
      <c r="EM2" s="481"/>
      <c r="EN2" s="481"/>
      <c r="EO2" s="481"/>
      <c r="EP2" s="481"/>
      <c r="EQ2" s="481"/>
      <c r="ER2" s="481"/>
      <c r="ES2" s="481"/>
      <c r="ET2" s="481"/>
      <c r="EU2" s="481"/>
      <c r="EV2" s="481"/>
      <c r="EW2" s="481"/>
      <c r="EX2" s="481"/>
      <c r="EY2" s="481"/>
      <c r="EZ2" s="481"/>
      <c r="FA2" s="481"/>
      <c r="FB2" s="481"/>
      <c r="FC2" s="481"/>
      <c r="FD2" s="481"/>
      <c r="FE2" s="481"/>
      <c r="FF2" s="481"/>
      <c r="FG2" s="481"/>
      <c r="FH2" s="481"/>
      <c r="FI2" s="481"/>
      <c r="FJ2" s="481"/>
      <c r="FK2" s="481"/>
      <c r="FL2" s="481"/>
      <c r="FM2" s="481"/>
      <c r="FN2" s="481"/>
      <c r="FO2" s="481"/>
    </row>
    <row r="3" spans="2:177" ht="21" customHeight="1" thickBot="1" x14ac:dyDescent="0.3">
      <c r="C3" s="557" t="s">
        <v>61</v>
      </c>
      <c r="D3" s="557"/>
      <c r="E3" s="557"/>
      <c r="F3" s="557"/>
      <c r="G3" s="46">
        <v>5</v>
      </c>
      <c r="I3" s="558" t="s">
        <v>62</v>
      </c>
      <c r="J3" s="559"/>
      <c r="K3" s="560"/>
      <c r="BV3" s="16">
        <f>COLUMN(BV2)</f>
        <v>74</v>
      </c>
      <c r="CM3" s="16">
        <f>COLUMN(CM2)</f>
        <v>91</v>
      </c>
      <c r="CN3" s="482" t="s">
        <v>63</v>
      </c>
      <c r="CO3" s="576" t="s">
        <v>64</v>
      </c>
      <c r="CP3" s="577"/>
      <c r="CQ3" s="577"/>
      <c r="CR3" s="577"/>
      <c r="CS3" s="577"/>
      <c r="CT3" s="577"/>
      <c r="CU3" s="577"/>
      <c r="CV3" s="577"/>
      <c r="CW3" s="578"/>
      <c r="CX3" s="579" t="s">
        <v>65</v>
      </c>
      <c r="CY3" s="577"/>
      <c r="CZ3" s="577"/>
      <c r="DA3" s="577"/>
      <c r="DB3" s="577"/>
      <c r="DC3" s="577"/>
      <c r="DD3" s="577"/>
      <c r="DE3" s="577"/>
      <c r="DF3" s="577"/>
      <c r="DG3" s="478" t="str">
        <f>"% Capacity"&amp;IF(AND(Rev="H",Calculations!$F$27=TRUE),"*","")</f>
        <v>% Capacity*</v>
      </c>
      <c r="DH3" s="479"/>
      <c r="DI3" s="479"/>
      <c r="DJ3" s="479"/>
      <c r="DK3" s="479"/>
      <c r="DL3" s="479"/>
      <c r="DM3" s="479"/>
      <c r="DN3" s="479"/>
      <c r="DO3" s="479"/>
      <c r="DP3" s="479"/>
      <c r="DQ3" s="479"/>
      <c r="DR3" s="479"/>
      <c r="DS3" s="479"/>
      <c r="DT3" s="479"/>
      <c r="DU3" s="479"/>
      <c r="DV3" s="479"/>
      <c r="DW3" s="479"/>
      <c r="DX3" s="479"/>
      <c r="DY3" s="479"/>
      <c r="DZ3" s="479"/>
      <c r="EA3" s="479"/>
      <c r="EB3" s="479"/>
      <c r="EC3" s="479"/>
      <c r="ED3" s="479"/>
      <c r="EE3" s="479"/>
      <c r="EF3" s="479"/>
      <c r="EG3" s="479"/>
      <c r="EH3" s="479"/>
      <c r="EI3" s="479"/>
      <c r="EJ3" s="479"/>
      <c r="EK3" s="479"/>
      <c r="EL3" s="478" t="s">
        <v>66</v>
      </c>
      <c r="EM3" s="479"/>
      <c r="EN3" s="479"/>
      <c r="EO3" s="479"/>
      <c r="EP3" s="479"/>
      <c r="EQ3" s="479"/>
      <c r="ER3" s="479"/>
      <c r="ES3" s="479"/>
      <c r="ET3" s="479"/>
      <c r="EU3" s="479"/>
      <c r="EV3" s="479"/>
      <c r="EW3" s="479"/>
      <c r="EX3" s="479"/>
      <c r="EY3" s="479"/>
      <c r="EZ3" s="479"/>
      <c r="FA3" s="479"/>
      <c r="FB3" s="479"/>
      <c r="FC3" s="479"/>
      <c r="FD3" s="479"/>
      <c r="FE3" s="479"/>
      <c r="FF3" s="479"/>
      <c r="FG3" s="479"/>
      <c r="FH3" s="479"/>
      <c r="FI3" s="479"/>
      <c r="FJ3" s="479"/>
      <c r="FK3" s="479"/>
      <c r="FL3" s="479"/>
      <c r="FM3" s="479"/>
      <c r="FN3" s="479"/>
      <c r="FO3" s="480"/>
      <c r="FP3" s="99"/>
      <c r="FQ3" s="573" t="s">
        <v>67</v>
      </c>
      <c r="FR3" s="574"/>
      <c r="FS3" s="575"/>
      <c r="FU3" s="50" t="b">
        <v>0</v>
      </c>
    </row>
    <row r="4" spans="2:177" ht="30" customHeight="1" thickBot="1" x14ac:dyDescent="0.3">
      <c r="C4" s="2"/>
      <c r="D4" s="553" t="s">
        <v>68</v>
      </c>
      <c r="E4" s="553"/>
      <c r="F4" s="553"/>
      <c r="G4" s="553"/>
      <c r="H4" s="553"/>
      <c r="I4" s="26" t="s">
        <v>69</v>
      </c>
      <c r="J4" s="26" t="s">
        <v>70</v>
      </c>
      <c r="K4" s="27" t="s">
        <v>71</v>
      </c>
      <c r="L4" s="554" t="s">
        <v>72</v>
      </c>
      <c r="M4" s="555"/>
      <c r="N4" s="555"/>
      <c r="O4" s="556"/>
      <c r="P4" s="553" t="s">
        <v>8</v>
      </c>
      <c r="Q4" s="553"/>
      <c r="R4" s="553"/>
      <c r="S4" s="553"/>
      <c r="T4" s="553" t="s">
        <v>9</v>
      </c>
      <c r="U4" s="553"/>
      <c r="V4" s="553"/>
      <c r="W4" s="553"/>
      <c r="X4" s="553" t="s">
        <v>73</v>
      </c>
      <c r="Y4" s="553"/>
      <c r="Z4" s="553"/>
      <c r="AA4" s="553"/>
      <c r="AB4" s="561" t="s">
        <v>74</v>
      </c>
      <c r="AC4" s="562"/>
      <c r="AD4" s="562"/>
      <c r="AE4" s="563"/>
      <c r="AF4" s="553" t="s">
        <v>11</v>
      </c>
      <c r="AG4" s="553"/>
      <c r="AH4" s="553"/>
      <c r="AI4" s="553"/>
      <c r="AJ4" s="561" t="s">
        <v>75</v>
      </c>
      <c r="AK4" s="562"/>
      <c r="AL4" s="562"/>
      <c r="AM4" s="563"/>
      <c r="AN4" s="553" t="s">
        <v>12</v>
      </c>
      <c r="AO4" s="553"/>
      <c r="AP4" s="553"/>
      <c r="AQ4" s="553"/>
      <c r="AR4" s="553" t="s">
        <v>76</v>
      </c>
      <c r="AS4" s="553"/>
      <c r="AT4" s="553"/>
      <c r="AU4" s="561"/>
      <c r="AV4" s="568" t="s">
        <v>77</v>
      </c>
      <c r="AW4" s="553"/>
      <c r="AX4" s="553"/>
      <c r="AZ4" s="521" t="s">
        <v>78</v>
      </c>
      <c r="BA4" s="522"/>
      <c r="BB4" s="522"/>
      <c r="BC4" s="523"/>
      <c r="BD4" s="533" t="s">
        <v>79</v>
      </c>
      <c r="BE4" s="533"/>
      <c r="BF4" s="533"/>
      <c r="BG4" s="534" t="s">
        <v>80</v>
      </c>
      <c r="BH4" s="534"/>
      <c r="BI4" s="534"/>
      <c r="BJ4" s="534"/>
      <c r="BK4" s="534"/>
      <c r="BL4" s="534" t="s">
        <v>81</v>
      </c>
      <c r="BM4" s="534"/>
      <c r="BN4" s="534"/>
      <c r="BO4" s="534"/>
      <c r="BP4" s="533" t="s">
        <v>82</v>
      </c>
      <c r="BQ4" s="533"/>
      <c r="BR4" s="534" t="s">
        <v>83</v>
      </c>
      <c r="BS4" s="534"/>
      <c r="BT4" s="534"/>
      <c r="BV4" s="16">
        <v>1</v>
      </c>
      <c r="BW4" s="16">
        <v>2</v>
      </c>
      <c r="BX4" s="16">
        <v>3</v>
      </c>
      <c r="BY4" s="16">
        <v>4</v>
      </c>
      <c r="BZ4" s="16">
        <v>5</v>
      </c>
      <c r="CA4" s="16">
        <v>6</v>
      </c>
      <c r="CB4" s="16">
        <v>7</v>
      </c>
      <c r="CC4" s="16">
        <v>8</v>
      </c>
      <c r="CD4" s="16">
        <v>9</v>
      </c>
      <c r="CE4" s="16">
        <v>10</v>
      </c>
      <c r="CF4" s="16">
        <v>11</v>
      </c>
      <c r="CG4" s="16">
        <v>12</v>
      </c>
      <c r="CH4" s="16">
        <v>13</v>
      </c>
      <c r="CI4" s="16">
        <v>14</v>
      </c>
      <c r="CJ4" s="16">
        <v>15</v>
      </c>
      <c r="CK4" s="16">
        <v>16</v>
      </c>
      <c r="CL4" s="16">
        <v>17</v>
      </c>
      <c r="CM4" s="16">
        <v>18</v>
      </c>
      <c r="CN4" s="483"/>
      <c r="CO4" s="513" t="s">
        <v>84</v>
      </c>
      <c r="CP4" s="513"/>
      <c r="CQ4" s="514"/>
      <c r="CR4" s="512" t="s">
        <v>85</v>
      </c>
      <c r="CS4" s="513"/>
      <c r="CT4" s="514"/>
      <c r="CU4" s="512" t="s">
        <v>86</v>
      </c>
      <c r="CV4" s="513"/>
      <c r="CW4" s="515"/>
      <c r="CX4" s="516" t="s">
        <v>84</v>
      </c>
      <c r="CY4" s="513"/>
      <c r="CZ4" s="514"/>
      <c r="DA4" s="512" t="s">
        <v>85</v>
      </c>
      <c r="DB4" s="513"/>
      <c r="DC4" s="514"/>
      <c r="DD4" s="512" t="s">
        <v>86</v>
      </c>
      <c r="DE4" s="513"/>
      <c r="DF4" s="515"/>
      <c r="DG4" s="35" t="s">
        <v>84</v>
      </c>
      <c r="DH4" s="36" t="s">
        <v>87</v>
      </c>
      <c r="DI4" s="36" t="s">
        <v>88</v>
      </c>
      <c r="DJ4" s="36" t="s">
        <v>89</v>
      </c>
      <c r="DK4" s="36" t="s">
        <v>90</v>
      </c>
      <c r="DL4" s="36" t="s">
        <v>91</v>
      </c>
      <c r="DM4" s="36" t="s">
        <v>92</v>
      </c>
      <c r="DN4" s="36" t="s">
        <v>93</v>
      </c>
      <c r="DO4" s="36" t="s">
        <v>94</v>
      </c>
      <c r="DP4" s="36" t="s">
        <v>95</v>
      </c>
      <c r="DQ4" s="37" t="s">
        <v>96</v>
      </c>
      <c r="DR4" s="36" t="s">
        <v>97</v>
      </c>
      <c r="DS4" s="37" t="s">
        <v>98</v>
      </c>
      <c r="DT4" s="36" t="s">
        <v>99</v>
      </c>
      <c r="DU4" s="37" t="s">
        <v>100</v>
      </c>
      <c r="DV4" s="36" t="s">
        <v>101</v>
      </c>
      <c r="DW4" s="37" t="s">
        <v>102</v>
      </c>
      <c r="DX4" s="36" t="s">
        <v>103</v>
      </c>
      <c r="DY4" s="37" t="s">
        <v>104</v>
      </c>
      <c r="DZ4" s="36" t="s">
        <v>105</v>
      </c>
      <c r="EA4" s="37" t="s">
        <v>106</v>
      </c>
      <c r="EB4" s="36" t="s">
        <v>107</v>
      </c>
      <c r="EC4" s="37" t="s">
        <v>108</v>
      </c>
      <c r="ED4" s="36" t="s">
        <v>109</v>
      </c>
      <c r="EE4" s="37" t="s">
        <v>110</v>
      </c>
      <c r="EF4" s="36" t="s">
        <v>111</v>
      </c>
      <c r="EG4" s="37" t="s">
        <v>112</v>
      </c>
      <c r="EH4" s="36" t="s">
        <v>113</v>
      </c>
      <c r="EI4" s="37" t="s">
        <v>114</v>
      </c>
      <c r="EJ4" s="36" t="s">
        <v>115</v>
      </c>
      <c r="EK4" s="36" t="s">
        <v>116</v>
      </c>
      <c r="EL4" s="36" t="s">
        <v>87</v>
      </c>
      <c r="EM4" s="36" t="s">
        <v>88</v>
      </c>
      <c r="EN4" s="36" t="s">
        <v>89</v>
      </c>
      <c r="EO4" s="36" t="s">
        <v>90</v>
      </c>
      <c r="EP4" s="36" t="s">
        <v>91</v>
      </c>
      <c r="EQ4" s="36" t="s">
        <v>92</v>
      </c>
      <c r="ER4" s="36" t="s">
        <v>93</v>
      </c>
      <c r="ES4" s="36" t="s">
        <v>94</v>
      </c>
      <c r="ET4" s="36" t="s">
        <v>95</v>
      </c>
      <c r="EU4" s="36" t="s">
        <v>96</v>
      </c>
      <c r="EV4" s="36" t="s">
        <v>97</v>
      </c>
      <c r="EW4" s="36" t="s">
        <v>98</v>
      </c>
      <c r="EX4" s="36" t="s">
        <v>99</v>
      </c>
      <c r="EY4" s="36" t="s">
        <v>100</v>
      </c>
      <c r="EZ4" s="36" t="s">
        <v>101</v>
      </c>
      <c r="FA4" s="36" t="s">
        <v>102</v>
      </c>
      <c r="FB4" s="36" t="s">
        <v>103</v>
      </c>
      <c r="FC4" s="36" t="s">
        <v>104</v>
      </c>
      <c r="FD4" s="36" t="s">
        <v>105</v>
      </c>
      <c r="FE4" s="36" t="s">
        <v>106</v>
      </c>
      <c r="FF4" s="36" t="s">
        <v>107</v>
      </c>
      <c r="FG4" s="36" t="s">
        <v>108</v>
      </c>
      <c r="FH4" s="36" t="s">
        <v>109</v>
      </c>
      <c r="FI4" s="36" t="s">
        <v>110</v>
      </c>
      <c r="FJ4" s="36" t="s">
        <v>111</v>
      </c>
      <c r="FK4" s="36" t="s">
        <v>112</v>
      </c>
      <c r="FL4" s="36" t="s">
        <v>113</v>
      </c>
      <c r="FM4" s="36" t="s">
        <v>114</v>
      </c>
      <c r="FN4" s="36" t="s">
        <v>115</v>
      </c>
      <c r="FO4" s="36" t="s">
        <v>116</v>
      </c>
      <c r="FQ4" s="92" t="s">
        <v>117</v>
      </c>
      <c r="FR4" s="91" t="s">
        <v>118</v>
      </c>
      <c r="FS4" s="92" t="s">
        <v>119</v>
      </c>
    </row>
    <row r="5" spans="2:177" ht="15.75" thickBot="1" x14ac:dyDescent="0.3">
      <c r="B5" s="47"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3" t="str">
        <f>IF(D5="","",1)</f>
        <v/>
      </c>
      <c r="D5" s="529" t="str">
        <f>Ht</f>
        <v/>
      </c>
      <c r="E5" s="530"/>
      <c r="F5" s="14" t="str">
        <f>IF(D5="","","-")</f>
        <v/>
      </c>
      <c r="G5" s="531"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532"/>
      <c r="I5" s="143"/>
      <c r="J5" s="143"/>
      <c r="K5" s="143"/>
      <c r="L5" s="537" t="str">
        <f t="shared" ref="L5:L36" si="0">IF(D5="","",D5-G5+IF(P5="",0,P5))</f>
        <v/>
      </c>
      <c r="M5" s="537"/>
      <c r="N5" s="537"/>
      <c r="O5" s="537"/>
      <c r="P5" s="537" t="str">
        <f>IF(OR(G5=0,G5=""),"",IF(VLOOKUP(G5,'Geometry 2'!$C$4:$AI$14,1,TRUE)=VLOOKUP(G6,'Geometry 2'!$C$4:$AI$14,1,TRUE),"",IF(VLOOKUP(G5,'Geometry 2'!$C$4:$AI$14,33,TRUE)&lt;&gt;"n/a",MIN(G5,VLOOKUP(G5,'Geometry 2'!$C$4:$AI$14,1,TRUE))-VLOOKUP(G5,'Geometry 2'!$C$4:$AI$14,33,TRUE),"check")))</f>
        <v/>
      </c>
      <c r="Q5" s="537"/>
      <c r="R5" s="537"/>
      <c r="S5" s="537"/>
      <c r="T5" s="537" t="str">
        <f>IF($G5="","",VLOOKUP($G5,'Geometry 2'!$E$4:$AH$14,11,TRUE))</f>
        <v/>
      </c>
      <c r="U5" s="537"/>
      <c r="V5" s="537"/>
      <c r="W5" s="537"/>
      <c r="X5" s="538" t="str">
        <f>IF($G5="","",VLOOKUP($G5,'Geometry 2'!$E$4:$AJ$14,19,TRUE)-12*VLOOKUP($G5,'Geometry 2'!$E$4:$AJ$14,32,TRUE)*($D5-VLOOKUP($G5,'Geometry 2'!$E$5:$AH$14,1,TRUE)))</f>
        <v/>
      </c>
      <c r="Y5" s="538"/>
      <c r="Z5" s="538"/>
      <c r="AA5" s="538"/>
      <c r="AB5" s="542" t="str">
        <f>IF($G5="","",VLOOKUP($G5,'Geometry 2'!$E$4:$AJ$14,19,TRUE)-12*VLOOKUP($G5,'Geometry 2'!$E$4:$AJ$14,32,TRUE)*($G5-VLOOKUP($G5,'Geometry 2'!$E$5:$AH$14,1,TRUE)))</f>
        <v/>
      </c>
      <c r="AC5" s="543"/>
      <c r="AD5" s="543"/>
      <c r="AE5" s="544"/>
      <c r="AF5" s="538" t="str">
        <f>IF($G5="","",VLOOKUP($G5,'Geometry 2'!$E$4:$AJ$14,19,TRUE)-12*VLOOKUP($G5,'Geometry 2'!$E$4:$AJ$14,32,TRUE)*($G5-IF($P5="",0,$P5)-VLOOKUP($G5,'Geometry 2'!$E$5:$AH$14,1,TRUE)))</f>
        <v/>
      </c>
      <c r="AG5" s="538"/>
      <c r="AH5" s="538"/>
      <c r="AI5" s="538"/>
      <c r="AJ5" s="539" t="str">
        <f>IF($G5="","",VLOOKUP($G5,'Geometry 2'!$E$4:$AH$14,23,TRUE))</f>
        <v/>
      </c>
      <c r="AK5" s="549"/>
      <c r="AL5" s="549"/>
      <c r="AM5" s="550"/>
      <c r="AN5" s="537"/>
      <c r="AO5" s="537"/>
      <c r="AP5" s="537"/>
      <c r="AQ5" s="537"/>
      <c r="AR5" s="537" t="str">
        <f>IF($G5="","",VLOOKUP($G5,'Geometry 2'!$E$4:$AH$14,27,TRUE))</f>
        <v/>
      </c>
      <c r="AS5" s="537"/>
      <c r="AT5" s="537"/>
      <c r="AU5" s="539"/>
      <c r="AV5" s="564"/>
      <c r="AW5" s="538"/>
      <c r="AX5" s="538"/>
      <c r="AZ5" s="524" t="str">
        <f>IF(G5="","",CONCATENATE(ROUND(D5,2)," ",F5," ",ROUND(G5,2)))</f>
        <v/>
      </c>
      <c r="BA5" s="524"/>
      <c r="BB5" s="524"/>
      <c r="BC5" s="524"/>
      <c r="BD5" s="524"/>
      <c r="BE5" s="524"/>
      <c r="BF5" s="524"/>
      <c r="BG5" s="517" t="str">
        <f t="shared" ref="BG5:BG22" si="1">IF(AZ5="","","TP"&amp;ROUND(AF5,3)&amp;"x"&amp;ROUND(X5,3)&amp;"x"&amp;ROUND(AN5,4))</f>
        <v/>
      </c>
      <c r="BH5" s="518"/>
      <c r="BI5" s="518"/>
      <c r="BJ5" s="518"/>
      <c r="BK5" s="519"/>
      <c r="BL5" s="524"/>
      <c r="BM5" s="524"/>
      <c r="BN5" s="524"/>
      <c r="BO5" s="524"/>
      <c r="BP5" s="535"/>
      <c r="BQ5" s="536"/>
      <c r="BR5" s="524" t="str">
        <f>IF(BP5="","",IF(OR(AND(Rev="H",Calculations!$F$27=TRUE),AND(Rev&lt;&gt;"H",Calculations!$F$30=TRUE)),IF(BP5&lt;=1,"Pass","Fail"),IF(BP5&lt;=1.05,"Pass","Fail")))</f>
        <v/>
      </c>
      <c r="BS5" s="524"/>
      <c r="BT5" s="524"/>
      <c r="BU5" s="34"/>
      <c r="BV5" s="16"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16"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16"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16"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16"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16"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16"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16"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16"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16"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16"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16"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16"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16"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16"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16"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16"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16"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45" t="str">
        <f>AZ5</f>
        <v/>
      </c>
      <c r="CO5" s="497"/>
      <c r="CP5" s="498"/>
      <c r="CQ5" s="499"/>
      <c r="CR5" s="497"/>
      <c r="CS5" s="498"/>
      <c r="CT5" s="499"/>
      <c r="CU5" s="508" t="str">
        <f>IF(CO5="","",IF(CR5="n/a",CO5,CO5+CR5))</f>
        <v/>
      </c>
      <c r="CV5" s="509"/>
      <c r="CW5" s="509"/>
      <c r="CX5" s="510"/>
      <c r="CY5" s="510"/>
      <c r="CZ5" s="511"/>
      <c r="DA5" s="484"/>
      <c r="DB5" s="485"/>
      <c r="DC5" s="486"/>
      <c r="DD5" s="484" t="str">
        <f>IF(CX5="","",IF(DA5="n/a",CX5,CX5+DA5))</f>
        <v/>
      </c>
      <c r="DE5" s="485"/>
      <c r="DF5" s="487"/>
      <c r="DG5" s="38"/>
      <c r="DH5" s="39"/>
      <c r="DI5" s="39"/>
      <c r="DJ5" s="39"/>
      <c r="DK5" s="39"/>
      <c r="DL5" s="39"/>
      <c r="DM5" s="39"/>
      <c r="DN5" s="39"/>
      <c r="DO5" s="39"/>
      <c r="DP5" s="39"/>
      <c r="DQ5" s="42"/>
      <c r="DR5" s="42"/>
      <c r="DS5" s="42"/>
      <c r="DT5" s="42"/>
      <c r="DU5" s="42"/>
      <c r="DV5" s="42"/>
      <c r="DW5" s="42"/>
      <c r="DX5" s="42"/>
      <c r="DY5" s="42"/>
      <c r="DZ5" s="42"/>
      <c r="EA5" s="42"/>
      <c r="EB5" s="42"/>
      <c r="EC5" s="42"/>
      <c r="ED5" s="42"/>
      <c r="EE5" s="42"/>
      <c r="EF5" s="42"/>
      <c r="EG5" s="42"/>
      <c r="EH5" s="42"/>
      <c r="EI5" s="42"/>
      <c r="EJ5" s="42"/>
      <c r="EK5" s="42"/>
      <c r="EL5" s="97"/>
      <c r="EM5" s="97"/>
      <c r="EN5" s="97"/>
      <c r="EO5" s="97"/>
      <c r="EP5" s="97"/>
      <c r="EQ5" s="97"/>
      <c r="ER5" s="97"/>
      <c r="ES5" s="97"/>
      <c r="ET5" s="97"/>
      <c r="EU5" s="97"/>
      <c r="EV5" s="97"/>
      <c r="EW5" s="97"/>
      <c r="EX5" s="97"/>
      <c r="EY5" s="97"/>
      <c r="EZ5" s="97"/>
      <c r="FA5" s="97"/>
      <c r="FB5" s="97"/>
      <c r="FC5" s="97"/>
      <c r="FD5" s="97"/>
      <c r="FE5" s="97"/>
      <c r="FF5" s="97"/>
      <c r="FG5" s="97"/>
      <c r="FH5" s="97"/>
      <c r="FI5" s="97"/>
      <c r="FJ5" s="97"/>
      <c r="FK5" s="97"/>
      <c r="FL5" s="97"/>
      <c r="FM5" s="97"/>
      <c r="FN5" s="97"/>
      <c r="FO5" s="97"/>
      <c r="FQ5" s="90"/>
      <c r="FR5" s="88"/>
      <c r="FS5" s="86"/>
      <c r="FT5" s="84"/>
    </row>
    <row r="6" spans="2:177" ht="15.75" thickBot="1" x14ac:dyDescent="0.3">
      <c r="B6" s="47" t="b">
        <f>IF(AND(P5&lt;&gt;"",OR(AND(G6&gt;='Geometry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3" t="str">
        <f>IF(OR(G5=0,C5=""),"",C5+1)</f>
        <v/>
      </c>
      <c r="D6" s="529" t="str">
        <f>IF(OR(G5=0,G5=""),"",G5)</f>
        <v/>
      </c>
      <c r="E6" s="530"/>
      <c r="F6" s="14" t="str">
        <f t="shared" ref="F6:F69" si="2">IF(D6="","","-")</f>
        <v/>
      </c>
      <c r="G6" s="531"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532"/>
      <c r="I6" s="143"/>
      <c r="J6" s="143"/>
      <c r="K6" s="143"/>
      <c r="L6" s="537" t="str">
        <f t="shared" si="0"/>
        <v/>
      </c>
      <c r="M6" s="537"/>
      <c r="N6" s="537"/>
      <c r="O6" s="537"/>
      <c r="P6" s="537" t="str">
        <f>IF(OR(G6=0,G6=""),"",IF(VLOOKUP(G6,'Geometry 2'!$C$4:$AI$14,1,TRUE)=VLOOKUP(G7,'Geometry 2'!$C$4:$AI$14,1,TRUE),"",IF(VLOOKUP(G6,'Geometry 2'!$C$4:$AI$14,33,TRUE)&lt;&gt;"n/a",MIN(G6,VLOOKUP(G6,'Geometry 2'!$C$4:$AI$14,1,TRUE))-VLOOKUP(G6,'Geometry 2'!$C$4:$AI$14,33,TRUE),"check")))</f>
        <v/>
      </c>
      <c r="Q6" s="537"/>
      <c r="R6" s="537"/>
      <c r="S6" s="537"/>
      <c r="T6" s="537" t="str">
        <f>IF($G6="","",VLOOKUP($G6,'Geometry 2'!$E$4:$AH$14,11,TRUE))</f>
        <v/>
      </c>
      <c r="U6" s="537"/>
      <c r="V6" s="537"/>
      <c r="W6" s="537"/>
      <c r="X6" s="538" t="str">
        <f>IF($G6="","",VLOOKUP($G6,'Geometry 2'!$E$4:$AJ$14,19,TRUE)-12*VLOOKUP($G6,'Geometry 2'!$E$4:$AJ$14,32,TRUE)*($D6-VLOOKUP($G6,'Geometry 2'!$E$5:$AH$14,1,TRUE)))</f>
        <v/>
      </c>
      <c r="Y6" s="538"/>
      <c r="Z6" s="538"/>
      <c r="AA6" s="538"/>
      <c r="AB6" s="542" t="str">
        <f>IF($G6="","",VLOOKUP($G6,'Geometry 2'!$E$4:$AJ$14,19,TRUE)-12*VLOOKUP($G6,'Geometry 2'!$E$4:$AJ$14,32,TRUE)*($G6-VLOOKUP($G6,'Geometry 2'!$E$5:$AH$14,1,TRUE)))</f>
        <v/>
      </c>
      <c r="AC6" s="543"/>
      <c r="AD6" s="543"/>
      <c r="AE6" s="544"/>
      <c r="AF6" s="538" t="str">
        <f>IF($G6="","",VLOOKUP($G6,'Geometry 2'!$E$4:$AJ$14,19,TRUE)-12*VLOOKUP($G6,'Geometry 2'!$E$4:$AJ$14,32,TRUE)*($G6-IF($P6="",0,$P6)-VLOOKUP($G6,'Geometry 2'!$E$5:$AH$14,1,TRUE)))</f>
        <v/>
      </c>
      <c r="AG6" s="538"/>
      <c r="AH6" s="538"/>
      <c r="AI6" s="538"/>
      <c r="AJ6" s="539" t="str">
        <f>IF($G6="","",VLOOKUP($G6,'Geometry 2'!$E$4:$AH$14,23,TRUE))</f>
        <v/>
      </c>
      <c r="AK6" s="549"/>
      <c r="AL6" s="549"/>
      <c r="AM6" s="550"/>
      <c r="AN6" s="537"/>
      <c r="AO6" s="537"/>
      <c r="AP6" s="537"/>
      <c r="AQ6" s="537"/>
      <c r="AR6" s="537" t="str">
        <f>IF($G6="","",VLOOKUP($G6,'Geometry 2'!$E$4:$AH$14,27,TRUE))</f>
        <v/>
      </c>
      <c r="AS6" s="537"/>
      <c r="AT6" s="537"/>
      <c r="AU6" s="539"/>
      <c r="AV6" s="564"/>
      <c r="AW6" s="538"/>
      <c r="AX6" s="538"/>
      <c r="AZ6" s="517" t="str">
        <f>IF(G6="","",CONCATENATE(ROUND(D6,2)," ",F6," ",ROUND(G6,2)))</f>
        <v/>
      </c>
      <c r="BA6" s="518"/>
      <c r="BB6" s="518"/>
      <c r="BC6" s="519"/>
      <c r="BD6" s="517"/>
      <c r="BE6" s="518"/>
      <c r="BF6" s="518"/>
      <c r="BG6" s="517" t="str">
        <f t="shared" si="1"/>
        <v/>
      </c>
      <c r="BH6" s="518"/>
      <c r="BI6" s="518"/>
      <c r="BJ6" s="518"/>
      <c r="BK6" s="519"/>
      <c r="BL6" s="517"/>
      <c r="BM6" s="518"/>
      <c r="BN6" s="518"/>
      <c r="BO6" s="518"/>
      <c r="BP6" s="520"/>
      <c r="BQ6" s="520"/>
      <c r="BR6" s="517" t="str">
        <f>IF(BP6="","",IF(OR(AND(Rev="H",Calculations!$F$27=TRUE),AND(Rev&lt;&gt;"H",Calculations!$F$30=TRUE)),IF(BP6&lt;=1,"Pass","Fail"),IF(BP6&lt;=1.05,"Pass","Fail")))</f>
        <v/>
      </c>
      <c r="BS6" s="518"/>
      <c r="BT6" s="519"/>
      <c r="BU6" s="34"/>
      <c r="BV6" s="16"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16"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16"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16"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16"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16"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16"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16"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16"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16"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16"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16"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16"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16"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16"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16"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16"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16"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44" t="str">
        <f>AZ6</f>
        <v/>
      </c>
      <c r="CO6" s="494"/>
      <c r="CP6" s="495"/>
      <c r="CQ6" s="496"/>
      <c r="CR6" s="494"/>
      <c r="CS6" s="495"/>
      <c r="CT6" s="496"/>
      <c r="CU6" s="504" t="str">
        <f>IF(CO6="","",IF(CR6="n/a",CO6,CO6+CR6))</f>
        <v/>
      </c>
      <c r="CV6" s="505"/>
      <c r="CW6" s="505"/>
      <c r="CX6" s="506"/>
      <c r="CY6" s="506"/>
      <c r="CZ6" s="507"/>
      <c r="DA6" s="488"/>
      <c r="DB6" s="489"/>
      <c r="DC6" s="490"/>
      <c r="DD6" s="491" t="str">
        <f>IF(CX6="","",IF(DA6="n/a",CX6,CX6+DA6))</f>
        <v/>
      </c>
      <c r="DE6" s="492"/>
      <c r="DF6" s="493"/>
      <c r="DG6" s="40"/>
      <c r="DH6" s="41"/>
      <c r="DI6" s="41"/>
      <c r="DJ6" s="41"/>
      <c r="DK6" s="41"/>
      <c r="DL6" s="41"/>
      <c r="DM6" s="41"/>
      <c r="DN6" s="41"/>
      <c r="DO6" s="41"/>
      <c r="DP6" s="41"/>
      <c r="DQ6" s="43"/>
      <c r="DR6" s="43"/>
      <c r="DS6" s="43"/>
      <c r="DT6" s="43"/>
      <c r="DU6" s="43"/>
      <c r="DV6" s="43"/>
      <c r="DW6" s="43"/>
      <c r="DX6" s="43"/>
      <c r="DY6" s="43"/>
      <c r="DZ6" s="43"/>
      <c r="EA6" s="43"/>
      <c r="EB6" s="43"/>
      <c r="EC6" s="43"/>
      <c r="ED6" s="43"/>
      <c r="EE6" s="43"/>
      <c r="EF6" s="43"/>
      <c r="EG6" s="43"/>
      <c r="EH6" s="43"/>
      <c r="EI6" s="43"/>
      <c r="EJ6" s="43"/>
      <c r="EK6" s="43"/>
      <c r="EL6" s="98"/>
      <c r="EM6" s="98"/>
      <c r="EN6" s="98"/>
      <c r="EO6" s="98"/>
      <c r="EP6" s="98"/>
      <c r="EQ6" s="98"/>
      <c r="ER6" s="98"/>
      <c r="ES6" s="98"/>
      <c r="ET6" s="98"/>
      <c r="EU6" s="98"/>
      <c r="EV6" s="98"/>
      <c r="EW6" s="98"/>
      <c r="EX6" s="98"/>
      <c r="EY6" s="98"/>
      <c r="EZ6" s="98"/>
      <c r="FA6" s="98"/>
      <c r="FB6" s="98"/>
      <c r="FC6" s="98"/>
      <c r="FD6" s="98"/>
      <c r="FE6" s="98"/>
      <c r="FF6" s="98"/>
      <c r="FG6" s="98"/>
      <c r="FH6" s="98"/>
      <c r="FI6" s="98"/>
      <c r="FJ6" s="98"/>
      <c r="FK6" s="98"/>
      <c r="FL6" s="98"/>
      <c r="FM6" s="98"/>
      <c r="FN6" s="98"/>
      <c r="FO6" s="98"/>
      <c r="FQ6" s="89"/>
      <c r="FR6" s="87"/>
      <c r="FS6" s="85"/>
      <c r="FT6" s="84"/>
    </row>
    <row r="7" spans="2:177" ht="15.75" thickBot="1" x14ac:dyDescent="0.3">
      <c r="B7" s="47" t="b">
        <f>IF(AND(P6&lt;&gt;"",OR(AND(G7&gt;='Geometry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3" t="str">
        <f t="shared" ref="C7:C70" si="3">IF(OR(G6=0,C6=""),"",C6+1)</f>
        <v/>
      </c>
      <c r="D7" s="529" t="str">
        <f t="shared" ref="D7:D70" si="4">IF(OR(G6=0,G6=""),"",G6)</f>
        <v/>
      </c>
      <c r="E7" s="530"/>
      <c r="F7" s="14" t="str">
        <f t="shared" si="2"/>
        <v/>
      </c>
      <c r="G7" s="531"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532"/>
      <c r="I7" s="143"/>
      <c r="J7" s="143"/>
      <c r="K7" s="143"/>
      <c r="L7" s="537" t="str">
        <f t="shared" si="0"/>
        <v/>
      </c>
      <c r="M7" s="537"/>
      <c r="N7" s="537"/>
      <c r="O7" s="537"/>
      <c r="P7" s="537" t="str">
        <f>IF(OR(G7=0,G7=""),"",IF(VLOOKUP(G7,'Geometry 2'!$C$4:$AI$14,1,TRUE)=VLOOKUP(G8,'Geometry 2'!$C$4:$AI$14,1,TRUE),"",IF(VLOOKUP(G7,'Geometry 2'!$C$4:$AI$14,33,TRUE)&lt;&gt;"n/a",MIN(G7,VLOOKUP(G7,'Geometry 2'!$C$4:$AI$14,1,TRUE))-VLOOKUP(G7,'Geometry 2'!$C$4:$AI$14,33,TRUE),"check")))</f>
        <v/>
      </c>
      <c r="Q7" s="537"/>
      <c r="R7" s="537"/>
      <c r="S7" s="537"/>
      <c r="T7" s="537" t="str">
        <f>IF($G7="","",VLOOKUP($G7,'Geometry 2'!$E$4:$AH$14,11,TRUE))</f>
        <v/>
      </c>
      <c r="U7" s="537"/>
      <c r="V7" s="537"/>
      <c r="W7" s="537"/>
      <c r="X7" s="538" t="str">
        <f>IF($G7="","",VLOOKUP($G7,'Geometry 2'!$E$4:$AJ$14,19,TRUE)-12*VLOOKUP($G7,'Geometry 2'!$E$4:$AJ$14,32,TRUE)*($D7-VLOOKUP($G7,'Geometry 2'!$E$5:$AH$14,1,TRUE)))</f>
        <v/>
      </c>
      <c r="Y7" s="538"/>
      <c r="Z7" s="538"/>
      <c r="AA7" s="538"/>
      <c r="AB7" s="542" t="str">
        <f>IF($G7="","",VLOOKUP($G7,'Geometry 2'!$E$4:$AJ$14,19,TRUE)-12*VLOOKUP($G7,'Geometry 2'!$E$4:$AJ$14,32,TRUE)*($G7-VLOOKUP($G7,'Geometry 2'!$E$5:$AH$14,1,TRUE)))</f>
        <v/>
      </c>
      <c r="AC7" s="543"/>
      <c r="AD7" s="543"/>
      <c r="AE7" s="544"/>
      <c r="AF7" s="538" t="str">
        <f>IF($G7="","",VLOOKUP($G7,'Geometry 2'!$E$4:$AJ$14,19,TRUE)-12*VLOOKUP($G7,'Geometry 2'!$E$4:$AJ$14,32,TRUE)*($G7-IF($P7="",0,$P7)-VLOOKUP($G7,'Geometry 2'!$E$5:$AH$14,1,TRUE)))</f>
        <v/>
      </c>
      <c r="AG7" s="538"/>
      <c r="AH7" s="538"/>
      <c r="AI7" s="538"/>
      <c r="AJ7" s="539" t="str">
        <f>IF($G7="","",VLOOKUP($G7,'Geometry 2'!$E$4:$AH$14,23,TRUE))</f>
        <v/>
      </c>
      <c r="AK7" s="549"/>
      <c r="AL7" s="549"/>
      <c r="AM7" s="550"/>
      <c r="AN7" s="537"/>
      <c r="AO7" s="537"/>
      <c r="AP7" s="537"/>
      <c r="AQ7" s="537"/>
      <c r="AR7" s="537" t="str">
        <f>IF($G7="","",VLOOKUP($G7,'Geometry 2'!$E$4:$AH$14,27,TRUE))</f>
        <v/>
      </c>
      <c r="AS7" s="537"/>
      <c r="AT7" s="537"/>
      <c r="AU7" s="539"/>
      <c r="AV7" s="564"/>
      <c r="AW7" s="538"/>
      <c r="AX7" s="538"/>
      <c r="AZ7" s="517" t="str">
        <f t="shared" ref="AZ7:AZ70" si="5">IF(G7="","",CONCATENATE(ROUND(D7,2)," ",F7," ",ROUND(G7,2)))</f>
        <v/>
      </c>
      <c r="BA7" s="518"/>
      <c r="BB7" s="518"/>
      <c r="BC7" s="519"/>
      <c r="BD7" s="517"/>
      <c r="BE7" s="518"/>
      <c r="BF7" s="518"/>
      <c r="BG7" s="517" t="str">
        <f t="shared" si="1"/>
        <v/>
      </c>
      <c r="BH7" s="518"/>
      <c r="BI7" s="518"/>
      <c r="BJ7" s="518"/>
      <c r="BK7" s="519"/>
      <c r="BL7" s="517"/>
      <c r="BM7" s="518"/>
      <c r="BN7" s="518"/>
      <c r="BO7" s="518"/>
      <c r="BP7" s="520"/>
      <c r="BQ7" s="520"/>
      <c r="BR7" s="517" t="str">
        <f>IF(BP7="","",IF(OR(AND(Rev="H",Calculations!$F$27=TRUE),AND(Rev&lt;&gt;"H",Calculations!$F$30=TRUE)),IF(BP7&lt;=1,"Pass","Fail"),IF(BP7&lt;=1.05,"Pass","Fail")))</f>
        <v/>
      </c>
      <c r="BS7" s="518"/>
      <c r="BT7" s="519"/>
      <c r="BU7" s="34"/>
      <c r="BV7" s="16"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16"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16"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16"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16"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16"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16"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16"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16"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16"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16"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16"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16"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16"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16"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16"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16"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16"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45" t="str">
        <f t="shared" ref="CN7:CN70" si="6">AZ7</f>
        <v/>
      </c>
      <c r="CO7" s="497"/>
      <c r="CP7" s="498"/>
      <c r="CQ7" s="499"/>
      <c r="CR7" s="497"/>
      <c r="CS7" s="498"/>
      <c r="CT7" s="499"/>
      <c r="CU7" s="508" t="str">
        <f t="shared" ref="CU7:CU70" si="7">IF(CO7="","",IF(CR7="n/a",CO7,CO7+CR7))</f>
        <v/>
      </c>
      <c r="CV7" s="509"/>
      <c r="CW7" s="509"/>
      <c r="CX7" s="510"/>
      <c r="CY7" s="510"/>
      <c r="CZ7" s="511"/>
      <c r="DA7" s="484"/>
      <c r="DB7" s="485"/>
      <c r="DC7" s="486"/>
      <c r="DD7" s="484" t="str">
        <f t="shared" ref="DD7:DD70" si="8">IF(CX7="","",IF(DA7="n/a",CX7,CX7+DA7))</f>
        <v/>
      </c>
      <c r="DE7" s="485"/>
      <c r="DF7" s="487"/>
      <c r="DG7" s="38"/>
      <c r="DH7" s="39"/>
      <c r="DI7" s="39"/>
      <c r="DJ7" s="39"/>
      <c r="DK7" s="39"/>
      <c r="DL7" s="39"/>
      <c r="DM7" s="39"/>
      <c r="DN7" s="39"/>
      <c r="DO7" s="39"/>
      <c r="DP7" s="39"/>
      <c r="DQ7" s="42"/>
      <c r="DR7" s="42"/>
      <c r="DS7" s="42"/>
      <c r="DT7" s="42"/>
      <c r="DU7" s="42"/>
      <c r="DV7" s="42"/>
      <c r="DW7" s="42"/>
      <c r="DX7" s="42"/>
      <c r="DY7" s="42"/>
      <c r="DZ7" s="42"/>
      <c r="EA7" s="42"/>
      <c r="EB7" s="42"/>
      <c r="EC7" s="42"/>
      <c r="ED7" s="42"/>
      <c r="EE7" s="42"/>
      <c r="EF7" s="42"/>
      <c r="EG7" s="42"/>
      <c r="EH7" s="42"/>
      <c r="EI7" s="42"/>
      <c r="EJ7" s="42"/>
      <c r="EK7" s="42"/>
      <c r="EL7" s="97"/>
      <c r="EM7" s="97"/>
      <c r="EN7" s="97"/>
      <c r="EO7" s="97"/>
      <c r="EP7" s="97"/>
      <c r="EQ7" s="97"/>
      <c r="ER7" s="97"/>
      <c r="ES7" s="97"/>
      <c r="ET7" s="97"/>
      <c r="EU7" s="97"/>
      <c r="EV7" s="97"/>
      <c r="EW7" s="97"/>
      <c r="EX7" s="97"/>
      <c r="EY7" s="97"/>
      <c r="EZ7" s="97"/>
      <c r="FA7" s="97"/>
      <c r="FB7" s="97"/>
      <c r="FC7" s="97"/>
      <c r="FD7" s="97"/>
      <c r="FE7" s="97"/>
      <c r="FF7" s="97"/>
      <c r="FG7" s="97"/>
      <c r="FH7" s="97"/>
      <c r="FI7" s="97"/>
      <c r="FJ7" s="97"/>
      <c r="FK7" s="97"/>
      <c r="FL7" s="97"/>
      <c r="FM7" s="97"/>
      <c r="FN7" s="97"/>
      <c r="FO7" s="97"/>
      <c r="FQ7" s="90"/>
      <c r="FR7" s="88"/>
      <c r="FS7" s="86"/>
      <c r="FT7" s="84"/>
    </row>
    <row r="8" spans="2:177" ht="15.75" thickBot="1" x14ac:dyDescent="0.3">
      <c r="B8" s="47" t="b">
        <f>IF(AND(P7&lt;&gt;"",OR(AND(G8&gt;='Geometry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3" t="str">
        <f t="shared" si="3"/>
        <v/>
      </c>
      <c r="D8" s="529" t="str">
        <f t="shared" si="4"/>
        <v/>
      </c>
      <c r="E8" s="530"/>
      <c r="F8" s="14" t="str">
        <f t="shared" si="2"/>
        <v/>
      </c>
      <c r="G8" s="531"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532"/>
      <c r="I8" s="143"/>
      <c r="J8" s="143"/>
      <c r="K8" s="143"/>
      <c r="L8" s="537" t="str">
        <f t="shared" si="0"/>
        <v/>
      </c>
      <c r="M8" s="537"/>
      <c r="N8" s="537"/>
      <c r="O8" s="537"/>
      <c r="P8" s="537" t="str">
        <f>IF(OR(G8=0,G8=""),"",IF(VLOOKUP(G8,'Geometry 2'!$C$4:$AI$14,1,TRUE)=VLOOKUP(G9,'Geometry 2'!$C$4:$AI$14,1,TRUE),"",IF(VLOOKUP(G8,'Geometry 2'!$C$4:$AI$14,33,TRUE)&lt;&gt;"n/a",MIN(G8,VLOOKUP(G8,'Geometry 2'!$C$4:$AI$14,1,TRUE))-VLOOKUP(G8,'Geometry 2'!$C$4:$AI$14,33,TRUE),"check")))</f>
        <v/>
      </c>
      <c r="Q8" s="537"/>
      <c r="R8" s="537"/>
      <c r="S8" s="537"/>
      <c r="T8" s="537" t="str">
        <f>IF($G8="","",VLOOKUP($G8,'Geometry 2'!$E$4:$AH$14,11,TRUE))</f>
        <v/>
      </c>
      <c r="U8" s="537"/>
      <c r="V8" s="537"/>
      <c r="W8" s="537"/>
      <c r="X8" s="538" t="str">
        <f>IF($G8="","",VLOOKUP($G8,'Geometry 2'!$E$4:$AJ$14,19,TRUE)-12*VLOOKUP($G8,'Geometry 2'!$E$4:$AJ$14,32,TRUE)*($D8-VLOOKUP($G8,'Geometry 2'!$E$5:$AH$14,1,TRUE)))</f>
        <v/>
      </c>
      <c r="Y8" s="538"/>
      <c r="Z8" s="538"/>
      <c r="AA8" s="538"/>
      <c r="AB8" s="542" t="str">
        <f>IF($G8="","",VLOOKUP($G8,'Geometry 2'!$E$4:$AJ$14,19,TRUE)-12*VLOOKUP($G8,'Geometry 2'!$E$4:$AJ$14,32,TRUE)*($G8-VLOOKUP($G8,'Geometry 2'!$E$5:$AH$14,1,TRUE)))</f>
        <v/>
      </c>
      <c r="AC8" s="543"/>
      <c r="AD8" s="543"/>
      <c r="AE8" s="544"/>
      <c r="AF8" s="538" t="str">
        <f>IF($G8="","",VLOOKUP($G8,'Geometry 2'!$E$4:$AJ$14,19,TRUE)-12*VLOOKUP($G8,'Geometry 2'!$E$4:$AJ$14,32,TRUE)*($G8-IF($P8="",0,$P8)-VLOOKUP($G8,'Geometry 2'!$E$5:$AH$14,1,TRUE)))</f>
        <v/>
      </c>
      <c r="AG8" s="538"/>
      <c r="AH8" s="538"/>
      <c r="AI8" s="538"/>
      <c r="AJ8" s="539" t="str">
        <f>IF($G8="","",VLOOKUP($G8,'Geometry 2'!$E$4:$AH$14,23,TRUE))</f>
        <v/>
      </c>
      <c r="AK8" s="549"/>
      <c r="AL8" s="549"/>
      <c r="AM8" s="550"/>
      <c r="AN8" s="537"/>
      <c r="AO8" s="537"/>
      <c r="AP8" s="537"/>
      <c r="AQ8" s="537"/>
      <c r="AR8" s="537" t="str">
        <f>IF($G8="","",VLOOKUP($G8,'Geometry 2'!$E$4:$AH$14,27,TRUE))</f>
        <v/>
      </c>
      <c r="AS8" s="537"/>
      <c r="AT8" s="537"/>
      <c r="AU8" s="539"/>
      <c r="AV8" s="564"/>
      <c r="AW8" s="538"/>
      <c r="AX8" s="538"/>
      <c r="AZ8" s="517" t="str">
        <f t="shared" si="5"/>
        <v/>
      </c>
      <c r="BA8" s="518"/>
      <c r="BB8" s="518"/>
      <c r="BC8" s="519"/>
      <c r="BD8" s="517"/>
      <c r="BE8" s="518"/>
      <c r="BF8" s="518"/>
      <c r="BG8" s="517" t="str">
        <f t="shared" si="1"/>
        <v/>
      </c>
      <c r="BH8" s="518"/>
      <c r="BI8" s="518"/>
      <c r="BJ8" s="518"/>
      <c r="BK8" s="519"/>
      <c r="BL8" s="517"/>
      <c r="BM8" s="518"/>
      <c r="BN8" s="518"/>
      <c r="BO8" s="518"/>
      <c r="BP8" s="520"/>
      <c r="BQ8" s="520"/>
      <c r="BR8" s="517" t="str">
        <f>IF(BP8="","",IF(OR(AND(Rev="H",Calculations!$F$27=TRUE),AND(Rev&lt;&gt;"H",Calculations!$F$30=TRUE)),IF(BP8&lt;=1,"Pass","Fail"),IF(BP8&lt;=1.05,"Pass","Fail")))</f>
        <v/>
      </c>
      <c r="BS8" s="518"/>
      <c r="BT8" s="519"/>
      <c r="BU8" s="34"/>
      <c r="BV8" s="16"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16"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16"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16"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16"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16"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16"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16"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16"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16"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16"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16"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16"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16"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16"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16"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16"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16"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44" t="str">
        <f t="shared" si="6"/>
        <v/>
      </c>
      <c r="CO8" s="494"/>
      <c r="CP8" s="495"/>
      <c r="CQ8" s="496"/>
      <c r="CR8" s="494"/>
      <c r="CS8" s="495"/>
      <c r="CT8" s="496"/>
      <c r="CU8" s="504" t="str">
        <f t="shared" si="7"/>
        <v/>
      </c>
      <c r="CV8" s="505"/>
      <c r="CW8" s="505"/>
      <c r="CX8" s="506"/>
      <c r="CY8" s="506"/>
      <c r="CZ8" s="507"/>
      <c r="DA8" s="488"/>
      <c r="DB8" s="489"/>
      <c r="DC8" s="490"/>
      <c r="DD8" s="491" t="str">
        <f t="shared" si="8"/>
        <v/>
      </c>
      <c r="DE8" s="492"/>
      <c r="DF8" s="493"/>
      <c r="DG8" s="40"/>
      <c r="DH8" s="41"/>
      <c r="DI8" s="41"/>
      <c r="DJ8" s="41"/>
      <c r="DK8" s="41"/>
      <c r="DL8" s="41"/>
      <c r="DM8" s="41"/>
      <c r="DN8" s="41"/>
      <c r="DO8" s="41"/>
      <c r="DP8" s="41"/>
      <c r="DQ8" s="43"/>
      <c r="DR8" s="43"/>
      <c r="DS8" s="43"/>
      <c r="DT8" s="43"/>
      <c r="DU8" s="43"/>
      <c r="DV8" s="43"/>
      <c r="DW8" s="43"/>
      <c r="DX8" s="43"/>
      <c r="DY8" s="43"/>
      <c r="DZ8" s="43"/>
      <c r="EA8" s="43"/>
      <c r="EB8" s="43"/>
      <c r="EC8" s="43"/>
      <c r="ED8" s="43"/>
      <c r="EE8" s="43"/>
      <c r="EF8" s="43"/>
      <c r="EG8" s="43"/>
      <c r="EH8" s="43"/>
      <c r="EI8" s="43"/>
      <c r="EJ8" s="43"/>
      <c r="EK8" s="43"/>
      <c r="EL8" s="98"/>
      <c r="EM8" s="98"/>
      <c r="EN8" s="98"/>
      <c r="EO8" s="98"/>
      <c r="EP8" s="98"/>
      <c r="EQ8" s="98"/>
      <c r="ER8" s="98"/>
      <c r="ES8" s="98"/>
      <c r="ET8" s="98"/>
      <c r="EU8" s="98"/>
      <c r="EV8" s="98"/>
      <c r="EW8" s="98"/>
      <c r="EX8" s="98"/>
      <c r="EY8" s="98"/>
      <c r="EZ8" s="98"/>
      <c r="FA8" s="98"/>
      <c r="FB8" s="98"/>
      <c r="FC8" s="98"/>
      <c r="FD8" s="98"/>
      <c r="FE8" s="98"/>
      <c r="FF8" s="98"/>
      <c r="FG8" s="98"/>
      <c r="FH8" s="98"/>
      <c r="FI8" s="98"/>
      <c r="FJ8" s="98"/>
      <c r="FK8" s="98"/>
      <c r="FL8" s="98"/>
      <c r="FM8" s="98"/>
      <c r="FN8" s="98"/>
      <c r="FO8" s="98"/>
      <c r="FQ8" s="89"/>
      <c r="FR8" s="87"/>
      <c r="FS8" s="85"/>
      <c r="FT8" s="84"/>
    </row>
    <row r="9" spans="2:177" ht="15.75" thickBot="1" x14ac:dyDescent="0.3">
      <c r="B9" s="47" t="b">
        <f>IF(AND(P8&lt;&gt;"",OR(AND(G9&gt;='Geometry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3" t="str">
        <f t="shared" si="3"/>
        <v/>
      </c>
      <c r="D9" s="529" t="str">
        <f t="shared" si="4"/>
        <v/>
      </c>
      <c r="E9" s="530"/>
      <c r="F9" s="14" t="str">
        <f t="shared" si="2"/>
        <v/>
      </c>
      <c r="G9" s="531"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532"/>
      <c r="I9" s="143"/>
      <c r="J9" s="143"/>
      <c r="K9" s="143"/>
      <c r="L9" s="537" t="str">
        <f t="shared" si="0"/>
        <v/>
      </c>
      <c r="M9" s="537"/>
      <c r="N9" s="537"/>
      <c r="O9" s="537"/>
      <c r="P9" s="537" t="str">
        <f>IF(OR(G9=0,G9=""),"",IF(VLOOKUP(G9,'Geometry 2'!$C$4:$AI$14,1,TRUE)=VLOOKUP(G10,'Geometry 2'!$C$4:$AI$14,1,TRUE),"",IF(VLOOKUP(G9,'Geometry 2'!$C$4:$AI$14,33,TRUE)&lt;&gt;"n/a",MIN(G9,VLOOKUP(G9,'Geometry 2'!$C$4:$AI$14,1,TRUE))-VLOOKUP(G9,'Geometry 2'!$C$4:$AI$14,33,TRUE),"check")))</f>
        <v/>
      </c>
      <c r="Q9" s="537"/>
      <c r="R9" s="537"/>
      <c r="S9" s="537"/>
      <c r="T9" s="537" t="str">
        <f>IF($G9="","",VLOOKUP($G9,'Geometry 2'!$E$4:$AH$14,11,TRUE))</f>
        <v/>
      </c>
      <c r="U9" s="537"/>
      <c r="V9" s="537"/>
      <c r="W9" s="537"/>
      <c r="X9" s="538" t="str">
        <f>IF($G9="","",VLOOKUP($G9,'Geometry 2'!$E$4:$AJ$14,19,TRUE)-12*VLOOKUP($G9,'Geometry 2'!$E$4:$AJ$14,32,TRUE)*($D9-VLOOKUP($G9,'Geometry 2'!$E$5:$AH$14,1,TRUE)))</f>
        <v/>
      </c>
      <c r="Y9" s="538"/>
      <c r="Z9" s="538"/>
      <c r="AA9" s="538"/>
      <c r="AB9" s="542" t="str">
        <f>IF($G9="","",VLOOKUP($G9,'Geometry 2'!$E$4:$AJ$14,19,TRUE)-12*VLOOKUP($G9,'Geometry 2'!$E$4:$AJ$14,32,TRUE)*($G9-VLOOKUP($G9,'Geometry 2'!$E$5:$AH$14,1,TRUE)))</f>
        <v/>
      </c>
      <c r="AC9" s="543"/>
      <c r="AD9" s="543"/>
      <c r="AE9" s="544"/>
      <c r="AF9" s="538" t="str">
        <f>IF($G9="","",VLOOKUP($G9,'Geometry 2'!$E$4:$AJ$14,19,TRUE)-12*VLOOKUP($G9,'Geometry 2'!$E$4:$AJ$14,32,TRUE)*($G9-IF($P9="",0,$P9)-VLOOKUP($G9,'Geometry 2'!$E$5:$AH$14,1,TRUE)))</f>
        <v/>
      </c>
      <c r="AG9" s="538"/>
      <c r="AH9" s="538"/>
      <c r="AI9" s="538"/>
      <c r="AJ9" s="539" t="str">
        <f>IF($G9="","",VLOOKUP($G9,'Geometry 2'!$E$4:$AH$14,23,TRUE))</f>
        <v/>
      </c>
      <c r="AK9" s="549"/>
      <c r="AL9" s="549"/>
      <c r="AM9" s="550"/>
      <c r="AN9" s="537"/>
      <c r="AO9" s="537"/>
      <c r="AP9" s="537"/>
      <c r="AQ9" s="537"/>
      <c r="AR9" s="537" t="str">
        <f>IF($G9="","",VLOOKUP($G9,'Geometry 2'!$E$4:$AH$14,27,TRUE))</f>
        <v/>
      </c>
      <c r="AS9" s="537"/>
      <c r="AT9" s="537"/>
      <c r="AU9" s="539"/>
      <c r="AV9" s="564"/>
      <c r="AW9" s="538"/>
      <c r="AX9" s="538"/>
      <c r="AZ9" s="517" t="str">
        <f t="shared" si="5"/>
        <v/>
      </c>
      <c r="BA9" s="518"/>
      <c r="BB9" s="518"/>
      <c r="BC9" s="519"/>
      <c r="BD9" s="517"/>
      <c r="BE9" s="518"/>
      <c r="BF9" s="518"/>
      <c r="BG9" s="517" t="str">
        <f t="shared" si="1"/>
        <v/>
      </c>
      <c r="BH9" s="518"/>
      <c r="BI9" s="518"/>
      <c r="BJ9" s="518"/>
      <c r="BK9" s="519"/>
      <c r="BL9" s="517"/>
      <c r="BM9" s="518"/>
      <c r="BN9" s="518"/>
      <c r="BO9" s="518"/>
      <c r="BP9" s="520"/>
      <c r="BQ9" s="520"/>
      <c r="BR9" s="517" t="str">
        <f>IF(BP9="","",IF(OR(AND(Rev="H",Calculations!$F$27=TRUE),AND(Rev&lt;&gt;"H",Calculations!$F$30=TRUE)),IF(BP9&lt;=1,"Pass","Fail"),IF(BP9&lt;=1.05,"Pass","Fail")))</f>
        <v/>
      </c>
      <c r="BS9" s="518"/>
      <c r="BT9" s="519"/>
      <c r="BU9" s="34"/>
      <c r="BV9" s="16"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16"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16"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16"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16"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16"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16"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16"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16"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16"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16"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16"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16"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16"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16"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16"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16"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16"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45" t="str">
        <f t="shared" si="6"/>
        <v/>
      </c>
      <c r="CO9" s="497"/>
      <c r="CP9" s="498"/>
      <c r="CQ9" s="499"/>
      <c r="CR9" s="497"/>
      <c r="CS9" s="498"/>
      <c r="CT9" s="499"/>
      <c r="CU9" s="508" t="str">
        <f t="shared" si="7"/>
        <v/>
      </c>
      <c r="CV9" s="509"/>
      <c r="CW9" s="509"/>
      <c r="CX9" s="510"/>
      <c r="CY9" s="510"/>
      <c r="CZ9" s="511"/>
      <c r="DA9" s="484"/>
      <c r="DB9" s="485"/>
      <c r="DC9" s="486"/>
      <c r="DD9" s="484" t="str">
        <f t="shared" si="8"/>
        <v/>
      </c>
      <c r="DE9" s="485"/>
      <c r="DF9" s="487"/>
      <c r="DG9" s="38"/>
      <c r="DH9" s="39"/>
      <c r="DI9" s="39"/>
      <c r="DJ9" s="39"/>
      <c r="DK9" s="39"/>
      <c r="DL9" s="39"/>
      <c r="DM9" s="39"/>
      <c r="DN9" s="39"/>
      <c r="DO9" s="39"/>
      <c r="DP9" s="39"/>
      <c r="DQ9" s="42"/>
      <c r="DR9" s="42"/>
      <c r="DS9" s="42"/>
      <c r="DT9" s="42"/>
      <c r="DU9" s="42"/>
      <c r="DV9" s="42"/>
      <c r="DW9" s="42"/>
      <c r="DX9" s="42"/>
      <c r="DY9" s="42"/>
      <c r="DZ9" s="42"/>
      <c r="EA9" s="42"/>
      <c r="EB9" s="42"/>
      <c r="EC9" s="42"/>
      <c r="ED9" s="42"/>
      <c r="EE9" s="42"/>
      <c r="EF9" s="42"/>
      <c r="EG9" s="42"/>
      <c r="EH9" s="42"/>
      <c r="EI9" s="42"/>
      <c r="EJ9" s="42"/>
      <c r="EK9" s="42"/>
      <c r="EL9" s="97"/>
      <c r="EM9" s="97"/>
      <c r="EN9" s="97"/>
      <c r="EO9" s="97"/>
      <c r="EP9" s="97"/>
      <c r="EQ9" s="97"/>
      <c r="ER9" s="97"/>
      <c r="ES9" s="97"/>
      <c r="ET9" s="97"/>
      <c r="EU9" s="97"/>
      <c r="EV9" s="97"/>
      <c r="EW9" s="97"/>
      <c r="EX9" s="97"/>
      <c r="EY9" s="97"/>
      <c r="EZ9" s="97"/>
      <c r="FA9" s="97"/>
      <c r="FB9" s="97"/>
      <c r="FC9" s="97"/>
      <c r="FD9" s="97"/>
      <c r="FE9" s="97"/>
      <c r="FF9" s="97"/>
      <c r="FG9" s="97"/>
      <c r="FH9" s="97"/>
      <c r="FI9" s="97"/>
      <c r="FJ9" s="97"/>
      <c r="FK9" s="97"/>
      <c r="FL9" s="97"/>
      <c r="FM9" s="97"/>
      <c r="FN9" s="97"/>
      <c r="FO9" s="97"/>
      <c r="FQ9" s="90"/>
      <c r="FR9" s="88"/>
      <c r="FS9" s="86"/>
      <c r="FT9" s="84"/>
    </row>
    <row r="10" spans="2:177" ht="15.75" customHeight="1" thickBot="1" x14ac:dyDescent="0.3">
      <c r="B10" s="47" t="b">
        <f>IF(AND(P9&lt;&gt;"",OR(AND(G10&gt;='Geometry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3" t="str">
        <f t="shared" si="3"/>
        <v/>
      </c>
      <c r="D10" s="529" t="str">
        <f>IF(OR(G9=0,G9=""),"",G9)</f>
        <v/>
      </c>
      <c r="E10" s="530"/>
      <c r="F10" s="14" t="str">
        <f t="shared" si="2"/>
        <v/>
      </c>
      <c r="G10" s="531"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532"/>
      <c r="I10" s="143"/>
      <c r="J10" s="143"/>
      <c r="K10" s="143"/>
      <c r="L10" s="537" t="str">
        <f t="shared" si="0"/>
        <v/>
      </c>
      <c r="M10" s="537"/>
      <c r="N10" s="537"/>
      <c r="O10" s="537"/>
      <c r="P10" s="537" t="str">
        <f>IF(OR(G10=0,G10=""),"",IF(VLOOKUP(G10,'Geometry 2'!$C$4:$AI$14,1,TRUE)=VLOOKUP(G11,'Geometry 2'!$C$4:$AI$14,1,TRUE),"",IF(VLOOKUP(G10,'Geometry 2'!$C$4:$AI$14,33,TRUE)&lt;&gt;"n/a",MIN(G10,VLOOKUP(G10,'Geometry 2'!$C$4:$AI$14,1,TRUE))-VLOOKUP(G10,'Geometry 2'!$C$4:$AI$14,33,TRUE),"check")))</f>
        <v/>
      </c>
      <c r="Q10" s="537"/>
      <c r="R10" s="537"/>
      <c r="S10" s="537"/>
      <c r="T10" s="537" t="str">
        <f>IF($G10="","",VLOOKUP($G10,'Geometry 2'!$E$4:$AH$14,11,TRUE))</f>
        <v/>
      </c>
      <c r="U10" s="537"/>
      <c r="V10" s="537"/>
      <c r="W10" s="537"/>
      <c r="X10" s="538" t="str">
        <f>IF($G10="","",VLOOKUP($G10,'Geometry 2'!$E$4:$AJ$14,19,TRUE)-12*VLOOKUP($G10,'Geometry 2'!$E$4:$AJ$14,32,TRUE)*($D10-VLOOKUP($G10,'Geometry 2'!$E$5:$AH$14,1,TRUE)))</f>
        <v/>
      </c>
      <c r="Y10" s="538"/>
      <c r="Z10" s="538"/>
      <c r="AA10" s="538"/>
      <c r="AB10" s="542" t="str">
        <f>IF($G10="","",VLOOKUP($G10,'Geometry 2'!$E$4:$AJ$14,19,TRUE)-12*VLOOKUP($G10,'Geometry 2'!$E$4:$AJ$14,32,TRUE)*($G10-VLOOKUP($G10,'Geometry 2'!$E$5:$AH$14,1,TRUE)))</f>
        <v/>
      </c>
      <c r="AC10" s="543"/>
      <c r="AD10" s="543"/>
      <c r="AE10" s="544"/>
      <c r="AF10" s="538" t="str">
        <f>IF($G10="","",VLOOKUP($G10,'Geometry 2'!$E$4:$AJ$14,19,TRUE)-12*VLOOKUP($G10,'Geometry 2'!$E$4:$AJ$14,32,TRUE)*($G10-IF($P10="",0,$P10)-VLOOKUP($G10,'Geometry 2'!$E$5:$AH$14,1,TRUE)))</f>
        <v/>
      </c>
      <c r="AG10" s="538"/>
      <c r="AH10" s="538"/>
      <c r="AI10" s="538"/>
      <c r="AJ10" s="539" t="str">
        <f>IF($G10="","",VLOOKUP($G10,'Geometry 2'!$E$4:$AH$14,23,TRUE))</f>
        <v/>
      </c>
      <c r="AK10" s="549"/>
      <c r="AL10" s="549"/>
      <c r="AM10" s="550"/>
      <c r="AN10" s="537"/>
      <c r="AO10" s="537"/>
      <c r="AP10" s="537"/>
      <c r="AQ10" s="537"/>
      <c r="AR10" s="537" t="str">
        <f>IF($G10="","",VLOOKUP($G10,'Geometry 2'!$E$4:$AH$14,27,TRUE))</f>
        <v/>
      </c>
      <c r="AS10" s="537"/>
      <c r="AT10" s="537"/>
      <c r="AU10" s="539"/>
      <c r="AV10" s="564"/>
      <c r="AW10" s="538"/>
      <c r="AX10" s="538"/>
      <c r="AZ10" s="517" t="str">
        <f t="shared" si="5"/>
        <v/>
      </c>
      <c r="BA10" s="518"/>
      <c r="BB10" s="518"/>
      <c r="BC10" s="519"/>
      <c r="BD10" s="517"/>
      <c r="BE10" s="518"/>
      <c r="BF10" s="518"/>
      <c r="BG10" s="517" t="str">
        <f t="shared" si="1"/>
        <v/>
      </c>
      <c r="BH10" s="518"/>
      <c r="BI10" s="518"/>
      <c r="BJ10" s="518"/>
      <c r="BK10" s="519"/>
      <c r="BL10" s="517"/>
      <c r="BM10" s="518"/>
      <c r="BN10" s="518"/>
      <c r="BO10" s="518"/>
      <c r="BP10" s="520"/>
      <c r="BQ10" s="520"/>
      <c r="BR10" s="517" t="str">
        <f>IF(BP10="","",IF(OR(AND(Rev="H",Calculations!$F$27=TRUE),AND(Rev&lt;&gt;"H",Calculations!$F$30=TRUE)),IF(BP10&lt;=1,"Pass","Fail"),IF(BP10&lt;=1.05,"Pass","Fail")))</f>
        <v/>
      </c>
      <c r="BS10" s="518"/>
      <c r="BT10" s="519"/>
      <c r="BU10" s="34"/>
      <c r="BV10" s="16"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16"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16"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16"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16"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16"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16"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16"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16"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16"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16"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16"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16"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16"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16"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16"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16"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16"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44" t="str">
        <f t="shared" si="6"/>
        <v/>
      </c>
      <c r="CO10" s="494"/>
      <c r="CP10" s="495"/>
      <c r="CQ10" s="496"/>
      <c r="CR10" s="494"/>
      <c r="CS10" s="495"/>
      <c r="CT10" s="496"/>
      <c r="CU10" s="504" t="str">
        <f t="shared" si="7"/>
        <v/>
      </c>
      <c r="CV10" s="505"/>
      <c r="CW10" s="505"/>
      <c r="CX10" s="506"/>
      <c r="CY10" s="506"/>
      <c r="CZ10" s="507"/>
      <c r="DA10" s="488"/>
      <c r="DB10" s="489"/>
      <c r="DC10" s="490"/>
      <c r="DD10" s="491" t="str">
        <f t="shared" si="8"/>
        <v/>
      </c>
      <c r="DE10" s="492"/>
      <c r="DF10" s="493"/>
      <c r="DG10" s="40"/>
      <c r="DH10" s="41"/>
      <c r="DI10" s="41"/>
      <c r="DJ10" s="41"/>
      <c r="DK10" s="41"/>
      <c r="DL10" s="41"/>
      <c r="DM10" s="41"/>
      <c r="DN10" s="41"/>
      <c r="DO10" s="41"/>
      <c r="DP10" s="41"/>
      <c r="DQ10" s="43"/>
      <c r="DR10" s="43"/>
      <c r="DS10" s="43"/>
      <c r="DT10" s="43"/>
      <c r="DU10" s="43"/>
      <c r="DV10" s="43"/>
      <c r="DW10" s="43"/>
      <c r="DX10" s="43"/>
      <c r="DY10" s="43"/>
      <c r="DZ10" s="43"/>
      <c r="EA10" s="43"/>
      <c r="EB10" s="43"/>
      <c r="EC10" s="43"/>
      <c r="ED10" s="43"/>
      <c r="EE10" s="43"/>
      <c r="EF10" s="43"/>
      <c r="EG10" s="43"/>
      <c r="EH10" s="43"/>
      <c r="EI10" s="43"/>
      <c r="EJ10" s="43"/>
      <c r="EK10" s="43"/>
      <c r="EL10" s="98"/>
      <c r="EM10" s="98"/>
      <c r="EN10" s="98"/>
      <c r="EO10" s="98"/>
      <c r="EP10" s="98"/>
      <c r="EQ10" s="98"/>
      <c r="ER10" s="98"/>
      <c r="ES10" s="98"/>
      <c r="ET10" s="98"/>
      <c r="EU10" s="98"/>
      <c r="EV10" s="98"/>
      <c r="EW10" s="98"/>
      <c r="EX10" s="98"/>
      <c r="EY10" s="98"/>
      <c r="EZ10" s="98"/>
      <c r="FA10" s="98"/>
      <c r="FB10" s="98"/>
      <c r="FC10" s="98"/>
      <c r="FD10" s="98"/>
      <c r="FE10" s="98"/>
      <c r="FF10" s="98"/>
      <c r="FG10" s="98"/>
      <c r="FH10" s="98"/>
      <c r="FI10" s="98"/>
      <c r="FJ10" s="98"/>
      <c r="FK10" s="98"/>
      <c r="FL10" s="98"/>
      <c r="FM10" s="98"/>
      <c r="FN10" s="98"/>
      <c r="FO10" s="98"/>
      <c r="FQ10" s="89"/>
      <c r="FR10" s="87"/>
      <c r="FS10" s="85"/>
      <c r="FT10" s="84"/>
    </row>
    <row r="11" spans="2:177" ht="15.75" thickBot="1" x14ac:dyDescent="0.3">
      <c r="B11" s="47" t="b">
        <f>IF(AND(P10&lt;&gt;"",OR(AND(G11&gt;='Geometry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3" t="str">
        <f t="shared" si="3"/>
        <v/>
      </c>
      <c r="D11" s="529" t="str">
        <f>IF(OR(G10=0,G10=""),"",G10)</f>
        <v/>
      </c>
      <c r="E11" s="530"/>
      <c r="F11" s="14" t="str">
        <f t="shared" si="2"/>
        <v/>
      </c>
      <c r="G11" s="531"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532"/>
      <c r="I11" s="143"/>
      <c r="J11" s="143"/>
      <c r="K11" s="143"/>
      <c r="L11" s="537" t="str">
        <f t="shared" si="0"/>
        <v/>
      </c>
      <c r="M11" s="537"/>
      <c r="N11" s="537"/>
      <c r="O11" s="537"/>
      <c r="P11" s="537" t="str">
        <f>IF(OR(G11=0,G11=""),"",IF(VLOOKUP(G11,'Geometry 2'!$C$4:$AI$14,1,TRUE)=VLOOKUP(G12,'Geometry 2'!$C$4:$AI$14,1,TRUE),"",IF(VLOOKUP(G11,'Geometry 2'!$C$4:$AI$14,33,TRUE)&lt;&gt;"n/a",MIN(G11,VLOOKUP(G11,'Geometry 2'!$C$4:$AI$14,1,TRUE))-VLOOKUP(G11,'Geometry 2'!$C$4:$AI$14,33,TRUE),"check")))</f>
        <v/>
      </c>
      <c r="Q11" s="537"/>
      <c r="R11" s="537"/>
      <c r="S11" s="537"/>
      <c r="T11" s="537" t="str">
        <f>IF($G11="","",VLOOKUP($G11,'Geometry 2'!$E$4:$AH$14,11,TRUE))</f>
        <v/>
      </c>
      <c r="U11" s="537"/>
      <c r="V11" s="537"/>
      <c r="W11" s="537"/>
      <c r="X11" s="538" t="str">
        <f>IF($G11="","",VLOOKUP($G11,'Geometry 2'!$E$4:$AJ$14,19,TRUE)-12*VLOOKUP($G11,'Geometry 2'!$E$4:$AJ$14,32,TRUE)*($D11-VLOOKUP($G11,'Geometry 2'!$E$5:$AH$14,1,TRUE)))</f>
        <v/>
      </c>
      <c r="Y11" s="538"/>
      <c r="Z11" s="538"/>
      <c r="AA11" s="538"/>
      <c r="AB11" s="542" t="str">
        <f>IF($G11="","",VLOOKUP($G11,'Geometry 2'!$E$4:$AJ$14,19,TRUE)-12*VLOOKUP($G11,'Geometry 2'!$E$4:$AJ$14,32,TRUE)*($G11-VLOOKUP($G11,'Geometry 2'!$E$5:$AH$14,1,TRUE)))</f>
        <v/>
      </c>
      <c r="AC11" s="543"/>
      <c r="AD11" s="543"/>
      <c r="AE11" s="544"/>
      <c r="AF11" s="538" t="str">
        <f>IF($G11="","",VLOOKUP($G11,'Geometry 2'!$E$4:$AJ$14,19,TRUE)-12*VLOOKUP($G11,'Geometry 2'!$E$4:$AJ$14,32,TRUE)*($G11-IF($P11="",0,$P11)-VLOOKUP($G11,'Geometry 2'!$E$5:$AH$14,1,TRUE)))</f>
        <v/>
      </c>
      <c r="AG11" s="538"/>
      <c r="AH11" s="538"/>
      <c r="AI11" s="538"/>
      <c r="AJ11" s="539" t="str">
        <f>IF($G11="","",VLOOKUP($G11,'Geometry 2'!$E$4:$AH$14,23,TRUE))</f>
        <v/>
      </c>
      <c r="AK11" s="549"/>
      <c r="AL11" s="549"/>
      <c r="AM11" s="550"/>
      <c r="AN11" s="537"/>
      <c r="AO11" s="537"/>
      <c r="AP11" s="537"/>
      <c r="AQ11" s="537"/>
      <c r="AR11" s="537" t="str">
        <f>IF($G11="","",VLOOKUP($G11,'Geometry 2'!$E$4:$AH$14,27,TRUE))</f>
        <v/>
      </c>
      <c r="AS11" s="537"/>
      <c r="AT11" s="537"/>
      <c r="AU11" s="539"/>
      <c r="AV11" s="564"/>
      <c r="AW11" s="538"/>
      <c r="AX11" s="538"/>
      <c r="AZ11" s="517" t="str">
        <f t="shared" si="5"/>
        <v/>
      </c>
      <c r="BA11" s="518"/>
      <c r="BB11" s="518"/>
      <c r="BC11" s="519"/>
      <c r="BD11" s="517"/>
      <c r="BE11" s="518"/>
      <c r="BF11" s="518"/>
      <c r="BG11" s="517" t="str">
        <f t="shared" si="1"/>
        <v/>
      </c>
      <c r="BH11" s="518"/>
      <c r="BI11" s="518"/>
      <c r="BJ11" s="518"/>
      <c r="BK11" s="519"/>
      <c r="BL11" s="517"/>
      <c r="BM11" s="518"/>
      <c r="BN11" s="518"/>
      <c r="BO11" s="518"/>
      <c r="BP11" s="520"/>
      <c r="BQ11" s="520"/>
      <c r="BR11" s="517" t="str">
        <f>IF(BP11="","",IF(OR(AND(Rev="H",Calculations!$F$27=TRUE),AND(Rev&lt;&gt;"H",Calculations!$F$30=TRUE)),IF(BP11&lt;=1,"Pass","Fail"),IF(BP11&lt;=1.05,"Pass","Fail")))</f>
        <v/>
      </c>
      <c r="BS11" s="518"/>
      <c r="BT11" s="519"/>
      <c r="BU11" s="34"/>
      <c r="BV11" s="16"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16"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16"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16"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16"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16"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16"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16"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16"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16"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16"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16"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16"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16"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16"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16"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16"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16"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45" t="str">
        <f t="shared" si="6"/>
        <v/>
      </c>
      <c r="CO11" s="497"/>
      <c r="CP11" s="498"/>
      <c r="CQ11" s="499"/>
      <c r="CR11" s="497"/>
      <c r="CS11" s="498"/>
      <c r="CT11" s="499"/>
      <c r="CU11" s="508" t="str">
        <f t="shared" si="7"/>
        <v/>
      </c>
      <c r="CV11" s="509"/>
      <c r="CW11" s="509"/>
      <c r="CX11" s="510"/>
      <c r="CY11" s="510"/>
      <c r="CZ11" s="511"/>
      <c r="DA11" s="484"/>
      <c r="DB11" s="485"/>
      <c r="DC11" s="486"/>
      <c r="DD11" s="484" t="str">
        <f t="shared" si="8"/>
        <v/>
      </c>
      <c r="DE11" s="485"/>
      <c r="DF11" s="487"/>
      <c r="DG11" s="38"/>
      <c r="DH11" s="39"/>
      <c r="DI11" s="39"/>
      <c r="DJ11" s="39"/>
      <c r="DK11" s="39"/>
      <c r="DL11" s="39"/>
      <c r="DM11" s="39"/>
      <c r="DN11" s="39"/>
      <c r="DO11" s="39"/>
      <c r="DP11" s="39"/>
      <c r="DQ11" s="42"/>
      <c r="DR11" s="42"/>
      <c r="DS11" s="42"/>
      <c r="DT11" s="42"/>
      <c r="DU11" s="42"/>
      <c r="DV11" s="42"/>
      <c r="DW11" s="42"/>
      <c r="DX11" s="42"/>
      <c r="DY11" s="42"/>
      <c r="DZ11" s="42"/>
      <c r="EA11" s="42"/>
      <c r="EB11" s="42"/>
      <c r="EC11" s="42"/>
      <c r="ED11" s="42"/>
      <c r="EE11" s="42"/>
      <c r="EF11" s="42"/>
      <c r="EG11" s="42"/>
      <c r="EH11" s="42"/>
      <c r="EI11" s="42"/>
      <c r="EJ11" s="42"/>
      <c r="EK11" s="42"/>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Q11" s="90"/>
      <c r="FR11" s="88"/>
      <c r="FS11" s="86"/>
      <c r="FT11" s="84"/>
    </row>
    <row r="12" spans="2:177" ht="15.75" thickBot="1" x14ac:dyDescent="0.3">
      <c r="B12" s="47" t="b">
        <f>IF(AND(P11&lt;&gt;"",OR(AND(G12&gt;='Geometry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3" t="str">
        <f t="shared" si="3"/>
        <v/>
      </c>
      <c r="D12" s="529" t="str">
        <f>IF(OR(G11=0,G11=""),"",G11)</f>
        <v/>
      </c>
      <c r="E12" s="530"/>
      <c r="F12" s="14" t="str">
        <f t="shared" si="2"/>
        <v/>
      </c>
      <c r="G12" s="531"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532"/>
      <c r="I12" s="143"/>
      <c r="J12" s="143"/>
      <c r="K12" s="143"/>
      <c r="L12" s="537" t="str">
        <f t="shared" si="0"/>
        <v/>
      </c>
      <c r="M12" s="537"/>
      <c r="N12" s="537"/>
      <c r="O12" s="537"/>
      <c r="P12" s="537" t="str">
        <f>IF(OR(G12=0,G12=""),"",IF(VLOOKUP(G12,'Geometry 2'!$C$4:$AI$14,1,TRUE)=VLOOKUP(G13,'Geometry 2'!$C$4:$AI$14,1,TRUE),"",IF(VLOOKUP(G12,'Geometry 2'!$C$4:$AI$14,33,TRUE)&lt;&gt;"n/a",MIN(G12,VLOOKUP(G12,'Geometry 2'!$C$4:$AI$14,1,TRUE))-VLOOKUP(G12,'Geometry 2'!$C$4:$AI$14,33,TRUE),"check")))</f>
        <v/>
      </c>
      <c r="Q12" s="537"/>
      <c r="R12" s="537"/>
      <c r="S12" s="537"/>
      <c r="T12" s="537" t="str">
        <f>IF($G12="","",VLOOKUP($G12,'Geometry 2'!$E$4:$AH$14,11,TRUE))</f>
        <v/>
      </c>
      <c r="U12" s="537"/>
      <c r="V12" s="537"/>
      <c r="W12" s="537"/>
      <c r="X12" s="538" t="str">
        <f>IF($G12="","",VLOOKUP($G12,'Geometry 2'!$E$4:$AJ$14,19,TRUE)-12*VLOOKUP($G12,'Geometry 2'!$E$4:$AJ$14,32,TRUE)*($D12-VLOOKUP($G12,'Geometry 2'!$E$5:$AH$14,1,TRUE)))</f>
        <v/>
      </c>
      <c r="Y12" s="538"/>
      <c r="Z12" s="538"/>
      <c r="AA12" s="538"/>
      <c r="AB12" s="542" t="str">
        <f>IF($G12="","",VLOOKUP($G12,'Geometry 2'!$E$4:$AJ$14,19,TRUE)-12*VLOOKUP($G12,'Geometry 2'!$E$4:$AJ$14,32,TRUE)*($G12-VLOOKUP($G12,'Geometry 2'!$E$5:$AH$14,1,TRUE)))</f>
        <v/>
      </c>
      <c r="AC12" s="543"/>
      <c r="AD12" s="543"/>
      <c r="AE12" s="544"/>
      <c r="AF12" s="538" t="str">
        <f>IF($G12="","",VLOOKUP($G12,'Geometry 2'!$E$4:$AJ$14,19,TRUE)-12*VLOOKUP($G12,'Geometry 2'!$E$4:$AJ$14,32,TRUE)*($G12-IF($P12="",0,$P12)-VLOOKUP($G12,'Geometry 2'!$E$5:$AH$14,1,TRUE)))</f>
        <v/>
      </c>
      <c r="AG12" s="538"/>
      <c r="AH12" s="538"/>
      <c r="AI12" s="538"/>
      <c r="AJ12" s="539" t="str">
        <f>IF($G12="","",VLOOKUP($G12,'Geometry 2'!$E$4:$AH$14,23,TRUE))</f>
        <v/>
      </c>
      <c r="AK12" s="549"/>
      <c r="AL12" s="549"/>
      <c r="AM12" s="550"/>
      <c r="AN12" s="537"/>
      <c r="AO12" s="537"/>
      <c r="AP12" s="537"/>
      <c r="AQ12" s="537"/>
      <c r="AR12" s="537" t="str">
        <f>IF($G12="","",VLOOKUP($G12,'Geometry 2'!$E$4:$AH$14,27,TRUE))</f>
        <v/>
      </c>
      <c r="AS12" s="537"/>
      <c r="AT12" s="537"/>
      <c r="AU12" s="539"/>
      <c r="AV12" s="564"/>
      <c r="AW12" s="538"/>
      <c r="AX12" s="538"/>
      <c r="AZ12" s="517" t="str">
        <f t="shared" si="5"/>
        <v/>
      </c>
      <c r="BA12" s="518"/>
      <c r="BB12" s="518"/>
      <c r="BC12" s="519"/>
      <c r="BD12" s="517"/>
      <c r="BE12" s="518"/>
      <c r="BF12" s="518"/>
      <c r="BG12" s="517" t="str">
        <f t="shared" si="1"/>
        <v/>
      </c>
      <c r="BH12" s="518"/>
      <c r="BI12" s="518"/>
      <c r="BJ12" s="518"/>
      <c r="BK12" s="519"/>
      <c r="BL12" s="517"/>
      <c r="BM12" s="518"/>
      <c r="BN12" s="518"/>
      <c r="BO12" s="518"/>
      <c r="BP12" s="520"/>
      <c r="BQ12" s="520"/>
      <c r="BR12" s="517" t="str">
        <f>IF(BP12="","",IF(OR(AND(Rev="H",Calculations!$F$27=TRUE),AND(Rev&lt;&gt;"H",Calculations!$F$30=TRUE)),IF(BP12&lt;=1,"Pass","Fail"),IF(BP12&lt;=1.05,"Pass","Fail")))</f>
        <v/>
      </c>
      <c r="BS12" s="518"/>
      <c r="BT12" s="519"/>
      <c r="BU12" s="34"/>
      <c r="BV12" s="16"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16"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16"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16"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16"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16"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16"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16"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16"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16"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16"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16"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16"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16"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16"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16"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16"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16"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44" t="str">
        <f t="shared" si="6"/>
        <v/>
      </c>
      <c r="CO12" s="494"/>
      <c r="CP12" s="495"/>
      <c r="CQ12" s="496"/>
      <c r="CR12" s="494"/>
      <c r="CS12" s="495"/>
      <c r="CT12" s="496"/>
      <c r="CU12" s="504" t="str">
        <f t="shared" si="7"/>
        <v/>
      </c>
      <c r="CV12" s="505"/>
      <c r="CW12" s="505"/>
      <c r="CX12" s="506"/>
      <c r="CY12" s="506"/>
      <c r="CZ12" s="507"/>
      <c r="DA12" s="488"/>
      <c r="DB12" s="489"/>
      <c r="DC12" s="490"/>
      <c r="DD12" s="491" t="str">
        <f t="shared" si="8"/>
        <v/>
      </c>
      <c r="DE12" s="492"/>
      <c r="DF12" s="493"/>
      <c r="DG12" s="40"/>
      <c r="DH12" s="41"/>
      <c r="DI12" s="41"/>
      <c r="DJ12" s="41"/>
      <c r="DK12" s="41"/>
      <c r="DL12" s="41"/>
      <c r="DM12" s="41"/>
      <c r="DN12" s="41"/>
      <c r="DO12" s="41"/>
      <c r="DP12" s="41"/>
      <c r="DQ12" s="43"/>
      <c r="DR12" s="43"/>
      <c r="DS12" s="43"/>
      <c r="DT12" s="43"/>
      <c r="DU12" s="43"/>
      <c r="DV12" s="43"/>
      <c r="DW12" s="43"/>
      <c r="DX12" s="43"/>
      <c r="DY12" s="43"/>
      <c r="DZ12" s="43"/>
      <c r="EA12" s="43"/>
      <c r="EB12" s="43"/>
      <c r="EC12" s="43"/>
      <c r="ED12" s="43"/>
      <c r="EE12" s="43"/>
      <c r="EF12" s="43"/>
      <c r="EG12" s="43"/>
      <c r="EH12" s="43"/>
      <c r="EI12" s="43"/>
      <c r="EJ12" s="43"/>
      <c r="EK12" s="43"/>
      <c r="EL12" s="98"/>
      <c r="EM12" s="98"/>
      <c r="EN12" s="98"/>
      <c r="EO12" s="98"/>
      <c r="EP12" s="98"/>
      <c r="EQ12" s="98"/>
      <c r="ER12" s="98"/>
      <c r="ES12" s="98"/>
      <c r="ET12" s="98"/>
      <c r="EU12" s="98"/>
      <c r="EV12" s="98"/>
      <c r="EW12" s="98"/>
      <c r="EX12" s="98"/>
      <c r="EY12" s="98"/>
      <c r="EZ12" s="98"/>
      <c r="FA12" s="98"/>
      <c r="FB12" s="98"/>
      <c r="FC12" s="98"/>
      <c r="FD12" s="98"/>
      <c r="FE12" s="98"/>
      <c r="FF12" s="98"/>
      <c r="FG12" s="98"/>
      <c r="FH12" s="98"/>
      <c r="FI12" s="98"/>
      <c r="FJ12" s="98"/>
      <c r="FK12" s="98"/>
      <c r="FL12" s="98"/>
      <c r="FM12" s="98"/>
      <c r="FN12" s="98"/>
      <c r="FO12" s="98"/>
      <c r="FQ12" s="89"/>
      <c r="FR12" s="87"/>
      <c r="FS12" s="85"/>
      <c r="FT12" s="84"/>
    </row>
    <row r="13" spans="2:177" ht="15.75" thickBot="1" x14ac:dyDescent="0.3">
      <c r="B13" s="47" t="b">
        <f>IF(AND(P12&lt;&gt;"",OR(AND(G13&gt;='Geometry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3" t="str">
        <f t="shared" si="3"/>
        <v/>
      </c>
      <c r="D13" s="529" t="str">
        <f>IF(OR(G12=0,G12=""),"",G12)</f>
        <v/>
      </c>
      <c r="E13" s="530"/>
      <c r="F13" s="14" t="str">
        <f t="shared" si="2"/>
        <v/>
      </c>
      <c r="G13" s="531"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532"/>
      <c r="I13" s="143"/>
      <c r="J13" s="143"/>
      <c r="K13" s="143"/>
      <c r="L13" s="537" t="str">
        <f t="shared" si="0"/>
        <v/>
      </c>
      <c r="M13" s="537"/>
      <c r="N13" s="537"/>
      <c r="O13" s="537"/>
      <c r="P13" s="537" t="str">
        <f>IF(OR(G13=0,G13=""),"",IF(VLOOKUP(G13,'Geometry 2'!$C$4:$AI$14,1,TRUE)=VLOOKUP(G14,'Geometry 2'!$C$4:$AI$14,1,TRUE),"",IF(VLOOKUP(G13,'Geometry 2'!$C$4:$AI$14,33,TRUE)&lt;&gt;"n/a",MIN(G13,VLOOKUP(G13,'Geometry 2'!$C$4:$AI$14,1,TRUE))-VLOOKUP(G13,'Geometry 2'!$C$4:$AI$14,33,TRUE),"check")))</f>
        <v/>
      </c>
      <c r="Q13" s="537"/>
      <c r="R13" s="537"/>
      <c r="S13" s="537"/>
      <c r="T13" s="537" t="str">
        <f>IF($G13="","",VLOOKUP($G13,'Geometry 2'!$E$4:$AH$14,11,TRUE))</f>
        <v/>
      </c>
      <c r="U13" s="537"/>
      <c r="V13" s="537"/>
      <c r="W13" s="537"/>
      <c r="X13" s="538" t="str">
        <f>IF($G13="","",VLOOKUP($G13,'Geometry 2'!$E$4:$AJ$14,19,TRUE)-12*VLOOKUP($G13,'Geometry 2'!$E$4:$AJ$14,32,TRUE)*($D13-VLOOKUP($G13,'Geometry 2'!$E$5:$AH$14,1,TRUE)))</f>
        <v/>
      </c>
      <c r="Y13" s="538"/>
      <c r="Z13" s="538"/>
      <c r="AA13" s="538"/>
      <c r="AB13" s="542" t="str">
        <f>IF($G13="","",VLOOKUP($G13,'Geometry 2'!$E$4:$AJ$14,19,TRUE)-12*VLOOKUP($G13,'Geometry 2'!$E$4:$AJ$14,32,TRUE)*($G13-VLOOKUP($G13,'Geometry 2'!$E$5:$AH$14,1,TRUE)))</f>
        <v/>
      </c>
      <c r="AC13" s="543"/>
      <c r="AD13" s="543"/>
      <c r="AE13" s="544"/>
      <c r="AF13" s="538" t="str">
        <f>IF($G13="","",VLOOKUP($G13,'Geometry 2'!$E$4:$AJ$14,19,TRUE)-12*VLOOKUP($G13,'Geometry 2'!$E$4:$AJ$14,32,TRUE)*($G13-IF($P13="",0,$P13)-VLOOKUP($G13,'Geometry 2'!$E$5:$AH$14,1,TRUE)))</f>
        <v/>
      </c>
      <c r="AG13" s="538"/>
      <c r="AH13" s="538"/>
      <c r="AI13" s="538"/>
      <c r="AJ13" s="539" t="str">
        <f>IF($G13="","",VLOOKUP($G13,'Geometry 2'!$E$4:$AH$14,23,TRUE))</f>
        <v/>
      </c>
      <c r="AK13" s="549"/>
      <c r="AL13" s="549"/>
      <c r="AM13" s="550"/>
      <c r="AN13" s="537"/>
      <c r="AO13" s="537"/>
      <c r="AP13" s="537"/>
      <c r="AQ13" s="537"/>
      <c r="AR13" s="537" t="str">
        <f>IF($G13="","",VLOOKUP($G13,'Geometry 2'!$E$4:$AH$14,27,TRUE))</f>
        <v/>
      </c>
      <c r="AS13" s="537"/>
      <c r="AT13" s="537"/>
      <c r="AU13" s="539"/>
      <c r="AV13" s="564"/>
      <c r="AW13" s="538"/>
      <c r="AX13" s="538"/>
      <c r="AZ13" s="517" t="str">
        <f t="shared" si="5"/>
        <v/>
      </c>
      <c r="BA13" s="518"/>
      <c r="BB13" s="518"/>
      <c r="BC13" s="519"/>
      <c r="BD13" s="517"/>
      <c r="BE13" s="518"/>
      <c r="BF13" s="518"/>
      <c r="BG13" s="517" t="str">
        <f t="shared" si="1"/>
        <v/>
      </c>
      <c r="BH13" s="518"/>
      <c r="BI13" s="518"/>
      <c r="BJ13" s="518"/>
      <c r="BK13" s="519"/>
      <c r="BL13" s="517"/>
      <c r="BM13" s="518"/>
      <c r="BN13" s="518"/>
      <c r="BO13" s="518"/>
      <c r="BP13" s="520"/>
      <c r="BQ13" s="520"/>
      <c r="BR13" s="517" t="str">
        <f>IF(BP13="","",IF(OR(AND(Rev="H",Calculations!$F$27=TRUE),AND(Rev&lt;&gt;"H",Calculations!$F$30=TRUE)),IF(BP13&lt;=1,"Pass","Fail"),IF(BP13&lt;=1.05,"Pass","Fail")))</f>
        <v/>
      </c>
      <c r="BS13" s="518"/>
      <c r="BT13" s="519"/>
      <c r="BU13" s="34"/>
      <c r="BV13" s="16"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16"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16"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16"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16"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16"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16"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16"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16"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16"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16"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16"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16"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16"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16"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16"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16"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16"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45" t="str">
        <f t="shared" si="6"/>
        <v/>
      </c>
      <c r="CO13" s="497"/>
      <c r="CP13" s="498"/>
      <c r="CQ13" s="499"/>
      <c r="CR13" s="497"/>
      <c r="CS13" s="498"/>
      <c r="CT13" s="499"/>
      <c r="CU13" s="508" t="str">
        <f t="shared" si="7"/>
        <v/>
      </c>
      <c r="CV13" s="509"/>
      <c r="CW13" s="509"/>
      <c r="CX13" s="510"/>
      <c r="CY13" s="510"/>
      <c r="CZ13" s="511"/>
      <c r="DA13" s="484"/>
      <c r="DB13" s="485"/>
      <c r="DC13" s="486"/>
      <c r="DD13" s="484" t="str">
        <f t="shared" si="8"/>
        <v/>
      </c>
      <c r="DE13" s="485"/>
      <c r="DF13" s="487"/>
      <c r="DG13" s="38"/>
      <c r="DH13" s="39"/>
      <c r="DI13" s="39"/>
      <c r="DJ13" s="39"/>
      <c r="DK13" s="39"/>
      <c r="DL13" s="39"/>
      <c r="DM13" s="39"/>
      <c r="DN13" s="39"/>
      <c r="DO13" s="39"/>
      <c r="DP13" s="39"/>
      <c r="DQ13" s="42"/>
      <c r="DR13" s="42"/>
      <c r="DS13" s="42"/>
      <c r="DT13" s="42"/>
      <c r="DU13" s="42"/>
      <c r="DV13" s="42"/>
      <c r="DW13" s="42"/>
      <c r="DX13" s="42"/>
      <c r="DY13" s="42"/>
      <c r="DZ13" s="42"/>
      <c r="EA13" s="42"/>
      <c r="EB13" s="42"/>
      <c r="EC13" s="42"/>
      <c r="ED13" s="42"/>
      <c r="EE13" s="42"/>
      <c r="EF13" s="42"/>
      <c r="EG13" s="42"/>
      <c r="EH13" s="42"/>
      <c r="EI13" s="42"/>
      <c r="EJ13" s="42"/>
      <c r="EK13" s="42"/>
      <c r="EL13" s="97"/>
      <c r="EM13" s="97"/>
      <c r="EN13" s="97"/>
      <c r="EO13" s="97"/>
      <c r="EP13" s="97"/>
      <c r="EQ13" s="97"/>
      <c r="ER13" s="97"/>
      <c r="ES13" s="97"/>
      <c r="ET13" s="97"/>
      <c r="EU13" s="97"/>
      <c r="EV13" s="97"/>
      <c r="EW13" s="97"/>
      <c r="EX13" s="97"/>
      <c r="EY13" s="97"/>
      <c r="EZ13" s="97"/>
      <c r="FA13" s="97"/>
      <c r="FB13" s="97"/>
      <c r="FC13" s="97"/>
      <c r="FD13" s="97"/>
      <c r="FE13" s="97"/>
      <c r="FF13" s="97"/>
      <c r="FG13" s="97"/>
      <c r="FH13" s="97"/>
      <c r="FI13" s="97"/>
      <c r="FJ13" s="97"/>
      <c r="FK13" s="97"/>
      <c r="FL13" s="97"/>
      <c r="FM13" s="97"/>
      <c r="FN13" s="97"/>
      <c r="FO13" s="97"/>
      <c r="FQ13" s="90"/>
      <c r="FR13" s="88"/>
      <c r="FS13" s="86"/>
      <c r="FT13" s="84"/>
    </row>
    <row r="14" spans="2:177" ht="15.75" thickBot="1" x14ac:dyDescent="0.3">
      <c r="B14" s="47" t="b">
        <f>IF(AND(P13&lt;&gt;"",OR(AND(G14&gt;='Geometry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3" t="str">
        <f t="shared" si="3"/>
        <v/>
      </c>
      <c r="D14" s="529" t="str">
        <f>IF(OR(G13=0,G13=""),"",G13)</f>
        <v/>
      </c>
      <c r="E14" s="530"/>
      <c r="F14" s="14" t="str">
        <f t="shared" si="2"/>
        <v/>
      </c>
      <c r="G14" s="531"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532"/>
      <c r="I14" s="143"/>
      <c r="J14" s="143"/>
      <c r="K14" s="143"/>
      <c r="L14" s="537" t="str">
        <f t="shared" si="0"/>
        <v/>
      </c>
      <c r="M14" s="537"/>
      <c r="N14" s="537"/>
      <c r="O14" s="537"/>
      <c r="P14" s="537" t="str">
        <f>IF(OR(G14=0,G14=""),"",IF(VLOOKUP(G14,'Geometry 2'!$C$4:$AI$14,1,TRUE)=VLOOKUP(G15,'Geometry 2'!$C$4:$AI$14,1,TRUE),"",IF(VLOOKUP(G14,'Geometry 2'!$C$4:$AI$14,33,TRUE)&lt;&gt;"n/a",MIN(G14,VLOOKUP(G14,'Geometry 2'!$C$4:$AI$14,1,TRUE))-VLOOKUP(G14,'Geometry 2'!$C$4:$AI$14,33,TRUE),"check")))</f>
        <v/>
      </c>
      <c r="Q14" s="537"/>
      <c r="R14" s="537"/>
      <c r="S14" s="537"/>
      <c r="T14" s="537" t="str">
        <f>IF($G14="","",VLOOKUP($G14,'Geometry 2'!$E$4:$AH$14,11,TRUE))</f>
        <v/>
      </c>
      <c r="U14" s="537"/>
      <c r="V14" s="537"/>
      <c r="W14" s="537"/>
      <c r="X14" s="538" t="str">
        <f>IF($G14="","",VLOOKUP($G14,'Geometry 2'!$E$4:$AJ$14,19,TRUE)-12*VLOOKUP($G14,'Geometry 2'!$E$4:$AJ$14,32,TRUE)*($D14-VLOOKUP($G14,'Geometry 2'!$E$5:$AH$14,1,TRUE)))</f>
        <v/>
      </c>
      <c r="Y14" s="538"/>
      <c r="Z14" s="538"/>
      <c r="AA14" s="538"/>
      <c r="AB14" s="542" t="str">
        <f>IF($G14="","",VLOOKUP($G14,'Geometry 2'!$E$4:$AJ$14,19,TRUE)-12*VLOOKUP($G14,'Geometry 2'!$E$4:$AJ$14,32,TRUE)*($G14-VLOOKUP($G14,'Geometry 2'!$E$5:$AH$14,1,TRUE)))</f>
        <v/>
      </c>
      <c r="AC14" s="543"/>
      <c r="AD14" s="543"/>
      <c r="AE14" s="544"/>
      <c r="AF14" s="538" t="str">
        <f>IF($G14="","",VLOOKUP($G14,'Geometry 2'!$E$4:$AJ$14,19,TRUE)-12*VLOOKUP($G14,'Geometry 2'!$E$4:$AJ$14,32,TRUE)*($G14-IF($P14="",0,$P14)-VLOOKUP($G14,'Geometry 2'!$E$5:$AH$14,1,TRUE)))</f>
        <v/>
      </c>
      <c r="AG14" s="538"/>
      <c r="AH14" s="538"/>
      <c r="AI14" s="538"/>
      <c r="AJ14" s="539" t="str">
        <f>IF($G14="","",VLOOKUP($G14,'Geometry 2'!$E$4:$AH$14,23,TRUE))</f>
        <v/>
      </c>
      <c r="AK14" s="549"/>
      <c r="AL14" s="549"/>
      <c r="AM14" s="550"/>
      <c r="AN14" s="537"/>
      <c r="AO14" s="537"/>
      <c r="AP14" s="537"/>
      <c r="AQ14" s="537"/>
      <c r="AR14" s="537" t="str">
        <f>IF($G14="","",VLOOKUP($G14,'Geometry 2'!$E$4:$AH$14,27,TRUE))</f>
        <v/>
      </c>
      <c r="AS14" s="537"/>
      <c r="AT14" s="537"/>
      <c r="AU14" s="539"/>
      <c r="AV14" s="564"/>
      <c r="AW14" s="538"/>
      <c r="AX14" s="538"/>
      <c r="AZ14" s="517" t="str">
        <f t="shared" si="5"/>
        <v/>
      </c>
      <c r="BA14" s="518"/>
      <c r="BB14" s="518"/>
      <c r="BC14" s="519"/>
      <c r="BD14" s="517"/>
      <c r="BE14" s="518"/>
      <c r="BF14" s="518"/>
      <c r="BG14" s="517" t="str">
        <f t="shared" si="1"/>
        <v/>
      </c>
      <c r="BH14" s="518"/>
      <c r="BI14" s="518"/>
      <c r="BJ14" s="518"/>
      <c r="BK14" s="519"/>
      <c r="BL14" s="517"/>
      <c r="BM14" s="518"/>
      <c r="BN14" s="518"/>
      <c r="BO14" s="518"/>
      <c r="BP14" s="520"/>
      <c r="BQ14" s="520"/>
      <c r="BR14" s="517" t="str">
        <f>IF(BP14="","",IF(OR(AND(Rev="H",Calculations!$F$27=TRUE),AND(Rev&lt;&gt;"H",Calculations!$F$30=TRUE)),IF(BP14&lt;=1,"Pass","Fail"),IF(BP14&lt;=1.05,"Pass","Fail")))</f>
        <v/>
      </c>
      <c r="BS14" s="518"/>
      <c r="BT14" s="519"/>
      <c r="BU14" s="34"/>
      <c r="BV14" s="16"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16"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16"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16"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16"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16"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16"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16"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16"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16"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16"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16"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16"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16"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16"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16"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16"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16"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44" t="str">
        <f t="shared" si="6"/>
        <v/>
      </c>
      <c r="CO14" s="494"/>
      <c r="CP14" s="495"/>
      <c r="CQ14" s="496"/>
      <c r="CR14" s="494"/>
      <c r="CS14" s="495"/>
      <c r="CT14" s="496"/>
      <c r="CU14" s="504" t="str">
        <f t="shared" si="7"/>
        <v/>
      </c>
      <c r="CV14" s="505"/>
      <c r="CW14" s="505"/>
      <c r="CX14" s="506"/>
      <c r="CY14" s="506"/>
      <c r="CZ14" s="507"/>
      <c r="DA14" s="488"/>
      <c r="DB14" s="489"/>
      <c r="DC14" s="490"/>
      <c r="DD14" s="491" t="str">
        <f t="shared" si="8"/>
        <v/>
      </c>
      <c r="DE14" s="492"/>
      <c r="DF14" s="493"/>
      <c r="DG14" s="40"/>
      <c r="DH14" s="41"/>
      <c r="DI14" s="41"/>
      <c r="DJ14" s="41"/>
      <c r="DK14" s="41"/>
      <c r="DL14" s="41"/>
      <c r="DM14" s="41"/>
      <c r="DN14" s="41"/>
      <c r="DO14" s="41"/>
      <c r="DP14" s="41"/>
      <c r="DQ14" s="43"/>
      <c r="DR14" s="43"/>
      <c r="DS14" s="43"/>
      <c r="DT14" s="43"/>
      <c r="DU14" s="43"/>
      <c r="DV14" s="43"/>
      <c r="DW14" s="43"/>
      <c r="DX14" s="43"/>
      <c r="DY14" s="43"/>
      <c r="DZ14" s="43"/>
      <c r="EA14" s="43"/>
      <c r="EB14" s="43"/>
      <c r="EC14" s="43"/>
      <c r="ED14" s="43"/>
      <c r="EE14" s="43"/>
      <c r="EF14" s="43"/>
      <c r="EG14" s="43"/>
      <c r="EH14" s="43"/>
      <c r="EI14" s="43"/>
      <c r="EJ14" s="43"/>
      <c r="EK14" s="43"/>
      <c r="EL14" s="98"/>
      <c r="EM14" s="98"/>
      <c r="EN14" s="98"/>
      <c r="EO14" s="98"/>
      <c r="EP14" s="98"/>
      <c r="EQ14" s="98"/>
      <c r="ER14" s="98"/>
      <c r="ES14" s="98"/>
      <c r="ET14" s="98"/>
      <c r="EU14" s="98"/>
      <c r="EV14" s="98"/>
      <c r="EW14" s="98"/>
      <c r="EX14" s="98"/>
      <c r="EY14" s="98"/>
      <c r="EZ14" s="98"/>
      <c r="FA14" s="98"/>
      <c r="FB14" s="98"/>
      <c r="FC14" s="98"/>
      <c r="FD14" s="98"/>
      <c r="FE14" s="98"/>
      <c r="FF14" s="98"/>
      <c r="FG14" s="98"/>
      <c r="FH14" s="98"/>
      <c r="FI14" s="98"/>
      <c r="FJ14" s="98"/>
      <c r="FK14" s="98"/>
      <c r="FL14" s="98"/>
      <c r="FM14" s="98"/>
      <c r="FN14" s="98"/>
      <c r="FO14" s="98"/>
      <c r="FQ14" s="89"/>
      <c r="FR14" s="87"/>
      <c r="FS14" s="85"/>
      <c r="FT14" s="84"/>
    </row>
    <row r="15" spans="2:177" ht="15.75" thickBot="1" x14ac:dyDescent="0.3">
      <c r="B15" s="47" t="b">
        <f>IF(AND(P14&lt;&gt;"",OR(AND(G15&gt;='Geometry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3" t="str">
        <f t="shared" si="3"/>
        <v/>
      </c>
      <c r="D15" s="529" t="str">
        <f t="shared" si="4"/>
        <v/>
      </c>
      <c r="E15" s="530"/>
      <c r="F15" s="14" t="str">
        <f t="shared" si="2"/>
        <v/>
      </c>
      <c r="G15" s="531"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532"/>
      <c r="I15" s="143"/>
      <c r="J15" s="143"/>
      <c r="K15" s="143"/>
      <c r="L15" s="537" t="str">
        <f t="shared" si="0"/>
        <v/>
      </c>
      <c r="M15" s="537"/>
      <c r="N15" s="537"/>
      <c r="O15" s="537"/>
      <c r="P15" s="537" t="str">
        <f>IF(OR(G15=0,G15=""),"",IF(VLOOKUP(G15,'Geometry 2'!$C$4:$AI$14,1,TRUE)=VLOOKUP(G16,'Geometry 2'!$C$4:$AI$14,1,TRUE),"",IF(VLOOKUP(G15,'Geometry 2'!$C$4:$AI$14,33,TRUE)&lt;&gt;"n/a",MIN(G15,VLOOKUP(G15,'Geometry 2'!$C$4:$AI$14,1,TRUE))-VLOOKUP(G15,'Geometry 2'!$C$4:$AI$14,33,TRUE),"check")))</f>
        <v/>
      </c>
      <c r="Q15" s="537"/>
      <c r="R15" s="537"/>
      <c r="S15" s="537"/>
      <c r="T15" s="537" t="str">
        <f>IF($G15="","",VLOOKUP($G15,'Geometry 2'!$E$4:$AH$14,11,TRUE))</f>
        <v/>
      </c>
      <c r="U15" s="537"/>
      <c r="V15" s="537"/>
      <c r="W15" s="537"/>
      <c r="X15" s="538" t="str">
        <f>IF($G15="","",VLOOKUP($G15,'Geometry 2'!$E$4:$AJ$14,19,TRUE)-12*VLOOKUP($G15,'Geometry 2'!$E$4:$AJ$14,32,TRUE)*($D15-VLOOKUP($G15,'Geometry 2'!$E$5:$AH$14,1,TRUE)))</f>
        <v/>
      </c>
      <c r="Y15" s="538"/>
      <c r="Z15" s="538"/>
      <c r="AA15" s="538"/>
      <c r="AB15" s="542" t="str">
        <f>IF($G15="","",VLOOKUP($G15,'Geometry 2'!$E$4:$AJ$14,19,TRUE)-12*VLOOKUP($G15,'Geometry 2'!$E$4:$AJ$14,32,TRUE)*($G15-VLOOKUP($G15,'Geometry 2'!$E$5:$AH$14,1,TRUE)))</f>
        <v/>
      </c>
      <c r="AC15" s="543"/>
      <c r="AD15" s="543"/>
      <c r="AE15" s="544"/>
      <c r="AF15" s="538" t="str">
        <f>IF($G15="","",VLOOKUP($G15,'Geometry 2'!$E$4:$AJ$14,19,TRUE)-12*VLOOKUP($G15,'Geometry 2'!$E$4:$AJ$14,32,TRUE)*($G15-IF($P15="",0,$P15)-VLOOKUP($G15,'Geometry 2'!$E$5:$AH$14,1,TRUE)))</f>
        <v/>
      </c>
      <c r="AG15" s="538"/>
      <c r="AH15" s="538"/>
      <c r="AI15" s="538"/>
      <c r="AJ15" s="539" t="str">
        <f>IF($G15="","",VLOOKUP($G15,'Geometry 2'!$E$4:$AH$14,23,TRUE))</f>
        <v/>
      </c>
      <c r="AK15" s="549"/>
      <c r="AL15" s="549"/>
      <c r="AM15" s="550"/>
      <c r="AN15" s="537"/>
      <c r="AO15" s="537"/>
      <c r="AP15" s="537"/>
      <c r="AQ15" s="537"/>
      <c r="AR15" s="537" t="str">
        <f>IF($G15="","",VLOOKUP($G15,'Geometry 2'!$E$4:$AH$14,27,TRUE))</f>
        <v/>
      </c>
      <c r="AS15" s="537"/>
      <c r="AT15" s="537"/>
      <c r="AU15" s="539"/>
      <c r="AV15" s="564"/>
      <c r="AW15" s="538"/>
      <c r="AX15" s="538"/>
      <c r="AZ15" s="517" t="str">
        <f t="shared" si="5"/>
        <v/>
      </c>
      <c r="BA15" s="518"/>
      <c r="BB15" s="518"/>
      <c r="BC15" s="519"/>
      <c r="BD15" s="517"/>
      <c r="BE15" s="518"/>
      <c r="BF15" s="518"/>
      <c r="BG15" s="517" t="str">
        <f t="shared" si="1"/>
        <v/>
      </c>
      <c r="BH15" s="518"/>
      <c r="BI15" s="518"/>
      <c r="BJ15" s="518"/>
      <c r="BK15" s="519"/>
      <c r="BL15" s="517"/>
      <c r="BM15" s="518"/>
      <c r="BN15" s="518"/>
      <c r="BO15" s="518"/>
      <c r="BP15" s="520"/>
      <c r="BQ15" s="520"/>
      <c r="BR15" s="517" t="str">
        <f>IF(BP15="","",IF(OR(AND(Rev="H",Calculations!$F$27=TRUE),AND(Rev&lt;&gt;"H",Calculations!$F$30=TRUE)),IF(BP15&lt;=1,"Pass","Fail"),IF(BP15&lt;=1.05,"Pass","Fail")))</f>
        <v/>
      </c>
      <c r="BS15" s="518"/>
      <c r="BT15" s="519"/>
      <c r="BU15" s="34"/>
      <c r="BV15" s="16"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16"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16"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16"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16"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16"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16"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16"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16"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16"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16"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16"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16"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16"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16"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16"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16"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16"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45" t="str">
        <f t="shared" si="6"/>
        <v/>
      </c>
      <c r="CO15" s="497"/>
      <c r="CP15" s="498"/>
      <c r="CQ15" s="499"/>
      <c r="CR15" s="497"/>
      <c r="CS15" s="498"/>
      <c r="CT15" s="499"/>
      <c r="CU15" s="497" t="str">
        <f t="shared" si="7"/>
        <v/>
      </c>
      <c r="CV15" s="498"/>
      <c r="CW15" s="503"/>
      <c r="CX15" s="484"/>
      <c r="CY15" s="485"/>
      <c r="CZ15" s="486"/>
      <c r="DA15" s="484"/>
      <c r="DB15" s="485"/>
      <c r="DC15" s="486"/>
      <c r="DD15" s="484" t="str">
        <f t="shared" si="8"/>
        <v/>
      </c>
      <c r="DE15" s="485"/>
      <c r="DF15" s="487"/>
      <c r="DG15" s="38"/>
      <c r="DH15" s="39"/>
      <c r="DI15" s="39"/>
      <c r="DJ15" s="39"/>
      <c r="DK15" s="39"/>
      <c r="DL15" s="39"/>
      <c r="DM15" s="39"/>
      <c r="DN15" s="39"/>
      <c r="DO15" s="39"/>
      <c r="DP15" s="39"/>
      <c r="DQ15" s="42"/>
      <c r="DR15" s="42"/>
      <c r="DS15" s="42"/>
      <c r="DT15" s="42"/>
      <c r="DU15" s="42"/>
      <c r="DV15" s="42"/>
      <c r="DW15" s="42"/>
      <c r="DX15" s="42"/>
      <c r="DY15" s="42"/>
      <c r="DZ15" s="42"/>
      <c r="EA15" s="42"/>
      <c r="EB15" s="42"/>
      <c r="EC15" s="42"/>
      <c r="ED15" s="42"/>
      <c r="EE15" s="42"/>
      <c r="EF15" s="42"/>
      <c r="EG15" s="42"/>
      <c r="EH15" s="42"/>
      <c r="EI15" s="42"/>
      <c r="EJ15" s="42"/>
      <c r="EK15" s="42"/>
      <c r="EL15" s="97"/>
      <c r="EM15" s="97"/>
      <c r="EN15" s="97"/>
      <c r="EO15" s="97"/>
      <c r="EP15" s="97"/>
      <c r="EQ15" s="97"/>
      <c r="ER15" s="97"/>
      <c r="ES15" s="97"/>
      <c r="ET15" s="97"/>
      <c r="EU15" s="97"/>
      <c r="EV15" s="97"/>
      <c r="EW15" s="97"/>
      <c r="EX15" s="97"/>
      <c r="EY15" s="97"/>
      <c r="EZ15" s="97"/>
      <c r="FA15" s="97"/>
      <c r="FB15" s="97"/>
      <c r="FC15" s="97"/>
      <c r="FD15" s="97"/>
      <c r="FE15" s="97"/>
      <c r="FF15" s="97"/>
      <c r="FG15" s="97"/>
      <c r="FH15" s="97"/>
      <c r="FI15" s="97"/>
      <c r="FJ15" s="97"/>
      <c r="FK15" s="97"/>
      <c r="FL15" s="97"/>
      <c r="FM15" s="97"/>
      <c r="FN15" s="97"/>
      <c r="FO15" s="97"/>
      <c r="FQ15" s="90"/>
      <c r="FR15" s="88"/>
      <c r="FS15" s="86"/>
      <c r="FT15" s="84"/>
    </row>
    <row r="16" spans="2:177" ht="15.75" thickBot="1" x14ac:dyDescent="0.3">
      <c r="B16" s="47" t="b">
        <f>IF(AND(P15&lt;&gt;"",OR(AND(G16&gt;='Geometry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3" t="str">
        <f t="shared" si="3"/>
        <v/>
      </c>
      <c r="D16" s="529" t="str">
        <f t="shared" si="4"/>
        <v/>
      </c>
      <c r="E16" s="530"/>
      <c r="F16" s="14" t="str">
        <f t="shared" si="2"/>
        <v/>
      </c>
      <c r="G16" s="531"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532"/>
      <c r="I16" s="143"/>
      <c r="J16" s="143"/>
      <c r="K16" s="143"/>
      <c r="L16" s="537" t="str">
        <f t="shared" si="0"/>
        <v/>
      </c>
      <c r="M16" s="537"/>
      <c r="N16" s="537"/>
      <c r="O16" s="537"/>
      <c r="P16" s="537" t="str">
        <f>IF(OR(G16=0,G16=""),"",IF(VLOOKUP(G16,'Geometry 2'!$C$4:$AI$14,1,TRUE)=VLOOKUP(G17,'Geometry 2'!$C$4:$AI$14,1,TRUE),"",IF(VLOOKUP(G16,'Geometry 2'!$C$4:$AI$14,33,TRUE)&lt;&gt;"n/a",MIN(G16,VLOOKUP(G16,'Geometry 2'!$C$4:$AI$14,1,TRUE))-VLOOKUP(G16,'Geometry 2'!$C$4:$AI$14,33,TRUE),"check")))</f>
        <v/>
      </c>
      <c r="Q16" s="537"/>
      <c r="R16" s="537"/>
      <c r="S16" s="537"/>
      <c r="T16" s="537" t="str">
        <f>IF($G16="","",VLOOKUP($G16,'Geometry 2'!$E$4:$AH$14,11,TRUE))</f>
        <v/>
      </c>
      <c r="U16" s="537"/>
      <c r="V16" s="537"/>
      <c r="W16" s="537"/>
      <c r="X16" s="538" t="str">
        <f>IF($G16="","",VLOOKUP($G16,'Geometry 2'!$E$4:$AJ$14,19,TRUE)-12*VLOOKUP($G16,'Geometry 2'!$E$4:$AJ$14,32,TRUE)*($D16-VLOOKUP($G16,'Geometry 2'!$E$5:$AH$14,1,TRUE)))</f>
        <v/>
      </c>
      <c r="Y16" s="538"/>
      <c r="Z16" s="538"/>
      <c r="AA16" s="538"/>
      <c r="AB16" s="542" t="str">
        <f>IF($G16="","",VLOOKUP($G16,'Geometry 2'!$E$4:$AJ$14,19,TRUE)-12*VLOOKUP($G16,'Geometry 2'!$E$4:$AJ$14,32,TRUE)*($G16-VLOOKUP($G16,'Geometry 2'!$E$5:$AH$14,1,TRUE)))</f>
        <v/>
      </c>
      <c r="AC16" s="543"/>
      <c r="AD16" s="543"/>
      <c r="AE16" s="544"/>
      <c r="AF16" s="538" t="str">
        <f>IF($G16="","",VLOOKUP($G16,'Geometry 2'!$E$4:$AJ$14,19,TRUE)-12*VLOOKUP($G16,'Geometry 2'!$E$4:$AJ$14,32,TRUE)*($G16-IF($P16="",0,$P16)-VLOOKUP($G16,'Geometry 2'!$E$5:$AH$14,1,TRUE)))</f>
        <v/>
      </c>
      <c r="AG16" s="538"/>
      <c r="AH16" s="538"/>
      <c r="AI16" s="538"/>
      <c r="AJ16" s="539" t="str">
        <f>IF($G16="","",VLOOKUP($G16,'Geometry 2'!$E$4:$AH$14,23,TRUE))</f>
        <v/>
      </c>
      <c r="AK16" s="549"/>
      <c r="AL16" s="549"/>
      <c r="AM16" s="550"/>
      <c r="AN16" s="537"/>
      <c r="AO16" s="537"/>
      <c r="AP16" s="537"/>
      <c r="AQ16" s="537"/>
      <c r="AR16" s="537" t="str">
        <f>IF($G16="","",VLOOKUP($G16,'Geometry 2'!$E$4:$AH$14,27,TRUE))</f>
        <v/>
      </c>
      <c r="AS16" s="537"/>
      <c r="AT16" s="537"/>
      <c r="AU16" s="539"/>
      <c r="AV16" s="564"/>
      <c r="AW16" s="538"/>
      <c r="AX16" s="538"/>
      <c r="AZ16" s="517" t="str">
        <f t="shared" si="5"/>
        <v/>
      </c>
      <c r="BA16" s="518"/>
      <c r="BB16" s="518"/>
      <c r="BC16" s="519"/>
      <c r="BD16" s="517"/>
      <c r="BE16" s="518"/>
      <c r="BF16" s="518"/>
      <c r="BG16" s="517" t="str">
        <f t="shared" si="1"/>
        <v/>
      </c>
      <c r="BH16" s="518"/>
      <c r="BI16" s="518"/>
      <c r="BJ16" s="518"/>
      <c r="BK16" s="519"/>
      <c r="BL16" s="517"/>
      <c r="BM16" s="518"/>
      <c r="BN16" s="518"/>
      <c r="BO16" s="518"/>
      <c r="BP16" s="520"/>
      <c r="BQ16" s="520"/>
      <c r="BR16" s="517" t="str">
        <f>IF(BP16="","",IF(OR(AND(Rev="H",Calculations!$F$27=TRUE),AND(Rev&lt;&gt;"H",Calculations!$F$30=TRUE)),IF(BP16&lt;=1,"Pass","Fail"),IF(BP16&lt;=1.05,"Pass","Fail")))</f>
        <v/>
      </c>
      <c r="BS16" s="518"/>
      <c r="BT16" s="519"/>
      <c r="BU16" s="34"/>
      <c r="BV16" s="16"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16"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16"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16"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16"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16"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16"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16"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16"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16"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16"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16"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16"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16"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16"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16"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16"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16"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44" t="str">
        <f t="shared" si="6"/>
        <v/>
      </c>
      <c r="CO16" s="494"/>
      <c r="CP16" s="495"/>
      <c r="CQ16" s="496"/>
      <c r="CR16" s="494"/>
      <c r="CS16" s="495"/>
      <c r="CT16" s="496"/>
      <c r="CU16" s="494" t="str">
        <f t="shared" si="7"/>
        <v/>
      </c>
      <c r="CV16" s="495"/>
      <c r="CW16" s="500"/>
      <c r="CX16" s="501"/>
      <c r="CY16" s="492"/>
      <c r="CZ16" s="502"/>
      <c r="DA16" s="488"/>
      <c r="DB16" s="489"/>
      <c r="DC16" s="490"/>
      <c r="DD16" s="491" t="str">
        <f t="shared" si="8"/>
        <v/>
      </c>
      <c r="DE16" s="492"/>
      <c r="DF16" s="493"/>
      <c r="DG16" s="40"/>
      <c r="DH16" s="41"/>
      <c r="DI16" s="41"/>
      <c r="DJ16" s="41"/>
      <c r="DK16" s="41"/>
      <c r="DL16" s="41"/>
      <c r="DM16" s="41"/>
      <c r="DN16" s="41"/>
      <c r="DO16" s="41"/>
      <c r="DP16" s="41"/>
      <c r="DQ16" s="43"/>
      <c r="DR16" s="43"/>
      <c r="DS16" s="43"/>
      <c r="DT16" s="43"/>
      <c r="DU16" s="43"/>
      <c r="DV16" s="43"/>
      <c r="DW16" s="43"/>
      <c r="DX16" s="43"/>
      <c r="DY16" s="43"/>
      <c r="DZ16" s="43"/>
      <c r="EA16" s="43"/>
      <c r="EB16" s="43"/>
      <c r="EC16" s="43"/>
      <c r="ED16" s="43"/>
      <c r="EE16" s="43"/>
      <c r="EF16" s="43"/>
      <c r="EG16" s="43"/>
      <c r="EH16" s="43"/>
      <c r="EI16" s="43"/>
      <c r="EJ16" s="43"/>
      <c r="EK16" s="43"/>
      <c r="EL16" s="98"/>
      <c r="EM16" s="98"/>
      <c r="EN16" s="98"/>
      <c r="EO16" s="98"/>
      <c r="EP16" s="98"/>
      <c r="EQ16" s="98"/>
      <c r="ER16" s="98"/>
      <c r="ES16" s="98"/>
      <c r="ET16" s="98"/>
      <c r="EU16" s="98"/>
      <c r="EV16" s="98"/>
      <c r="EW16" s="98"/>
      <c r="EX16" s="98"/>
      <c r="EY16" s="98"/>
      <c r="EZ16" s="98"/>
      <c r="FA16" s="98"/>
      <c r="FB16" s="98"/>
      <c r="FC16" s="98"/>
      <c r="FD16" s="98"/>
      <c r="FE16" s="98"/>
      <c r="FF16" s="98"/>
      <c r="FG16" s="98"/>
      <c r="FH16" s="98"/>
      <c r="FI16" s="98"/>
      <c r="FJ16" s="98"/>
      <c r="FK16" s="98"/>
      <c r="FL16" s="98"/>
      <c r="FM16" s="98"/>
      <c r="FN16" s="98"/>
      <c r="FO16" s="98"/>
      <c r="FQ16" s="89"/>
      <c r="FR16" s="87"/>
      <c r="FS16" s="85"/>
      <c r="FT16" s="84"/>
    </row>
    <row r="17" spans="2:176" ht="15.75" customHeight="1" thickBot="1" x14ac:dyDescent="0.3">
      <c r="B17" s="47" t="b">
        <f>IF(AND(P16&lt;&gt;"",OR(AND(G17&gt;='Geometry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3" t="str">
        <f t="shared" si="3"/>
        <v/>
      </c>
      <c r="D17" s="529" t="str">
        <f t="shared" si="4"/>
        <v/>
      </c>
      <c r="E17" s="530"/>
      <c r="F17" s="14" t="str">
        <f t="shared" si="2"/>
        <v/>
      </c>
      <c r="G17" s="531"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532"/>
      <c r="I17" s="143"/>
      <c r="J17" s="143"/>
      <c r="K17" s="143"/>
      <c r="L17" s="537" t="str">
        <f t="shared" si="0"/>
        <v/>
      </c>
      <c r="M17" s="537"/>
      <c r="N17" s="537"/>
      <c r="O17" s="537"/>
      <c r="P17" s="537" t="str">
        <f>IF(OR(G17=0,G17=""),"",IF(VLOOKUP(G17,'Geometry 2'!$C$4:$AI$14,1,TRUE)=VLOOKUP(G18,'Geometry 2'!$C$4:$AI$14,1,TRUE),"",IF(VLOOKUP(G17,'Geometry 2'!$C$4:$AI$14,33,TRUE)&lt;&gt;"n/a",MIN(G17,VLOOKUP(G17,'Geometry 2'!$C$4:$AI$14,1,TRUE))-VLOOKUP(G17,'Geometry 2'!$C$4:$AI$14,33,TRUE),"check")))</f>
        <v/>
      </c>
      <c r="Q17" s="537"/>
      <c r="R17" s="537"/>
      <c r="S17" s="537"/>
      <c r="T17" s="537" t="str">
        <f>IF($G17="","",VLOOKUP($G17,'Geometry 2'!$E$4:$AH$14,11,TRUE))</f>
        <v/>
      </c>
      <c r="U17" s="537"/>
      <c r="V17" s="537"/>
      <c r="W17" s="537"/>
      <c r="X17" s="538" t="str">
        <f>IF($G17="","",VLOOKUP($G17,'Geometry 2'!$E$4:$AJ$14,19,TRUE)-12*VLOOKUP($G17,'Geometry 2'!$E$4:$AJ$14,32,TRUE)*($D17-VLOOKUP($G17,'Geometry 2'!$E$5:$AH$14,1,TRUE)))</f>
        <v/>
      </c>
      <c r="Y17" s="538"/>
      <c r="Z17" s="538"/>
      <c r="AA17" s="538"/>
      <c r="AB17" s="542" t="str">
        <f>IF($G17="","",VLOOKUP($G17,'Geometry 2'!$E$4:$AJ$14,19,TRUE)-12*VLOOKUP($G17,'Geometry 2'!$E$4:$AJ$14,32,TRUE)*($G17-VLOOKUP($G17,'Geometry 2'!$E$5:$AH$14,1,TRUE)))</f>
        <v/>
      </c>
      <c r="AC17" s="543"/>
      <c r="AD17" s="543"/>
      <c r="AE17" s="544"/>
      <c r="AF17" s="538" t="str">
        <f>IF($G17="","",VLOOKUP($G17,'Geometry 2'!$E$4:$AJ$14,19,TRUE)-12*VLOOKUP($G17,'Geometry 2'!$E$4:$AJ$14,32,TRUE)*($G17-IF($P17="",0,$P17)-VLOOKUP($G17,'Geometry 2'!$E$5:$AH$14,1,TRUE)))</f>
        <v/>
      </c>
      <c r="AG17" s="538"/>
      <c r="AH17" s="538"/>
      <c r="AI17" s="538"/>
      <c r="AJ17" s="539" t="str">
        <f>IF($G17="","",VLOOKUP($G17,'Geometry 2'!$E$4:$AH$14,23,TRUE))</f>
        <v/>
      </c>
      <c r="AK17" s="549"/>
      <c r="AL17" s="549"/>
      <c r="AM17" s="550"/>
      <c r="AN17" s="537"/>
      <c r="AO17" s="537"/>
      <c r="AP17" s="537"/>
      <c r="AQ17" s="537"/>
      <c r="AR17" s="537" t="str">
        <f>IF($G17="","",VLOOKUP($G17,'Geometry 2'!$E$4:$AH$14,27,TRUE))</f>
        <v/>
      </c>
      <c r="AS17" s="537"/>
      <c r="AT17" s="537"/>
      <c r="AU17" s="539"/>
      <c r="AV17" s="564"/>
      <c r="AW17" s="538"/>
      <c r="AX17" s="538"/>
      <c r="AZ17" s="517" t="str">
        <f t="shared" si="5"/>
        <v/>
      </c>
      <c r="BA17" s="518"/>
      <c r="BB17" s="518"/>
      <c r="BC17" s="519"/>
      <c r="BD17" s="517"/>
      <c r="BE17" s="518"/>
      <c r="BF17" s="518"/>
      <c r="BG17" s="517" t="str">
        <f t="shared" si="1"/>
        <v/>
      </c>
      <c r="BH17" s="518"/>
      <c r="BI17" s="518"/>
      <c r="BJ17" s="518"/>
      <c r="BK17" s="519"/>
      <c r="BL17" s="517"/>
      <c r="BM17" s="518"/>
      <c r="BN17" s="518"/>
      <c r="BO17" s="518"/>
      <c r="BP17" s="520"/>
      <c r="BQ17" s="520"/>
      <c r="BR17" s="517" t="str">
        <f>IF(BP17="","",IF(OR(AND(Rev="H",Calculations!$F$27=TRUE),AND(Rev&lt;&gt;"H",Calculations!$F$30=TRUE)),IF(BP17&lt;=1,"Pass","Fail"),IF(BP17&lt;=1.05,"Pass","Fail")))</f>
        <v/>
      </c>
      <c r="BS17" s="518"/>
      <c r="BT17" s="519"/>
      <c r="BU17" s="34"/>
      <c r="BV17" s="16"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16"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16"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16"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16"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16"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16"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16"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16"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16"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16"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16"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16"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16"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16"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16"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16"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16"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45" t="str">
        <f t="shared" si="6"/>
        <v/>
      </c>
      <c r="CO17" s="497"/>
      <c r="CP17" s="498"/>
      <c r="CQ17" s="499"/>
      <c r="CR17" s="497"/>
      <c r="CS17" s="498"/>
      <c r="CT17" s="499"/>
      <c r="CU17" s="497" t="str">
        <f t="shared" si="7"/>
        <v/>
      </c>
      <c r="CV17" s="498"/>
      <c r="CW17" s="503"/>
      <c r="CX17" s="484"/>
      <c r="CY17" s="485"/>
      <c r="CZ17" s="486"/>
      <c r="DA17" s="484"/>
      <c r="DB17" s="485"/>
      <c r="DC17" s="486"/>
      <c r="DD17" s="484" t="str">
        <f t="shared" si="8"/>
        <v/>
      </c>
      <c r="DE17" s="485"/>
      <c r="DF17" s="487"/>
      <c r="DG17" s="38"/>
      <c r="DH17" s="39"/>
      <c r="DI17" s="39"/>
      <c r="DJ17" s="39"/>
      <c r="DK17" s="39"/>
      <c r="DL17" s="39"/>
      <c r="DM17" s="39"/>
      <c r="DN17" s="39"/>
      <c r="DO17" s="39"/>
      <c r="DP17" s="39"/>
      <c r="DQ17" s="42"/>
      <c r="DR17" s="42"/>
      <c r="DS17" s="42"/>
      <c r="DT17" s="42"/>
      <c r="DU17" s="42"/>
      <c r="DV17" s="42"/>
      <c r="DW17" s="42"/>
      <c r="DX17" s="42"/>
      <c r="DY17" s="42"/>
      <c r="DZ17" s="42"/>
      <c r="EA17" s="42"/>
      <c r="EB17" s="42"/>
      <c r="EC17" s="42"/>
      <c r="ED17" s="42"/>
      <c r="EE17" s="42"/>
      <c r="EF17" s="42"/>
      <c r="EG17" s="42"/>
      <c r="EH17" s="42"/>
      <c r="EI17" s="42"/>
      <c r="EJ17" s="42"/>
      <c r="EK17" s="42"/>
      <c r="EL17" s="97"/>
      <c r="EM17" s="97"/>
      <c r="EN17" s="97"/>
      <c r="EO17" s="97"/>
      <c r="EP17" s="97"/>
      <c r="EQ17" s="97"/>
      <c r="ER17" s="97"/>
      <c r="ES17" s="97"/>
      <c r="ET17" s="97"/>
      <c r="EU17" s="97"/>
      <c r="EV17" s="97"/>
      <c r="EW17" s="97"/>
      <c r="EX17" s="97"/>
      <c r="EY17" s="97"/>
      <c r="EZ17" s="97"/>
      <c r="FA17" s="97"/>
      <c r="FB17" s="97"/>
      <c r="FC17" s="97"/>
      <c r="FD17" s="97"/>
      <c r="FE17" s="97"/>
      <c r="FF17" s="97"/>
      <c r="FG17" s="97"/>
      <c r="FH17" s="97"/>
      <c r="FI17" s="97"/>
      <c r="FJ17" s="97"/>
      <c r="FK17" s="97"/>
      <c r="FL17" s="97"/>
      <c r="FM17" s="97"/>
      <c r="FN17" s="97"/>
      <c r="FO17" s="97"/>
      <c r="FQ17" s="90"/>
      <c r="FR17" s="88"/>
      <c r="FS17" s="86"/>
      <c r="FT17" s="84"/>
    </row>
    <row r="18" spans="2:176" ht="15.75" customHeight="1" thickBot="1" x14ac:dyDescent="0.3">
      <c r="B18" s="47" t="b">
        <f>IF(AND(P17&lt;&gt;"",OR(AND(G18&gt;='Geometry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3" t="str">
        <f t="shared" si="3"/>
        <v/>
      </c>
      <c r="D18" s="529" t="str">
        <f t="shared" si="4"/>
        <v/>
      </c>
      <c r="E18" s="530"/>
      <c r="F18" s="14" t="str">
        <f t="shared" si="2"/>
        <v/>
      </c>
      <c r="G18" s="531"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532"/>
      <c r="I18" s="143"/>
      <c r="J18" s="143"/>
      <c r="K18" s="143"/>
      <c r="L18" s="537" t="str">
        <f t="shared" si="0"/>
        <v/>
      </c>
      <c r="M18" s="537"/>
      <c r="N18" s="537"/>
      <c r="O18" s="537"/>
      <c r="P18" s="537" t="str">
        <f>IF(OR(G18=0,G18=""),"",IF(VLOOKUP(G18,'Geometry 2'!$C$4:$AI$14,1,TRUE)=VLOOKUP(G19,'Geometry 2'!$C$4:$AI$14,1,TRUE),"",IF(VLOOKUP(G18,'Geometry 2'!$C$4:$AI$14,33,TRUE)&lt;&gt;"n/a",MIN(G18,VLOOKUP(G18,'Geometry 2'!$C$4:$AI$14,1,TRUE))-VLOOKUP(G18,'Geometry 2'!$C$4:$AI$14,33,TRUE),"check")))</f>
        <v/>
      </c>
      <c r="Q18" s="537"/>
      <c r="R18" s="537"/>
      <c r="S18" s="537"/>
      <c r="T18" s="537" t="str">
        <f>IF($G18="","",VLOOKUP($G18,'Geometry 2'!$E$4:$AH$14,11,TRUE))</f>
        <v/>
      </c>
      <c r="U18" s="537"/>
      <c r="V18" s="537"/>
      <c r="W18" s="537"/>
      <c r="X18" s="538" t="str">
        <f>IF($G18="","",VLOOKUP($G18,'Geometry 2'!$E$4:$AJ$14,19,TRUE)-12*VLOOKUP($G18,'Geometry 2'!$E$4:$AJ$14,32,TRUE)*($D18-VLOOKUP($G18,'Geometry 2'!$E$5:$AH$14,1,TRUE)))</f>
        <v/>
      </c>
      <c r="Y18" s="538"/>
      <c r="Z18" s="538"/>
      <c r="AA18" s="538"/>
      <c r="AB18" s="542" t="str">
        <f>IF($G18="","",VLOOKUP($G18,'Geometry 2'!$E$4:$AJ$14,19,TRUE)-12*VLOOKUP($G18,'Geometry 2'!$E$4:$AJ$14,32,TRUE)*($G18-VLOOKUP($G18,'Geometry 2'!$E$5:$AH$14,1,TRUE)))</f>
        <v/>
      </c>
      <c r="AC18" s="543"/>
      <c r="AD18" s="543"/>
      <c r="AE18" s="544"/>
      <c r="AF18" s="538" t="str">
        <f>IF($G18="","",VLOOKUP($G18,'Geometry 2'!$E$4:$AJ$14,19,TRUE)-12*VLOOKUP($G18,'Geometry 2'!$E$4:$AJ$14,32,TRUE)*($G18-IF($P18="",0,$P18)-VLOOKUP($G18,'Geometry 2'!$E$5:$AH$14,1,TRUE)))</f>
        <v/>
      </c>
      <c r="AG18" s="538"/>
      <c r="AH18" s="538"/>
      <c r="AI18" s="538"/>
      <c r="AJ18" s="539" t="str">
        <f>IF($G18="","",VLOOKUP($G18,'Geometry 2'!$E$4:$AH$14,23,TRUE))</f>
        <v/>
      </c>
      <c r="AK18" s="549"/>
      <c r="AL18" s="549"/>
      <c r="AM18" s="550"/>
      <c r="AN18" s="537"/>
      <c r="AO18" s="537"/>
      <c r="AP18" s="537"/>
      <c r="AQ18" s="537"/>
      <c r="AR18" s="537" t="str">
        <f>IF($G18="","",VLOOKUP($G18,'Geometry 2'!$E$4:$AH$14,27,TRUE))</f>
        <v/>
      </c>
      <c r="AS18" s="537"/>
      <c r="AT18" s="537"/>
      <c r="AU18" s="539"/>
      <c r="AV18" s="564"/>
      <c r="AW18" s="538"/>
      <c r="AX18" s="538"/>
      <c r="AZ18" s="517" t="str">
        <f t="shared" si="5"/>
        <v/>
      </c>
      <c r="BA18" s="518"/>
      <c r="BB18" s="518"/>
      <c r="BC18" s="519"/>
      <c r="BD18" s="517"/>
      <c r="BE18" s="518"/>
      <c r="BF18" s="518"/>
      <c r="BG18" s="517" t="str">
        <f t="shared" si="1"/>
        <v/>
      </c>
      <c r="BH18" s="518"/>
      <c r="BI18" s="518"/>
      <c r="BJ18" s="518"/>
      <c r="BK18" s="519"/>
      <c r="BL18" s="517"/>
      <c r="BM18" s="518"/>
      <c r="BN18" s="518"/>
      <c r="BO18" s="518"/>
      <c r="BP18" s="520"/>
      <c r="BQ18" s="520"/>
      <c r="BR18" s="517" t="str">
        <f>IF(BP18="","",IF(OR(AND(Rev="H",Calculations!$F$27=TRUE),AND(Rev&lt;&gt;"H",Calculations!$F$30=TRUE)),IF(BP18&lt;=1,"Pass","Fail"),IF(BP18&lt;=1.05,"Pass","Fail")))</f>
        <v/>
      </c>
      <c r="BS18" s="518"/>
      <c r="BT18" s="519"/>
      <c r="BU18" s="34"/>
      <c r="BV18" s="16"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16"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16"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16"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16"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16"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16"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16"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16"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16"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16"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16"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16"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16"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16"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16"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16"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16"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44" t="str">
        <f t="shared" si="6"/>
        <v/>
      </c>
      <c r="CO18" s="494"/>
      <c r="CP18" s="495"/>
      <c r="CQ18" s="496"/>
      <c r="CR18" s="494"/>
      <c r="CS18" s="495"/>
      <c r="CT18" s="496"/>
      <c r="CU18" s="494" t="str">
        <f t="shared" si="7"/>
        <v/>
      </c>
      <c r="CV18" s="495"/>
      <c r="CW18" s="500"/>
      <c r="CX18" s="501"/>
      <c r="CY18" s="492"/>
      <c r="CZ18" s="502"/>
      <c r="DA18" s="488"/>
      <c r="DB18" s="489"/>
      <c r="DC18" s="490"/>
      <c r="DD18" s="491" t="str">
        <f t="shared" si="8"/>
        <v/>
      </c>
      <c r="DE18" s="492"/>
      <c r="DF18" s="493"/>
      <c r="DG18" s="40"/>
      <c r="DH18" s="41"/>
      <c r="DI18" s="41"/>
      <c r="DJ18" s="41"/>
      <c r="DK18" s="41"/>
      <c r="DL18" s="41"/>
      <c r="DM18" s="41"/>
      <c r="DN18" s="41"/>
      <c r="DO18" s="41"/>
      <c r="DP18" s="41"/>
      <c r="DQ18" s="43"/>
      <c r="DR18" s="43"/>
      <c r="DS18" s="43"/>
      <c r="DT18" s="43"/>
      <c r="DU18" s="43"/>
      <c r="DV18" s="43"/>
      <c r="DW18" s="43"/>
      <c r="DX18" s="43"/>
      <c r="DY18" s="43"/>
      <c r="DZ18" s="43"/>
      <c r="EA18" s="43"/>
      <c r="EB18" s="43"/>
      <c r="EC18" s="43"/>
      <c r="ED18" s="43"/>
      <c r="EE18" s="43"/>
      <c r="EF18" s="43"/>
      <c r="EG18" s="43"/>
      <c r="EH18" s="43"/>
      <c r="EI18" s="43"/>
      <c r="EJ18" s="43"/>
      <c r="EK18" s="43"/>
      <c r="EL18" s="98"/>
      <c r="EM18" s="98"/>
      <c r="EN18" s="98"/>
      <c r="EO18" s="98"/>
      <c r="EP18" s="98"/>
      <c r="EQ18" s="98"/>
      <c r="ER18" s="98"/>
      <c r="ES18" s="98"/>
      <c r="ET18" s="98"/>
      <c r="EU18" s="98"/>
      <c r="EV18" s="98"/>
      <c r="EW18" s="98"/>
      <c r="EX18" s="98"/>
      <c r="EY18" s="98"/>
      <c r="EZ18" s="98"/>
      <c r="FA18" s="98"/>
      <c r="FB18" s="98"/>
      <c r="FC18" s="98"/>
      <c r="FD18" s="98"/>
      <c r="FE18" s="98"/>
      <c r="FF18" s="98"/>
      <c r="FG18" s="98"/>
      <c r="FH18" s="98"/>
      <c r="FI18" s="98"/>
      <c r="FJ18" s="98"/>
      <c r="FK18" s="98"/>
      <c r="FL18" s="98"/>
      <c r="FM18" s="98"/>
      <c r="FN18" s="98"/>
      <c r="FO18" s="98"/>
      <c r="FQ18" s="89"/>
      <c r="FR18" s="87"/>
      <c r="FS18" s="85"/>
      <c r="FT18" s="84"/>
    </row>
    <row r="19" spans="2:176" ht="15.75" customHeight="1" thickBot="1" x14ac:dyDescent="0.3">
      <c r="B19" s="47" t="b">
        <f>IF(AND(P18&lt;&gt;"",OR(AND(G19&gt;='Geometry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3" t="str">
        <f t="shared" si="3"/>
        <v/>
      </c>
      <c r="D19" s="529" t="str">
        <f t="shared" si="4"/>
        <v/>
      </c>
      <c r="E19" s="530"/>
      <c r="F19" s="14" t="str">
        <f t="shared" si="2"/>
        <v/>
      </c>
      <c r="G19" s="531"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532"/>
      <c r="I19" s="143"/>
      <c r="J19" s="143"/>
      <c r="K19" s="143"/>
      <c r="L19" s="537" t="str">
        <f t="shared" si="0"/>
        <v/>
      </c>
      <c r="M19" s="537"/>
      <c r="N19" s="537"/>
      <c r="O19" s="537"/>
      <c r="P19" s="537" t="str">
        <f>IF(OR(G19=0,G19=""),"",IF(VLOOKUP(G19,'Geometry 2'!$C$4:$AI$14,1,TRUE)=VLOOKUP(G20,'Geometry 2'!$C$4:$AI$14,1,TRUE),"",IF(VLOOKUP(G19,'Geometry 2'!$C$4:$AI$14,33,TRUE)&lt;&gt;"n/a",MIN(G19,VLOOKUP(G19,'Geometry 2'!$C$4:$AI$14,1,TRUE))-VLOOKUP(G19,'Geometry 2'!$C$4:$AI$14,33,TRUE),"check")))</f>
        <v/>
      </c>
      <c r="Q19" s="537"/>
      <c r="R19" s="537"/>
      <c r="S19" s="537"/>
      <c r="T19" s="537" t="str">
        <f>IF($G19="","",VLOOKUP($G19,'Geometry 2'!$E$4:$AH$14,11,TRUE))</f>
        <v/>
      </c>
      <c r="U19" s="537"/>
      <c r="V19" s="537"/>
      <c r="W19" s="537"/>
      <c r="X19" s="538" t="str">
        <f>IF($G19="","",VLOOKUP($G19,'Geometry 2'!$E$4:$AJ$14,19,TRUE)-12*VLOOKUP($G19,'Geometry 2'!$E$4:$AJ$14,32,TRUE)*($D19-VLOOKUP($G19,'Geometry 2'!$E$5:$AH$14,1,TRUE)))</f>
        <v/>
      </c>
      <c r="Y19" s="538"/>
      <c r="Z19" s="538"/>
      <c r="AA19" s="538"/>
      <c r="AB19" s="542" t="str">
        <f>IF($G19="","",VLOOKUP($G19,'Geometry 2'!$E$4:$AJ$14,19,TRUE)-12*VLOOKUP($G19,'Geometry 2'!$E$4:$AJ$14,32,TRUE)*($G19-VLOOKUP($G19,'Geometry 2'!$E$5:$AH$14,1,TRUE)))</f>
        <v/>
      </c>
      <c r="AC19" s="543"/>
      <c r="AD19" s="543"/>
      <c r="AE19" s="544"/>
      <c r="AF19" s="538" t="str">
        <f>IF($G19="","",VLOOKUP($G19,'Geometry 2'!$E$4:$AJ$14,19,TRUE)-12*VLOOKUP($G19,'Geometry 2'!$E$4:$AJ$14,32,TRUE)*($G19-IF($P19="",0,$P19)-VLOOKUP($G19,'Geometry 2'!$E$5:$AH$14,1,TRUE)))</f>
        <v/>
      </c>
      <c r="AG19" s="538"/>
      <c r="AH19" s="538"/>
      <c r="AI19" s="538"/>
      <c r="AJ19" s="539" t="str">
        <f>IF($G19="","",VLOOKUP($G19,'Geometry 2'!$E$4:$AH$14,23,TRUE))</f>
        <v/>
      </c>
      <c r="AK19" s="549"/>
      <c r="AL19" s="549"/>
      <c r="AM19" s="550"/>
      <c r="AN19" s="537"/>
      <c r="AO19" s="537"/>
      <c r="AP19" s="537"/>
      <c r="AQ19" s="537"/>
      <c r="AR19" s="537" t="str">
        <f>IF($G19="","",VLOOKUP($G19,'Geometry 2'!$E$4:$AH$14,27,TRUE))</f>
        <v/>
      </c>
      <c r="AS19" s="537"/>
      <c r="AT19" s="537"/>
      <c r="AU19" s="539"/>
      <c r="AV19" s="564"/>
      <c r="AW19" s="538"/>
      <c r="AX19" s="538"/>
      <c r="AZ19" s="517" t="str">
        <f t="shared" si="5"/>
        <v/>
      </c>
      <c r="BA19" s="518"/>
      <c r="BB19" s="518"/>
      <c r="BC19" s="519"/>
      <c r="BD19" s="517"/>
      <c r="BE19" s="518"/>
      <c r="BF19" s="518"/>
      <c r="BG19" s="517" t="str">
        <f t="shared" si="1"/>
        <v/>
      </c>
      <c r="BH19" s="518"/>
      <c r="BI19" s="518"/>
      <c r="BJ19" s="518"/>
      <c r="BK19" s="519"/>
      <c r="BL19" s="517"/>
      <c r="BM19" s="518"/>
      <c r="BN19" s="518"/>
      <c r="BO19" s="518"/>
      <c r="BP19" s="520"/>
      <c r="BQ19" s="520"/>
      <c r="BR19" s="517" t="str">
        <f>IF(BP19="","",IF(OR(AND(Rev="H",Calculations!$F$27=TRUE),AND(Rev&lt;&gt;"H",Calculations!$F$30=TRUE)),IF(BP19&lt;=1,"Pass","Fail"),IF(BP19&lt;=1.05,"Pass","Fail")))</f>
        <v/>
      </c>
      <c r="BS19" s="518"/>
      <c r="BT19" s="519"/>
      <c r="BU19" s="34"/>
      <c r="BV19" s="16"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16"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16"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16"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16"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16"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16"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16"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16"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16"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16"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16"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16"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16"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16"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16"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16"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16"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45" t="str">
        <f t="shared" si="6"/>
        <v/>
      </c>
      <c r="CO19" s="497"/>
      <c r="CP19" s="498"/>
      <c r="CQ19" s="499"/>
      <c r="CR19" s="497"/>
      <c r="CS19" s="498"/>
      <c r="CT19" s="499"/>
      <c r="CU19" s="497" t="str">
        <f t="shared" si="7"/>
        <v/>
      </c>
      <c r="CV19" s="498"/>
      <c r="CW19" s="503"/>
      <c r="CX19" s="484"/>
      <c r="CY19" s="485"/>
      <c r="CZ19" s="486"/>
      <c r="DA19" s="484"/>
      <c r="DB19" s="485"/>
      <c r="DC19" s="486"/>
      <c r="DD19" s="484" t="str">
        <f t="shared" si="8"/>
        <v/>
      </c>
      <c r="DE19" s="485"/>
      <c r="DF19" s="487"/>
      <c r="DG19" s="38"/>
      <c r="DH19" s="39"/>
      <c r="DI19" s="39"/>
      <c r="DJ19" s="39"/>
      <c r="DK19" s="39"/>
      <c r="DL19" s="39"/>
      <c r="DM19" s="39"/>
      <c r="DN19" s="39"/>
      <c r="DO19" s="39"/>
      <c r="DP19" s="39"/>
      <c r="DQ19" s="42"/>
      <c r="DR19" s="42"/>
      <c r="DS19" s="42"/>
      <c r="DT19" s="42"/>
      <c r="DU19" s="42"/>
      <c r="DV19" s="42"/>
      <c r="DW19" s="42"/>
      <c r="DX19" s="42"/>
      <c r="DY19" s="42"/>
      <c r="DZ19" s="42"/>
      <c r="EA19" s="42"/>
      <c r="EB19" s="42"/>
      <c r="EC19" s="42"/>
      <c r="ED19" s="42"/>
      <c r="EE19" s="42"/>
      <c r="EF19" s="42"/>
      <c r="EG19" s="42"/>
      <c r="EH19" s="42"/>
      <c r="EI19" s="42"/>
      <c r="EJ19" s="42"/>
      <c r="EK19" s="42"/>
      <c r="EL19" s="97"/>
      <c r="EM19" s="97"/>
      <c r="EN19" s="97"/>
      <c r="EO19" s="97"/>
      <c r="EP19" s="97"/>
      <c r="EQ19" s="97"/>
      <c r="ER19" s="97"/>
      <c r="ES19" s="97"/>
      <c r="ET19" s="97"/>
      <c r="EU19" s="97"/>
      <c r="EV19" s="97"/>
      <c r="EW19" s="97"/>
      <c r="EX19" s="97"/>
      <c r="EY19" s="97"/>
      <c r="EZ19" s="97"/>
      <c r="FA19" s="97"/>
      <c r="FB19" s="97"/>
      <c r="FC19" s="97"/>
      <c r="FD19" s="97"/>
      <c r="FE19" s="97"/>
      <c r="FF19" s="97"/>
      <c r="FG19" s="97"/>
      <c r="FH19" s="97"/>
      <c r="FI19" s="97"/>
      <c r="FJ19" s="97"/>
      <c r="FK19" s="97"/>
      <c r="FL19" s="97"/>
      <c r="FM19" s="97"/>
      <c r="FN19" s="97"/>
      <c r="FO19" s="97"/>
      <c r="FQ19" s="90"/>
      <c r="FR19" s="88"/>
      <c r="FS19" s="86"/>
      <c r="FT19" s="84"/>
    </row>
    <row r="20" spans="2:176" ht="15.75" customHeight="1" thickBot="1" x14ac:dyDescent="0.3">
      <c r="B20" s="47" t="b">
        <f>IF(AND(P19&lt;&gt;"",OR(AND(G20&gt;='Geometry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3" t="str">
        <f t="shared" si="3"/>
        <v/>
      </c>
      <c r="D20" s="529" t="str">
        <f t="shared" si="4"/>
        <v/>
      </c>
      <c r="E20" s="530"/>
      <c r="F20" s="14" t="str">
        <f t="shared" si="2"/>
        <v/>
      </c>
      <c r="G20" s="531"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532"/>
      <c r="I20" s="143"/>
      <c r="J20" s="143"/>
      <c r="K20" s="143"/>
      <c r="L20" s="537" t="str">
        <f t="shared" si="0"/>
        <v/>
      </c>
      <c r="M20" s="537"/>
      <c r="N20" s="537"/>
      <c r="O20" s="537"/>
      <c r="P20" s="537" t="str">
        <f>IF(OR(G20=0,G20=""),"",IF(VLOOKUP(G20,'Geometry 2'!$C$4:$AI$14,1,TRUE)=VLOOKUP(G21,'Geometry 2'!$C$4:$AI$14,1,TRUE),"",IF(VLOOKUP(G20,'Geometry 2'!$C$4:$AI$14,33,TRUE)&lt;&gt;"n/a",MIN(G20,VLOOKUP(G20,'Geometry 2'!$C$4:$AI$14,1,TRUE))-VLOOKUP(G20,'Geometry 2'!$C$4:$AI$14,33,TRUE),"check")))</f>
        <v/>
      </c>
      <c r="Q20" s="537"/>
      <c r="R20" s="537"/>
      <c r="S20" s="537"/>
      <c r="T20" s="537" t="str">
        <f>IF($G20="","",VLOOKUP($G20,'Geometry 2'!$E$4:$AH$14,11,TRUE))</f>
        <v/>
      </c>
      <c r="U20" s="537"/>
      <c r="V20" s="537"/>
      <c r="W20" s="537"/>
      <c r="X20" s="538" t="str">
        <f>IF($G20="","",VLOOKUP($G20,'Geometry 2'!$E$4:$AJ$14,19,TRUE)-12*VLOOKUP($G20,'Geometry 2'!$E$4:$AJ$14,32,TRUE)*($D20-VLOOKUP($G20,'Geometry 2'!$E$5:$AH$14,1,TRUE)))</f>
        <v/>
      </c>
      <c r="Y20" s="538"/>
      <c r="Z20" s="538"/>
      <c r="AA20" s="538"/>
      <c r="AB20" s="542" t="str">
        <f>IF($G20="","",VLOOKUP($G20,'Geometry 2'!$E$4:$AJ$14,19,TRUE)-12*VLOOKUP($G20,'Geometry 2'!$E$4:$AJ$14,32,TRUE)*($G20-VLOOKUP($G20,'Geometry 2'!$E$5:$AH$14,1,TRUE)))</f>
        <v/>
      </c>
      <c r="AC20" s="543"/>
      <c r="AD20" s="543"/>
      <c r="AE20" s="544"/>
      <c r="AF20" s="538" t="str">
        <f>IF($G20="","",VLOOKUP($G20,'Geometry 2'!$E$4:$AJ$14,19,TRUE)-12*VLOOKUP($G20,'Geometry 2'!$E$4:$AJ$14,32,TRUE)*($G20-IF($P20="",0,$P20)-VLOOKUP($G20,'Geometry 2'!$E$5:$AH$14,1,TRUE)))</f>
        <v/>
      </c>
      <c r="AG20" s="538"/>
      <c r="AH20" s="538"/>
      <c r="AI20" s="538"/>
      <c r="AJ20" s="539" t="str">
        <f>IF($G20="","",VLOOKUP($G20,'Geometry 2'!$E$4:$AH$14,23,TRUE))</f>
        <v/>
      </c>
      <c r="AK20" s="549"/>
      <c r="AL20" s="549"/>
      <c r="AM20" s="550"/>
      <c r="AN20" s="537"/>
      <c r="AO20" s="537"/>
      <c r="AP20" s="537"/>
      <c r="AQ20" s="537"/>
      <c r="AR20" s="537" t="str">
        <f>IF($G20="","",VLOOKUP($G20,'Geometry 2'!$E$4:$AH$14,27,TRUE))</f>
        <v/>
      </c>
      <c r="AS20" s="537"/>
      <c r="AT20" s="537"/>
      <c r="AU20" s="539"/>
      <c r="AV20" s="564"/>
      <c r="AW20" s="538"/>
      <c r="AX20" s="538"/>
      <c r="AZ20" s="517" t="str">
        <f t="shared" si="5"/>
        <v/>
      </c>
      <c r="BA20" s="518"/>
      <c r="BB20" s="518"/>
      <c r="BC20" s="519"/>
      <c r="BD20" s="517"/>
      <c r="BE20" s="518"/>
      <c r="BF20" s="518"/>
      <c r="BG20" s="517" t="str">
        <f t="shared" si="1"/>
        <v/>
      </c>
      <c r="BH20" s="518"/>
      <c r="BI20" s="518"/>
      <c r="BJ20" s="518"/>
      <c r="BK20" s="519"/>
      <c r="BL20" s="517"/>
      <c r="BM20" s="518"/>
      <c r="BN20" s="518"/>
      <c r="BO20" s="518"/>
      <c r="BP20" s="520"/>
      <c r="BQ20" s="520"/>
      <c r="BR20" s="517" t="str">
        <f>IF(BP20="","",IF(OR(AND(Rev="H",Calculations!$F$27=TRUE),AND(Rev&lt;&gt;"H",Calculations!$F$30=TRUE)),IF(BP20&lt;=1,"Pass","Fail"),IF(BP20&lt;=1.05,"Pass","Fail")))</f>
        <v/>
      </c>
      <c r="BS20" s="518"/>
      <c r="BT20" s="519"/>
      <c r="BU20" s="34"/>
      <c r="BV20" s="16"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16"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16"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16"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16"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16"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16"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16"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16"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16"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16"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16"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16"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16"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16"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16"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16"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16"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44" t="str">
        <f t="shared" si="6"/>
        <v/>
      </c>
      <c r="CO20" s="494"/>
      <c r="CP20" s="495"/>
      <c r="CQ20" s="496"/>
      <c r="CR20" s="494"/>
      <c r="CS20" s="495"/>
      <c r="CT20" s="496"/>
      <c r="CU20" s="494" t="str">
        <f t="shared" si="7"/>
        <v/>
      </c>
      <c r="CV20" s="495"/>
      <c r="CW20" s="500"/>
      <c r="CX20" s="501"/>
      <c r="CY20" s="492"/>
      <c r="CZ20" s="502"/>
      <c r="DA20" s="488"/>
      <c r="DB20" s="489"/>
      <c r="DC20" s="490"/>
      <c r="DD20" s="491" t="str">
        <f t="shared" si="8"/>
        <v/>
      </c>
      <c r="DE20" s="492"/>
      <c r="DF20" s="493"/>
      <c r="DG20" s="40"/>
      <c r="DH20" s="41"/>
      <c r="DI20" s="41"/>
      <c r="DJ20" s="41"/>
      <c r="DK20" s="41"/>
      <c r="DL20" s="41"/>
      <c r="DM20" s="41"/>
      <c r="DN20" s="41"/>
      <c r="DO20" s="41"/>
      <c r="DP20" s="41"/>
      <c r="DQ20" s="43"/>
      <c r="DR20" s="43"/>
      <c r="DS20" s="43"/>
      <c r="DT20" s="43"/>
      <c r="DU20" s="43"/>
      <c r="DV20" s="43"/>
      <c r="DW20" s="43"/>
      <c r="DX20" s="43"/>
      <c r="DY20" s="43"/>
      <c r="DZ20" s="43"/>
      <c r="EA20" s="43"/>
      <c r="EB20" s="43"/>
      <c r="EC20" s="43"/>
      <c r="ED20" s="43"/>
      <c r="EE20" s="43"/>
      <c r="EF20" s="43"/>
      <c r="EG20" s="43"/>
      <c r="EH20" s="43"/>
      <c r="EI20" s="43"/>
      <c r="EJ20" s="43"/>
      <c r="EK20" s="43"/>
      <c r="EL20" s="98"/>
      <c r="EM20" s="98"/>
      <c r="EN20" s="98"/>
      <c r="EO20" s="98"/>
      <c r="EP20" s="98"/>
      <c r="EQ20" s="98"/>
      <c r="ER20" s="98"/>
      <c r="ES20" s="98"/>
      <c r="ET20" s="98"/>
      <c r="EU20" s="98"/>
      <c r="EV20" s="98"/>
      <c r="EW20" s="98"/>
      <c r="EX20" s="98"/>
      <c r="EY20" s="98"/>
      <c r="EZ20" s="98"/>
      <c r="FA20" s="98"/>
      <c r="FB20" s="98"/>
      <c r="FC20" s="98"/>
      <c r="FD20" s="98"/>
      <c r="FE20" s="98"/>
      <c r="FF20" s="98"/>
      <c r="FG20" s="98"/>
      <c r="FH20" s="98"/>
      <c r="FI20" s="98"/>
      <c r="FJ20" s="98"/>
      <c r="FK20" s="98"/>
      <c r="FL20" s="98"/>
      <c r="FM20" s="98"/>
      <c r="FN20" s="98"/>
      <c r="FO20" s="98"/>
      <c r="FQ20" s="89"/>
      <c r="FR20" s="87"/>
      <c r="FS20" s="85"/>
      <c r="FT20" s="84"/>
    </row>
    <row r="21" spans="2:176" ht="15.75" customHeight="1" thickBot="1" x14ac:dyDescent="0.3">
      <c r="B21" s="47" t="b">
        <f>IF(AND(P20&lt;&gt;"",OR(AND(G21&gt;='Geometry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3" t="str">
        <f t="shared" si="3"/>
        <v/>
      </c>
      <c r="D21" s="529" t="str">
        <f t="shared" si="4"/>
        <v/>
      </c>
      <c r="E21" s="530"/>
      <c r="F21" s="14" t="str">
        <f t="shared" si="2"/>
        <v/>
      </c>
      <c r="G21" s="531"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532"/>
      <c r="I21" s="143"/>
      <c r="J21" s="143"/>
      <c r="K21" s="143"/>
      <c r="L21" s="537" t="str">
        <f t="shared" si="0"/>
        <v/>
      </c>
      <c r="M21" s="537"/>
      <c r="N21" s="537"/>
      <c r="O21" s="537"/>
      <c r="P21" s="537" t="str">
        <f>IF(OR(G21=0,G21=""),"",IF(VLOOKUP(G21,'Geometry 2'!$C$4:$AI$14,1,TRUE)=VLOOKUP(G22,'Geometry 2'!$C$4:$AI$14,1,TRUE),"",IF(VLOOKUP(G21,'Geometry 2'!$C$4:$AI$14,33,TRUE)&lt;&gt;"n/a",MIN(G21,VLOOKUP(G21,'Geometry 2'!$C$4:$AI$14,1,TRUE))-VLOOKUP(G21,'Geometry 2'!$C$4:$AI$14,33,TRUE),"check")))</f>
        <v/>
      </c>
      <c r="Q21" s="537"/>
      <c r="R21" s="537"/>
      <c r="S21" s="537"/>
      <c r="T21" s="537" t="str">
        <f>IF($G21="","",VLOOKUP($G21,'Geometry 2'!$E$4:$AH$14,11,TRUE))</f>
        <v/>
      </c>
      <c r="U21" s="537"/>
      <c r="V21" s="537"/>
      <c r="W21" s="537"/>
      <c r="X21" s="538" t="str">
        <f>IF($G21="","",VLOOKUP($G21,'Geometry 2'!$E$4:$AJ$14,19,TRUE)-12*VLOOKUP($G21,'Geometry 2'!$E$4:$AJ$14,32,TRUE)*($D21-VLOOKUP($G21,'Geometry 2'!$E$5:$AH$14,1,TRUE)))</f>
        <v/>
      </c>
      <c r="Y21" s="538"/>
      <c r="Z21" s="538"/>
      <c r="AA21" s="538"/>
      <c r="AB21" s="542" t="str">
        <f>IF($G21="","",VLOOKUP($G21,'Geometry 2'!$E$4:$AJ$14,19,TRUE)-12*VLOOKUP($G21,'Geometry 2'!$E$4:$AJ$14,32,TRUE)*($G21-VLOOKUP($G21,'Geometry 2'!$E$5:$AH$14,1,TRUE)))</f>
        <v/>
      </c>
      <c r="AC21" s="543"/>
      <c r="AD21" s="543"/>
      <c r="AE21" s="544"/>
      <c r="AF21" s="538" t="str">
        <f>IF($G21="","",VLOOKUP($G21,'Geometry 2'!$E$4:$AJ$14,19,TRUE)-12*VLOOKUP($G21,'Geometry 2'!$E$4:$AJ$14,32,TRUE)*($G21-IF($P21="",0,$P21)-VLOOKUP($G21,'Geometry 2'!$E$5:$AH$14,1,TRUE)))</f>
        <v/>
      </c>
      <c r="AG21" s="538"/>
      <c r="AH21" s="538"/>
      <c r="AI21" s="538"/>
      <c r="AJ21" s="539" t="str">
        <f>IF($G21="","",VLOOKUP($G21,'Geometry 2'!$E$4:$AH$14,23,TRUE))</f>
        <v/>
      </c>
      <c r="AK21" s="549"/>
      <c r="AL21" s="549"/>
      <c r="AM21" s="550"/>
      <c r="AN21" s="537"/>
      <c r="AO21" s="537"/>
      <c r="AP21" s="537"/>
      <c r="AQ21" s="537"/>
      <c r="AR21" s="537" t="str">
        <f>IF($G21="","",VLOOKUP($G21,'Geometry 2'!$E$4:$AH$14,27,TRUE))</f>
        <v/>
      </c>
      <c r="AS21" s="537"/>
      <c r="AT21" s="537"/>
      <c r="AU21" s="539"/>
      <c r="AV21" s="564"/>
      <c r="AW21" s="538"/>
      <c r="AX21" s="538"/>
      <c r="AZ21" s="517" t="str">
        <f t="shared" si="5"/>
        <v/>
      </c>
      <c r="BA21" s="518"/>
      <c r="BB21" s="518"/>
      <c r="BC21" s="519"/>
      <c r="BD21" s="517"/>
      <c r="BE21" s="518"/>
      <c r="BF21" s="518"/>
      <c r="BG21" s="517" t="str">
        <f t="shared" si="1"/>
        <v/>
      </c>
      <c r="BH21" s="518"/>
      <c r="BI21" s="518"/>
      <c r="BJ21" s="518"/>
      <c r="BK21" s="519"/>
      <c r="BL21" s="517"/>
      <c r="BM21" s="518"/>
      <c r="BN21" s="518"/>
      <c r="BO21" s="518"/>
      <c r="BP21" s="520"/>
      <c r="BQ21" s="520"/>
      <c r="BR21" s="517" t="str">
        <f>IF(BP21="","",IF(OR(AND(Rev="H",Calculations!$F$27=TRUE),AND(Rev&lt;&gt;"H",Calculations!$F$30=TRUE)),IF(BP21&lt;=1,"Pass","Fail"),IF(BP21&lt;=1.05,"Pass","Fail")))</f>
        <v/>
      </c>
      <c r="BS21" s="518"/>
      <c r="BT21" s="519"/>
      <c r="BU21" s="34"/>
      <c r="BV21" s="16"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16"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16"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16"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16"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16"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16"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16"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16"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16"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16"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16"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16"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16"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16"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16"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16"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16"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45" t="str">
        <f t="shared" si="6"/>
        <v/>
      </c>
      <c r="CO21" s="497"/>
      <c r="CP21" s="498"/>
      <c r="CQ21" s="499"/>
      <c r="CR21" s="497"/>
      <c r="CS21" s="498"/>
      <c r="CT21" s="499"/>
      <c r="CU21" s="497" t="str">
        <f t="shared" si="7"/>
        <v/>
      </c>
      <c r="CV21" s="498"/>
      <c r="CW21" s="503"/>
      <c r="CX21" s="484"/>
      <c r="CY21" s="485"/>
      <c r="CZ21" s="486"/>
      <c r="DA21" s="484"/>
      <c r="DB21" s="485"/>
      <c r="DC21" s="486"/>
      <c r="DD21" s="484" t="str">
        <f t="shared" si="8"/>
        <v/>
      </c>
      <c r="DE21" s="485"/>
      <c r="DF21" s="487"/>
      <c r="DG21" s="38"/>
      <c r="DH21" s="39"/>
      <c r="DI21" s="39"/>
      <c r="DJ21" s="39"/>
      <c r="DK21" s="39"/>
      <c r="DL21" s="39"/>
      <c r="DM21" s="39"/>
      <c r="DN21" s="39"/>
      <c r="DO21" s="39"/>
      <c r="DP21" s="39"/>
      <c r="DQ21" s="42"/>
      <c r="DR21" s="42"/>
      <c r="DS21" s="42"/>
      <c r="DT21" s="42"/>
      <c r="DU21" s="42"/>
      <c r="DV21" s="42"/>
      <c r="DW21" s="42"/>
      <c r="DX21" s="42"/>
      <c r="DY21" s="42"/>
      <c r="DZ21" s="42"/>
      <c r="EA21" s="42"/>
      <c r="EB21" s="42"/>
      <c r="EC21" s="42"/>
      <c r="ED21" s="42"/>
      <c r="EE21" s="42"/>
      <c r="EF21" s="42"/>
      <c r="EG21" s="42"/>
      <c r="EH21" s="42"/>
      <c r="EI21" s="42"/>
      <c r="EJ21" s="42"/>
      <c r="EK21" s="42"/>
      <c r="EL21" s="97"/>
      <c r="EM21" s="97"/>
      <c r="EN21" s="97"/>
      <c r="EO21" s="97"/>
      <c r="EP21" s="97"/>
      <c r="EQ21" s="97"/>
      <c r="ER21" s="97"/>
      <c r="ES21" s="97"/>
      <c r="ET21" s="97"/>
      <c r="EU21" s="97"/>
      <c r="EV21" s="97"/>
      <c r="EW21" s="97"/>
      <c r="EX21" s="97"/>
      <c r="EY21" s="97"/>
      <c r="EZ21" s="97"/>
      <c r="FA21" s="97"/>
      <c r="FB21" s="97"/>
      <c r="FC21" s="97"/>
      <c r="FD21" s="97"/>
      <c r="FE21" s="97"/>
      <c r="FF21" s="97"/>
      <c r="FG21" s="97"/>
      <c r="FH21" s="97"/>
      <c r="FI21" s="97"/>
      <c r="FJ21" s="97"/>
      <c r="FK21" s="97"/>
      <c r="FL21" s="97"/>
      <c r="FM21" s="97"/>
      <c r="FN21" s="97"/>
      <c r="FO21" s="97"/>
      <c r="FQ21" s="90"/>
      <c r="FR21" s="88"/>
      <c r="FS21" s="86"/>
      <c r="FT21" s="84"/>
    </row>
    <row r="22" spans="2:176" ht="15.75" customHeight="1" thickBot="1" x14ac:dyDescent="0.3">
      <c r="B22" s="47" t="b">
        <f>IF(AND(P21&lt;&gt;"",OR(AND(G22&gt;='Geometry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3" t="str">
        <f t="shared" si="3"/>
        <v/>
      </c>
      <c r="D22" s="529" t="str">
        <f t="shared" si="4"/>
        <v/>
      </c>
      <c r="E22" s="530"/>
      <c r="F22" s="14" t="str">
        <f t="shared" si="2"/>
        <v/>
      </c>
      <c r="G22" s="531"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532"/>
      <c r="I22" s="143"/>
      <c r="J22" s="143"/>
      <c r="K22" s="143"/>
      <c r="L22" s="537" t="str">
        <f t="shared" si="0"/>
        <v/>
      </c>
      <c r="M22" s="537"/>
      <c r="N22" s="537"/>
      <c r="O22" s="537"/>
      <c r="P22" s="537" t="str">
        <f>IF(OR(G22=0,G22=""),"",IF(VLOOKUP(G22,'Geometry 2'!$C$4:$AI$14,1,TRUE)=VLOOKUP(G23,'Geometry 2'!$C$4:$AI$14,1,TRUE),"",IF(VLOOKUP(G22,'Geometry 2'!$C$4:$AI$14,33,TRUE)&lt;&gt;"n/a",MIN(G22,VLOOKUP(G22,'Geometry 2'!$C$4:$AI$14,1,TRUE))-VLOOKUP(G22,'Geometry 2'!$C$4:$AI$14,33,TRUE),"check")))</f>
        <v/>
      </c>
      <c r="Q22" s="537"/>
      <c r="R22" s="537"/>
      <c r="S22" s="537"/>
      <c r="T22" s="537" t="str">
        <f>IF($G22="","",VLOOKUP($G22,'Geometry 2'!$E$4:$AH$14,11,TRUE))</f>
        <v/>
      </c>
      <c r="U22" s="537"/>
      <c r="V22" s="537"/>
      <c r="W22" s="537"/>
      <c r="X22" s="538" t="str">
        <f>IF($G22="","",VLOOKUP($G22,'Geometry 2'!$E$4:$AJ$14,19,TRUE)-12*VLOOKUP($G22,'Geometry 2'!$E$4:$AJ$14,32,TRUE)*($D22-VLOOKUP($G22,'Geometry 2'!$E$5:$AH$14,1,TRUE)))</f>
        <v/>
      </c>
      <c r="Y22" s="538"/>
      <c r="Z22" s="538"/>
      <c r="AA22" s="538"/>
      <c r="AB22" s="542" t="str">
        <f>IF($G22="","",VLOOKUP($G22,'Geometry 2'!$E$4:$AJ$14,19,TRUE)-12*VLOOKUP($G22,'Geometry 2'!$E$4:$AJ$14,32,TRUE)*($G22-VLOOKUP($G22,'Geometry 2'!$E$5:$AH$14,1,TRUE)))</f>
        <v/>
      </c>
      <c r="AC22" s="543"/>
      <c r="AD22" s="543"/>
      <c r="AE22" s="544"/>
      <c r="AF22" s="538" t="str">
        <f>IF($G22="","",VLOOKUP($G22,'Geometry 2'!$E$4:$AJ$14,19,TRUE)-12*VLOOKUP($G22,'Geometry 2'!$E$4:$AJ$14,32,TRUE)*($G22-IF($P22="",0,$P22)-VLOOKUP($G22,'Geometry 2'!$E$5:$AH$14,1,TRUE)))</f>
        <v/>
      </c>
      <c r="AG22" s="538"/>
      <c r="AH22" s="538"/>
      <c r="AI22" s="538"/>
      <c r="AJ22" s="539" t="str">
        <f>IF($G22="","",VLOOKUP($G22,'Geometry 2'!$E$4:$AH$14,23,TRUE))</f>
        <v/>
      </c>
      <c r="AK22" s="549"/>
      <c r="AL22" s="549"/>
      <c r="AM22" s="550"/>
      <c r="AN22" s="537"/>
      <c r="AO22" s="537"/>
      <c r="AP22" s="537"/>
      <c r="AQ22" s="537"/>
      <c r="AR22" s="537" t="str">
        <f>IF($G22="","",VLOOKUP($G22,'Geometry 2'!$E$4:$AH$14,27,TRUE))</f>
        <v/>
      </c>
      <c r="AS22" s="537"/>
      <c r="AT22" s="537"/>
      <c r="AU22" s="539"/>
      <c r="AV22" s="564"/>
      <c r="AW22" s="538"/>
      <c r="AX22" s="538"/>
      <c r="AZ22" s="517" t="str">
        <f t="shared" si="5"/>
        <v/>
      </c>
      <c r="BA22" s="518"/>
      <c r="BB22" s="518"/>
      <c r="BC22" s="519"/>
      <c r="BD22" s="517"/>
      <c r="BE22" s="518"/>
      <c r="BF22" s="518"/>
      <c r="BG22" s="517" t="str">
        <f t="shared" si="1"/>
        <v/>
      </c>
      <c r="BH22" s="518"/>
      <c r="BI22" s="518"/>
      <c r="BJ22" s="518"/>
      <c r="BK22" s="519"/>
      <c r="BL22" s="517"/>
      <c r="BM22" s="518"/>
      <c r="BN22" s="518"/>
      <c r="BO22" s="518"/>
      <c r="BP22" s="520"/>
      <c r="BQ22" s="520"/>
      <c r="BR22" s="517" t="str">
        <f>IF(BP22="","",IF(OR(AND(Rev="H",Calculations!$F$27=TRUE),AND(Rev&lt;&gt;"H",Calculations!$F$30=TRUE)),IF(BP22&lt;=1,"Pass","Fail"),IF(BP22&lt;=1.05,"Pass","Fail")))</f>
        <v/>
      </c>
      <c r="BS22" s="518"/>
      <c r="BT22" s="519"/>
      <c r="BU22" s="34"/>
      <c r="BV22" s="16"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16"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16"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16"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16"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16"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16"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16"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16"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16"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16"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16"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16"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16"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16"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16"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16"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16"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44" t="str">
        <f t="shared" si="6"/>
        <v/>
      </c>
      <c r="CO22" s="494"/>
      <c r="CP22" s="495"/>
      <c r="CQ22" s="496"/>
      <c r="CR22" s="494"/>
      <c r="CS22" s="495"/>
      <c r="CT22" s="496"/>
      <c r="CU22" s="494" t="str">
        <f t="shared" si="7"/>
        <v/>
      </c>
      <c r="CV22" s="495"/>
      <c r="CW22" s="500"/>
      <c r="CX22" s="501"/>
      <c r="CY22" s="492"/>
      <c r="CZ22" s="502"/>
      <c r="DA22" s="488"/>
      <c r="DB22" s="489"/>
      <c r="DC22" s="490"/>
      <c r="DD22" s="491" t="str">
        <f t="shared" si="8"/>
        <v/>
      </c>
      <c r="DE22" s="492"/>
      <c r="DF22" s="493"/>
      <c r="DG22" s="40"/>
      <c r="DH22" s="41"/>
      <c r="DI22" s="41"/>
      <c r="DJ22" s="41"/>
      <c r="DK22" s="41"/>
      <c r="DL22" s="41"/>
      <c r="DM22" s="41"/>
      <c r="DN22" s="41"/>
      <c r="DO22" s="41"/>
      <c r="DP22" s="41"/>
      <c r="DQ22" s="43"/>
      <c r="DR22" s="43"/>
      <c r="DS22" s="43"/>
      <c r="DT22" s="43"/>
      <c r="DU22" s="43"/>
      <c r="DV22" s="43"/>
      <c r="DW22" s="43"/>
      <c r="DX22" s="43"/>
      <c r="DY22" s="43"/>
      <c r="DZ22" s="43"/>
      <c r="EA22" s="43"/>
      <c r="EB22" s="43"/>
      <c r="EC22" s="43"/>
      <c r="ED22" s="43"/>
      <c r="EE22" s="43"/>
      <c r="EF22" s="43"/>
      <c r="EG22" s="43"/>
      <c r="EH22" s="43"/>
      <c r="EI22" s="43"/>
      <c r="EJ22" s="43"/>
      <c r="EK22" s="43"/>
      <c r="EL22" s="98"/>
      <c r="EM22" s="98"/>
      <c r="EN22" s="98"/>
      <c r="EO22" s="98"/>
      <c r="EP22" s="98"/>
      <c r="EQ22" s="98"/>
      <c r="ER22" s="98"/>
      <c r="ES22" s="98"/>
      <c r="ET22" s="98"/>
      <c r="EU22" s="98"/>
      <c r="EV22" s="98"/>
      <c r="EW22" s="98"/>
      <c r="EX22" s="98"/>
      <c r="EY22" s="98"/>
      <c r="EZ22" s="98"/>
      <c r="FA22" s="98"/>
      <c r="FB22" s="98"/>
      <c r="FC22" s="98"/>
      <c r="FD22" s="98"/>
      <c r="FE22" s="98"/>
      <c r="FF22" s="98"/>
      <c r="FG22" s="98"/>
      <c r="FH22" s="98"/>
      <c r="FI22" s="98"/>
      <c r="FJ22" s="98"/>
      <c r="FK22" s="98"/>
      <c r="FL22" s="98"/>
      <c r="FM22" s="98"/>
      <c r="FN22" s="98"/>
      <c r="FO22" s="98"/>
      <c r="FQ22" s="89"/>
      <c r="FR22" s="87"/>
      <c r="FS22" s="85"/>
      <c r="FT22" s="84"/>
    </row>
    <row r="23" spans="2:176" ht="15.75" customHeight="1" thickBot="1" x14ac:dyDescent="0.3">
      <c r="B23" s="47" t="b">
        <f>IF(AND(P22&lt;&gt;"",OR(AND(G23&gt;='Geometry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3" t="str">
        <f t="shared" si="3"/>
        <v/>
      </c>
      <c r="D23" s="529" t="str">
        <f t="shared" si="4"/>
        <v/>
      </c>
      <c r="E23" s="530"/>
      <c r="F23" s="14" t="str">
        <f t="shared" si="2"/>
        <v/>
      </c>
      <c r="G23" s="531"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532"/>
      <c r="I23" s="143"/>
      <c r="J23" s="143"/>
      <c r="K23" s="143"/>
      <c r="L23" s="537" t="str">
        <f t="shared" si="0"/>
        <v/>
      </c>
      <c r="M23" s="537"/>
      <c r="N23" s="537"/>
      <c r="O23" s="537"/>
      <c r="P23" s="537" t="str">
        <f>IF(OR(G23=0,G23=""),"",IF(VLOOKUP(G23,'Geometry 2'!$C$4:$AI$14,1,TRUE)=VLOOKUP(G24,'Geometry 2'!$C$4:$AI$14,1,TRUE),"",IF(VLOOKUP(G23,'Geometry 2'!$C$4:$AI$14,33,TRUE)&lt;&gt;"n/a",MIN(G23,VLOOKUP(G23,'Geometry 2'!$C$4:$AI$14,1,TRUE))-VLOOKUP(G23,'Geometry 2'!$C$4:$AI$14,33,TRUE),"check")))</f>
        <v/>
      </c>
      <c r="Q23" s="537"/>
      <c r="R23" s="537"/>
      <c r="S23" s="537"/>
      <c r="T23" s="537" t="str">
        <f>IF($G23="","",VLOOKUP($G23,'Geometry 2'!$E$4:$AH$14,11,TRUE))</f>
        <v/>
      </c>
      <c r="U23" s="537"/>
      <c r="V23" s="537"/>
      <c r="W23" s="537"/>
      <c r="X23" s="538" t="str">
        <f>IF($G23="","",VLOOKUP($G23,'Geometry 2'!$E$4:$AJ$14,19,TRUE)-12*VLOOKUP($G23,'Geometry 2'!$E$4:$AJ$14,32,TRUE)*($D23-VLOOKUP($G23,'Geometry 2'!$E$5:$AH$14,1,TRUE)))</f>
        <v/>
      </c>
      <c r="Y23" s="538"/>
      <c r="Z23" s="538"/>
      <c r="AA23" s="538"/>
      <c r="AB23" s="542" t="str">
        <f>IF($G23="","",VLOOKUP($G23,'Geometry 2'!$E$4:$AJ$14,19,TRUE)-12*VLOOKUP($G23,'Geometry 2'!$E$4:$AJ$14,32,TRUE)*($G23-VLOOKUP($G23,'Geometry 2'!$E$5:$AH$14,1,TRUE)))</f>
        <v/>
      </c>
      <c r="AC23" s="543"/>
      <c r="AD23" s="543"/>
      <c r="AE23" s="544"/>
      <c r="AF23" s="538" t="str">
        <f>IF($G23="","",VLOOKUP($G23,'Geometry 2'!$E$4:$AJ$14,19,TRUE)-12*VLOOKUP($G23,'Geometry 2'!$E$4:$AJ$14,32,TRUE)*($G23-IF($P23="",0,$P23)-VLOOKUP($G23,'Geometry 2'!$E$5:$AH$14,1,TRUE)))</f>
        <v/>
      </c>
      <c r="AG23" s="538"/>
      <c r="AH23" s="538"/>
      <c r="AI23" s="538"/>
      <c r="AJ23" s="539" t="str">
        <f>IF($G23="","",VLOOKUP($G23,'Geometry 2'!$E$4:$AH$14,23,TRUE))</f>
        <v/>
      </c>
      <c r="AK23" s="549"/>
      <c r="AL23" s="549"/>
      <c r="AM23" s="550"/>
      <c r="AN23" s="537"/>
      <c r="AO23" s="537"/>
      <c r="AP23" s="537"/>
      <c r="AQ23" s="537"/>
      <c r="AR23" s="537" t="str">
        <f>IF($G23="","",VLOOKUP($G23,'Geometry 2'!$E$4:$AH$14,27,TRUE))</f>
        <v/>
      </c>
      <c r="AS23" s="537"/>
      <c r="AT23" s="537"/>
      <c r="AU23" s="539"/>
      <c r="AV23" s="564"/>
      <c r="AW23" s="538"/>
      <c r="AX23" s="538"/>
      <c r="AZ23" s="517" t="str">
        <f t="shared" si="5"/>
        <v/>
      </c>
      <c r="BA23" s="518"/>
      <c r="BB23" s="518"/>
      <c r="BC23" s="519"/>
      <c r="BD23" s="517"/>
      <c r="BE23" s="518"/>
      <c r="BF23" s="518"/>
      <c r="BG23" s="517" t="str">
        <f t="shared" ref="BG23:BG83" si="9">IF(AZ23="","","TP"&amp;ROUND(AF23,3)&amp;"x"&amp;ROUND(X23,3)&amp;"x"&amp;ROUND(AN23,4))</f>
        <v/>
      </c>
      <c r="BH23" s="518"/>
      <c r="BI23" s="518"/>
      <c r="BJ23" s="518"/>
      <c r="BK23" s="519"/>
      <c r="BL23" s="517"/>
      <c r="BM23" s="518"/>
      <c r="BN23" s="518"/>
      <c r="BO23" s="518"/>
      <c r="BP23" s="520"/>
      <c r="BQ23" s="520"/>
      <c r="BR23" s="517" t="str">
        <f>IF(BP23="","",IF(OR(AND(Rev="H",Calculations!$F$27=TRUE),AND(Rev&lt;&gt;"H",Calculations!$F$30=TRUE)),IF(BP23&lt;=1,"Pass","Fail"),IF(BP23&lt;=1.05,"Pass","Fail")))</f>
        <v/>
      </c>
      <c r="BS23" s="518"/>
      <c r="BT23" s="519"/>
      <c r="BU23" s="34"/>
      <c r="BV23" s="16"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16"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16"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16"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16"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16"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16"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16"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16"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16"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16"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16"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16"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16"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16"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16"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16"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16"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45" t="str">
        <f t="shared" si="6"/>
        <v/>
      </c>
      <c r="CO23" s="497"/>
      <c r="CP23" s="498"/>
      <c r="CQ23" s="499"/>
      <c r="CR23" s="497"/>
      <c r="CS23" s="498"/>
      <c r="CT23" s="499"/>
      <c r="CU23" s="497" t="str">
        <f t="shared" si="7"/>
        <v/>
      </c>
      <c r="CV23" s="498"/>
      <c r="CW23" s="503"/>
      <c r="CX23" s="484"/>
      <c r="CY23" s="485"/>
      <c r="CZ23" s="486"/>
      <c r="DA23" s="484"/>
      <c r="DB23" s="485"/>
      <c r="DC23" s="486"/>
      <c r="DD23" s="484" t="str">
        <f t="shared" si="8"/>
        <v/>
      </c>
      <c r="DE23" s="485"/>
      <c r="DF23" s="487"/>
      <c r="DG23" s="38"/>
      <c r="DH23" s="39"/>
      <c r="DI23" s="39"/>
      <c r="DJ23" s="39"/>
      <c r="DK23" s="39"/>
      <c r="DL23" s="39"/>
      <c r="DM23" s="39"/>
      <c r="DN23" s="39"/>
      <c r="DO23" s="39"/>
      <c r="DP23" s="39"/>
      <c r="DQ23" s="42"/>
      <c r="DR23" s="42"/>
      <c r="DS23" s="42"/>
      <c r="DT23" s="42"/>
      <c r="DU23" s="42"/>
      <c r="DV23" s="42"/>
      <c r="DW23" s="42"/>
      <c r="DX23" s="42"/>
      <c r="DY23" s="42"/>
      <c r="DZ23" s="42"/>
      <c r="EA23" s="42"/>
      <c r="EB23" s="42"/>
      <c r="EC23" s="42"/>
      <c r="ED23" s="42"/>
      <c r="EE23" s="42"/>
      <c r="EF23" s="42"/>
      <c r="EG23" s="42"/>
      <c r="EH23" s="42"/>
      <c r="EI23" s="42"/>
      <c r="EJ23" s="42"/>
      <c r="EK23" s="42"/>
      <c r="EL23" s="97"/>
      <c r="EM23" s="97"/>
      <c r="EN23" s="97"/>
      <c r="EO23" s="97"/>
      <c r="EP23" s="97"/>
      <c r="EQ23" s="97"/>
      <c r="ER23" s="97"/>
      <c r="ES23" s="97"/>
      <c r="ET23" s="97"/>
      <c r="EU23" s="97"/>
      <c r="EV23" s="97"/>
      <c r="EW23" s="97"/>
      <c r="EX23" s="97"/>
      <c r="EY23" s="97"/>
      <c r="EZ23" s="97"/>
      <c r="FA23" s="97"/>
      <c r="FB23" s="97"/>
      <c r="FC23" s="97"/>
      <c r="FD23" s="97"/>
      <c r="FE23" s="97"/>
      <c r="FF23" s="97"/>
      <c r="FG23" s="97"/>
      <c r="FH23" s="97"/>
      <c r="FI23" s="97"/>
      <c r="FJ23" s="97"/>
      <c r="FK23" s="97"/>
      <c r="FL23" s="97"/>
      <c r="FM23" s="97"/>
      <c r="FN23" s="97"/>
      <c r="FO23" s="97"/>
      <c r="FQ23" s="90"/>
      <c r="FR23" s="88"/>
      <c r="FS23" s="86"/>
      <c r="FT23" s="84"/>
    </row>
    <row r="24" spans="2:176" ht="15.75" customHeight="1" thickBot="1" x14ac:dyDescent="0.3">
      <c r="B24" s="47" t="b">
        <f>IF(AND(P23&lt;&gt;"",OR(AND(G24&gt;='Geometry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3" t="str">
        <f t="shared" si="3"/>
        <v/>
      </c>
      <c r="D24" s="529" t="str">
        <f t="shared" si="4"/>
        <v/>
      </c>
      <c r="E24" s="530"/>
      <c r="F24" s="14" t="str">
        <f t="shared" si="2"/>
        <v/>
      </c>
      <c r="G24" s="531"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532"/>
      <c r="I24" s="143"/>
      <c r="J24" s="143"/>
      <c r="K24" s="143"/>
      <c r="L24" s="537" t="str">
        <f t="shared" si="0"/>
        <v/>
      </c>
      <c r="M24" s="537"/>
      <c r="N24" s="537"/>
      <c r="O24" s="537"/>
      <c r="P24" s="537" t="str">
        <f>IF(OR(G24=0,G24=""),"",IF(VLOOKUP(G24,'Geometry 2'!$C$4:$AI$14,1,TRUE)=VLOOKUP(G25,'Geometry 2'!$C$4:$AI$14,1,TRUE),"",IF(VLOOKUP(G24,'Geometry 2'!$C$4:$AI$14,33,TRUE)&lt;&gt;"n/a",MIN(G24,VLOOKUP(G24,'Geometry 2'!$C$4:$AI$14,1,TRUE))-VLOOKUP(G24,'Geometry 2'!$C$4:$AI$14,33,TRUE),"check")))</f>
        <v/>
      </c>
      <c r="Q24" s="537"/>
      <c r="R24" s="537"/>
      <c r="S24" s="537"/>
      <c r="T24" s="537" t="str">
        <f>IF($G24="","",VLOOKUP($G24,'Geometry 2'!$E$4:$AH$14,11,TRUE))</f>
        <v/>
      </c>
      <c r="U24" s="537"/>
      <c r="V24" s="537"/>
      <c r="W24" s="537"/>
      <c r="X24" s="538" t="str">
        <f>IF($G24="","",VLOOKUP($G24,'Geometry 2'!$E$4:$AJ$14,19,TRUE)-12*VLOOKUP($G24,'Geometry 2'!$E$4:$AJ$14,32,TRUE)*($D24-VLOOKUP($G24,'Geometry 2'!$E$5:$AH$14,1,TRUE)))</f>
        <v/>
      </c>
      <c r="Y24" s="538"/>
      <c r="Z24" s="538"/>
      <c r="AA24" s="538"/>
      <c r="AB24" s="542" t="str">
        <f>IF($G24="","",VLOOKUP($G24,'Geometry 2'!$E$4:$AJ$14,19,TRUE)-12*VLOOKUP($G24,'Geometry 2'!$E$4:$AJ$14,32,TRUE)*($G24-VLOOKUP($G24,'Geometry 2'!$E$5:$AH$14,1,TRUE)))</f>
        <v/>
      </c>
      <c r="AC24" s="543"/>
      <c r="AD24" s="543"/>
      <c r="AE24" s="544"/>
      <c r="AF24" s="538" t="str">
        <f>IF($G24="","",VLOOKUP($G24,'Geometry 2'!$E$4:$AJ$14,19,TRUE)-12*VLOOKUP($G24,'Geometry 2'!$E$4:$AJ$14,32,TRUE)*($G24-IF($P24="",0,$P24)-VLOOKUP($G24,'Geometry 2'!$E$5:$AH$14,1,TRUE)))</f>
        <v/>
      </c>
      <c r="AG24" s="538"/>
      <c r="AH24" s="538"/>
      <c r="AI24" s="538"/>
      <c r="AJ24" s="539" t="str">
        <f>IF($G24="","",VLOOKUP($G24,'Geometry 2'!$E$4:$AH$14,23,TRUE))</f>
        <v/>
      </c>
      <c r="AK24" s="549"/>
      <c r="AL24" s="549"/>
      <c r="AM24" s="550"/>
      <c r="AN24" s="537"/>
      <c r="AO24" s="537"/>
      <c r="AP24" s="537"/>
      <c r="AQ24" s="537"/>
      <c r="AR24" s="537" t="str">
        <f>IF($G24="","",VLOOKUP($G24,'Geometry 2'!$E$4:$AH$14,27,TRUE))</f>
        <v/>
      </c>
      <c r="AS24" s="537"/>
      <c r="AT24" s="537"/>
      <c r="AU24" s="539"/>
      <c r="AV24" s="564"/>
      <c r="AW24" s="538"/>
      <c r="AX24" s="538"/>
      <c r="AZ24" s="517" t="str">
        <f t="shared" si="5"/>
        <v/>
      </c>
      <c r="BA24" s="518"/>
      <c r="BB24" s="518"/>
      <c r="BC24" s="519"/>
      <c r="BD24" s="517"/>
      <c r="BE24" s="518"/>
      <c r="BF24" s="518"/>
      <c r="BG24" s="517" t="str">
        <f t="shared" si="9"/>
        <v/>
      </c>
      <c r="BH24" s="518"/>
      <c r="BI24" s="518"/>
      <c r="BJ24" s="518"/>
      <c r="BK24" s="519"/>
      <c r="BL24" s="517"/>
      <c r="BM24" s="518"/>
      <c r="BN24" s="518"/>
      <c r="BO24" s="518"/>
      <c r="BP24" s="520"/>
      <c r="BQ24" s="520"/>
      <c r="BR24" s="517" t="str">
        <f>IF(BP24="","",IF(OR(AND(Rev="H",Calculations!$F$27=TRUE),AND(Rev&lt;&gt;"H",Calculations!$F$30=TRUE)),IF(BP24&lt;=1,"Pass","Fail"),IF(BP24&lt;=1.05,"Pass","Fail")))</f>
        <v/>
      </c>
      <c r="BS24" s="518"/>
      <c r="BT24" s="519"/>
      <c r="BU24" s="34"/>
      <c r="BV24" s="16"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16"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16"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16"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16"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16"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16"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16"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16"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16"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16"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16"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16"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16"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16"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16"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16"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16"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44" t="str">
        <f t="shared" si="6"/>
        <v/>
      </c>
      <c r="CO24" s="494"/>
      <c r="CP24" s="495"/>
      <c r="CQ24" s="496"/>
      <c r="CR24" s="494"/>
      <c r="CS24" s="495"/>
      <c r="CT24" s="496"/>
      <c r="CU24" s="494" t="str">
        <f t="shared" si="7"/>
        <v/>
      </c>
      <c r="CV24" s="495"/>
      <c r="CW24" s="500"/>
      <c r="CX24" s="501"/>
      <c r="CY24" s="492"/>
      <c r="CZ24" s="502"/>
      <c r="DA24" s="488"/>
      <c r="DB24" s="489"/>
      <c r="DC24" s="490"/>
      <c r="DD24" s="491" t="str">
        <f t="shared" si="8"/>
        <v/>
      </c>
      <c r="DE24" s="492"/>
      <c r="DF24" s="493"/>
      <c r="DG24" s="40"/>
      <c r="DH24" s="41"/>
      <c r="DI24" s="41"/>
      <c r="DJ24" s="41"/>
      <c r="DK24" s="41"/>
      <c r="DL24" s="41"/>
      <c r="DM24" s="41"/>
      <c r="DN24" s="41"/>
      <c r="DO24" s="41"/>
      <c r="DP24" s="41"/>
      <c r="DQ24" s="43"/>
      <c r="DR24" s="43"/>
      <c r="DS24" s="43"/>
      <c r="DT24" s="43"/>
      <c r="DU24" s="43"/>
      <c r="DV24" s="43"/>
      <c r="DW24" s="43"/>
      <c r="DX24" s="43"/>
      <c r="DY24" s="43"/>
      <c r="DZ24" s="43"/>
      <c r="EA24" s="43"/>
      <c r="EB24" s="43"/>
      <c r="EC24" s="43"/>
      <c r="ED24" s="43"/>
      <c r="EE24" s="43"/>
      <c r="EF24" s="43"/>
      <c r="EG24" s="43"/>
      <c r="EH24" s="43"/>
      <c r="EI24" s="43"/>
      <c r="EJ24" s="43"/>
      <c r="EK24" s="43"/>
      <c r="EL24" s="98"/>
      <c r="EM24" s="98"/>
      <c r="EN24" s="98"/>
      <c r="EO24" s="98"/>
      <c r="EP24" s="98"/>
      <c r="EQ24" s="98"/>
      <c r="ER24" s="98"/>
      <c r="ES24" s="98"/>
      <c r="ET24" s="98"/>
      <c r="EU24" s="98"/>
      <c r="EV24" s="98"/>
      <c r="EW24" s="98"/>
      <c r="EX24" s="98"/>
      <c r="EY24" s="98"/>
      <c r="EZ24" s="98"/>
      <c r="FA24" s="98"/>
      <c r="FB24" s="98"/>
      <c r="FC24" s="98"/>
      <c r="FD24" s="98"/>
      <c r="FE24" s="98"/>
      <c r="FF24" s="98"/>
      <c r="FG24" s="98"/>
      <c r="FH24" s="98"/>
      <c r="FI24" s="98"/>
      <c r="FJ24" s="98"/>
      <c r="FK24" s="98"/>
      <c r="FL24" s="98"/>
      <c r="FM24" s="98"/>
      <c r="FN24" s="98"/>
      <c r="FO24" s="98"/>
      <c r="FQ24" s="89"/>
      <c r="FR24" s="87"/>
      <c r="FS24" s="85"/>
      <c r="FT24" s="84"/>
    </row>
    <row r="25" spans="2:176" ht="15.75" customHeight="1" thickBot="1" x14ac:dyDescent="0.3">
      <c r="B25" s="47" t="b">
        <f>IF(AND(P24&lt;&gt;"",OR(AND(G25&gt;='Geometry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3" t="str">
        <f t="shared" si="3"/>
        <v/>
      </c>
      <c r="D25" s="529" t="str">
        <f t="shared" si="4"/>
        <v/>
      </c>
      <c r="E25" s="530"/>
      <c r="F25" s="14" t="str">
        <f t="shared" si="2"/>
        <v/>
      </c>
      <c r="G25" s="531"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532"/>
      <c r="I25" s="143"/>
      <c r="J25" s="143"/>
      <c r="K25" s="143"/>
      <c r="L25" s="537" t="str">
        <f t="shared" si="0"/>
        <v/>
      </c>
      <c r="M25" s="537"/>
      <c r="N25" s="537"/>
      <c r="O25" s="537"/>
      <c r="P25" s="537" t="str">
        <f>IF(OR(G25=0,G25=""),"",IF(VLOOKUP(G25,'Geometry 2'!$C$4:$AI$14,1,TRUE)=VLOOKUP(G26,'Geometry 2'!$C$4:$AI$14,1,TRUE),"",IF(VLOOKUP(G25,'Geometry 2'!$C$4:$AI$14,33,TRUE)&lt;&gt;"n/a",MIN(G25,VLOOKUP(G25,'Geometry 2'!$C$4:$AI$14,1,TRUE))-VLOOKUP(G25,'Geometry 2'!$C$4:$AI$14,33,TRUE),"check")))</f>
        <v/>
      </c>
      <c r="Q25" s="537"/>
      <c r="R25" s="537"/>
      <c r="S25" s="537"/>
      <c r="T25" s="537" t="str">
        <f>IF($G25="","",VLOOKUP($G25,'Geometry 2'!$E$4:$AH$14,11,TRUE))</f>
        <v/>
      </c>
      <c r="U25" s="537"/>
      <c r="V25" s="537"/>
      <c r="W25" s="537"/>
      <c r="X25" s="538" t="str">
        <f>IF($G25="","",VLOOKUP($G25,'Geometry 2'!$E$4:$AJ$14,19,TRUE)-12*VLOOKUP($G25,'Geometry 2'!$E$4:$AJ$14,32,TRUE)*($D25-VLOOKUP($G25,'Geometry 2'!$E$5:$AH$14,1,TRUE)))</f>
        <v/>
      </c>
      <c r="Y25" s="538"/>
      <c r="Z25" s="538"/>
      <c r="AA25" s="538"/>
      <c r="AB25" s="542" t="str">
        <f>IF($G25="","",VLOOKUP($G25,'Geometry 2'!$E$4:$AJ$14,19,TRUE)-12*VLOOKUP($G25,'Geometry 2'!$E$4:$AJ$14,32,TRUE)*($G25-VLOOKUP($G25,'Geometry 2'!$E$5:$AH$14,1,TRUE)))</f>
        <v/>
      </c>
      <c r="AC25" s="543"/>
      <c r="AD25" s="543"/>
      <c r="AE25" s="544"/>
      <c r="AF25" s="538" t="str">
        <f>IF($G25="","",VLOOKUP($G25,'Geometry 2'!$E$4:$AJ$14,19,TRUE)-12*VLOOKUP($G25,'Geometry 2'!$E$4:$AJ$14,32,TRUE)*($G25-IF($P25="",0,$P25)-VLOOKUP($G25,'Geometry 2'!$E$5:$AH$14,1,TRUE)))</f>
        <v/>
      </c>
      <c r="AG25" s="538"/>
      <c r="AH25" s="538"/>
      <c r="AI25" s="538"/>
      <c r="AJ25" s="539" t="str">
        <f>IF($G25="","",VLOOKUP($G25,'Geometry 2'!$E$4:$AH$14,23,TRUE))</f>
        <v/>
      </c>
      <c r="AK25" s="549"/>
      <c r="AL25" s="549"/>
      <c r="AM25" s="550"/>
      <c r="AN25" s="537"/>
      <c r="AO25" s="537"/>
      <c r="AP25" s="537"/>
      <c r="AQ25" s="537"/>
      <c r="AR25" s="537" t="str">
        <f>IF($G25="","",VLOOKUP($G25,'Geometry 2'!$E$4:$AH$14,27,TRUE))</f>
        <v/>
      </c>
      <c r="AS25" s="537"/>
      <c r="AT25" s="537"/>
      <c r="AU25" s="539"/>
      <c r="AV25" s="564"/>
      <c r="AW25" s="538"/>
      <c r="AX25" s="538"/>
      <c r="AZ25" s="517" t="str">
        <f t="shared" si="5"/>
        <v/>
      </c>
      <c r="BA25" s="518"/>
      <c r="BB25" s="518"/>
      <c r="BC25" s="519"/>
      <c r="BD25" s="517"/>
      <c r="BE25" s="518"/>
      <c r="BF25" s="518"/>
      <c r="BG25" s="517" t="str">
        <f t="shared" si="9"/>
        <v/>
      </c>
      <c r="BH25" s="518"/>
      <c r="BI25" s="518"/>
      <c r="BJ25" s="518"/>
      <c r="BK25" s="519"/>
      <c r="BL25" s="517"/>
      <c r="BM25" s="518"/>
      <c r="BN25" s="518"/>
      <c r="BO25" s="518"/>
      <c r="BP25" s="520"/>
      <c r="BQ25" s="520"/>
      <c r="BR25" s="517" t="str">
        <f>IF(BP25="","",IF(OR(AND(Rev="H",Calculations!$F$27=TRUE),AND(Rev&lt;&gt;"H",Calculations!$F$30=TRUE)),IF(BP25&lt;=1,"Pass","Fail"),IF(BP25&lt;=1.05,"Pass","Fail")))</f>
        <v/>
      </c>
      <c r="BS25" s="518"/>
      <c r="BT25" s="519"/>
      <c r="BU25" s="34"/>
      <c r="BV25" s="16"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16"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16"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16"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16"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16"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16"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16"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16"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16"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16"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16"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16"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16"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16"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16"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16"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16"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45" t="str">
        <f t="shared" si="6"/>
        <v/>
      </c>
      <c r="CO25" s="497"/>
      <c r="CP25" s="498"/>
      <c r="CQ25" s="499"/>
      <c r="CR25" s="497"/>
      <c r="CS25" s="498"/>
      <c r="CT25" s="499"/>
      <c r="CU25" s="497" t="str">
        <f t="shared" si="7"/>
        <v/>
      </c>
      <c r="CV25" s="498"/>
      <c r="CW25" s="503"/>
      <c r="CX25" s="484"/>
      <c r="CY25" s="485"/>
      <c r="CZ25" s="486"/>
      <c r="DA25" s="484"/>
      <c r="DB25" s="485"/>
      <c r="DC25" s="486"/>
      <c r="DD25" s="484" t="str">
        <f t="shared" si="8"/>
        <v/>
      </c>
      <c r="DE25" s="485"/>
      <c r="DF25" s="487"/>
      <c r="DG25" s="38"/>
      <c r="DH25" s="39"/>
      <c r="DI25" s="39"/>
      <c r="DJ25" s="39"/>
      <c r="DK25" s="39"/>
      <c r="DL25" s="39"/>
      <c r="DM25" s="39"/>
      <c r="DN25" s="39"/>
      <c r="DO25" s="39"/>
      <c r="DP25" s="39"/>
      <c r="DQ25" s="42"/>
      <c r="DR25" s="42"/>
      <c r="DS25" s="42"/>
      <c r="DT25" s="42"/>
      <c r="DU25" s="42"/>
      <c r="DV25" s="42"/>
      <c r="DW25" s="42"/>
      <c r="DX25" s="42"/>
      <c r="DY25" s="42"/>
      <c r="DZ25" s="42"/>
      <c r="EA25" s="42"/>
      <c r="EB25" s="42"/>
      <c r="EC25" s="42"/>
      <c r="ED25" s="42"/>
      <c r="EE25" s="42"/>
      <c r="EF25" s="42"/>
      <c r="EG25" s="42"/>
      <c r="EH25" s="42"/>
      <c r="EI25" s="42"/>
      <c r="EJ25" s="42"/>
      <c r="EK25" s="42"/>
      <c r="EL25" s="97"/>
      <c r="EM25" s="97"/>
      <c r="EN25" s="97"/>
      <c r="EO25" s="97"/>
      <c r="EP25" s="97"/>
      <c r="EQ25" s="97"/>
      <c r="ER25" s="97"/>
      <c r="ES25" s="97"/>
      <c r="ET25" s="97"/>
      <c r="EU25" s="97"/>
      <c r="EV25" s="97"/>
      <c r="EW25" s="97"/>
      <c r="EX25" s="97"/>
      <c r="EY25" s="97"/>
      <c r="EZ25" s="97"/>
      <c r="FA25" s="97"/>
      <c r="FB25" s="97"/>
      <c r="FC25" s="97"/>
      <c r="FD25" s="97"/>
      <c r="FE25" s="97"/>
      <c r="FF25" s="97"/>
      <c r="FG25" s="97"/>
      <c r="FH25" s="97"/>
      <c r="FI25" s="97"/>
      <c r="FJ25" s="97"/>
      <c r="FK25" s="97"/>
      <c r="FL25" s="97"/>
      <c r="FM25" s="97"/>
      <c r="FN25" s="97"/>
      <c r="FO25" s="97"/>
      <c r="FQ25" s="90"/>
      <c r="FR25" s="88"/>
      <c r="FS25" s="86"/>
      <c r="FT25" s="84"/>
    </row>
    <row r="26" spans="2:176" ht="15.75" customHeight="1" thickBot="1" x14ac:dyDescent="0.3">
      <c r="B26" s="47" t="b">
        <f>IF(AND(P25&lt;&gt;"",OR(AND(G26&gt;='Geometry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3" t="str">
        <f t="shared" si="3"/>
        <v/>
      </c>
      <c r="D26" s="529" t="str">
        <f t="shared" si="4"/>
        <v/>
      </c>
      <c r="E26" s="530"/>
      <c r="F26" s="14" t="str">
        <f t="shared" si="2"/>
        <v/>
      </c>
      <c r="G26" s="531"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532"/>
      <c r="I26" s="143"/>
      <c r="J26" s="143"/>
      <c r="K26" s="143"/>
      <c r="L26" s="537" t="str">
        <f t="shared" si="0"/>
        <v/>
      </c>
      <c r="M26" s="537"/>
      <c r="N26" s="537"/>
      <c r="O26" s="537"/>
      <c r="P26" s="537" t="str">
        <f>IF(OR(G26=0,G26=""),"",IF(VLOOKUP(G26,'Geometry 2'!$C$4:$AI$14,1,TRUE)=VLOOKUP(G27,'Geometry 2'!$C$4:$AI$14,1,TRUE),"",IF(VLOOKUP(G26,'Geometry 2'!$C$4:$AI$14,33,TRUE)&lt;&gt;"n/a",MIN(G26,VLOOKUP(G26,'Geometry 2'!$C$4:$AI$14,1,TRUE))-VLOOKUP(G26,'Geometry 2'!$C$4:$AI$14,33,TRUE),"check")))</f>
        <v/>
      </c>
      <c r="Q26" s="537"/>
      <c r="R26" s="537"/>
      <c r="S26" s="537"/>
      <c r="T26" s="537" t="str">
        <f>IF($G26="","",VLOOKUP($G26,'Geometry 2'!$E$4:$AH$14,11,TRUE))</f>
        <v/>
      </c>
      <c r="U26" s="537"/>
      <c r="V26" s="537"/>
      <c r="W26" s="537"/>
      <c r="X26" s="538" t="str">
        <f>IF($G26="","",VLOOKUP($G26,'Geometry 2'!$E$4:$AJ$14,19,TRUE)-12*VLOOKUP($G26,'Geometry 2'!$E$4:$AJ$14,32,TRUE)*($D26-VLOOKUP($G26,'Geometry 2'!$E$5:$AH$14,1,TRUE)))</f>
        <v/>
      </c>
      <c r="Y26" s="538"/>
      <c r="Z26" s="538"/>
      <c r="AA26" s="538"/>
      <c r="AB26" s="542" t="str">
        <f>IF($G26="","",VLOOKUP($G26,'Geometry 2'!$E$4:$AJ$14,19,TRUE)-12*VLOOKUP($G26,'Geometry 2'!$E$4:$AJ$14,32,TRUE)*($G26-VLOOKUP($G26,'Geometry 2'!$E$5:$AH$14,1,TRUE)))</f>
        <v/>
      </c>
      <c r="AC26" s="543"/>
      <c r="AD26" s="543"/>
      <c r="AE26" s="544"/>
      <c r="AF26" s="538" t="str">
        <f>IF($G26="","",VLOOKUP($G26,'Geometry 2'!$E$4:$AJ$14,19,TRUE)-12*VLOOKUP($G26,'Geometry 2'!$E$4:$AJ$14,32,TRUE)*($G26-IF($P26="",0,$P26)-VLOOKUP($G26,'Geometry 2'!$E$5:$AH$14,1,TRUE)))</f>
        <v/>
      </c>
      <c r="AG26" s="538"/>
      <c r="AH26" s="538"/>
      <c r="AI26" s="538"/>
      <c r="AJ26" s="539" t="str">
        <f>IF($G26="","",VLOOKUP($G26,'Geometry 2'!$E$4:$AH$14,23,TRUE))</f>
        <v/>
      </c>
      <c r="AK26" s="549"/>
      <c r="AL26" s="549"/>
      <c r="AM26" s="550"/>
      <c r="AN26" s="537"/>
      <c r="AO26" s="537"/>
      <c r="AP26" s="537"/>
      <c r="AQ26" s="537"/>
      <c r="AR26" s="537" t="str">
        <f>IF($G26="","",VLOOKUP($G26,'Geometry 2'!$E$4:$AH$14,27,TRUE))</f>
        <v/>
      </c>
      <c r="AS26" s="537"/>
      <c r="AT26" s="537"/>
      <c r="AU26" s="539"/>
      <c r="AV26" s="564"/>
      <c r="AW26" s="538"/>
      <c r="AX26" s="538"/>
      <c r="AZ26" s="517" t="str">
        <f t="shared" si="5"/>
        <v/>
      </c>
      <c r="BA26" s="518"/>
      <c r="BB26" s="518"/>
      <c r="BC26" s="519"/>
      <c r="BD26" s="517"/>
      <c r="BE26" s="518"/>
      <c r="BF26" s="518"/>
      <c r="BG26" s="517" t="str">
        <f t="shared" si="9"/>
        <v/>
      </c>
      <c r="BH26" s="518"/>
      <c r="BI26" s="518"/>
      <c r="BJ26" s="518"/>
      <c r="BK26" s="519"/>
      <c r="BL26" s="517"/>
      <c r="BM26" s="518"/>
      <c r="BN26" s="518"/>
      <c r="BO26" s="518"/>
      <c r="BP26" s="520"/>
      <c r="BQ26" s="520"/>
      <c r="BR26" s="517" t="str">
        <f>IF(BP26="","",IF(OR(AND(Rev="H",Calculations!$F$27=TRUE),AND(Rev&lt;&gt;"H",Calculations!$F$30=TRUE)),IF(BP26&lt;=1,"Pass","Fail"),IF(BP26&lt;=1.05,"Pass","Fail")))</f>
        <v/>
      </c>
      <c r="BS26" s="518"/>
      <c r="BT26" s="519"/>
      <c r="BU26" s="34"/>
      <c r="BV26" s="16"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16"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16"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16"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16"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16"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16"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16"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16"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16"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16"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16"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16"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16"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16"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16"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16"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16"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44" t="str">
        <f t="shared" si="6"/>
        <v/>
      </c>
      <c r="CO26" s="494"/>
      <c r="CP26" s="495"/>
      <c r="CQ26" s="496"/>
      <c r="CR26" s="494"/>
      <c r="CS26" s="495"/>
      <c r="CT26" s="496"/>
      <c r="CU26" s="494" t="str">
        <f t="shared" si="7"/>
        <v/>
      </c>
      <c r="CV26" s="495"/>
      <c r="CW26" s="500"/>
      <c r="CX26" s="501"/>
      <c r="CY26" s="492"/>
      <c r="CZ26" s="502"/>
      <c r="DA26" s="488"/>
      <c r="DB26" s="489"/>
      <c r="DC26" s="490"/>
      <c r="DD26" s="491" t="str">
        <f t="shared" si="8"/>
        <v/>
      </c>
      <c r="DE26" s="492"/>
      <c r="DF26" s="493"/>
      <c r="DG26" s="40"/>
      <c r="DH26" s="41"/>
      <c r="DI26" s="41"/>
      <c r="DJ26" s="41"/>
      <c r="DK26" s="41"/>
      <c r="DL26" s="41"/>
      <c r="DM26" s="41"/>
      <c r="DN26" s="41"/>
      <c r="DO26" s="41"/>
      <c r="DP26" s="41"/>
      <c r="DQ26" s="43"/>
      <c r="DR26" s="43"/>
      <c r="DS26" s="43"/>
      <c r="DT26" s="43"/>
      <c r="DU26" s="43"/>
      <c r="DV26" s="43"/>
      <c r="DW26" s="43"/>
      <c r="DX26" s="43"/>
      <c r="DY26" s="43"/>
      <c r="DZ26" s="43"/>
      <c r="EA26" s="43"/>
      <c r="EB26" s="43"/>
      <c r="EC26" s="43"/>
      <c r="ED26" s="43"/>
      <c r="EE26" s="43"/>
      <c r="EF26" s="43"/>
      <c r="EG26" s="43"/>
      <c r="EH26" s="43"/>
      <c r="EI26" s="43"/>
      <c r="EJ26" s="43"/>
      <c r="EK26" s="43"/>
      <c r="EL26" s="98"/>
      <c r="EM26" s="98"/>
      <c r="EN26" s="98"/>
      <c r="EO26" s="98"/>
      <c r="EP26" s="98"/>
      <c r="EQ26" s="98"/>
      <c r="ER26" s="98"/>
      <c r="ES26" s="98"/>
      <c r="ET26" s="98"/>
      <c r="EU26" s="98"/>
      <c r="EV26" s="98"/>
      <c r="EW26" s="98"/>
      <c r="EX26" s="98"/>
      <c r="EY26" s="98"/>
      <c r="EZ26" s="98"/>
      <c r="FA26" s="98"/>
      <c r="FB26" s="98"/>
      <c r="FC26" s="98"/>
      <c r="FD26" s="98"/>
      <c r="FE26" s="98"/>
      <c r="FF26" s="98"/>
      <c r="FG26" s="98"/>
      <c r="FH26" s="98"/>
      <c r="FI26" s="98"/>
      <c r="FJ26" s="98"/>
      <c r="FK26" s="98"/>
      <c r="FL26" s="98"/>
      <c r="FM26" s="98"/>
      <c r="FN26" s="98"/>
      <c r="FO26" s="98"/>
      <c r="FQ26" s="89"/>
      <c r="FR26" s="87"/>
      <c r="FS26" s="85"/>
      <c r="FT26" s="84"/>
    </row>
    <row r="27" spans="2:176" ht="15.75" customHeight="1" thickBot="1" x14ac:dyDescent="0.3">
      <c r="B27" s="47" t="b">
        <f>IF(AND(P26&lt;&gt;"",OR(AND(G27&gt;='Geometry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3" t="str">
        <f t="shared" si="3"/>
        <v/>
      </c>
      <c r="D27" s="529" t="str">
        <f t="shared" si="4"/>
        <v/>
      </c>
      <c r="E27" s="530"/>
      <c r="F27" s="14" t="str">
        <f t="shared" si="2"/>
        <v/>
      </c>
      <c r="G27" s="531"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532"/>
      <c r="I27" s="143"/>
      <c r="J27" s="143"/>
      <c r="K27" s="143"/>
      <c r="L27" s="537" t="str">
        <f t="shared" si="0"/>
        <v/>
      </c>
      <c r="M27" s="537"/>
      <c r="N27" s="537"/>
      <c r="O27" s="537"/>
      <c r="P27" s="537" t="str">
        <f>IF(OR(G27=0,G27=""),"",IF(VLOOKUP(G27,'Geometry 2'!$C$4:$AI$14,1,TRUE)=VLOOKUP(G28,'Geometry 2'!$C$4:$AI$14,1,TRUE),"",IF(VLOOKUP(G27,'Geometry 2'!$C$4:$AI$14,33,TRUE)&lt;&gt;"n/a",MIN(G27,VLOOKUP(G27,'Geometry 2'!$C$4:$AI$14,1,TRUE))-VLOOKUP(G27,'Geometry 2'!$C$4:$AI$14,33,TRUE),"check")))</f>
        <v/>
      </c>
      <c r="Q27" s="537"/>
      <c r="R27" s="537"/>
      <c r="S27" s="537"/>
      <c r="T27" s="537" t="str">
        <f>IF($G27="","",VLOOKUP($G27,'Geometry 2'!$E$4:$AH$14,11,TRUE))</f>
        <v/>
      </c>
      <c r="U27" s="537"/>
      <c r="V27" s="537"/>
      <c r="W27" s="537"/>
      <c r="X27" s="538" t="str">
        <f>IF($G27="","",VLOOKUP($G27,'Geometry 2'!$E$4:$AJ$14,19,TRUE)-12*VLOOKUP($G27,'Geometry 2'!$E$4:$AJ$14,32,TRUE)*($D27-VLOOKUP($G27,'Geometry 2'!$E$5:$AH$14,1,TRUE)))</f>
        <v/>
      </c>
      <c r="Y27" s="538"/>
      <c r="Z27" s="538"/>
      <c r="AA27" s="538"/>
      <c r="AB27" s="542" t="str">
        <f>IF($G27="","",VLOOKUP($G27,'Geometry 2'!$E$4:$AJ$14,19,TRUE)-12*VLOOKUP($G27,'Geometry 2'!$E$4:$AJ$14,32,TRUE)*($G27-VLOOKUP($G27,'Geometry 2'!$E$5:$AH$14,1,TRUE)))</f>
        <v/>
      </c>
      <c r="AC27" s="543"/>
      <c r="AD27" s="543"/>
      <c r="AE27" s="544"/>
      <c r="AF27" s="538" t="str">
        <f>IF($G27="","",VLOOKUP($G27,'Geometry 2'!$E$4:$AJ$14,19,TRUE)-12*VLOOKUP($G27,'Geometry 2'!$E$4:$AJ$14,32,TRUE)*($G27-IF($P27="",0,$P27)-VLOOKUP($G27,'Geometry 2'!$E$5:$AH$14,1,TRUE)))</f>
        <v/>
      </c>
      <c r="AG27" s="538"/>
      <c r="AH27" s="538"/>
      <c r="AI27" s="538"/>
      <c r="AJ27" s="539" t="str">
        <f>IF($G27="","",VLOOKUP($G27,'Geometry 2'!$E$4:$AH$14,23,TRUE))</f>
        <v/>
      </c>
      <c r="AK27" s="549"/>
      <c r="AL27" s="549"/>
      <c r="AM27" s="550"/>
      <c r="AN27" s="537"/>
      <c r="AO27" s="537"/>
      <c r="AP27" s="537"/>
      <c r="AQ27" s="537"/>
      <c r="AR27" s="537" t="str">
        <f>IF($G27="","",VLOOKUP($G27,'Geometry 2'!$E$4:$AH$14,27,TRUE))</f>
        <v/>
      </c>
      <c r="AS27" s="537"/>
      <c r="AT27" s="537"/>
      <c r="AU27" s="539"/>
      <c r="AV27" s="564"/>
      <c r="AW27" s="538"/>
      <c r="AX27" s="538"/>
      <c r="AZ27" s="517" t="str">
        <f t="shared" si="5"/>
        <v/>
      </c>
      <c r="BA27" s="518"/>
      <c r="BB27" s="518"/>
      <c r="BC27" s="519"/>
      <c r="BD27" s="517"/>
      <c r="BE27" s="518"/>
      <c r="BF27" s="518"/>
      <c r="BG27" s="517" t="str">
        <f t="shared" si="9"/>
        <v/>
      </c>
      <c r="BH27" s="518"/>
      <c r="BI27" s="518"/>
      <c r="BJ27" s="518"/>
      <c r="BK27" s="519"/>
      <c r="BL27" s="517"/>
      <c r="BM27" s="518"/>
      <c r="BN27" s="518"/>
      <c r="BO27" s="518"/>
      <c r="BP27" s="520"/>
      <c r="BQ27" s="520"/>
      <c r="BR27" s="517" t="str">
        <f>IF(BP27="","",IF(OR(AND(Rev="H",Calculations!$F$27=TRUE),AND(Rev&lt;&gt;"H",Calculations!$F$30=TRUE)),IF(BP27&lt;=1,"Pass","Fail"),IF(BP27&lt;=1.05,"Pass","Fail")))</f>
        <v/>
      </c>
      <c r="BS27" s="518"/>
      <c r="BT27" s="519"/>
      <c r="BU27" s="34"/>
      <c r="BV27" s="16"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16"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16"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16"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16"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16"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16"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16"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16"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16"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16"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16"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16"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16"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16"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16"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16"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16"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45" t="str">
        <f t="shared" si="6"/>
        <v/>
      </c>
      <c r="CO27" s="497"/>
      <c r="CP27" s="498"/>
      <c r="CQ27" s="499"/>
      <c r="CR27" s="497"/>
      <c r="CS27" s="498"/>
      <c r="CT27" s="499"/>
      <c r="CU27" s="497" t="str">
        <f t="shared" si="7"/>
        <v/>
      </c>
      <c r="CV27" s="498"/>
      <c r="CW27" s="503"/>
      <c r="CX27" s="484"/>
      <c r="CY27" s="485"/>
      <c r="CZ27" s="486"/>
      <c r="DA27" s="484"/>
      <c r="DB27" s="485"/>
      <c r="DC27" s="486"/>
      <c r="DD27" s="484" t="str">
        <f t="shared" si="8"/>
        <v/>
      </c>
      <c r="DE27" s="485"/>
      <c r="DF27" s="487"/>
      <c r="DG27" s="38"/>
      <c r="DH27" s="39"/>
      <c r="DI27" s="39"/>
      <c r="DJ27" s="39"/>
      <c r="DK27" s="39"/>
      <c r="DL27" s="39"/>
      <c r="DM27" s="39"/>
      <c r="DN27" s="39"/>
      <c r="DO27" s="39"/>
      <c r="DP27" s="39"/>
      <c r="DQ27" s="42"/>
      <c r="DR27" s="42"/>
      <c r="DS27" s="42"/>
      <c r="DT27" s="42"/>
      <c r="DU27" s="42"/>
      <c r="DV27" s="42"/>
      <c r="DW27" s="42"/>
      <c r="DX27" s="42"/>
      <c r="DY27" s="42"/>
      <c r="DZ27" s="42"/>
      <c r="EA27" s="42"/>
      <c r="EB27" s="42"/>
      <c r="EC27" s="42"/>
      <c r="ED27" s="42"/>
      <c r="EE27" s="42"/>
      <c r="EF27" s="42"/>
      <c r="EG27" s="42"/>
      <c r="EH27" s="42"/>
      <c r="EI27" s="42"/>
      <c r="EJ27" s="42"/>
      <c r="EK27" s="42"/>
      <c r="EL27" s="97"/>
      <c r="EM27" s="97"/>
      <c r="EN27" s="97"/>
      <c r="EO27" s="97"/>
      <c r="EP27" s="97"/>
      <c r="EQ27" s="97"/>
      <c r="ER27" s="97"/>
      <c r="ES27" s="97"/>
      <c r="ET27" s="97"/>
      <c r="EU27" s="97"/>
      <c r="EV27" s="97"/>
      <c r="EW27" s="97"/>
      <c r="EX27" s="97"/>
      <c r="EY27" s="97"/>
      <c r="EZ27" s="97"/>
      <c r="FA27" s="97"/>
      <c r="FB27" s="97"/>
      <c r="FC27" s="97"/>
      <c r="FD27" s="97"/>
      <c r="FE27" s="97"/>
      <c r="FF27" s="97"/>
      <c r="FG27" s="97"/>
      <c r="FH27" s="97"/>
      <c r="FI27" s="97"/>
      <c r="FJ27" s="97"/>
      <c r="FK27" s="97"/>
      <c r="FL27" s="97"/>
      <c r="FM27" s="97"/>
      <c r="FN27" s="97"/>
      <c r="FO27" s="97"/>
      <c r="FQ27" s="90"/>
      <c r="FR27" s="88"/>
      <c r="FS27" s="86"/>
      <c r="FT27" s="84"/>
    </row>
    <row r="28" spans="2:176" ht="15.75" customHeight="1" thickBot="1" x14ac:dyDescent="0.3">
      <c r="B28" s="47" t="b">
        <f>IF(AND(P27&lt;&gt;"",OR(AND(G28&gt;='Geometry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3" t="str">
        <f t="shared" si="3"/>
        <v/>
      </c>
      <c r="D28" s="529" t="str">
        <f t="shared" si="4"/>
        <v/>
      </c>
      <c r="E28" s="530"/>
      <c r="F28" s="14" t="str">
        <f t="shared" si="2"/>
        <v/>
      </c>
      <c r="G28" s="531"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532"/>
      <c r="I28" s="143"/>
      <c r="J28" s="143"/>
      <c r="K28" s="143"/>
      <c r="L28" s="537" t="str">
        <f t="shared" si="0"/>
        <v/>
      </c>
      <c r="M28" s="537"/>
      <c r="N28" s="537"/>
      <c r="O28" s="537"/>
      <c r="P28" s="537" t="str">
        <f>IF(OR(G28=0,G28=""),"",IF(VLOOKUP(G28,'Geometry 2'!$C$4:$AI$14,1,TRUE)=VLOOKUP(G29,'Geometry 2'!$C$4:$AI$14,1,TRUE),"",IF(VLOOKUP(G28,'Geometry 2'!$C$4:$AI$14,33,TRUE)&lt;&gt;"n/a",MIN(G28,VLOOKUP(G28,'Geometry 2'!$C$4:$AI$14,1,TRUE))-VLOOKUP(G28,'Geometry 2'!$C$4:$AI$14,33,TRUE),"check")))</f>
        <v/>
      </c>
      <c r="Q28" s="537"/>
      <c r="R28" s="537"/>
      <c r="S28" s="537"/>
      <c r="T28" s="537" t="str">
        <f>IF($G28="","",VLOOKUP($G28,'Geometry 2'!$E$4:$AH$14,11,TRUE))</f>
        <v/>
      </c>
      <c r="U28" s="537"/>
      <c r="V28" s="537"/>
      <c r="W28" s="537"/>
      <c r="X28" s="538" t="str">
        <f>IF($G28="","",VLOOKUP($G28,'Geometry 2'!$E$4:$AJ$14,19,TRUE)-12*VLOOKUP($G28,'Geometry 2'!$E$4:$AJ$14,32,TRUE)*($D28-VLOOKUP($G28,'Geometry 2'!$E$5:$AH$14,1,TRUE)))</f>
        <v/>
      </c>
      <c r="Y28" s="538"/>
      <c r="Z28" s="538"/>
      <c r="AA28" s="538"/>
      <c r="AB28" s="542" t="str">
        <f>IF($G28="","",VLOOKUP($G28,'Geometry 2'!$E$4:$AJ$14,19,TRUE)-12*VLOOKUP($G28,'Geometry 2'!$E$4:$AJ$14,32,TRUE)*($G28-VLOOKUP($G28,'Geometry 2'!$E$5:$AH$14,1,TRUE)))</f>
        <v/>
      </c>
      <c r="AC28" s="543"/>
      <c r="AD28" s="543"/>
      <c r="AE28" s="544"/>
      <c r="AF28" s="538" t="str">
        <f>IF($G28="","",VLOOKUP($G28,'Geometry 2'!$E$4:$AJ$14,19,TRUE)-12*VLOOKUP($G28,'Geometry 2'!$E$4:$AJ$14,32,TRUE)*($G28-IF($P28="",0,$P28)-VLOOKUP($G28,'Geometry 2'!$E$5:$AH$14,1,TRUE)))</f>
        <v/>
      </c>
      <c r="AG28" s="538"/>
      <c r="AH28" s="538"/>
      <c r="AI28" s="538"/>
      <c r="AJ28" s="539" t="str">
        <f>IF($G28="","",VLOOKUP($G28,'Geometry 2'!$E$4:$AH$14,23,TRUE))</f>
        <v/>
      </c>
      <c r="AK28" s="549"/>
      <c r="AL28" s="549"/>
      <c r="AM28" s="550"/>
      <c r="AN28" s="537"/>
      <c r="AO28" s="537"/>
      <c r="AP28" s="537"/>
      <c r="AQ28" s="537"/>
      <c r="AR28" s="537" t="str">
        <f>IF($G28="","",VLOOKUP($G28,'Geometry 2'!$E$4:$AH$14,27,TRUE))</f>
        <v/>
      </c>
      <c r="AS28" s="537"/>
      <c r="AT28" s="537"/>
      <c r="AU28" s="539"/>
      <c r="AV28" s="564"/>
      <c r="AW28" s="538"/>
      <c r="AX28" s="538"/>
      <c r="AZ28" s="517" t="str">
        <f t="shared" si="5"/>
        <v/>
      </c>
      <c r="BA28" s="518"/>
      <c r="BB28" s="518"/>
      <c r="BC28" s="519"/>
      <c r="BD28" s="517"/>
      <c r="BE28" s="518"/>
      <c r="BF28" s="518"/>
      <c r="BG28" s="517" t="str">
        <f t="shared" si="9"/>
        <v/>
      </c>
      <c r="BH28" s="518"/>
      <c r="BI28" s="518"/>
      <c r="BJ28" s="518"/>
      <c r="BK28" s="519"/>
      <c r="BL28" s="517"/>
      <c r="BM28" s="518"/>
      <c r="BN28" s="518"/>
      <c r="BO28" s="518"/>
      <c r="BP28" s="520"/>
      <c r="BQ28" s="520"/>
      <c r="BR28" s="517" t="str">
        <f>IF(BP28="","",IF(OR(AND(Rev="H",Calculations!$F$27=TRUE),AND(Rev&lt;&gt;"H",Calculations!$F$30=TRUE)),IF(BP28&lt;=1,"Pass","Fail"),IF(BP28&lt;=1.05,"Pass","Fail")))</f>
        <v/>
      </c>
      <c r="BS28" s="518"/>
      <c r="BT28" s="519"/>
      <c r="BU28" s="34"/>
      <c r="BV28" s="16"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16"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16"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16"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16"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16"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16"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16"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16"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16"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16"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16"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16"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16"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16"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16"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16"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16"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44" t="str">
        <f t="shared" si="6"/>
        <v/>
      </c>
      <c r="CO28" s="494"/>
      <c r="CP28" s="495"/>
      <c r="CQ28" s="496"/>
      <c r="CR28" s="494"/>
      <c r="CS28" s="495"/>
      <c r="CT28" s="496"/>
      <c r="CU28" s="494" t="str">
        <f t="shared" si="7"/>
        <v/>
      </c>
      <c r="CV28" s="495"/>
      <c r="CW28" s="500"/>
      <c r="CX28" s="501"/>
      <c r="CY28" s="492"/>
      <c r="CZ28" s="502"/>
      <c r="DA28" s="488"/>
      <c r="DB28" s="489"/>
      <c r="DC28" s="490"/>
      <c r="DD28" s="491" t="str">
        <f t="shared" si="8"/>
        <v/>
      </c>
      <c r="DE28" s="492"/>
      <c r="DF28" s="493"/>
      <c r="DG28" s="40"/>
      <c r="DH28" s="41"/>
      <c r="DI28" s="41"/>
      <c r="DJ28" s="41"/>
      <c r="DK28" s="41"/>
      <c r="DL28" s="41"/>
      <c r="DM28" s="41"/>
      <c r="DN28" s="41"/>
      <c r="DO28" s="41"/>
      <c r="DP28" s="41"/>
      <c r="DQ28" s="43"/>
      <c r="DR28" s="43"/>
      <c r="DS28" s="43"/>
      <c r="DT28" s="43"/>
      <c r="DU28" s="43"/>
      <c r="DV28" s="43"/>
      <c r="DW28" s="43"/>
      <c r="DX28" s="43"/>
      <c r="DY28" s="43"/>
      <c r="DZ28" s="43"/>
      <c r="EA28" s="43"/>
      <c r="EB28" s="43"/>
      <c r="EC28" s="43"/>
      <c r="ED28" s="43"/>
      <c r="EE28" s="43"/>
      <c r="EF28" s="43"/>
      <c r="EG28" s="43"/>
      <c r="EH28" s="43"/>
      <c r="EI28" s="43"/>
      <c r="EJ28" s="43"/>
      <c r="EK28" s="43"/>
      <c r="EL28" s="98"/>
      <c r="EM28" s="98"/>
      <c r="EN28" s="98"/>
      <c r="EO28" s="98"/>
      <c r="EP28" s="98"/>
      <c r="EQ28" s="98"/>
      <c r="ER28" s="98"/>
      <c r="ES28" s="98"/>
      <c r="ET28" s="98"/>
      <c r="EU28" s="98"/>
      <c r="EV28" s="98"/>
      <c r="EW28" s="98"/>
      <c r="EX28" s="98"/>
      <c r="EY28" s="98"/>
      <c r="EZ28" s="98"/>
      <c r="FA28" s="98"/>
      <c r="FB28" s="98"/>
      <c r="FC28" s="98"/>
      <c r="FD28" s="98"/>
      <c r="FE28" s="98"/>
      <c r="FF28" s="98"/>
      <c r="FG28" s="98"/>
      <c r="FH28" s="98"/>
      <c r="FI28" s="98"/>
      <c r="FJ28" s="98"/>
      <c r="FK28" s="98"/>
      <c r="FL28" s="98"/>
      <c r="FM28" s="98"/>
      <c r="FN28" s="98"/>
      <c r="FO28" s="98"/>
      <c r="FQ28" s="89"/>
      <c r="FR28" s="87"/>
      <c r="FS28" s="85"/>
      <c r="FT28" s="84"/>
    </row>
    <row r="29" spans="2:176" ht="15.75" customHeight="1" thickBot="1" x14ac:dyDescent="0.3">
      <c r="B29" s="47" t="b">
        <f>IF(AND(P28&lt;&gt;"",OR(AND(G29&gt;='Geometry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3" t="str">
        <f t="shared" si="3"/>
        <v/>
      </c>
      <c r="D29" s="529" t="str">
        <f t="shared" si="4"/>
        <v/>
      </c>
      <c r="E29" s="530"/>
      <c r="F29" s="14" t="str">
        <f t="shared" si="2"/>
        <v/>
      </c>
      <c r="G29" s="531"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532"/>
      <c r="I29" s="143"/>
      <c r="J29" s="143"/>
      <c r="K29" s="143"/>
      <c r="L29" s="537" t="str">
        <f t="shared" si="0"/>
        <v/>
      </c>
      <c r="M29" s="537"/>
      <c r="N29" s="537"/>
      <c r="O29" s="537"/>
      <c r="P29" s="537" t="str">
        <f>IF(OR(G29=0,G29=""),"",IF(VLOOKUP(G29,'Geometry 2'!$C$4:$AI$14,1,TRUE)=VLOOKUP(G30,'Geometry 2'!$C$4:$AI$14,1,TRUE),"",IF(VLOOKUP(G29,'Geometry 2'!$C$4:$AI$14,33,TRUE)&lt;&gt;"n/a",MIN(G29,VLOOKUP(G29,'Geometry 2'!$C$4:$AI$14,1,TRUE))-VLOOKUP(G29,'Geometry 2'!$C$4:$AI$14,33,TRUE),"check")))</f>
        <v/>
      </c>
      <c r="Q29" s="537"/>
      <c r="R29" s="537"/>
      <c r="S29" s="537"/>
      <c r="T29" s="537" t="str">
        <f>IF($G29="","",VLOOKUP($G29,'Geometry 2'!$E$4:$AH$14,11,TRUE))</f>
        <v/>
      </c>
      <c r="U29" s="537"/>
      <c r="V29" s="537"/>
      <c r="W29" s="537"/>
      <c r="X29" s="538" t="str">
        <f>IF($G29="","",VLOOKUP($G29,'Geometry 2'!$E$4:$AJ$14,19,TRUE)-12*VLOOKUP($G29,'Geometry 2'!$E$4:$AJ$14,32,TRUE)*($D29-VLOOKUP($G29,'Geometry 2'!$E$5:$AH$14,1,TRUE)))</f>
        <v/>
      </c>
      <c r="Y29" s="538"/>
      <c r="Z29" s="538"/>
      <c r="AA29" s="538"/>
      <c r="AB29" s="542" t="str">
        <f>IF($G29="","",VLOOKUP($G29,'Geometry 2'!$E$4:$AJ$14,19,TRUE)-12*VLOOKUP($G29,'Geometry 2'!$E$4:$AJ$14,32,TRUE)*($G29-VLOOKUP($G29,'Geometry 2'!$E$5:$AH$14,1,TRUE)))</f>
        <v/>
      </c>
      <c r="AC29" s="543"/>
      <c r="AD29" s="543"/>
      <c r="AE29" s="544"/>
      <c r="AF29" s="538" t="str">
        <f>IF($G29="","",VLOOKUP($G29,'Geometry 2'!$E$4:$AJ$14,19,TRUE)-12*VLOOKUP($G29,'Geometry 2'!$E$4:$AJ$14,32,TRUE)*($G29-IF($P29="",0,$P29)-VLOOKUP($G29,'Geometry 2'!$E$5:$AH$14,1,TRUE)))</f>
        <v/>
      </c>
      <c r="AG29" s="538"/>
      <c r="AH29" s="538"/>
      <c r="AI29" s="538"/>
      <c r="AJ29" s="539" t="str">
        <f>IF($G29="","",VLOOKUP($G29,'Geometry 2'!$E$4:$AH$14,23,TRUE))</f>
        <v/>
      </c>
      <c r="AK29" s="549"/>
      <c r="AL29" s="549"/>
      <c r="AM29" s="550"/>
      <c r="AN29" s="537"/>
      <c r="AO29" s="537"/>
      <c r="AP29" s="537"/>
      <c r="AQ29" s="537"/>
      <c r="AR29" s="537" t="str">
        <f>IF($G29="","",VLOOKUP($G29,'Geometry 2'!$E$4:$AH$14,27,TRUE))</f>
        <v/>
      </c>
      <c r="AS29" s="537"/>
      <c r="AT29" s="537"/>
      <c r="AU29" s="539"/>
      <c r="AV29" s="564"/>
      <c r="AW29" s="538"/>
      <c r="AX29" s="538"/>
      <c r="AZ29" s="517" t="str">
        <f t="shared" si="5"/>
        <v/>
      </c>
      <c r="BA29" s="518"/>
      <c r="BB29" s="518"/>
      <c r="BC29" s="519"/>
      <c r="BD29" s="517"/>
      <c r="BE29" s="518"/>
      <c r="BF29" s="518"/>
      <c r="BG29" s="517" t="str">
        <f t="shared" si="9"/>
        <v/>
      </c>
      <c r="BH29" s="518"/>
      <c r="BI29" s="518"/>
      <c r="BJ29" s="518"/>
      <c r="BK29" s="519"/>
      <c r="BL29" s="517"/>
      <c r="BM29" s="518"/>
      <c r="BN29" s="518"/>
      <c r="BO29" s="518"/>
      <c r="BP29" s="520"/>
      <c r="BQ29" s="520"/>
      <c r="BR29" s="517" t="str">
        <f>IF(BP29="","",IF(OR(AND(Rev="H",Calculations!$F$27=TRUE),AND(Rev&lt;&gt;"H",Calculations!$F$30=TRUE)),IF(BP29&lt;=1,"Pass","Fail"),IF(BP29&lt;=1.05,"Pass","Fail")))</f>
        <v/>
      </c>
      <c r="BS29" s="518"/>
      <c r="BT29" s="519"/>
      <c r="BU29" s="34"/>
      <c r="BV29" s="16"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16"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16"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16"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16"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16"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16"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16"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16"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16"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16"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16"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16"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16"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16"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16"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16"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16"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45" t="str">
        <f t="shared" si="6"/>
        <v/>
      </c>
      <c r="CO29" s="497"/>
      <c r="CP29" s="498"/>
      <c r="CQ29" s="499"/>
      <c r="CR29" s="497"/>
      <c r="CS29" s="498"/>
      <c r="CT29" s="499"/>
      <c r="CU29" s="497" t="str">
        <f t="shared" si="7"/>
        <v/>
      </c>
      <c r="CV29" s="498"/>
      <c r="CW29" s="503"/>
      <c r="CX29" s="484"/>
      <c r="CY29" s="485"/>
      <c r="CZ29" s="486"/>
      <c r="DA29" s="484"/>
      <c r="DB29" s="485"/>
      <c r="DC29" s="486"/>
      <c r="DD29" s="484" t="str">
        <f t="shared" si="8"/>
        <v/>
      </c>
      <c r="DE29" s="485"/>
      <c r="DF29" s="487"/>
      <c r="DG29" s="38"/>
      <c r="DH29" s="39"/>
      <c r="DI29" s="39"/>
      <c r="DJ29" s="39"/>
      <c r="DK29" s="39"/>
      <c r="DL29" s="39"/>
      <c r="DM29" s="39"/>
      <c r="DN29" s="39"/>
      <c r="DO29" s="39"/>
      <c r="DP29" s="39"/>
      <c r="DQ29" s="42"/>
      <c r="DR29" s="42"/>
      <c r="DS29" s="42"/>
      <c r="DT29" s="42"/>
      <c r="DU29" s="42"/>
      <c r="DV29" s="42"/>
      <c r="DW29" s="42"/>
      <c r="DX29" s="42"/>
      <c r="DY29" s="42"/>
      <c r="DZ29" s="42"/>
      <c r="EA29" s="42"/>
      <c r="EB29" s="42"/>
      <c r="EC29" s="42"/>
      <c r="ED29" s="42"/>
      <c r="EE29" s="42"/>
      <c r="EF29" s="42"/>
      <c r="EG29" s="42"/>
      <c r="EH29" s="42"/>
      <c r="EI29" s="42"/>
      <c r="EJ29" s="42"/>
      <c r="EK29" s="42"/>
      <c r="EL29" s="97"/>
      <c r="EM29" s="97"/>
      <c r="EN29" s="97"/>
      <c r="EO29" s="97"/>
      <c r="EP29" s="97"/>
      <c r="EQ29" s="97"/>
      <c r="ER29" s="97"/>
      <c r="ES29" s="97"/>
      <c r="ET29" s="97"/>
      <c r="EU29" s="97"/>
      <c r="EV29" s="97"/>
      <c r="EW29" s="97"/>
      <c r="EX29" s="97"/>
      <c r="EY29" s="97"/>
      <c r="EZ29" s="97"/>
      <c r="FA29" s="97"/>
      <c r="FB29" s="97"/>
      <c r="FC29" s="97"/>
      <c r="FD29" s="97"/>
      <c r="FE29" s="97"/>
      <c r="FF29" s="97"/>
      <c r="FG29" s="97"/>
      <c r="FH29" s="97"/>
      <c r="FI29" s="97"/>
      <c r="FJ29" s="97"/>
      <c r="FK29" s="97"/>
      <c r="FL29" s="97"/>
      <c r="FM29" s="97"/>
      <c r="FN29" s="97"/>
      <c r="FO29" s="97"/>
      <c r="FQ29" s="90"/>
      <c r="FR29" s="88"/>
      <c r="FS29" s="86"/>
      <c r="FT29" s="84"/>
    </row>
    <row r="30" spans="2:176" ht="15.75" customHeight="1" thickBot="1" x14ac:dyDescent="0.3">
      <c r="B30" s="47" t="b">
        <f>IF(AND(P29&lt;&gt;"",OR(AND(G30&gt;='Geometry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3" t="str">
        <f t="shared" si="3"/>
        <v/>
      </c>
      <c r="D30" s="529" t="str">
        <f t="shared" si="4"/>
        <v/>
      </c>
      <c r="E30" s="530"/>
      <c r="F30" s="14" t="str">
        <f t="shared" si="2"/>
        <v/>
      </c>
      <c r="G30" s="531"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532"/>
      <c r="I30" s="143"/>
      <c r="J30" s="143"/>
      <c r="K30" s="143"/>
      <c r="L30" s="537" t="str">
        <f t="shared" si="0"/>
        <v/>
      </c>
      <c r="M30" s="537"/>
      <c r="N30" s="537"/>
      <c r="O30" s="537"/>
      <c r="P30" s="537" t="str">
        <f>IF(OR(G30=0,G30=""),"",IF(VLOOKUP(G30,'Geometry 2'!$C$4:$AI$14,1,TRUE)=VLOOKUP(G31,'Geometry 2'!$C$4:$AI$14,1,TRUE),"",IF(VLOOKUP(G30,'Geometry 2'!$C$4:$AI$14,33,TRUE)&lt;&gt;"n/a",MIN(G30,VLOOKUP(G30,'Geometry 2'!$C$4:$AI$14,1,TRUE))-VLOOKUP(G30,'Geometry 2'!$C$4:$AI$14,33,TRUE),"check")))</f>
        <v/>
      </c>
      <c r="Q30" s="537"/>
      <c r="R30" s="537"/>
      <c r="S30" s="537"/>
      <c r="T30" s="537" t="str">
        <f>IF($G30="","",VLOOKUP($G30,'Geometry 2'!$E$4:$AH$14,11,TRUE))</f>
        <v/>
      </c>
      <c r="U30" s="537"/>
      <c r="V30" s="537"/>
      <c r="W30" s="537"/>
      <c r="X30" s="538" t="str">
        <f>IF($G30="","",VLOOKUP($G30,'Geometry 2'!$E$4:$AJ$14,19,TRUE)-12*VLOOKUP($G30,'Geometry 2'!$E$4:$AJ$14,32,TRUE)*($D30-VLOOKUP($G30,'Geometry 2'!$E$5:$AH$14,1,TRUE)))</f>
        <v/>
      </c>
      <c r="Y30" s="538"/>
      <c r="Z30" s="538"/>
      <c r="AA30" s="538"/>
      <c r="AB30" s="542" t="str">
        <f>IF($G30="","",VLOOKUP($G30,'Geometry 2'!$E$4:$AJ$14,19,TRUE)-12*VLOOKUP($G30,'Geometry 2'!$E$4:$AJ$14,32,TRUE)*($G30-VLOOKUP($G30,'Geometry 2'!$E$5:$AH$14,1,TRUE)))</f>
        <v/>
      </c>
      <c r="AC30" s="543"/>
      <c r="AD30" s="543"/>
      <c r="AE30" s="544"/>
      <c r="AF30" s="538" t="str">
        <f>IF($G30="","",VLOOKUP($G30,'Geometry 2'!$E$4:$AJ$14,19,TRUE)-12*VLOOKUP($G30,'Geometry 2'!$E$4:$AJ$14,32,TRUE)*($G30-IF($P30="",0,$P30)-VLOOKUP($G30,'Geometry 2'!$E$5:$AH$14,1,TRUE)))</f>
        <v/>
      </c>
      <c r="AG30" s="538"/>
      <c r="AH30" s="538"/>
      <c r="AI30" s="538"/>
      <c r="AJ30" s="539" t="str">
        <f>IF($G30="","",VLOOKUP($G30,'Geometry 2'!$E$4:$AH$14,23,TRUE))</f>
        <v/>
      </c>
      <c r="AK30" s="549"/>
      <c r="AL30" s="549"/>
      <c r="AM30" s="550"/>
      <c r="AN30" s="537"/>
      <c r="AO30" s="537"/>
      <c r="AP30" s="537"/>
      <c r="AQ30" s="537"/>
      <c r="AR30" s="537" t="str">
        <f>IF($G30="","",VLOOKUP($G30,'Geometry 2'!$E$4:$AH$14,27,TRUE))</f>
        <v/>
      </c>
      <c r="AS30" s="537"/>
      <c r="AT30" s="537"/>
      <c r="AU30" s="539"/>
      <c r="AV30" s="564"/>
      <c r="AW30" s="538"/>
      <c r="AX30" s="538"/>
      <c r="AZ30" s="517" t="str">
        <f t="shared" si="5"/>
        <v/>
      </c>
      <c r="BA30" s="518"/>
      <c r="BB30" s="518"/>
      <c r="BC30" s="519"/>
      <c r="BD30" s="517"/>
      <c r="BE30" s="518"/>
      <c r="BF30" s="518"/>
      <c r="BG30" s="517" t="str">
        <f t="shared" si="9"/>
        <v/>
      </c>
      <c r="BH30" s="518"/>
      <c r="BI30" s="518"/>
      <c r="BJ30" s="518"/>
      <c r="BK30" s="519"/>
      <c r="BL30" s="517"/>
      <c r="BM30" s="518"/>
      <c r="BN30" s="518"/>
      <c r="BO30" s="518"/>
      <c r="BP30" s="520"/>
      <c r="BQ30" s="520"/>
      <c r="BR30" s="517" t="str">
        <f>IF(BP30="","",IF(OR(AND(Rev="H",Calculations!$F$27=TRUE),AND(Rev&lt;&gt;"H",Calculations!$F$30=TRUE)),IF(BP30&lt;=1,"Pass","Fail"),IF(BP30&lt;=1.05,"Pass","Fail")))</f>
        <v/>
      </c>
      <c r="BS30" s="518"/>
      <c r="BT30" s="519"/>
      <c r="BU30" s="34"/>
      <c r="BV30" s="16"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16"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16"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16"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16"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16"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16"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16"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16"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16"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16"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16"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16"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16"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16"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16"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16"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16"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44" t="str">
        <f t="shared" si="6"/>
        <v/>
      </c>
      <c r="CO30" s="494"/>
      <c r="CP30" s="495"/>
      <c r="CQ30" s="496"/>
      <c r="CR30" s="494"/>
      <c r="CS30" s="495"/>
      <c r="CT30" s="496"/>
      <c r="CU30" s="494" t="str">
        <f t="shared" si="7"/>
        <v/>
      </c>
      <c r="CV30" s="495"/>
      <c r="CW30" s="500"/>
      <c r="CX30" s="501"/>
      <c r="CY30" s="492"/>
      <c r="CZ30" s="502"/>
      <c r="DA30" s="488"/>
      <c r="DB30" s="489"/>
      <c r="DC30" s="490"/>
      <c r="DD30" s="491" t="str">
        <f t="shared" si="8"/>
        <v/>
      </c>
      <c r="DE30" s="492"/>
      <c r="DF30" s="493"/>
      <c r="DG30" s="40"/>
      <c r="DH30" s="41"/>
      <c r="DI30" s="41"/>
      <c r="DJ30" s="41"/>
      <c r="DK30" s="41"/>
      <c r="DL30" s="41"/>
      <c r="DM30" s="41"/>
      <c r="DN30" s="41"/>
      <c r="DO30" s="41"/>
      <c r="DP30" s="41"/>
      <c r="DQ30" s="43"/>
      <c r="DR30" s="43"/>
      <c r="DS30" s="43"/>
      <c r="DT30" s="43"/>
      <c r="DU30" s="43"/>
      <c r="DV30" s="43"/>
      <c r="DW30" s="43"/>
      <c r="DX30" s="43"/>
      <c r="DY30" s="43"/>
      <c r="DZ30" s="43"/>
      <c r="EA30" s="43"/>
      <c r="EB30" s="43"/>
      <c r="EC30" s="43"/>
      <c r="ED30" s="43"/>
      <c r="EE30" s="43"/>
      <c r="EF30" s="43"/>
      <c r="EG30" s="43"/>
      <c r="EH30" s="43"/>
      <c r="EI30" s="43"/>
      <c r="EJ30" s="43"/>
      <c r="EK30" s="43"/>
      <c r="EL30" s="98"/>
      <c r="EM30" s="98"/>
      <c r="EN30" s="98"/>
      <c r="EO30" s="98"/>
      <c r="EP30" s="98"/>
      <c r="EQ30" s="98"/>
      <c r="ER30" s="98"/>
      <c r="ES30" s="98"/>
      <c r="ET30" s="98"/>
      <c r="EU30" s="98"/>
      <c r="EV30" s="98"/>
      <c r="EW30" s="98"/>
      <c r="EX30" s="98"/>
      <c r="EY30" s="98"/>
      <c r="EZ30" s="98"/>
      <c r="FA30" s="98"/>
      <c r="FB30" s="98"/>
      <c r="FC30" s="98"/>
      <c r="FD30" s="98"/>
      <c r="FE30" s="98"/>
      <c r="FF30" s="98"/>
      <c r="FG30" s="98"/>
      <c r="FH30" s="98"/>
      <c r="FI30" s="98"/>
      <c r="FJ30" s="98"/>
      <c r="FK30" s="98"/>
      <c r="FL30" s="98"/>
      <c r="FM30" s="98"/>
      <c r="FN30" s="98"/>
      <c r="FO30" s="98"/>
      <c r="FQ30" s="89"/>
      <c r="FR30" s="87"/>
      <c r="FS30" s="85"/>
      <c r="FT30" s="84"/>
    </row>
    <row r="31" spans="2:176" ht="15.75" customHeight="1" thickBot="1" x14ac:dyDescent="0.3">
      <c r="B31" s="47" t="b">
        <f>IF(AND(P30&lt;&gt;"",OR(AND(G31&gt;='Geometry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3" t="str">
        <f t="shared" si="3"/>
        <v/>
      </c>
      <c r="D31" s="529" t="str">
        <f t="shared" si="4"/>
        <v/>
      </c>
      <c r="E31" s="530"/>
      <c r="F31" s="14" t="str">
        <f t="shared" si="2"/>
        <v/>
      </c>
      <c r="G31" s="531"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532"/>
      <c r="I31" s="143"/>
      <c r="J31" s="143"/>
      <c r="K31" s="143"/>
      <c r="L31" s="537" t="str">
        <f t="shared" si="0"/>
        <v/>
      </c>
      <c r="M31" s="537"/>
      <c r="N31" s="537"/>
      <c r="O31" s="537"/>
      <c r="P31" s="537" t="str">
        <f>IF(OR(G31=0,G31=""),"",IF(VLOOKUP(G31,'Geometry 2'!$C$4:$AI$14,1,TRUE)=VLOOKUP(G32,'Geometry 2'!$C$4:$AI$14,1,TRUE),"",IF(VLOOKUP(G31,'Geometry 2'!$C$4:$AI$14,33,TRUE)&lt;&gt;"n/a",MIN(G31,VLOOKUP(G31,'Geometry 2'!$C$4:$AI$14,1,TRUE))-VLOOKUP(G31,'Geometry 2'!$C$4:$AI$14,33,TRUE),"check")))</f>
        <v/>
      </c>
      <c r="Q31" s="537"/>
      <c r="R31" s="537"/>
      <c r="S31" s="537"/>
      <c r="T31" s="537" t="str">
        <f>IF($G31="","",VLOOKUP($G31,'Geometry 2'!$E$4:$AH$14,11,TRUE))</f>
        <v/>
      </c>
      <c r="U31" s="537"/>
      <c r="V31" s="537"/>
      <c r="W31" s="537"/>
      <c r="X31" s="538" t="str">
        <f>IF($G31="","",VLOOKUP($G31,'Geometry 2'!$E$4:$AJ$14,19,TRUE)-12*VLOOKUP($G31,'Geometry 2'!$E$4:$AJ$14,32,TRUE)*($D31-VLOOKUP($G31,'Geometry 2'!$E$5:$AH$14,1,TRUE)))</f>
        <v/>
      </c>
      <c r="Y31" s="538"/>
      <c r="Z31" s="538"/>
      <c r="AA31" s="538"/>
      <c r="AB31" s="542" t="str">
        <f>IF($G31="","",VLOOKUP($G31,'Geometry 2'!$E$4:$AJ$14,19,TRUE)-12*VLOOKUP($G31,'Geometry 2'!$E$4:$AJ$14,32,TRUE)*($G31-VLOOKUP($G31,'Geometry 2'!$E$5:$AH$14,1,TRUE)))</f>
        <v/>
      </c>
      <c r="AC31" s="543"/>
      <c r="AD31" s="543"/>
      <c r="AE31" s="544"/>
      <c r="AF31" s="538" t="str">
        <f>IF($G31="","",VLOOKUP($G31,'Geometry 2'!$E$4:$AJ$14,19,TRUE)-12*VLOOKUP($G31,'Geometry 2'!$E$4:$AJ$14,32,TRUE)*($G31-IF($P31="",0,$P31)-VLOOKUP($G31,'Geometry 2'!$E$5:$AH$14,1,TRUE)))</f>
        <v/>
      </c>
      <c r="AG31" s="538"/>
      <c r="AH31" s="538"/>
      <c r="AI31" s="538"/>
      <c r="AJ31" s="539" t="str">
        <f>IF($G31="","",VLOOKUP($G31,'Geometry 2'!$E$4:$AH$14,23,TRUE))</f>
        <v/>
      </c>
      <c r="AK31" s="549"/>
      <c r="AL31" s="549"/>
      <c r="AM31" s="550"/>
      <c r="AN31" s="537"/>
      <c r="AO31" s="537"/>
      <c r="AP31" s="537"/>
      <c r="AQ31" s="537"/>
      <c r="AR31" s="537" t="str">
        <f>IF($G31="","",VLOOKUP($G31,'Geometry 2'!$E$4:$AH$14,27,TRUE))</f>
        <v/>
      </c>
      <c r="AS31" s="537"/>
      <c r="AT31" s="537"/>
      <c r="AU31" s="539"/>
      <c r="AV31" s="564"/>
      <c r="AW31" s="538"/>
      <c r="AX31" s="538"/>
      <c r="AZ31" s="517" t="str">
        <f t="shared" si="5"/>
        <v/>
      </c>
      <c r="BA31" s="518"/>
      <c r="BB31" s="518"/>
      <c r="BC31" s="519"/>
      <c r="BD31" s="517"/>
      <c r="BE31" s="518"/>
      <c r="BF31" s="518"/>
      <c r="BG31" s="517" t="str">
        <f t="shared" si="9"/>
        <v/>
      </c>
      <c r="BH31" s="518"/>
      <c r="BI31" s="518"/>
      <c r="BJ31" s="518"/>
      <c r="BK31" s="519"/>
      <c r="BL31" s="517"/>
      <c r="BM31" s="518"/>
      <c r="BN31" s="518"/>
      <c r="BO31" s="518"/>
      <c r="BP31" s="520"/>
      <c r="BQ31" s="520"/>
      <c r="BR31" s="517" t="str">
        <f>IF(BP31="","",IF(OR(AND(Rev="H",Calculations!$F$27=TRUE),AND(Rev&lt;&gt;"H",Calculations!$F$30=TRUE)),IF(BP31&lt;=1,"Pass","Fail"),IF(BP31&lt;=1.05,"Pass","Fail")))</f>
        <v/>
      </c>
      <c r="BS31" s="518"/>
      <c r="BT31" s="519"/>
      <c r="BU31" s="34"/>
      <c r="BV31" s="16"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16"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16"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16"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16"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16"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16"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16"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16"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16"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16"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16"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16"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16"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16"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16"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16"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16"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45" t="str">
        <f t="shared" si="6"/>
        <v/>
      </c>
      <c r="CO31" s="497"/>
      <c r="CP31" s="498"/>
      <c r="CQ31" s="499"/>
      <c r="CR31" s="497"/>
      <c r="CS31" s="498"/>
      <c r="CT31" s="499"/>
      <c r="CU31" s="497" t="str">
        <f t="shared" si="7"/>
        <v/>
      </c>
      <c r="CV31" s="498"/>
      <c r="CW31" s="503"/>
      <c r="CX31" s="484"/>
      <c r="CY31" s="485"/>
      <c r="CZ31" s="486"/>
      <c r="DA31" s="484"/>
      <c r="DB31" s="485"/>
      <c r="DC31" s="486"/>
      <c r="DD31" s="484" t="str">
        <f t="shared" si="8"/>
        <v/>
      </c>
      <c r="DE31" s="485"/>
      <c r="DF31" s="487"/>
      <c r="DG31" s="38"/>
      <c r="DH31" s="39"/>
      <c r="DI31" s="39"/>
      <c r="DJ31" s="39"/>
      <c r="DK31" s="39"/>
      <c r="DL31" s="39"/>
      <c r="DM31" s="39"/>
      <c r="DN31" s="39"/>
      <c r="DO31" s="39"/>
      <c r="DP31" s="39"/>
      <c r="DQ31" s="42"/>
      <c r="DR31" s="42"/>
      <c r="DS31" s="42"/>
      <c r="DT31" s="42"/>
      <c r="DU31" s="42"/>
      <c r="DV31" s="42"/>
      <c r="DW31" s="42"/>
      <c r="DX31" s="42"/>
      <c r="DY31" s="42"/>
      <c r="DZ31" s="42"/>
      <c r="EA31" s="42"/>
      <c r="EB31" s="42"/>
      <c r="EC31" s="42"/>
      <c r="ED31" s="42"/>
      <c r="EE31" s="42"/>
      <c r="EF31" s="42"/>
      <c r="EG31" s="42"/>
      <c r="EH31" s="42"/>
      <c r="EI31" s="42"/>
      <c r="EJ31" s="42"/>
      <c r="EK31" s="42"/>
      <c r="EL31" s="97"/>
      <c r="EM31" s="97"/>
      <c r="EN31" s="97"/>
      <c r="EO31" s="97"/>
      <c r="EP31" s="97"/>
      <c r="EQ31" s="97"/>
      <c r="ER31" s="97"/>
      <c r="ES31" s="97"/>
      <c r="ET31" s="97"/>
      <c r="EU31" s="97"/>
      <c r="EV31" s="97"/>
      <c r="EW31" s="97"/>
      <c r="EX31" s="97"/>
      <c r="EY31" s="97"/>
      <c r="EZ31" s="97"/>
      <c r="FA31" s="97"/>
      <c r="FB31" s="97"/>
      <c r="FC31" s="97"/>
      <c r="FD31" s="97"/>
      <c r="FE31" s="97"/>
      <c r="FF31" s="97"/>
      <c r="FG31" s="97"/>
      <c r="FH31" s="97"/>
      <c r="FI31" s="97"/>
      <c r="FJ31" s="97"/>
      <c r="FK31" s="97"/>
      <c r="FL31" s="97"/>
      <c r="FM31" s="97"/>
      <c r="FN31" s="97"/>
      <c r="FO31" s="97"/>
      <c r="FQ31" s="90"/>
      <c r="FR31" s="88"/>
      <c r="FS31" s="86"/>
      <c r="FT31" s="84"/>
    </row>
    <row r="32" spans="2:176" ht="15.75" customHeight="1" thickBot="1" x14ac:dyDescent="0.3">
      <c r="B32" s="47" t="b">
        <f>IF(AND(P31&lt;&gt;"",OR(AND(G32&gt;='Geometry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3" t="str">
        <f t="shared" si="3"/>
        <v/>
      </c>
      <c r="D32" s="529" t="str">
        <f t="shared" si="4"/>
        <v/>
      </c>
      <c r="E32" s="530"/>
      <c r="F32" s="14" t="str">
        <f t="shared" si="2"/>
        <v/>
      </c>
      <c r="G32" s="531"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532"/>
      <c r="I32" s="143"/>
      <c r="J32" s="143"/>
      <c r="K32" s="143"/>
      <c r="L32" s="537" t="str">
        <f t="shared" si="0"/>
        <v/>
      </c>
      <c r="M32" s="537"/>
      <c r="N32" s="537"/>
      <c r="O32" s="537"/>
      <c r="P32" s="537" t="str">
        <f>IF(OR(G32=0,G32=""),"",IF(VLOOKUP(G32,'Geometry 2'!$C$4:$AI$14,1,TRUE)=VLOOKUP(G33,'Geometry 2'!$C$4:$AI$14,1,TRUE),"",IF(VLOOKUP(G32,'Geometry 2'!$C$4:$AI$14,33,TRUE)&lt;&gt;"n/a",MIN(G32,VLOOKUP(G32,'Geometry 2'!$C$4:$AI$14,1,TRUE))-VLOOKUP(G32,'Geometry 2'!$C$4:$AI$14,33,TRUE),"check")))</f>
        <v/>
      </c>
      <c r="Q32" s="537"/>
      <c r="R32" s="537"/>
      <c r="S32" s="537"/>
      <c r="T32" s="537" t="str">
        <f>IF($G32="","",VLOOKUP($G32,'Geometry 2'!$E$4:$AH$14,11,TRUE))</f>
        <v/>
      </c>
      <c r="U32" s="537"/>
      <c r="V32" s="537"/>
      <c r="W32" s="537"/>
      <c r="X32" s="538" t="str">
        <f>IF($G32="","",VLOOKUP($G32,'Geometry 2'!$E$4:$AJ$14,19,TRUE)-12*VLOOKUP($G32,'Geometry 2'!$E$4:$AJ$14,32,TRUE)*($D32-VLOOKUP($G32,'Geometry 2'!$E$5:$AH$14,1,TRUE)))</f>
        <v/>
      </c>
      <c r="Y32" s="538"/>
      <c r="Z32" s="538"/>
      <c r="AA32" s="538"/>
      <c r="AB32" s="542" t="str">
        <f>IF($G32="","",VLOOKUP($G32,'Geometry 2'!$E$4:$AJ$14,19,TRUE)-12*VLOOKUP($G32,'Geometry 2'!$E$4:$AJ$14,32,TRUE)*($G32-VLOOKUP($G32,'Geometry 2'!$E$5:$AH$14,1,TRUE)))</f>
        <v/>
      </c>
      <c r="AC32" s="543"/>
      <c r="AD32" s="543"/>
      <c r="AE32" s="544"/>
      <c r="AF32" s="538" t="str">
        <f>IF($G32="","",VLOOKUP($G32,'Geometry 2'!$E$4:$AJ$14,19,TRUE)-12*VLOOKUP($G32,'Geometry 2'!$E$4:$AJ$14,32,TRUE)*($G32-IF($P32="",0,$P32)-VLOOKUP($G32,'Geometry 2'!$E$5:$AH$14,1,TRUE)))</f>
        <v/>
      </c>
      <c r="AG32" s="538"/>
      <c r="AH32" s="538"/>
      <c r="AI32" s="538"/>
      <c r="AJ32" s="539" t="str">
        <f>IF($G32="","",VLOOKUP($G32,'Geometry 2'!$E$4:$AH$14,23,TRUE))</f>
        <v/>
      </c>
      <c r="AK32" s="549"/>
      <c r="AL32" s="549"/>
      <c r="AM32" s="550"/>
      <c r="AN32" s="537"/>
      <c r="AO32" s="537"/>
      <c r="AP32" s="537"/>
      <c r="AQ32" s="537"/>
      <c r="AR32" s="537" t="str">
        <f>IF($G32="","",VLOOKUP($G32,'Geometry 2'!$E$4:$AH$14,27,TRUE))</f>
        <v/>
      </c>
      <c r="AS32" s="537"/>
      <c r="AT32" s="537"/>
      <c r="AU32" s="539"/>
      <c r="AV32" s="564"/>
      <c r="AW32" s="538"/>
      <c r="AX32" s="538"/>
      <c r="AZ32" s="517" t="str">
        <f t="shared" si="5"/>
        <v/>
      </c>
      <c r="BA32" s="518"/>
      <c r="BB32" s="518"/>
      <c r="BC32" s="519"/>
      <c r="BD32" s="517"/>
      <c r="BE32" s="518"/>
      <c r="BF32" s="518"/>
      <c r="BG32" s="517" t="str">
        <f t="shared" si="9"/>
        <v/>
      </c>
      <c r="BH32" s="518"/>
      <c r="BI32" s="518"/>
      <c r="BJ32" s="518"/>
      <c r="BK32" s="519"/>
      <c r="BL32" s="517"/>
      <c r="BM32" s="518"/>
      <c r="BN32" s="518"/>
      <c r="BO32" s="518"/>
      <c r="BP32" s="520"/>
      <c r="BQ32" s="520"/>
      <c r="BR32" s="517" t="str">
        <f>IF(BP32="","",IF(OR(AND(Rev="H",Calculations!$F$27=TRUE),AND(Rev&lt;&gt;"H",Calculations!$F$30=TRUE)),IF(BP32&lt;=1,"Pass","Fail"),IF(BP32&lt;=1.05,"Pass","Fail")))</f>
        <v/>
      </c>
      <c r="BS32" s="518"/>
      <c r="BT32" s="519"/>
      <c r="BU32" s="34"/>
      <c r="BV32" s="16"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16"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16"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16"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16"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16"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16"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16"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16"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16"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16"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16"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16"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16"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16"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16"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16"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16"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44" t="str">
        <f t="shared" si="6"/>
        <v/>
      </c>
      <c r="CO32" s="494"/>
      <c r="CP32" s="495"/>
      <c r="CQ32" s="496"/>
      <c r="CR32" s="494"/>
      <c r="CS32" s="495"/>
      <c r="CT32" s="496"/>
      <c r="CU32" s="494" t="str">
        <f t="shared" si="7"/>
        <v/>
      </c>
      <c r="CV32" s="495"/>
      <c r="CW32" s="500"/>
      <c r="CX32" s="501"/>
      <c r="CY32" s="492"/>
      <c r="CZ32" s="502"/>
      <c r="DA32" s="488"/>
      <c r="DB32" s="489"/>
      <c r="DC32" s="490"/>
      <c r="DD32" s="491" t="str">
        <f t="shared" si="8"/>
        <v/>
      </c>
      <c r="DE32" s="492"/>
      <c r="DF32" s="493"/>
      <c r="DG32" s="40"/>
      <c r="DH32" s="41"/>
      <c r="DI32" s="41"/>
      <c r="DJ32" s="41"/>
      <c r="DK32" s="41"/>
      <c r="DL32" s="41"/>
      <c r="DM32" s="41"/>
      <c r="DN32" s="41"/>
      <c r="DO32" s="41"/>
      <c r="DP32" s="41"/>
      <c r="DQ32" s="43"/>
      <c r="DR32" s="43"/>
      <c r="DS32" s="43"/>
      <c r="DT32" s="43"/>
      <c r="DU32" s="43"/>
      <c r="DV32" s="43"/>
      <c r="DW32" s="43"/>
      <c r="DX32" s="43"/>
      <c r="DY32" s="43"/>
      <c r="DZ32" s="43"/>
      <c r="EA32" s="43"/>
      <c r="EB32" s="43"/>
      <c r="EC32" s="43"/>
      <c r="ED32" s="43"/>
      <c r="EE32" s="43"/>
      <c r="EF32" s="43"/>
      <c r="EG32" s="43"/>
      <c r="EH32" s="43"/>
      <c r="EI32" s="43"/>
      <c r="EJ32" s="43"/>
      <c r="EK32" s="43"/>
      <c r="EL32" s="98"/>
      <c r="EM32" s="98"/>
      <c r="EN32" s="98"/>
      <c r="EO32" s="98"/>
      <c r="EP32" s="98"/>
      <c r="EQ32" s="98"/>
      <c r="ER32" s="98"/>
      <c r="ES32" s="98"/>
      <c r="ET32" s="98"/>
      <c r="EU32" s="98"/>
      <c r="EV32" s="98"/>
      <c r="EW32" s="98"/>
      <c r="EX32" s="98"/>
      <c r="EY32" s="98"/>
      <c r="EZ32" s="98"/>
      <c r="FA32" s="98"/>
      <c r="FB32" s="98"/>
      <c r="FC32" s="98"/>
      <c r="FD32" s="98"/>
      <c r="FE32" s="98"/>
      <c r="FF32" s="98"/>
      <c r="FG32" s="98"/>
      <c r="FH32" s="98"/>
      <c r="FI32" s="98"/>
      <c r="FJ32" s="98"/>
      <c r="FK32" s="98"/>
      <c r="FL32" s="98"/>
      <c r="FM32" s="98"/>
      <c r="FN32" s="98"/>
      <c r="FO32" s="98"/>
      <c r="FQ32" s="89"/>
      <c r="FR32" s="87"/>
      <c r="FS32" s="85"/>
      <c r="FT32" s="84"/>
    </row>
    <row r="33" spans="2:176" ht="15.75" customHeight="1" thickBot="1" x14ac:dyDescent="0.3">
      <c r="B33" s="47" t="b">
        <f>IF(AND(P32&lt;&gt;"",OR(AND(G33&gt;='Geometry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3" t="str">
        <f t="shared" si="3"/>
        <v/>
      </c>
      <c r="D33" s="529" t="str">
        <f t="shared" si="4"/>
        <v/>
      </c>
      <c r="E33" s="530"/>
      <c r="F33" s="14" t="str">
        <f t="shared" si="2"/>
        <v/>
      </c>
      <c r="G33" s="531"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532"/>
      <c r="I33" s="143"/>
      <c r="J33" s="143"/>
      <c r="K33" s="143"/>
      <c r="L33" s="537" t="str">
        <f t="shared" si="0"/>
        <v/>
      </c>
      <c r="M33" s="537"/>
      <c r="N33" s="537"/>
      <c r="O33" s="537"/>
      <c r="P33" s="537" t="str">
        <f>IF(OR(G33=0,G33=""),"",IF(VLOOKUP(G33,'Geometry 2'!$C$4:$AI$14,1,TRUE)=VLOOKUP(G34,'Geometry 2'!$C$4:$AI$14,1,TRUE),"",IF(VLOOKUP(G33,'Geometry 2'!$C$4:$AI$14,33,TRUE)&lt;&gt;"n/a",MIN(G33,VLOOKUP(G33,'Geometry 2'!$C$4:$AI$14,1,TRUE))-VLOOKUP(G33,'Geometry 2'!$C$4:$AI$14,33,TRUE),"check")))</f>
        <v/>
      </c>
      <c r="Q33" s="537"/>
      <c r="R33" s="537"/>
      <c r="S33" s="537"/>
      <c r="T33" s="537" t="str">
        <f>IF($G33="","",VLOOKUP($G33,'Geometry 2'!$E$4:$AH$14,11,TRUE))</f>
        <v/>
      </c>
      <c r="U33" s="537"/>
      <c r="V33" s="537"/>
      <c r="W33" s="537"/>
      <c r="X33" s="538" t="str">
        <f>IF($G33="","",VLOOKUP($G33,'Geometry 2'!$E$4:$AJ$14,19,TRUE)-12*VLOOKUP($G33,'Geometry 2'!$E$4:$AJ$14,32,TRUE)*($D33-VLOOKUP($G33,'Geometry 2'!$E$5:$AH$14,1,TRUE)))</f>
        <v/>
      </c>
      <c r="Y33" s="538"/>
      <c r="Z33" s="538"/>
      <c r="AA33" s="538"/>
      <c r="AB33" s="542" t="str">
        <f>IF($G33="","",VLOOKUP($G33,'Geometry 2'!$E$4:$AJ$14,19,TRUE)-12*VLOOKUP($G33,'Geometry 2'!$E$4:$AJ$14,32,TRUE)*($G33-VLOOKUP($G33,'Geometry 2'!$E$5:$AH$14,1,TRUE)))</f>
        <v/>
      </c>
      <c r="AC33" s="543"/>
      <c r="AD33" s="543"/>
      <c r="AE33" s="544"/>
      <c r="AF33" s="538" t="str">
        <f>IF($G33="","",VLOOKUP($G33,'Geometry 2'!$E$4:$AJ$14,19,TRUE)-12*VLOOKUP($G33,'Geometry 2'!$E$4:$AJ$14,32,TRUE)*($G33-IF($P33="",0,$P33)-VLOOKUP($G33,'Geometry 2'!$E$5:$AH$14,1,TRUE)))</f>
        <v/>
      </c>
      <c r="AG33" s="538"/>
      <c r="AH33" s="538"/>
      <c r="AI33" s="538"/>
      <c r="AJ33" s="539" t="str">
        <f>IF($G33="","",VLOOKUP($G33,'Geometry 2'!$E$4:$AH$14,23,TRUE))</f>
        <v/>
      </c>
      <c r="AK33" s="549"/>
      <c r="AL33" s="549"/>
      <c r="AM33" s="550"/>
      <c r="AN33" s="537"/>
      <c r="AO33" s="537"/>
      <c r="AP33" s="537"/>
      <c r="AQ33" s="537"/>
      <c r="AR33" s="537" t="str">
        <f>IF($G33="","",VLOOKUP($G33,'Geometry 2'!$E$4:$AH$14,27,TRUE))</f>
        <v/>
      </c>
      <c r="AS33" s="537"/>
      <c r="AT33" s="537"/>
      <c r="AU33" s="539"/>
      <c r="AV33" s="564"/>
      <c r="AW33" s="538"/>
      <c r="AX33" s="538"/>
      <c r="AZ33" s="517" t="str">
        <f t="shared" si="5"/>
        <v/>
      </c>
      <c r="BA33" s="518"/>
      <c r="BB33" s="518"/>
      <c r="BC33" s="519"/>
      <c r="BD33" s="517"/>
      <c r="BE33" s="518"/>
      <c r="BF33" s="518"/>
      <c r="BG33" s="517" t="str">
        <f t="shared" si="9"/>
        <v/>
      </c>
      <c r="BH33" s="518"/>
      <c r="BI33" s="518"/>
      <c r="BJ33" s="518"/>
      <c r="BK33" s="519"/>
      <c r="BL33" s="517"/>
      <c r="BM33" s="518"/>
      <c r="BN33" s="518"/>
      <c r="BO33" s="518"/>
      <c r="BP33" s="520"/>
      <c r="BQ33" s="520"/>
      <c r="BR33" s="517" t="str">
        <f>IF(BP33="","",IF(OR(AND(Rev="H",Calculations!$F$27=TRUE),AND(Rev&lt;&gt;"H",Calculations!$F$30=TRUE)),IF(BP33&lt;=1,"Pass","Fail"),IF(BP33&lt;=1.05,"Pass","Fail")))</f>
        <v/>
      </c>
      <c r="BS33" s="518"/>
      <c r="BT33" s="519"/>
      <c r="BU33" s="34"/>
      <c r="BV33" s="16"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16"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16"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16"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16"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16"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16"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16"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16"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16"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16"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16"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16"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16"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16"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16"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16"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16"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45" t="str">
        <f t="shared" si="6"/>
        <v/>
      </c>
      <c r="CO33" s="497"/>
      <c r="CP33" s="498"/>
      <c r="CQ33" s="499"/>
      <c r="CR33" s="497"/>
      <c r="CS33" s="498"/>
      <c r="CT33" s="499"/>
      <c r="CU33" s="497" t="str">
        <f t="shared" si="7"/>
        <v/>
      </c>
      <c r="CV33" s="498"/>
      <c r="CW33" s="503"/>
      <c r="CX33" s="484"/>
      <c r="CY33" s="485"/>
      <c r="CZ33" s="486"/>
      <c r="DA33" s="484"/>
      <c r="DB33" s="485"/>
      <c r="DC33" s="486"/>
      <c r="DD33" s="484" t="str">
        <f t="shared" si="8"/>
        <v/>
      </c>
      <c r="DE33" s="485"/>
      <c r="DF33" s="487"/>
      <c r="DG33" s="38"/>
      <c r="DH33" s="39"/>
      <c r="DI33" s="39"/>
      <c r="DJ33" s="39"/>
      <c r="DK33" s="39"/>
      <c r="DL33" s="39"/>
      <c r="DM33" s="39"/>
      <c r="DN33" s="39"/>
      <c r="DO33" s="39"/>
      <c r="DP33" s="39"/>
      <c r="DQ33" s="42"/>
      <c r="DR33" s="42"/>
      <c r="DS33" s="42"/>
      <c r="DT33" s="42"/>
      <c r="DU33" s="42"/>
      <c r="DV33" s="42"/>
      <c r="DW33" s="42"/>
      <c r="DX33" s="42"/>
      <c r="DY33" s="42"/>
      <c r="DZ33" s="42"/>
      <c r="EA33" s="42"/>
      <c r="EB33" s="42"/>
      <c r="EC33" s="42"/>
      <c r="ED33" s="42"/>
      <c r="EE33" s="42"/>
      <c r="EF33" s="42"/>
      <c r="EG33" s="42"/>
      <c r="EH33" s="42"/>
      <c r="EI33" s="42"/>
      <c r="EJ33" s="42"/>
      <c r="EK33" s="42"/>
      <c r="EL33" s="97"/>
      <c r="EM33" s="97"/>
      <c r="EN33" s="97"/>
      <c r="EO33" s="97"/>
      <c r="EP33" s="97"/>
      <c r="EQ33" s="97"/>
      <c r="ER33" s="97"/>
      <c r="ES33" s="97"/>
      <c r="ET33" s="97"/>
      <c r="EU33" s="97"/>
      <c r="EV33" s="97"/>
      <c r="EW33" s="97"/>
      <c r="EX33" s="97"/>
      <c r="EY33" s="97"/>
      <c r="EZ33" s="97"/>
      <c r="FA33" s="97"/>
      <c r="FB33" s="97"/>
      <c r="FC33" s="97"/>
      <c r="FD33" s="97"/>
      <c r="FE33" s="97"/>
      <c r="FF33" s="97"/>
      <c r="FG33" s="97"/>
      <c r="FH33" s="97"/>
      <c r="FI33" s="97"/>
      <c r="FJ33" s="97"/>
      <c r="FK33" s="97"/>
      <c r="FL33" s="97"/>
      <c r="FM33" s="97"/>
      <c r="FN33" s="97"/>
      <c r="FO33" s="97"/>
      <c r="FQ33" s="90"/>
      <c r="FR33" s="88"/>
      <c r="FS33" s="86"/>
      <c r="FT33" s="84"/>
    </row>
    <row r="34" spans="2:176" ht="15.75" customHeight="1" thickBot="1" x14ac:dyDescent="0.3">
      <c r="B34" s="47" t="b">
        <f>IF(AND(P33&lt;&gt;"",OR(AND(G34&gt;='Geometry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3" t="str">
        <f t="shared" si="3"/>
        <v/>
      </c>
      <c r="D34" s="529" t="str">
        <f t="shared" si="4"/>
        <v/>
      </c>
      <c r="E34" s="530"/>
      <c r="F34" s="14" t="str">
        <f t="shared" si="2"/>
        <v/>
      </c>
      <c r="G34" s="531"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532"/>
      <c r="I34" s="143"/>
      <c r="J34" s="143"/>
      <c r="K34" s="143"/>
      <c r="L34" s="537" t="str">
        <f t="shared" si="0"/>
        <v/>
      </c>
      <c r="M34" s="537"/>
      <c r="N34" s="537"/>
      <c r="O34" s="537"/>
      <c r="P34" s="537" t="str">
        <f>IF(OR(G34=0,G34=""),"",IF(VLOOKUP(G34,'Geometry 2'!$C$4:$AI$14,1,TRUE)=VLOOKUP(G35,'Geometry 2'!$C$4:$AI$14,1,TRUE),"",IF(VLOOKUP(G34,'Geometry 2'!$C$4:$AI$14,33,TRUE)&lt;&gt;"n/a",MIN(G34,VLOOKUP(G34,'Geometry 2'!$C$4:$AI$14,1,TRUE))-VLOOKUP(G34,'Geometry 2'!$C$4:$AI$14,33,TRUE),"check")))</f>
        <v/>
      </c>
      <c r="Q34" s="537"/>
      <c r="R34" s="537"/>
      <c r="S34" s="537"/>
      <c r="T34" s="537" t="str">
        <f>IF($G34="","",VLOOKUP($G34,'Geometry 2'!$E$4:$AH$14,11,TRUE))</f>
        <v/>
      </c>
      <c r="U34" s="537"/>
      <c r="V34" s="537"/>
      <c r="W34" s="537"/>
      <c r="X34" s="538" t="str">
        <f>IF($G34="","",VLOOKUP($G34,'Geometry 2'!$E$4:$AJ$14,19,TRUE)-12*VLOOKUP($G34,'Geometry 2'!$E$4:$AJ$14,32,TRUE)*($D34-VLOOKUP($G34,'Geometry 2'!$E$5:$AH$14,1,TRUE)))</f>
        <v/>
      </c>
      <c r="Y34" s="538"/>
      <c r="Z34" s="538"/>
      <c r="AA34" s="538"/>
      <c r="AB34" s="542" t="str">
        <f>IF($G34="","",VLOOKUP($G34,'Geometry 2'!$E$4:$AJ$14,19,TRUE)-12*VLOOKUP($G34,'Geometry 2'!$E$4:$AJ$14,32,TRUE)*($G34-VLOOKUP($G34,'Geometry 2'!$E$5:$AH$14,1,TRUE)))</f>
        <v/>
      </c>
      <c r="AC34" s="543"/>
      <c r="AD34" s="543"/>
      <c r="AE34" s="544"/>
      <c r="AF34" s="538" t="str">
        <f>IF($G34="","",VLOOKUP($G34,'Geometry 2'!$E$4:$AJ$14,19,TRUE)-12*VLOOKUP($G34,'Geometry 2'!$E$4:$AJ$14,32,TRUE)*($G34-IF($P34="",0,$P34)-VLOOKUP($G34,'Geometry 2'!$E$5:$AH$14,1,TRUE)))</f>
        <v/>
      </c>
      <c r="AG34" s="538"/>
      <c r="AH34" s="538"/>
      <c r="AI34" s="538"/>
      <c r="AJ34" s="539" t="str">
        <f>IF($G34="","",VLOOKUP($G34,'Geometry 2'!$E$4:$AH$14,23,TRUE))</f>
        <v/>
      </c>
      <c r="AK34" s="549"/>
      <c r="AL34" s="549"/>
      <c r="AM34" s="550"/>
      <c r="AN34" s="537"/>
      <c r="AO34" s="537"/>
      <c r="AP34" s="537"/>
      <c r="AQ34" s="537"/>
      <c r="AR34" s="537" t="str">
        <f>IF($G34="","",VLOOKUP($G34,'Geometry 2'!$E$4:$AH$14,27,TRUE))</f>
        <v/>
      </c>
      <c r="AS34" s="537"/>
      <c r="AT34" s="537"/>
      <c r="AU34" s="539"/>
      <c r="AV34" s="564"/>
      <c r="AW34" s="538"/>
      <c r="AX34" s="538"/>
      <c r="AZ34" s="517" t="str">
        <f t="shared" si="5"/>
        <v/>
      </c>
      <c r="BA34" s="518"/>
      <c r="BB34" s="518"/>
      <c r="BC34" s="519"/>
      <c r="BD34" s="517"/>
      <c r="BE34" s="518"/>
      <c r="BF34" s="518"/>
      <c r="BG34" s="517" t="str">
        <f t="shared" si="9"/>
        <v/>
      </c>
      <c r="BH34" s="518"/>
      <c r="BI34" s="518"/>
      <c r="BJ34" s="518"/>
      <c r="BK34" s="519"/>
      <c r="BL34" s="517"/>
      <c r="BM34" s="518"/>
      <c r="BN34" s="518"/>
      <c r="BO34" s="518"/>
      <c r="BP34" s="520"/>
      <c r="BQ34" s="520"/>
      <c r="BR34" s="517" t="str">
        <f>IF(BP34="","",IF(OR(AND(Rev="H",Calculations!$F$27=TRUE),AND(Rev&lt;&gt;"H",Calculations!$F$30=TRUE)),IF(BP34&lt;=1,"Pass","Fail"),IF(BP34&lt;=1.05,"Pass","Fail")))</f>
        <v/>
      </c>
      <c r="BS34" s="518"/>
      <c r="BT34" s="519"/>
      <c r="BU34" s="34"/>
      <c r="BV34" s="16"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16"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16"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16"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16"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16"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16"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16"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16"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16"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16"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16"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16"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16"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16"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16"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16"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16"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44" t="str">
        <f t="shared" si="6"/>
        <v/>
      </c>
      <c r="CO34" s="494"/>
      <c r="CP34" s="495"/>
      <c r="CQ34" s="496"/>
      <c r="CR34" s="494"/>
      <c r="CS34" s="495"/>
      <c r="CT34" s="496"/>
      <c r="CU34" s="494" t="str">
        <f t="shared" si="7"/>
        <v/>
      </c>
      <c r="CV34" s="495"/>
      <c r="CW34" s="500"/>
      <c r="CX34" s="501"/>
      <c r="CY34" s="492"/>
      <c r="CZ34" s="502"/>
      <c r="DA34" s="488"/>
      <c r="DB34" s="489"/>
      <c r="DC34" s="490"/>
      <c r="DD34" s="491" t="str">
        <f t="shared" si="8"/>
        <v/>
      </c>
      <c r="DE34" s="492"/>
      <c r="DF34" s="493"/>
      <c r="DG34" s="40"/>
      <c r="DH34" s="41"/>
      <c r="DI34" s="41"/>
      <c r="DJ34" s="41"/>
      <c r="DK34" s="41"/>
      <c r="DL34" s="41"/>
      <c r="DM34" s="41"/>
      <c r="DN34" s="41"/>
      <c r="DO34" s="41"/>
      <c r="DP34" s="41"/>
      <c r="DQ34" s="43"/>
      <c r="DR34" s="43"/>
      <c r="DS34" s="43"/>
      <c r="DT34" s="43"/>
      <c r="DU34" s="43"/>
      <c r="DV34" s="43"/>
      <c r="DW34" s="43"/>
      <c r="DX34" s="43"/>
      <c r="DY34" s="43"/>
      <c r="DZ34" s="43"/>
      <c r="EA34" s="43"/>
      <c r="EB34" s="43"/>
      <c r="EC34" s="43"/>
      <c r="ED34" s="43"/>
      <c r="EE34" s="43"/>
      <c r="EF34" s="43"/>
      <c r="EG34" s="43"/>
      <c r="EH34" s="43"/>
      <c r="EI34" s="43"/>
      <c r="EJ34" s="43"/>
      <c r="EK34" s="43"/>
      <c r="EL34" s="98"/>
      <c r="EM34" s="98"/>
      <c r="EN34" s="98"/>
      <c r="EO34" s="98"/>
      <c r="EP34" s="98"/>
      <c r="EQ34" s="98"/>
      <c r="ER34" s="98"/>
      <c r="ES34" s="98"/>
      <c r="ET34" s="98"/>
      <c r="EU34" s="98"/>
      <c r="EV34" s="98"/>
      <c r="EW34" s="98"/>
      <c r="EX34" s="98"/>
      <c r="EY34" s="98"/>
      <c r="EZ34" s="98"/>
      <c r="FA34" s="98"/>
      <c r="FB34" s="98"/>
      <c r="FC34" s="98"/>
      <c r="FD34" s="98"/>
      <c r="FE34" s="98"/>
      <c r="FF34" s="98"/>
      <c r="FG34" s="98"/>
      <c r="FH34" s="98"/>
      <c r="FI34" s="98"/>
      <c r="FJ34" s="98"/>
      <c r="FK34" s="98"/>
      <c r="FL34" s="98"/>
      <c r="FM34" s="98"/>
      <c r="FN34" s="98"/>
      <c r="FO34" s="98"/>
      <c r="FQ34" s="89"/>
      <c r="FR34" s="87"/>
      <c r="FS34" s="85"/>
      <c r="FT34" s="84"/>
    </row>
    <row r="35" spans="2:176" ht="15.75" customHeight="1" thickBot="1" x14ac:dyDescent="0.3">
      <c r="B35" s="47" t="b">
        <f>IF(AND(P34&lt;&gt;"",OR(AND(G35&gt;='Geometry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3" t="str">
        <f t="shared" si="3"/>
        <v/>
      </c>
      <c r="D35" s="529" t="str">
        <f t="shared" si="4"/>
        <v/>
      </c>
      <c r="E35" s="530"/>
      <c r="F35" s="14" t="str">
        <f t="shared" si="2"/>
        <v/>
      </c>
      <c r="G35" s="531"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532"/>
      <c r="I35" s="143"/>
      <c r="J35" s="143"/>
      <c r="K35" s="143"/>
      <c r="L35" s="537" t="str">
        <f t="shared" si="0"/>
        <v/>
      </c>
      <c r="M35" s="537"/>
      <c r="N35" s="537"/>
      <c r="O35" s="537"/>
      <c r="P35" s="537" t="str">
        <f>IF(OR(G35=0,G35=""),"",IF(VLOOKUP(G35,'Geometry 2'!$C$4:$AI$14,1,TRUE)=VLOOKUP(G36,'Geometry 2'!$C$4:$AI$14,1,TRUE),"",IF(VLOOKUP(G35,'Geometry 2'!$C$4:$AI$14,33,TRUE)&lt;&gt;"n/a",MIN(G35,VLOOKUP(G35,'Geometry 2'!$C$4:$AI$14,1,TRUE))-VLOOKUP(G35,'Geometry 2'!$C$4:$AI$14,33,TRUE),"check")))</f>
        <v/>
      </c>
      <c r="Q35" s="537"/>
      <c r="R35" s="537"/>
      <c r="S35" s="537"/>
      <c r="T35" s="537" t="str">
        <f>IF($G35="","",VLOOKUP($G35,'Geometry 2'!$E$4:$AH$14,11,TRUE))</f>
        <v/>
      </c>
      <c r="U35" s="537"/>
      <c r="V35" s="537"/>
      <c r="W35" s="537"/>
      <c r="X35" s="538" t="str">
        <f>IF($G35="","",VLOOKUP($G35,'Geometry 2'!$E$4:$AJ$14,19,TRUE)-12*VLOOKUP($G35,'Geometry 2'!$E$4:$AJ$14,32,TRUE)*($D35-VLOOKUP($G35,'Geometry 2'!$E$5:$AH$14,1,TRUE)))</f>
        <v/>
      </c>
      <c r="Y35" s="538"/>
      <c r="Z35" s="538"/>
      <c r="AA35" s="538"/>
      <c r="AB35" s="542" t="str">
        <f>IF($G35="","",VLOOKUP($G35,'Geometry 2'!$E$4:$AJ$14,19,TRUE)-12*VLOOKUP($G35,'Geometry 2'!$E$4:$AJ$14,32,TRUE)*($G35-VLOOKUP($G35,'Geometry 2'!$E$5:$AH$14,1,TRUE)))</f>
        <v/>
      </c>
      <c r="AC35" s="543"/>
      <c r="AD35" s="543"/>
      <c r="AE35" s="544"/>
      <c r="AF35" s="538" t="str">
        <f>IF($G35="","",VLOOKUP($G35,'Geometry 2'!$E$4:$AJ$14,19,TRUE)-12*VLOOKUP($G35,'Geometry 2'!$E$4:$AJ$14,32,TRUE)*($G35-IF($P35="",0,$P35)-VLOOKUP($G35,'Geometry 2'!$E$5:$AH$14,1,TRUE)))</f>
        <v/>
      </c>
      <c r="AG35" s="538"/>
      <c r="AH35" s="538"/>
      <c r="AI35" s="538"/>
      <c r="AJ35" s="539" t="str">
        <f>IF($G35="","",VLOOKUP($G35,'Geometry 2'!$E$4:$AH$14,23,TRUE))</f>
        <v/>
      </c>
      <c r="AK35" s="549"/>
      <c r="AL35" s="549"/>
      <c r="AM35" s="550"/>
      <c r="AN35" s="537"/>
      <c r="AO35" s="537"/>
      <c r="AP35" s="537"/>
      <c r="AQ35" s="537"/>
      <c r="AR35" s="537" t="str">
        <f>IF($G35="","",VLOOKUP($G35,'Geometry 2'!$E$4:$AH$14,27,TRUE))</f>
        <v/>
      </c>
      <c r="AS35" s="537"/>
      <c r="AT35" s="537"/>
      <c r="AU35" s="539"/>
      <c r="AV35" s="564"/>
      <c r="AW35" s="538"/>
      <c r="AX35" s="538"/>
      <c r="AZ35" s="517" t="str">
        <f t="shared" si="5"/>
        <v/>
      </c>
      <c r="BA35" s="518"/>
      <c r="BB35" s="518"/>
      <c r="BC35" s="519"/>
      <c r="BD35" s="517"/>
      <c r="BE35" s="518"/>
      <c r="BF35" s="518"/>
      <c r="BG35" s="517" t="str">
        <f t="shared" si="9"/>
        <v/>
      </c>
      <c r="BH35" s="518"/>
      <c r="BI35" s="518"/>
      <c r="BJ35" s="518"/>
      <c r="BK35" s="519"/>
      <c r="BL35" s="517"/>
      <c r="BM35" s="518"/>
      <c r="BN35" s="518"/>
      <c r="BO35" s="518"/>
      <c r="BP35" s="520"/>
      <c r="BQ35" s="520"/>
      <c r="BR35" s="517" t="str">
        <f>IF(BP35="","",IF(OR(AND(Rev="H",Calculations!$F$27=TRUE),AND(Rev&lt;&gt;"H",Calculations!$F$30=TRUE)),IF(BP35&lt;=1,"Pass","Fail"),IF(BP35&lt;=1.05,"Pass","Fail")))</f>
        <v/>
      </c>
      <c r="BS35" s="518"/>
      <c r="BT35" s="519"/>
      <c r="BU35" s="34"/>
      <c r="BV35" s="16"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16"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16"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16"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16"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16"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16"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16"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16"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16"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16"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16"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16"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16"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16"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16"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16"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16"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45" t="str">
        <f t="shared" si="6"/>
        <v/>
      </c>
      <c r="CO35" s="497"/>
      <c r="CP35" s="498"/>
      <c r="CQ35" s="499"/>
      <c r="CR35" s="497"/>
      <c r="CS35" s="498"/>
      <c r="CT35" s="499"/>
      <c r="CU35" s="497" t="str">
        <f t="shared" si="7"/>
        <v/>
      </c>
      <c r="CV35" s="498"/>
      <c r="CW35" s="503"/>
      <c r="CX35" s="484"/>
      <c r="CY35" s="485"/>
      <c r="CZ35" s="486"/>
      <c r="DA35" s="484"/>
      <c r="DB35" s="485"/>
      <c r="DC35" s="486"/>
      <c r="DD35" s="484" t="str">
        <f t="shared" si="8"/>
        <v/>
      </c>
      <c r="DE35" s="485"/>
      <c r="DF35" s="487"/>
      <c r="DG35" s="38"/>
      <c r="DH35" s="39"/>
      <c r="DI35" s="39"/>
      <c r="DJ35" s="39"/>
      <c r="DK35" s="39"/>
      <c r="DL35" s="39"/>
      <c r="DM35" s="39"/>
      <c r="DN35" s="39"/>
      <c r="DO35" s="39"/>
      <c r="DP35" s="39"/>
      <c r="DQ35" s="42"/>
      <c r="DR35" s="42"/>
      <c r="DS35" s="42"/>
      <c r="DT35" s="42"/>
      <c r="DU35" s="42"/>
      <c r="DV35" s="42"/>
      <c r="DW35" s="42"/>
      <c r="DX35" s="42"/>
      <c r="DY35" s="42"/>
      <c r="DZ35" s="42"/>
      <c r="EA35" s="42"/>
      <c r="EB35" s="42"/>
      <c r="EC35" s="42"/>
      <c r="ED35" s="42"/>
      <c r="EE35" s="42"/>
      <c r="EF35" s="42"/>
      <c r="EG35" s="42"/>
      <c r="EH35" s="42"/>
      <c r="EI35" s="42"/>
      <c r="EJ35" s="42"/>
      <c r="EK35" s="42"/>
      <c r="EL35" s="97"/>
      <c r="EM35" s="97"/>
      <c r="EN35" s="97"/>
      <c r="EO35" s="97"/>
      <c r="EP35" s="97"/>
      <c r="EQ35" s="97"/>
      <c r="ER35" s="97"/>
      <c r="ES35" s="97"/>
      <c r="ET35" s="97"/>
      <c r="EU35" s="97"/>
      <c r="EV35" s="97"/>
      <c r="EW35" s="97"/>
      <c r="EX35" s="97"/>
      <c r="EY35" s="97"/>
      <c r="EZ35" s="97"/>
      <c r="FA35" s="97"/>
      <c r="FB35" s="97"/>
      <c r="FC35" s="97"/>
      <c r="FD35" s="97"/>
      <c r="FE35" s="97"/>
      <c r="FF35" s="97"/>
      <c r="FG35" s="97"/>
      <c r="FH35" s="97"/>
      <c r="FI35" s="97"/>
      <c r="FJ35" s="97"/>
      <c r="FK35" s="97"/>
      <c r="FL35" s="97"/>
      <c r="FM35" s="97"/>
      <c r="FN35" s="97"/>
      <c r="FO35" s="97"/>
      <c r="FQ35" s="90"/>
      <c r="FR35" s="88"/>
      <c r="FS35" s="86"/>
      <c r="FT35" s="84"/>
    </row>
    <row r="36" spans="2:176" ht="15.75" customHeight="1" thickBot="1" x14ac:dyDescent="0.3">
      <c r="B36" s="47" t="b">
        <f>IF(AND(P35&lt;&gt;"",OR(AND(G36&gt;='Geometry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3" t="str">
        <f t="shared" si="3"/>
        <v/>
      </c>
      <c r="D36" s="529" t="str">
        <f t="shared" si="4"/>
        <v/>
      </c>
      <c r="E36" s="530"/>
      <c r="F36" s="14" t="str">
        <f t="shared" si="2"/>
        <v/>
      </c>
      <c r="G36" s="531"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532"/>
      <c r="I36" s="143"/>
      <c r="J36" s="143"/>
      <c r="K36" s="143"/>
      <c r="L36" s="537" t="str">
        <f t="shared" si="0"/>
        <v/>
      </c>
      <c r="M36" s="537"/>
      <c r="N36" s="537"/>
      <c r="O36" s="537"/>
      <c r="P36" s="537" t="str">
        <f>IF(OR(G36=0,G36=""),"",IF(VLOOKUP(G36,'Geometry 2'!$C$4:$AI$14,1,TRUE)=VLOOKUP(G37,'Geometry 2'!$C$4:$AI$14,1,TRUE),"",IF(VLOOKUP(G36,'Geometry 2'!$C$4:$AI$14,33,TRUE)&lt;&gt;"n/a",MIN(G36,VLOOKUP(G36,'Geometry 2'!$C$4:$AI$14,1,TRUE))-VLOOKUP(G36,'Geometry 2'!$C$4:$AI$14,33,TRUE),"check")))</f>
        <v/>
      </c>
      <c r="Q36" s="537"/>
      <c r="R36" s="537"/>
      <c r="S36" s="537"/>
      <c r="T36" s="537" t="str">
        <f>IF($G36="","",VLOOKUP($G36,'Geometry 2'!$E$4:$AH$14,11,TRUE))</f>
        <v/>
      </c>
      <c r="U36" s="537"/>
      <c r="V36" s="537"/>
      <c r="W36" s="537"/>
      <c r="X36" s="538" t="str">
        <f>IF($G36="","",VLOOKUP($G36,'Geometry 2'!$E$4:$AJ$14,19,TRUE)-12*VLOOKUP($G36,'Geometry 2'!$E$4:$AJ$14,32,TRUE)*($D36-VLOOKUP($G36,'Geometry 2'!$E$5:$AH$14,1,TRUE)))</f>
        <v/>
      </c>
      <c r="Y36" s="538"/>
      <c r="Z36" s="538"/>
      <c r="AA36" s="538"/>
      <c r="AB36" s="542" t="str">
        <f>IF($G36="","",VLOOKUP($G36,'Geometry 2'!$E$4:$AJ$14,19,TRUE)-12*VLOOKUP($G36,'Geometry 2'!$E$4:$AJ$14,32,TRUE)*($G36-VLOOKUP($G36,'Geometry 2'!$E$5:$AH$14,1,TRUE)))</f>
        <v/>
      </c>
      <c r="AC36" s="543"/>
      <c r="AD36" s="543"/>
      <c r="AE36" s="544"/>
      <c r="AF36" s="538" t="str">
        <f>IF($G36="","",VLOOKUP($G36,'Geometry 2'!$E$4:$AJ$14,19,TRUE)-12*VLOOKUP($G36,'Geometry 2'!$E$4:$AJ$14,32,TRUE)*($G36-IF($P36="",0,$P36)-VLOOKUP($G36,'Geometry 2'!$E$5:$AH$14,1,TRUE)))</f>
        <v/>
      </c>
      <c r="AG36" s="538"/>
      <c r="AH36" s="538"/>
      <c r="AI36" s="538"/>
      <c r="AJ36" s="539" t="str">
        <f>IF($G36="","",VLOOKUP($G36,'Geometry 2'!$E$4:$AH$14,23,TRUE))</f>
        <v/>
      </c>
      <c r="AK36" s="549"/>
      <c r="AL36" s="549"/>
      <c r="AM36" s="550"/>
      <c r="AN36" s="537"/>
      <c r="AO36" s="537"/>
      <c r="AP36" s="537"/>
      <c r="AQ36" s="537"/>
      <c r="AR36" s="537" t="str">
        <f>IF($G36="","",VLOOKUP($G36,'Geometry 2'!$E$4:$AH$14,27,TRUE))</f>
        <v/>
      </c>
      <c r="AS36" s="537"/>
      <c r="AT36" s="537"/>
      <c r="AU36" s="539"/>
      <c r="AV36" s="564"/>
      <c r="AW36" s="538"/>
      <c r="AX36" s="538"/>
      <c r="AZ36" s="517" t="str">
        <f t="shared" si="5"/>
        <v/>
      </c>
      <c r="BA36" s="518"/>
      <c r="BB36" s="518"/>
      <c r="BC36" s="519"/>
      <c r="BD36" s="517"/>
      <c r="BE36" s="518"/>
      <c r="BF36" s="518"/>
      <c r="BG36" s="517" t="str">
        <f t="shared" si="9"/>
        <v/>
      </c>
      <c r="BH36" s="518"/>
      <c r="BI36" s="518"/>
      <c r="BJ36" s="518"/>
      <c r="BK36" s="519"/>
      <c r="BL36" s="517"/>
      <c r="BM36" s="518"/>
      <c r="BN36" s="518"/>
      <c r="BO36" s="518"/>
      <c r="BP36" s="520"/>
      <c r="BQ36" s="520"/>
      <c r="BR36" s="517" t="str">
        <f>IF(BP36="","",IF(OR(AND(Rev="H",Calculations!$F$27=TRUE),AND(Rev&lt;&gt;"H",Calculations!$F$30=TRUE)),IF(BP36&lt;=1,"Pass","Fail"),IF(BP36&lt;=1.05,"Pass","Fail")))</f>
        <v/>
      </c>
      <c r="BS36" s="518"/>
      <c r="BT36" s="519"/>
      <c r="BU36" s="34"/>
      <c r="BV36" s="16"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16"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16"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16"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16"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16"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16"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16"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16"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16"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16"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16"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16"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16"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16"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16"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16"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16"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44" t="str">
        <f t="shared" si="6"/>
        <v/>
      </c>
      <c r="CO36" s="494"/>
      <c r="CP36" s="495"/>
      <c r="CQ36" s="496"/>
      <c r="CR36" s="494"/>
      <c r="CS36" s="495"/>
      <c r="CT36" s="496"/>
      <c r="CU36" s="494" t="str">
        <f t="shared" si="7"/>
        <v/>
      </c>
      <c r="CV36" s="495"/>
      <c r="CW36" s="500"/>
      <c r="CX36" s="501"/>
      <c r="CY36" s="492"/>
      <c r="CZ36" s="502"/>
      <c r="DA36" s="488"/>
      <c r="DB36" s="489"/>
      <c r="DC36" s="490"/>
      <c r="DD36" s="491" t="str">
        <f t="shared" si="8"/>
        <v/>
      </c>
      <c r="DE36" s="492"/>
      <c r="DF36" s="493"/>
      <c r="DG36" s="40"/>
      <c r="DH36" s="41"/>
      <c r="DI36" s="41"/>
      <c r="DJ36" s="41"/>
      <c r="DK36" s="41"/>
      <c r="DL36" s="41"/>
      <c r="DM36" s="41"/>
      <c r="DN36" s="41"/>
      <c r="DO36" s="41"/>
      <c r="DP36" s="41"/>
      <c r="DQ36" s="43"/>
      <c r="DR36" s="43"/>
      <c r="DS36" s="43"/>
      <c r="DT36" s="43"/>
      <c r="DU36" s="43"/>
      <c r="DV36" s="43"/>
      <c r="DW36" s="43"/>
      <c r="DX36" s="43"/>
      <c r="DY36" s="43"/>
      <c r="DZ36" s="43"/>
      <c r="EA36" s="43"/>
      <c r="EB36" s="43"/>
      <c r="EC36" s="43"/>
      <c r="ED36" s="43"/>
      <c r="EE36" s="43"/>
      <c r="EF36" s="43"/>
      <c r="EG36" s="43"/>
      <c r="EH36" s="43"/>
      <c r="EI36" s="43"/>
      <c r="EJ36" s="43"/>
      <c r="EK36" s="43"/>
      <c r="EL36" s="98"/>
      <c r="EM36" s="98"/>
      <c r="EN36" s="98"/>
      <c r="EO36" s="98"/>
      <c r="EP36" s="98"/>
      <c r="EQ36" s="98"/>
      <c r="ER36" s="98"/>
      <c r="ES36" s="98"/>
      <c r="ET36" s="98"/>
      <c r="EU36" s="98"/>
      <c r="EV36" s="98"/>
      <c r="EW36" s="98"/>
      <c r="EX36" s="98"/>
      <c r="EY36" s="98"/>
      <c r="EZ36" s="98"/>
      <c r="FA36" s="98"/>
      <c r="FB36" s="98"/>
      <c r="FC36" s="98"/>
      <c r="FD36" s="98"/>
      <c r="FE36" s="98"/>
      <c r="FF36" s="98"/>
      <c r="FG36" s="98"/>
      <c r="FH36" s="98"/>
      <c r="FI36" s="98"/>
      <c r="FJ36" s="98"/>
      <c r="FK36" s="98"/>
      <c r="FL36" s="98"/>
      <c r="FM36" s="98"/>
      <c r="FN36" s="98"/>
      <c r="FO36" s="98"/>
      <c r="FQ36" s="89"/>
      <c r="FR36" s="87"/>
      <c r="FS36" s="85"/>
      <c r="FT36" s="84"/>
    </row>
    <row r="37" spans="2:176" ht="15.75" customHeight="1" thickBot="1" x14ac:dyDescent="0.3">
      <c r="B37" s="47" t="b">
        <f>IF(AND(P36&lt;&gt;"",OR(AND(G37&gt;='Geometry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3" t="str">
        <f t="shared" si="3"/>
        <v/>
      </c>
      <c r="D37" s="529" t="str">
        <f t="shared" si="4"/>
        <v/>
      </c>
      <c r="E37" s="530"/>
      <c r="F37" s="14" t="str">
        <f t="shared" si="2"/>
        <v/>
      </c>
      <c r="G37" s="531"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532"/>
      <c r="I37" s="143"/>
      <c r="J37" s="143"/>
      <c r="K37" s="143"/>
      <c r="L37" s="537" t="str">
        <f t="shared" ref="L37:L68" si="10">IF(D37="","",D37-G37+IF(P37="",0,P37))</f>
        <v/>
      </c>
      <c r="M37" s="537"/>
      <c r="N37" s="537"/>
      <c r="O37" s="537"/>
      <c r="P37" s="537" t="str">
        <f>IF(OR(G37=0,G37=""),"",IF(VLOOKUP(G37,'Geometry 2'!$C$4:$AI$14,1,TRUE)=VLOOKUP(G38,'Geometry 2'!$C$4:$AI$14,1,TRUE),"",IF(VLOOKUP(G37,'Geometry 2'!$C$4:$AI$14,33,TRUE)&lt;&gt;"n/a",MIN(G37,VLOOKUP(G37,'Geometry 2'!$C$4:$AI$14,1,TRUE))-VLOOKUP(G37,'Geometry 2'!$C$4:$AI$14,33,TRUE),"check")))</f>
        <v/>
      </c>
      <c r="Q37" s="537"/>
      <c r="R37" s="537"/>
      <c r="S37" s="537"/>
      <c r="T37" s="537" t="str">
        <f>IF($G37="","",VLOOKUP($G37,'Geometry 2'!$E$4:$AH$14,11,TRUE))</f>
        <v/>
      </c>
      <c r="U37" s="537"/>
      <c r="V37" s="537"/>
      <c r="W37" s="537"/>
      <c r="X37" s="538" t="str">
        <f>IF($G37="","",VLOOKUP($G37,'Geometry 2'!$E$4:$AJ$14,19,TRUE)-12*VLOOKUP($G37,'Geometry 2'!$E$4:$AJ$14,32,TRUE)*($D37-VLOOKUP($G37,'Geometry 2'!$E$5:$AH$14,1,TRUE)))</f>
        <v/>
      </c>
      <c r="Y37" s="538"/>
      <c r="Z37" s="538"/>
      <c r="AA37" s="538"/>
      <c r="AB37" s="542" t="str">
        <f>IF($G37="","",VLOOKUP($G37,'Geometry 2'!$E$4:$AJ$14,19,TRUE)-12*VLOOKUP($G37,'Geometry 2'!$E$4:$AJ$14,32,TRUE)*($G37-VLOOKUP($G37,'Geometry 2'!$E$5:$AH$14,1,TRUE)))</f>
        <v/>
      </c>
      <c r="AC37" s="543"/>
      <c r="AD37" s="543"/>
      <c r="AE37" s="544"/>
      <c r="AF37" s="538" t="str">
        <f>IF($G37="","",VLOOKUP($G37,'Geometry 2'!$E$4:$AJ$14,19,TRUE)-12*VLOOKUP($G37,'Geometry 2'!$E$4:$AJ$14,32,TRUE)*($G37-IF($P37="",0,$P37)-VLOOKUP($G37,'Geometry 2'!$E$5:$AH$14,1,TRUE)))</f>
        <v/>
      </c>
      <c r="AG37" s="538"/>
      <c r="AH37" s="538"/>
      <c r="AI37" s="538"/>
      <c r="AJ37" s="539" t="str">
        <f>IF($G37="","",VLOOKUP($G37,'Geometry 2'!$E$4:$AH$14,23,TRUE))</f>
        <v/>
      </c>
      <c r="AK37" s="549"/>
      <c r="AL37" s="549"/>
      <c r="AM37" s="550"/>
      <c r="AN37" s="537"/>
      <c r="AO37" s="537"/>
      <c r="AP37" s="537"/>
      <c r="AQ37" s="537"/>
      <c r="AR37" s="537" t="str">
        <f>IF($G37="","",VLOOKUP($G37,'Geometry 2'!$E$4:$AH$14,27,TRUE))</f>
        <v/>
      </c>
      <c r="AS37" s="537"/>
      <c r="AT37" s="537"/>
      <c r="AU37" s="539"/>
      <c r="AV37" s="564"/>
      <c r="AW37" s="538"/>
      <c r="AX37" s="538"/>
      <c r="AZ37" s="517" t="str">
        <f t="shared" si="5"/>
        <v/>
      </c>
      <c r="BA37" s="518"/>
      <c r="BB37" s="518"/>
      <c r="BC37" s="519"/>
      <c r="BD37" s="517"/>
      <c r="BE37" s="518"/>
      <c r="BF37" s="518"/>
      <c r="BG37" s="517" t="str">
        <f t="shared" si="9"/>
        <v/>
      </c>
      <c r="BH37" s="518"/>
      <c r="BI37" s="518"/>
      <c r="BJ37" s="518"/>
      <c r="BK37" s="519"/>
      <c r="BL37" s="517"/>
      <c r="BM37" s="518"/>
      <c r="BN37" s="518"/>
      <c r="BO37" s="518"/>
      <c r="BP37" s="520"/>
      <c r="BQ37" s="520"/>
      <c r="BR37" s="517" t="str">
        <f>IF(BP37="","",IF(OR(AND(Rev="H",Calculations!$F$27=TRUE),AND(Rev&lt;&gt;"H",Calculations!$F$30=TRUE)),IF(BP37&lt;=1,"Pass","Fail"),IF(BP37&lt;=1.05,"Pass","Fail")))</f>
        <v/>
      </c>
      <c r="BS37" s="518"/>
      <c r="BT37" s="519"/>
      <c r="BU37" s="34"/>
      <c r="BV37" s="16"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16"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16"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16"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16"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16"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16"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16"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16"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16"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16"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16"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16"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16"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16"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16"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16"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16"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45" t="str">
        <f t="shared" si="6"/>
        <v/>
      </c>
      <c r="CO37" s="497"/>
      <c r="CP37" s="498"/>
      <c r="CQ37" s="499"/>
      <c r="CR37" s="497"/>
      <c r="CS37" s="498"/>
      <c r="CT37" s="499"/>
      <c r="CU37" s="497" t="str">
        <f t="shared" si="7"/>
        <v/>
      </c>
      <c r="CV37" s="498"/>
      <c r="CW37" s="503"/>
      <c r="CX37" s="484"/>
      <c r="CY37" s="485"/>
      <c r="CZ37" s="486"/>
      <c r="DA37" s="484"/>
      <c r="DB37" s="485"/>
      <c r="DC37" s="486"/>
      <c r="DD37" s="484" t="str">
        <f t="shared" si="8"/>
        <v/>
      </c>
      <c r="DE37" s="485"/>
      <c r="DF37" s="487"/>
      <c r="DG37" s="38"/>
      <c r="DH37" s="39"/>
      <c r="DI37" s="39"/>
      <c r="DJ37" s="39"/>
      <c r="DK37" s="39"/>
      <c r="DL37" s="39"/>
      <c r="DM37" s="39"/>
      <c r="DN37" s="39"/>
      <c r="DO37" s="39"/>
      <c r="DP37" s="39"/>
      <c r="DQ37" s="42"/>
      <c r="DR37" s="42"/>
      <c r="DS37" s="42"/>
      <c r="DT37" s="42"/>
      <c r="DU37" s="42"/>
      <c r="DV37" s="42"/>
      <c r="DW37" s="42"/>
      <c r="DX37" s="42"/>
      <c r="DY37" s="42"/>
      <c r="DZ37" s="42"/>
      <c r="EA37" s="42"/>
      <c r="EB37" s="42"/>
      <c r="EC37" s="42"/>
      <c r="ED37" s="42"/>
      <c r="EE37" s="42"/>
      <c r="EF37" s="42"/>
      <c r="EG37" s="42"/>
      <c r="EH37" s="42"/>
      <c r="EI37" s="42"/>
      <c r="EJ37" s="42"/>
      <c r="EK37" s="42"/>
      <c r="EL37" s="97"/>
      <c r="EM37" s="97"/>
      <c r="EN37" s="97"/>
      <c r="EO37" s="97"/>
      <c r="EP37" s="97"/>
      <c r="EQ37" s="97"/>
      <c r="ER37" s="97"/>
      <c r="ES37" s="97"/>
      <c r="ET37" s="97"/>
      <c r="EU37" s="97"/>
      <c r="EV37" s="97"/>
      <c r="EW37" s="97"/>
      <c r="EX37" s="97"/>
      <c r="EY37" s="97"/>
      <c r="EZ37" s="97"/>
      <c r="FA37" s="97"/>
      <c r="FB37" s="97"/>
      <c r="FC37" s="97"/>
      <c r="FD37" s="97"/>
      <c r="FE37" s="97"/>
      <c r="FF37" s="97"/>
      <c r="FG37" s="97"/>
      <c r="FH37" s="97"/>
      <c r="FI37" s="97"/>
      <c r="FJ37" s="97"/>
      <c r="FK37" s="97"/>
      <c r="FL37" s="97"/>
      <c r="FM37" s="97"/>
      <c r="FN37" s="97"/>
      <c r="FO37" s="97"/>
      <c r="FQ37" s="90"/>
      <c r="FR37" s="88"/>
      <c r="FS37" s="86"/>
      <c r="FT37" s="84"/>
    </row>
    <row r="38" spans="2:176" ht="15.75" customHeight="1" thickBot="1" x14ac:dyDescent="0.3">
      <c r="B38" s="47" t="b">
        <f>IF(AND(P37&lt;&gt;"",OR(AND(G38&gt;='Geometry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3" t="str">
        <f t="shared" si="3"/>
        <v/>
      </c>
      <c r="D38" s="529" t="str">
        <f t="shared" si="4"/>
        <v/>
      </c>
      <c r="E38" s="530"/>
      <c r="F38" s="14" t="str">
        <f t="shared" si="2"/>
        <v/>
      </c>
      <c r="G38" s="531"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532"/>
      <c r="I38" s="143"/>
      <c r="J38" s="143"/>
      <c r="K38" s="143"/>
      <c r="L38" s="537" t="str">
        <f t="shared" si="10"/>
        <v/>
      </c>
      <c r="M38" s="537"/>
      <c r="N38" s="537"/>
      <c r="O38" s="537"/>
      <c r="P38" s="537" t="str">
        <f>IF(OR(G38=0,G38=""),"",IF(VLOOKUP(G38,'Geometry 2'!$C$4:$AI$14,1,TRUE)=VLOOKUP(G39,'Geometry 2'!$C$4:$AI$14,1,TRUE),"",IF(VLOOKUP(G38,'Geometry 2'!$C$4:$AI$14,33,TRUE)&lt;&gt;"n/a",MIN(G38,VLOOKUP(G38,'Geometry 2'!$C$4:$AI$14,1,TRUE))-VLOOKUP(G38,'Geometry 2'!$C$4:$AI$14,33,TRUE),"check")))</f>
        <v/>
      </c>
      <c r="Q38" s="537"/>
      <c r="R38" s="537"/>
      <c r="S38" s="537"/>
      <c r="T38" s="537" t="str">
        <f>IF($G38="","",VLOOKUP($G38,'Geometry 2'!$E$4:$AH$14,11,TRUE))</f>
        <v/>
      </c>
      <c r="U38" s="537"/>
      <c r="V38" s="537"/>
      <c r="W38" s="537"/>
      <c r="X38" s="538" t="str">
        <f>IF($G38="","",VLOOKUP($G38,'Geometry 2'!$E$4:$AJ$14,19,TRUE)-12*VLOOKUP($G38,'Geometry 2'!$E$4:$AJ$14,32,TRUE)*($D38-VLOOKUP($G38,'Geometry 2'!$E$5:$AH$14,1,TRUE)))</f>
        <v/>
      </c>
      <c r="Y38" s="538"/>
      <c r="Z38" s="538"/>
      <c r="AA38" s="538"/>
      <c r="AB38" s="542" t="str">
        <f>IF($G38="","",VLOOKUP($G38,'Geometry 2'!$E$4:$AJ$14,19,TRUE)-12*VLOOKUP($G38,'Geometry 2'!$E$4:$AJ$14,32,TRUE)*($G38-VLOOKUP($G38,'Geometry 2'!$E$5:$AH$14,1,TRUE)))</f>
        <v/>
      </c>
      <c r="AC38" s="543"/>
      <c r="AD38" s="543"/>
      <c r="AE38" s="544"/>
      <c r="AF38" s="538" t="str">
        <f>IF($G38="","",VLOOKUP($G38,'Geometry 2'!$E$4:$AJ$14,19,TRUE)-12*VLOOKUP($G38,'Geometry 2'!$E$4:$AJ$14,32,TRUE)*($G38-IF($P38="",0,$P38)-VLOOKUP($G38,'Geometry 2'!$E$5:$AH$14,1,TRUE)))</f>
        <v/>
      </c>
      <c r="AG38" s="538"/>
      <c r="AH38" s="538"/>
      <c r="AI38" s="538"/>
      <c r="AJ38" s="539" t="str">
        <f>IF($G38="","",VLOOKUP($G38,'Geometry 2'!$E$4:$AH$14,23,TRUE))</f>
        <v/>
      </c>
      <c r="AK38" s="549"/>
      <c r="AL38" s="549"/>
      <c r="AM38" s="550"/>
      <c r="AN38" s="537"/>
      <c r="AO38" s="537"/>
      <c r="AP38" s="537"/>
      <c r="AQ38" s="537"/>
      <c r="AR38" s="537" t="str">
        <f>IF($G38="","",VLOOKUP($G38,'Geometry 2'!$E$4:$AH$14,27,TRUE))</f>
        <v/>
      </c>
      <c r="AS38" s="537"/>
      <c r="AT38" s="537"/>
      <c r="AU38" s="539"/>
      <c r="AV38" s="564"/>
      <c r="AW38" s="538"/>
      <c r="AX38" s="538"/>
      <c r="AZ38" s="517" t="str">
        <f t="shared" si="5"/>
        <v/>
      </c>
      <c r="BA38" s="518"/>
      <c r="BB38" s="518"/>
      <c r="BC38" s="519"/>
      <c r="BD38" s="517"/>
      <c r="BE38" s="518"/>
      <c r="BF38" s="518"/>
      <c r="BG38" s="517" t="str">
        <f t="shared" si="9"/>
        <v/>
      </c>
      <c r="BH38" s="518"/>
      <c r="BI38" s="518"/>
      <c r="BJ38" s="518"/>
      <c r="BK38" s="519"/>
      <c r="BL38" s="517"/>
      <c r="BM38" s="518"/>
      <c r="BN38" s="518"/>
      <c r="BO38" s="518"/>
      <c r="BP38" s="520"/>
      <c r="BQ38" s="520"/>
      <c r="BR38" s="517" t="str">
        <f>IF(BP38="","",IF(OR(AND(Rev="H",Calculations!$F$27=TRUE),AND(Rev&lt;&gt;"H",Calculations!$F$30=TRUE)),IF(BP38&lt;=1,"Pass","Fail"),IF(BP38&lt;=1.05,"Pass","Fail")))</f>
        <v/>
      </c>
      <c r="BS38" s="518"/>
      <c r="BT38" s="519"/>
      <c r="BU38" s="34"/>
      <c r="BV38" s="16"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16"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16"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16"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16"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16"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16"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16"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16"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16"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16"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16"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16"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16"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16"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16"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16"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16"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44" t="str">
        <f t="shared" si="6"/>
        <v/>
      </c>
      <c r="CO38" s="494"/>
      <c r="CP38" s="495"/>
      <c r="CQ38" s="496"/>
      <c r="CR38" s="494"/>
      <c r="CS38" s="495"/>
      <c r="CT38" s="496"/>
      <c r="CU38" s="494" t="str">
        <f t="shared" si="7"/>
        <v/>
      </c>
      <c r="CV38" s="495"/>
      <c r="CW38" s="500"/>
      <c r="CX38" s="501"/>
      <c r="CY38" s="492"/>
      <c r="CZ38" s="502"/>
      <c r="DA38" s="488"/>
      <c r="DB38" s="489"/>
      <c r="DC38" s="490"/>
      <c r="DD38" s="491" t="str">
        <f t="shared" si="8"/>
        <v/>
      </c>
      <c r="DE38" s="492"/>
      <c r="DF38" s="493"/>
      <c r="DG38" s="40"/>
      <c r="DH38" s="41"/>
      <c r="DI38" s="41"/>
      <c r="DJ38" s="41"/>
      <c r="DK38" s="41"/>
      <c r="DL38" s="41"/>
      <c r="DM38" s="41"/>
      <c r="DN38" s="41"/>
      <c r="DO38" s="41"/>
      <c r="DP38" s="41"/>
      <c r="DQ38" s="43"/>
      <c r="DR38" s="43"/>
      <c r="DS38" s="43"/>
      <c r="DT38" s="43"/>
      <c r="DU38" s="43"/>
      <c r="DV38" s="43"/>
      <c r="DW38" s="43"/>
      <c r="DX38" s="43"/>
      <c r="DY38" s="43"/>
      <c r="DZ38" s="43"/>
      <c r="EA38" s="43"/>
      <c r="EB38" s="43"/>
      <c r="EC38" s="43"/>
      <c r="ED38" s="43"/>
      <c r="EE38" s="43"/>
      <c r="EF38" s="43"/>
      <c r="EG38" s="43"/>
      <c r="EH38" s="43"/>
      <c r="EI38" s="43"/>
      <c r="EJ38" s="43"/>
      <c r="EK38" s="43"/>
      <c r="EL38" s="98"/>
      <c r="EM38" s="98"/>
      <c r="EN38" s="98"/>
      <c r="EO38" s="98"/>
      <c r="EP38" s="98"/>
      <c r="EQ38" s="98"/>
      <c r="ER38" s="98"/>
      <c r="ES38" s="98"/>
      <c r="ET38" s="98"/>
      <c r="EU38" s="98"/>
      <c r="EV38" s="98"/>
      <c r="EW38" s="98"/>
      <c r="EX38" s="98"/>
      <c r="EY38" s="98"/>
      <c r="EZ38" s="98"/>
      <c r="FA38" s="98"/>
      <c r="FB38" s="98"/>
      <c r="FC38" s="98"/>
      <c r="FD38" s="98"/>
      <c r="FE38" s="98"/>
      <c r="FF38" s="98"/>
      <c r="FG38" s="98"/>
      <c r="FH38" s="98"/>
      <c r="FI38" s="98"/>
      <c r="FJ38" s="98"/>
      <c r="FK38" s="98"/>
      <c r="FL38" s="98"/>
      <c r="FM38" s="98"/>
      <c r="FN38" s="98"/>
      <c r="FO38" s="98"/>
      <c r="FQ38" s="89"/>
      <c r="FR38" s="87"/>
      <c r="FS38" s="85"/>
      <c r="FT38" s="84"/>
    </row>
    <row r="39" spans="2:176" ht="15.75" customHeight="1" thickBot="1" x14ac:dyDescent="0.3">
      <c r="B39" s="47" t="b">
        <f>IF(AND(P38&lt;&gt;"",OR(AND(G39&gt;='Geometry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3" t="str">
        <f t="shared" si="3"/>
        <v/>
      </c>
      <c r="D39" s="529" t="str">
        <f t="shared" si="4"/>
        <v/>
      </c>
      <c r="E39" s="530"/>
      <c r="F39" s="14" t="str">
        <f t="shared" si="2"/>
        <v/>
      </c>
      <c r="G39" s="531"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532"/>
      <c r="I39" s="143"/>
      <c r="J39" s="143"/>
      <c r="K39" s="143"/>
      <c r="L39" s="537" t="str">
        <f t="shared" si="10"/>
        <v/>
      </c>
      <c r="M39" s="537"/>
      <c r="N39" s="537"/>
      <c r="O39" s="537"/>
      <c r="P39" s="537" t="str">
        <f>IF(OR(G39=0,G39=""),"",IF(VLOOKUP(G39,'Geometry 2'!$C$4:$AI$14,1,TRUE)=VLOOKUP(G40,'Geometry 2'!$C$4:$AI$14,1,TRUE),"",IF(VLOOKUP(G39,'Geometry 2'!$C$4:$AI$14,33,TRUE)&lt;&gt;"n/a",MIN(G39,VLOOKUP(G39,'Geometry 2'!$C$4:$AI$14,1,TRUE))-VLOOKUP(G39,'Geometry 2'!$C$4:$AI$14,33,TRUE),"check")))</f>
        <v/>
      </c>
      <c r="Q39" s="537"/>
      <c r="R39" s="537"/>
      <c r="S39" s="537"/>
      <c r="T39" s="537" t="str">
        <f>IF($G39="","",VLOOKUP($G39,'Geometry 2'!$E$4:$AH$14,11,TRUE))</f>
        <v/>
      </c>
      <c r="U39" s="537"/>
      <c r="V39" s="537"/>
      <c r="W39" s="537"/>
      <c r="X39" s="538" t="str">
        <f>IF($G39="","",VLOOKUP($G39,'Geometry 2'!$E$4:$AJ$14,19,TRUE)-12*VLOOKUP($G39,'Geometry 2'!$E$4:$AJ$14,32,TRUE)*($D39-VLOOKUP($G39,'Geometry 2'!$E$5:$AH$14,1,TRUE)))</f>
        <v/>
      </c>
      <c r="Y39" s="538"/>
      <c r="Z39" s="538"/>
      <c r="AA39" s="538"/>
      <c r="AB39" s="542" t="str">
        <f>IF($G39="","",VLOOKUP($G39,'Geometry 2'!$E$4:$AJ$14,19,TRUE)-12*VLOOKUP($G39,'Geometry 2'!$E$4:$AJ$14,32,TRUE)*($G39-VLOOKUP($G39,'Geometry 2'!$E$5:$AH$14,1,TRUE)))</f>
        <v/>
      </c>
      <c r="AC39" s="543"/>
      <c r="AD39" s="543"/>
      <c r="AE39" s="544"/>
      <c r="AF39" s="538" t="str">
        <f>IF($G39="","",VLOOKUP($G39,'Geometry 2'!$E$4:$AJ$14,19,TRUE)-12*VLOOKUP($G39,'Geometry 2'!$E$4:$AJ$14,32,TRUE)*($G39-IF($P39="",0,$P39)-VLOOKUP($G39,'Geometry 2'!$E$5:$AH$14,1,TRUE)))</f>
        <v/>
      </c>
      <c r="AG39" s="538"/>
      <c r="AH39" s="538"/>
      <c r="AI39" s="538"/>
      <c r="AJ39" s="539" t="str">
        <f>IF($G39="","",VLOOKUP($G39,'Geometry 2'!$E$4:$AH$14,23,TRUE))</f>
        <v/>
      </c>
      <c r="AK39" s="549"/>
      <c r="AL39" s="549"/>
      <c r="AM39" s="550"/>
      <c r="AN39" s="537"/>
      <c r="AO39" s="537"/>
      <c r="AP39" s="537"/>
      <c r="AQ39" s="537"/>
      <c r="AR39" s="537" t="str">
        <f>IF($G39="","",VLOOKUP($G39,'Geometry 2'!$E$4:$AH$14,27,TRUE))</f>
        <v/>
      </c>
      <c r="AS39" s="537"/>
      <c r="AT39" s="537"/>
      <c r="AU39" s="539"/>
      <c r="AV39" s="564"/>
      <c r="AW39" s="538"/>
      <c r="AX39" s="538"/>
      <c r="AZ39" s="517" t="str">
        <f t="shared" si="5"/>
        <v/>
      </c>
      <c r="BA39" s="518"/>
      <c r="BB39" s="518"/>
      <c r="BC39" s="519"/>
      <c r="BD39" s="517"/>
      <c r="BE39" s="518"/>
      <c r="BF39" s="518"/>
      <c r="BG39" s="517" t="str">
        <f t="shared" si="9"/>
        <v/>
      </c>
      <c r="BH39" s="518"/>
      <c r="BI39" s="518"/>
      <c r="BJ39" s="518"/>
      <c r="BK39" s="519"/>
      <c r="BL39" s="517"/>
      <c r="BM39" s="518"/>
      <c r="BN39" s="518"/>
      <c r="BO39" s="518"/>
      <c r="BP39" s="520"/>
      <c r="BQ39" s="520"/>
      <c r="BR39" s="517" t="str">
        <f>IF(BP39="","",IF(OR(AND(Rev="H",Calculations!$F$27=TRUE),AND(Rev&lt;&gt;"H",Calculations!$F$30=TRUE)),IF(BP39&lt;=1,"Pass","Fail"),IF(BP39&lt;=1.05,"Pass","Fail")))</f>
        <v/>
      </c>
      <c r="BS39" s="518"/>
      <c r="BT39" s="519"/>
      <c r="BU39" s="34"/>
      <c r="BV39" s="16"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16"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16"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16"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16"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16"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16"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16"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16"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16"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16"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16"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16"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16"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16"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16"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16"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16"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45" t="str">
        <f t="shared" si="6"/>
        <v/>
      </c>
      <c r="CO39" s="497"/>
      <c r="CP39" s="498"/>
      <c r="CQ39" s="499"/>
      <c r="CR39" s="497"/>
      <c r="CS39" s="498"/>
      <c r="CT39" s="499"/>
      <c r="CU39" s="497" t="str">
        <f t="shared" si="7"/>
        <v/>
      </c>
      <c r="CV39" s="498"/>
      <c r="CW39" s="503"/>
      <c r="CX39" s="484"/>
      <c r="CY39" s="485"/>
      <c r="CZ39" s="486"/>
      <c r="DA39" s="484"/>
      <c r="DB39" s="485"/>
      <c r="DC39" s="486"/>
      <c r="DD39" s="484" t="str">
        <f t="shared" si="8"/>
        <v/>
      </c>
      <c r="DE39" s="485"/>
      <c r="DF39" s="487"/>
      <c r="DG39" s="38"/>
      <c r="DH39" s="39"/>
      <c r="DI39" s="39"/>
      <c r="DJ39" s="39"/>
      <c r="DK39" s="39"/>
      <c r="DL39" s="39"/>
      <c r="DM39" s="39"/>
      <c r="DN39" s="39"/>
      <c r="DO39" s="39"/>
      <c r="DP39" s="39"/>
      <c r="DQ39" s="42"/>
      <c r="DR39" s="42"/>
      <c r="DS39" s="42"/>
      <c r="DT39" s="42"/>
      <c r="DU39" s="42"/>
      <c r="DV39" s="42"/>
      <c r="DW39" s="42"/>
      <c r="DX39" s="42"/>
      <c r="DY39" s="42"/>
      <c r="DZ39" s="42"/>
      <c r="EA39" s="42"/>
      <c r="EB39" s="42"/>
      <c r="EC39" s="42"/>
      <c r="ED39" s="42"/>
      <c r="EE39" s="42"/>
      <c r="EF39" s="42"/>
      <c r="EG39" s="42"/>
      <c r="EH39" s="42"/>
      <c r="EI39" s="42"/>
      <c r="EJ39" s="42"/>
      <c r="EK39" s="42"/>
      <c r="EL39" s="97"/>
      <c r="EM39" s="97"/>
      <c r="EN39" s="97"/>
      <c r="EO39" s="97"/>
      <c r="EP39" s="97"/>
      <c r="EQ39" s="97"/>
      <c r="ER39" s="97"/>
      <c r="ES39" s="97"/>
      <c r="ET39" s="97"/>
      <c r="EU39" s="97"/>
      <c r="EV39" s="97"/>
      <c r="EW39" s="97"/>
      <c r="EX39" s="97"/>
      <c r="EY39" s="97"/>
      <c r="EZ39" s="97"/>
      <c r="FA39" s="97"/>
      <c r="FB39" s="97"/>
      <c r="FC39" s="97"/>
      <c r="FD39" s="97"/>
      <c r="FE39" s="97"/>
      <c r="FF39" s="97"/>
      <c r="FG39" s="97"/>
      <c r="FH39" s="97"/>
      <c r="FI39" s="97"/>
      <c r="FJ39" s="97"/>
      <c r="FK39" s="97"/>
      <c r="FL39" s="97"/>
      <c r="FM39" s="97"/>
      <c r="FN39" s="97"/>
      <c r="FO39" s="97"/>
      <c r="FQ39" s="90"/>
      <c r="FR39" s="88"/>
      <c r="FS39" s="86"/>
      <c r="FT39" s="84"/>
    </row>
    <row r="40" spans="2:176" ht="15.75" customHeight="1" thickBot="1" x14ac:dyDescent="0.3">
      <c r="B40" s="47" t="b">
        <f>IF(AND(P39&lt;&gt;"",OR(AND(G40&gt;='Geometry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3" t="str">
        <f t="shared" si="3"/>
        <v/>
      </c>
      <c r="D40" s="529" t="str">
        <f t="shared" si="4"/>
        <v/>
      </c>
      <c r="E40" s="530"/>
      <c r="F40" s="14" t="str">
        <f t="shared" si="2"/>
        <v/>
      </c>
      <c r="G40" s="531"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532"/>
      <c r="I40" s="143"/>
      <c r="J40" s="143"/>
      <c r="K40" s="143"/>
      <c r="L40" s="537" t="str">
        <f t="shared" si="10"/>
        <v/>
      </c>
      <c r="M40" s="537"/>
      <c r="N40" s="537"/>
      <c r="O40" s="537"/>
      <c r="P40" s="537" t="str">
        <f>IF(OR(G40=0,G40=""),"",IF(VLOOKUP(G40,'Geometry 2'!$C$4:$AI$14,1,TRUE)=VLOOKUP(G41,'Geometry 2'!$C$4:$AI$14,1,TRUE),"",IF(VLOOKUP(G40,'Geometry 2'!$C$4:$AI$14,33,TRUE)&lt;&gt;"n/a",MIN(G40,VLOOKUP(G40,'Geometry 2'!$C$4:$AI$14,1,TRUE))-VLOOKUP(G40,'Geometry 2'!$C$4:$AI$14,33,TRUE),"check")))</f>
        <v/>
      </c>
      <c r="Q40" s="537"/>
      <c r="R40" s="537"/>
      <c r="S40" s="537"/>
      <c r="T40" s="537" t="str">
        <f>IF($G40="","",VLOOKUP($G40,'Geometry 2'!$E$4:$AH$14,11,TRUE))</f>
        <v/>
      </c>
      <c r="U40" s="537"/>
      <c r="V40" s="537"/>
      <c r="W40" s="537"/>
      <c r="X40" s="538" t="str">
        <f>IF($G40="","",VLOOKUP($G40,'Geometry 2'!$E$4:$AJ$14,19,TRUE)-12*VLOOKUP($G40,'Geometry 2'!$E$4:$AJ$14,32,TRUE)*($D40-VLOOKUP($G40,'Geometry 2'!$E$5:$AH$14,1,TRUE)))</f>
        <v/>
      </c>
      <c r="Y40" s="538"/>
      <c r="Z40" s="538"/>
      <c r="AA40" s="538"/>
      <c r="AB40" s="542" t="str">
        <f>IF($G40="","",VLOOKUP($G40,'Geometry 2'!$E$4:$AJ$14,19,TRUE)-12*VLOOKUP($G40,'Geometry 2'!$E$4:$AJ$14,32,TRUE)*($G40-VLOOKUP($G40,'Geometry 2'!$E$5:$AH$14,1,TRUE)))</f>
        <v/>
      </c>
      <c r="AC40" s="543"/>
      <c r="AD40" s="543"/>
      <c r="AE40" s="544"/>
      <c r="AF40" s="538" t="str">
        <f>IF($G40="","",VLOOKUP($G40,'Geometry 2'!$E$4:$AJ$14,19,TRUE)-12*VLOOKUP($G40,'Geometry 2'!$E$4:$AJ$14,32,TRUE)*($G40-IF($P40="",0,$P40)-VLOOKUP($G40,'Geometry 2'!$E$5:$AH$14,1,TRUE)))</f>
        <v/>
      </c>
      <c r="AG40" s="538"/>
      <c r="AH40" s="538"/>
      <c r="AI40" s="538"/>
      <c r="AJ40" s="539" t="str">
        <f>IF($G40="","",VLOOKUP($G40,'Geometry 2'!$E$4:$AH$14,23,TRUE))</f>
        <v/>
      </c>
      <c r="AK40" s="549"/>
      <c r="AL40" s="549"/>
      <c r="AM40" s="550"/>
      <c r="AN40" s="537"/>
      <c r="AO40" s="537"/>
      <c r="AP40" s="537"/>
      <c r="AQ40" s="537"/>
      <c r="AR40" s="537" t="str">
        <f>IF($G40="","",VLOOKUP($G40,'Geometry 2'!$E$4:$AH$14,27,TRUE))</f>
        <v/>
      </c>
      <c r="AS40" s="537"/>
      <c r="AT40" s="537"/>
      <c r="AU40" s="539"/>
      <c r="AV40" s="564"/>
      <c r="AW40" s="538"/>
      <c r="AX40" s="538"/>
      <c r="AZ40" s="517" t="str">
        <f t="shared" si="5"/>
        <v/>
      </c>
      <c r="BA40" s="518"/>
      <c r="BB40" s="518"/>
      <c r="BC40" s="519"/>
      <c r="BD40" s="517"/>
      <c r="BE40" s="518"/>
      <c r="BF40" s="518"/>
      <c r="BG40" s="517" t="str">
        <f t="shared" si="9"/>
        <v/>
      </c>
      <c r="BH40" s="518"/>
      <c r="BI40" s="518"/>
      <c r="BJ40" s="518"/>
      <c r="BK40" s="519"/>
      <c r="BL40" s="517"/>
      <c r="BM40" s="518"/>
      <c r="BN40" s="518"/>
      <c r="BO40" s="518"/>
      <c r="BP40" s="520"/>
      <c r="BQ40" s="520"/>
      <c r="BR40" s="517" t="str">
        <f>IF(BP40="","",IF(OR(AND(Rev="H",Calculations!$F$27=TRUE),AND(Rev&lt;&gt;"H",Calculations!$F$30=TRUE)),IF(BP40&lt;=1,"Pass","Fail"),IF(BP40&lt;=1.05,"Pass","Fail")))</f>
        <v/>
      </c>
      <c r="BS40" s="518"/>
      <c r="BT40" s="519"/>
      <c r="BU40" s="34"/>
      <c r="BV40" s="16"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16"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16"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16"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16"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16"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16"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16"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16"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16"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16"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16"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16"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16"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16"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16"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16"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16"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44" t="str">
        <f t="shared" si="6"/>
        <v/>
      </c>
      <c r="CO40" s="494"/>
      <c r="CP40" s="495"/>
      <c r="CQ40" s="496"/>
      <c r="CR40" s="494"/>
      <c r="CS40" s="495"/>
      <c r="CT40" s="496"/>
      <c r="CU40" s="494" t="str">
        <f t="shared" si="7"/>
        <v/>
      </c>
      <c r="CV40" s="495"/>
      <c r="CW40" s="500"/>
      <c r="CX40" s="501"/>
      <c r="CY40" s="492"/>
      <c r="CZ40" s="502"/>
      <c r="DA40" s="488"/>
      <c r="DB40" s="489"/>
      <c r="DC40" s="490"/>
      <c r="DD40" s="491" t="str">
        <f t="shared" si="8"/>
        <v/>
      </c>
      <c r="DE40" s="492"/>
      <c r="DF40" s="493"/>
      <c r="DG40" s="40"/>
      <c r="DH40" s="41"/>
      <c r="DI40" s="41"/>
      <c r="DJ40" s="41"/>
      <c r="DK40" s="41"/>
      <c r="DL40" s="41"/>
      <c r="DM40" s="41"/>
      <c r="DN40" s="41"/>
      <c r="DO40" s="41"/>
      <c r="DP40" s="41"/>
      <c r="DQ40" s="43"/>
      <c r="DR40" s="43"/>
      <c r="DS40" s="43"/>
      <c r="DT40" s="43"/>
      <c r="DU40" s="43"/>
      <c r="DV40" s="43"/>
      <c r="DW40" s="43"/>
      <c r="DX40" s="43"/>
      <c r="DY40" s="43"/>
      <c r="DZ40" s="43"/>
      <c r="EA40" s="43"/>
      <c r="EB40" s="43"/>
      <c r="EC40" s="43"/>
      <c r="ED40" s="43"/>
      <c r="EE40" s="43"/>
      <c r="EF40" s="43"/>
      <c r="EG40" s="43"/>
      <c r="EH40" s="43"/>
      <c r="EI40" s="43"/>
      <c r="EJ40" s="43"/>
      <c r="EK40" s="43"/>
      <c r="EL40" s="98"/>
      <c r="EM40" s="98"/>
      <c r="EN40" s="98"/>
      <c r="EO40" s="98"/>
      <c r="EP40" s="98"/>
      <c r="EQ40" s="98"/>
      <c r="ER40" s="98"/>
      <c r="ES40" s="98"/>
      <c r="ET40" s="98"/>
      <c r="EU40" s="98"/>
      <c r="EV40" s="98"/>
      <c r="EW40" s="98"/>
      <c r="EX40" s="98"/>
      <c r="EY40" s="98"/>
      <c r="EZ40" s="98"/>
      <c r="FA40" s="98"/>
      <c r="FB40" s="98"/>
      <c r="FC40" s="98"/>
      <c r="FD40" s="98"/>
      <c r="FE40" s="98"/>
      <c r="FF40" s="98"/>
      <c r="FG40" s="98"/>
      <c r="FH40" s="98"/>
      <c r="FI40" s="98"/>
      <c r="FJ40" s="98"/>
      <c r="FK40" s="98"/>
      <c r="FL40" s="98"/>
      <c r="FM40" s="98"/>
      <c r="FN40" s="98"/>
      <c r="FO40" s="98"/>
      <c r="FQ40" s="89"/>
      <c r="FR40" s="87"/>
      <c r="FS40" s="85"/>
      <c r="FT40" s="84"/>
    </row>
    <row r="41" spans="2:176" ht="15.75" customHeight="1" thickBot="1" x14ac:dyDescent="0.3">
      <c r="B41" s="47" t="b">
        <f>IF(AND(P40&lt;&gt;"",OR(AND(G41&gt;='Geometry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3" t="str">
        <f t="shared" si="3"/>
        <v/>
      </c>
      <c r="D41" s="529" t="str">
        <f t="shared" si="4"/>
        <v/>
      </c>
      <c r="E41" s="530"/>
      <c r="F41" s="14" t="str">
        <f t="shared" si="2"/>
        <v/>
      </c>
      <c r="G41" s="531"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532"/>
      <c r="I41" s="143"/>
      <c r="J41" s="143"/>
      <c r="K41" s="143"/>
      <c r="L41" s="537" t="str">
        <f t="shared" si="10"/>
        <v/>
      </c>
      <c r="M41" s="537"/>
      <c r="N41" s="537"/>
      <c r="O41" s="537"/>
      <c r="P41" s="537" t="str">
        <f>IF(OR(G41=0,G41=""),"",IF(VLOOKUP(G41,'Geometry 2'!$C$4:$AI$14,1,TRUE)=VLOOKUP(G42,'Geometry 2'!$C$4:$AI$14,1,TRUE),"",IF(VLOOKUP(G41,'Geometry 2'!$C$4:$AI$14,33,TRUE)&lt;&gt;"n/a",MIN(G41,VLOOKUP(G41,'Geometry 2'!$C$4:$AI$14,1,TRUE))-VLOOKUP(G41,'Geometry 2'!$C$4:$AI$14,33,TRUE),"check")))</f>
        <v/>
      </c>
      <c r="Q41" s="537"/>
      <c r="R41" s="537"/>
      <c r="S41" s="537"/>
      <c r="T41" s="537" t="str">
        <f>IF($G41="","",VLOOKUP($G41,'Geometry 2'!$E$4:$AH$14,11,TRUE))</f>
        <v/>
      </c>
      <c r="U41" s="537"/>
      <c r="V41" s="537"/>
      <c r="W41" s="537"/>
      <c r="X41" s="538" t="str">
        <f>IF($G41="","",VLOOKUP($G41,'Geometry 2'!$E$4:$AJ$14,19,TRUE)-12*VLOOKUP($G41,'Geometry 2'!$E$4:$AJ$14,32,TRUE)*($D41-VLOOKUP($G41,'Geometry 2'!$E$5:$AH$14,1,TRUE)))</f>
        <v/>
      </c>
      <c r="Y41" s="538"/>
      <c r="Z41" s="538"/>
      <c r="AA41" s="538"/>
      <c r="AB41" s="542" t="str">
        <f>IF($G41="","",VLOOKUP($G41,'Geometry 2'!$E$4:$AJ$14,19,TRUE)-12*VLOOKUP($G41,'Geometry 2'!$E$4:$AJ$14,32,TRUE)*($G41-VLOOKUP($G41,'Geometry 2'!$E$5:$AH$14,1,TRUE)))</f>
        <v/>
      </c>
      <c r="AC41" s="543"/>
      <c r="AD41" s="543"/>
      <c r="AE41" s="544"/>
      <c r="AF41" s="538" t="str">
        <f>IF($G41="","",VLOOKUP($G41,'Geometry 2'!$E$4:$AJ$14,19,TRUE)-12*VLOOKUP($G41,'Geometry 2'!$E$4:$AJ$14,32,TRUE)*($G41-IF($P41="",0,$P41)-VLOOKUP($G41,'Geometry 2'!$E$5:$AH$14,1,TRUE)))</f>
        <v/>
      </c>
      <c r="AG41" s="538"/>
      <c r="AH41" s="538"/>
      <c r="AI41" s="538"/>
      <c r="AJ41" s="539" t="str">
        <f>IF($G41="","",VLOOKUP($G41,'Geometry 2'!$E$4:$AH$14,23,TRUE))</f>
        <v/>
      </c>
      <c r="AK41" s="549"/>
      <c r="AL41" s="549"/>
      <c r="AM41" s="550"/>
      <c r="AN41" s="537"/>
      <c r="AO41" s="537"/>
      <c r="AP41" s="537"/>
      <c r="AQ41" s="537"/>
      <c r="AR41" s="537" t="str">
        <f>IF($G41="","",VLOOKUP($G41,'Geometry 2'!$E$4:$AH$14,27,TRUE))</f>
        <v/>
      </c>
      <c r="AS41" s="537"/>
      <c r="AT41" s="537"/>
      <c r="AU41" s="539"/>
      <c r="AV41" s="564"/>
      <c r="AW41" s="538"/>
      <c r="AX41" s="538"/>
      <c r="AZ41" s="517" t="str">
        <f t="shared" si="5"/>
        <v/>
      </c>
      <c r="BA41" s="518"/>
      <c r="BB41" s="518"/>
      <c r="BC41" s="519"/>
      <c r="BD41" s="517"/>
      <c r="BE41" s="518"/>
      <c r="BF41" s="518"/>
      <c r="BG41" s="517" t="str">
        <f t="shared" si="9"/>
        <v/>
      </c>
      <c r="BH41" s="518"/>
      <c r="BI41" s="518"/>
      <c r="BJ41" s="518"/>
      <c r="BK41" s="519"/>
      <c r="BL41" s="517"/>
      <c r="BM41" s="518"/>
      <c r="BN41" s="518"/>
      <c r="BO41" s="518"/>
      <c r="BP41" s="520"/>
      <c r="BQ41" s="520"/>
      <c r="BR41" s="517" t="str">
        <f>IF(BP41="","",IF(OR(AND(Rev="H",Calculations!$F$27=TRUE),AND(Rev&lt;&gt;"H",Calculations!$F$30=TRUE)),IF(BP41&lt;=1,"Pass","Fail"),IF(BP41&lt;=1.05,"Pass","Fail")))</f>
        <v/>
      </c>
      <c r="BS41" s="518"/>
      <c r="BT41" s="519"/>
      <c r="BU41" s="34"/>
      <c r="BV41" s="16"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16"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16"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16"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16"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16"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16"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16"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16"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16"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16"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16"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16"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16"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16"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16"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16"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16"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45" t="str">
        <f t="shared" si="6"/>
        <v/>
      </c>
      <c r="CO41" s="497"/>
      <c r="CP41" s="498"/>
      <c r="CQ41" s="499"/>
      <c r="CR41" s="497"/>
      <c r="CS41" s="498"/>
      <c r="CT41" s="499"/>
      <c r="CU41" s="497" t="str">
        <f t="shared" si="7"/>
        <v/>
      </c>
      <c r="CV41" s="498"/>
      <c r="CW41" s="503"/>
      <c r="CX41" s="484"/>
      <c r="CY41" s="485"/>
      <c r="CZ41" s="486"/>
      <c r="DA41" s="484"/>
      <c r="DB41" s="485"/>
      <c r="DC41" s="486"/>
      <c r="DD41" s="484" t="str">
        <f t="shared" si="8"/>
        <v/>
      </c>
      <c r="DE41" s="485"/>
      <c r="DF41" s="487"/>
      <c r="DG41" s="38"/>
      <c r="DH41" s="39"/>
      <c r="DI41" s="39"/>
      <c r="DJ41" s="39"/>
      <c r="DK41" s="39"/>
      <c r="DL41" s="39"/>
      <c r="DM41" s="39"/>
      <c r="DN41" s="39"/>
      <c r="DO41" s="39"/>
      <c r="DP41" s="39"/>
      <c r="DQ41" s="42"/>
      <c r="DR41" s="42"/>
      <c r="DS41" s="42"/>
      <c r="DT41" s="42"/>
      <c r="DU41" s="42"/>
      <c r="DV41" s="42"/>
      <c r="DW41" s="42"/>
      <c r="DX41" s="42"/>
      <c r="DY41" s="42"/>
      <c r="DZ41" s="42"/>
      <c r="EA41" s="42"/>
      <c r="EB41" s="42"/>
      <c r="EC41" s="42"/>
      <c r="ED41" s="42"/>
      <c r="EE41" s="42"/>
      <c r="EF41" s="42"/>
      <c r="EG41" s="42"/>
      <c r="EH41" s="42"/>
      <c r="EI41" s="42"/>
      <c r="EJ41" s="42"/>
      <c r="EK41" s="42"/>
      <c r="EL41" s="97"/>
      <c r="EM41" s="97"/>
      <c r="EN41" s="97"/>
      <c r="EO41" s="97"/>
      <c r="EP41" s="97"/>
      <c r="EQ41" s="97"/>
      <c r="ER41" s="97"/>
      <c r="ES41" s="97"/>
      <c r="ET41" s="97"/>
      <c r="EU41" s="97"/>
      <c r="EV41" s="97"/>
      <c r="EW41" s="97"/>
      <c r="EX41" s="97"/>
      <c r="EY41" s="97"/>
      <c r="EZ41" s="97"/>
      <c r="FA41" s="97"/>
      <c r="FB41" s="97"/>
      <c r="FC41" s="97"/>
      <c r="FD41" s="97"/>
      <c r="FE41" s="97"/>
      <c r="FF41" s="97"/>
      <c r="FG41" s="97"/>
      <c r="FH41" s="97"/>
      <c r="FI41" s="97"/>
      <c r="FJ41" s="97"/>
      <c r="FK41" s="97"/>
      <c r="FL41" s="97"/>
      <c r="FM41" s="97"/>
      <c r="FN41" s="97"/>
      <c r="FO41" s="97"/>
      <c r="FQ41" s="90"/>
      <c r="FR41" s="88"/>
      <c r="FS41" s="86"/>
      <c r="FT41" s="84"/>
    </row>
    <row r="42" spans="2:176" ht="15.75" customHeight="1" thickBot="1" x14ac:dyDescent="0.3">
      <c r="B42" s="47" t="b">
        <f>IF(AND(P41&lt;&gt;"",OR(AND(G42&gt;='Geometry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3" t="str">
        <f t="shared" si="3"/>
        <v/>
      </c>
      <c r="D42" s="529" t="str">
        <f t="shared" si="4"/>
        <v/>
      </c>
      <c r="E42" s="530"/>
      <c r="F42" s="14" t="str">
        <f t="shared" si="2"/>
        <v/>
      </c>
      <c r="G42" s="531">
        <v>24</v>
      </c>
      <c r="H42" s="532"/>
      <c r="I42" s="143"/>
      <c r="J42" s="143"/>
      <c r="K42" s="143"/>
      <c r="L42" s="537" t="str">
        <f t="shared" si="10"/>
        <v/>
      </c>
      <c r="M42" s="537"/>
      <c r="N42" s="537"/>
      <c r="O42" s="537"/>
      <c r="P42" s="537" t="e">
        <f>IF(OR(G42=0,G42=""),"",IF(VLOOKUP(G42,'Geometry 2'!$C$4:$AI$14,1,TRUE)=VLOOKUP(G43,'Geometry 2'!$C$4:$AI$14,1,TRUE),"",IF(VLOOKUP(G42,'Geometry 2'!$C$4:$AI$14,33,TRUE)&lt;&gt;"n/a",MIN(G42,VLOOKUP(G42,'Geometry 2'!$C$4:$AI$14,1,TRUE))-VLOOKUP(G42,'Geometry 2'!$C$4:$AI$14,33,TRUE),"check")))</f>
        <v>#N/A</v>
      </c>
      <c r="Q42" s="537"/>
      <c r="R42" s="537"/>
      <c r="S42" s="537"/>
      <c r="T42" s="537" t="e">
        <f>IF($G42="","",VLOOKUP($G42,'Geometry 2'!$E$4:$AH$14,11,TRUE))</f>
        <v>#N/A</v>
      </c>
      <c r="U42" s="537"/>
      <c r="V42" s="537"/>
      <c r="W42" s="537"/>
      <c r="X42" s="538" t="e">
        <f>IF($G42="","",VLOOKUP($G42,'Geometry 2'!$E$4:$AJ$14,19,TRUE)-12*VLOOKUP($G42,'Geometry 2'!$E$4:$AJ$14,32,TRUE)*($D42-VLOOKUP($G42,'Geometry 2'!$E$5:$AH$14,1,TRUE)))</f>
        <v>#N/A</v>
      </c>
      <c r="Y42" s="538"/>
      <c r="Z42" s="538"/>
      <c r="AA42" s="538"/>
      <c r="AB42" s="542" t="e">
        <f>IF($G42="","",VLOOKUP($G42,'Geometry 2'!$E$4:$AJ$14,19,TRUE)-12*VLOOKUP($G42,'Geometry 2'!$E$4:$AJ$14,32,TRUE)*($G42-VLOOKUP($G42,'Geometry 2'!$E$5:$AH$14,1,TRUE)))</f>
        <v>#N/A</v>
      </c>
      <c r="AC42" s="543"/>
      <c r="AD42" s="543"/>
      <c r="AE42" s="544"/>
      <c r="AF42" s="538" t="e">
        <f>IF($G42="","",VLOOKUP($G42,'Geometry 2'!$E$4:$AJ$14,19,TRUE)-12*VLOOKUP($G42,'Geometry 2'!$E$4:$AJ$14,32,TRUE)*($G42-IF($P42="",0,$P42)-VLOOKUP($G42,'Geometry 2'!$E$5:$AH$14,1,TRUE)))</f>
        <v>#N/A</v>
      </c>
      <c r="AG42" s="538"/>
      <c r="AH42" s="538"/>
      <c r="AI42" s="538"/>
      <c r="AJ42" s="539" t="e">
        <f>IF($G42="","",VLOOKUP($G42,'Geometry 2'!$E$4:$AH$14,23,TRUE))</f>
        <v>#N/A</v>
      </c>
      <c r="AK42" s="549"/>
      <c r="AL42" s="549"/>
      <c r="AM42" s="550"/>
      <c r="AN42" s="537"/>
      <c r="AO42" s="537"/>
      <c r="AP42" s="537"/>
      <c r="AQ42" s="537"/>
      <c r="AR42" s="537" t="e">
        <f>IF($G42="","",VLOOKUP($G42,'Geometry 2'!$E$4:$AH$14,27,TRUE))</f>
        <v>#N/A</v>
      </c>
      <c r="AS42" s="537"/>
      <c r="AT42" s="537"/>
      <c r="AU42" s="539"/>
      <c r="AV42" s="564"/>
      <c r="AW42" s="538"/>
      <c r="AX42" s="538"/>
      <c r="AZ42" s="517" t="e">
        <f t="shared" si="5"/>
        <v>#VALUE!</v>
      </c>
      <c r="BA42" s="518"/>
      <c r="BB42" s="518"/>
      <c r="BC42" s="519"/>
      <c r="BD42" s="517"/>
      <c r="BE42" s="518"/>
      <c r="BF42" s="518"/>
      <c r="BG42" s="517" t="e">
        <f t="shared" si="9"/>
        <v>#VALUE!</v>
      </c>
      <c r="BH42" s="518"/>
      <c r="BI42" s="518"/>
      <c r="BJ42" s="518"/>
      <c r="BK42" s="519"/>
      <c r="BL42" s="517"/>
      <c r="BM42" s="518"/>
      <c r="BN42" s="518"/>
      <c r="BO42" s="518"/>
      <c r="BP42" s="520"/>
      <c r="BQ42" s="520"/>
      <c r="BR42" s="517" t="str">
        <f>IF(BP42="","",IF(OR(AND(Rev="H",Calculations!$F$27=TRUE),AND(Rev&lt;&gt;"H",Calculations!$F$30=TRUE)),IF(BP42&lt;=1,"Pass","Fail"),IF(BP42&lt;=1.05,"Pass","Fail")))</f>
        <v/>
      </c>
      <c r="BS42" s="518"/>
      <c r="BT42" s="519"/>
      <c r="BU42" s="34"/>
      <c r="BV42" s="16"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16"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16"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16"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16"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16"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16"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16"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16"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16"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16"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16"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16"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16"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16"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16"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16"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16"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44" t="e">
        <f t="shared" si="6"/>
        <v>#VALUE!</v>
      </c>
      <c r="CO42" s="494"/>
      <c r="CP42" s="495"/>
      <c r="CQ42" s="496"/>
      <c r="CR42" s="494"/>
      <c r="CS42" s="495"/>
      <c r="CT42" s="496"/>
      <c r="CU42" s="494" t="str">
        <f t="shared" si="7"/>
        <v/>
      </c>
      <c r="CV42" s="495"/>
      <c r="CW42" s="500"/>
      <c r="CX42" s="501"/>
      <c r="CY42" s="492"/>
      <c r="CZ42" s="502"/>
      <c r="DA42" s="488"/>
      <c r="DB42" s="489"/>
      <c r="DC42" s="490"/>
      <c r="DD42" s="491" t="str">
        <f t="shared" si="8"/>
        <v/>
      </c>
      <c r="DE42" s="492"/>
      <c r="DF42" s="493"/>
      <c r="DG42" s="40"/>
      <c r="DH42" s="41"/>
      <c r="DI42" s="41"/>
      <c r="DJ42" s="41"/>
      <c r="DK42" s="41"/>
      <c r="DL42" s="41"/>
      <c r="DM42" s="41"/>
      <c r="DN42" s="41"/>
      <c r="DO42" s="41"/>
      <c r="DP42" s="41"/>
      <c r="DQ42" s="43"/>
      <c r="DR42" s="43"/>
      <c r="DS42" s="43"/>
      <c r="DT42" s="43"/>
      <c r="DU42" s="43"/>
      <c r="DV42" s="43"/>
      <c r="DW42" s="43"/>
      <c r="DX42" s="43"/>
      <c r="DY42" s="43"/>
      <c r="DZ42" s="43"/>
      <c r="EA42" s="43"/>
      <c r="EB42" s="43"/>
      <c r="EC42" s="43"/>
      <c r="ED42" s="43"/>
      <c r="EE42" s="43"/>
      <c r="EF42" s="43"/>
      <c r="EG42" s="43"/>
      <c r="EH42" s="43"/>
      <c r="EI42" s="43"/>
      <c r="EJ42" s="43"/>
      <c r="EK42" s="43"/>
      <c r="EL42" s="98"/>
      <c r="EM42" s="98"/>
      <c r="EN42" s="98"/>
      <c r="EO42" s="98"/>
      <c r="EP42" s="98"/>
      <c r="EQ42" s="98"/>
      <c r="ER42" s="98"/>
      <c r="ES42" s="98"/>
      <c r="ET42" s="98"/>
      <c r="EU42" s="98"/>
      <c r="EV42" s="98"/>
      <c r="EW42" s="98"/>
      <c r="EX42" s="98"/>
      <c r="EY42" s="98"/>
      <c r="EZ42" s="98"/>
      <c r="FA42" s="98"/>
      <c r="FB42" s="98"/>
      <c r="FC42" s="98"/>
      <c r="FD42" s="98"/>
      <c r="FE42" s="98"/>
      <c r="FF42" s="98"/>
      <c r="FG42" s="98"/>
      <c r="FH42" s="98"/>
      <c r="FI42" s="98"/>
      <c r="FJ42" s="98"/>
      <c r="FK42" s="98"/>
      <c r="FL42" s="98"/>
      <c r="FM42" s="98"/>
      <c r="FN42" s="98"/>
      <c r="FO42" s="98"/>
      <c r="FQ42" s="89"/>
      <c r="FR42" s="87"/>
      <c r="FS42" s="85"/>
      <c r="FT42" s="84"/>
    </row>
    <row r="43" spans="2:176" ht="15.75" customHeight="1" thickBot="1" x14ac:dyDescent="0.3">
      <c r="B43" s="47" t="e">
        <f>IF(AND(P42&lt;&gt;"",OR(AND(G43&gt;='Geometry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#N/A</v>
      </c>
      <c r="C43" s="3" t="str">
        <f t="shared" si="3"/>
        <v/>
      </c>
      <c r="D43" s="529">
        <f t="shared" si="4"/>
        <v>24</v>
      </c>
      <c r="E43" s="530"/>
      <c r="F43" s="14" t="str">
        <f t="shared" si="2"/>
        <v>-</v>
      </c>
      <c r="G43" s="531">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19</v>
      </c>
      <c r="H43" s="532"/>
      <c r="I43" s="143"/>
      <c r="J43" s="143"/>
      <c r="K43" s="143"/>
      <c r="L43" s="537" t="e">
        <f t="shared" si="10"/>
        <v>#N/A</v>
      </c>
      <c r="M43" s="537"/>
      <c r="N43" s="537"/>
      <c r="O43" s="537"/>
      <c r="P43" s="537" t="e">
        <f>IF(OR(G43=0,G43=""),"",IF(VLOOKUP(G43,'Geometry 2'!$C$4:$AI$14,1,TRUE)=VLOOKUP(G44,'Geometry 2'!$C$4:$AI$14,1,TRUE),"",IF(VLOOKUP(G43,'Geometry 2'!$C$4:$AI$14,33,TRUE)&lt;&gt;"n/a",MIN(G43,VLOOKUP(G43,'Geometry 2'!$C$4:$AI$14,1,TRUE))-VLOOKUP(G43,'Geometry 2'!$C$4:$AI$14,33,TRUE),"check")))</f>
        <v>#N/A</v>
      </c>
      <c r="Q43" s="537"/>
      <c r="R43" s="537"/>
      <c r="S43" s="537"/>
      <c r="T43" s="537" t="e">
        <f>IF($G43="","",VLOOKUP($G43,'Geometry 2'!$E$4:$AH$14,11,TRUE))</f>
        <v>#N/A</v>
      </c>
      <c r="U43" s="537"/>
      <c r="V43" s="537"/>
      <c r="W43" s="537"/>
      <c r="X43" s="538" t="e">
        <f>IF($G43="","",VLOOKUP($G43,'Geometry 2'!$E$4:$AJ$14,19,TRUE)-12*VLOOKUP($G43,'Geometry 2'!$E$4:$AJ$14,32,TRUE)*($D43-VLOOKUP($G43,'Geometry 2'!$E$5:$AH$14,1,TRUE)))</f>
        <v>#N/A</v>
      </c>
      <c r="Y43" s="538"/>
      <c r="Z43" s="538"/>
      <c r="AA43" s="538"/>
      <c r="AB43" s="542" t="e">
        <f>IF($G43="","",VLOOKUP($G43,'Geometry 2'!$E$4:$AJ$14,19,TRUE)-12*VLOOKUP($G43,'Geometry 2'!$E$4:$AJ$14,32,TRUE)*($G43-VLOOKUP($G43,'Geometry 2'!$E$5:$AH$14,1,TRUE)))</f>
        <v>#N/A</v>
      </c>
      <c r="AC43" s="543"/>
      <c r="AD43" s="543"/>
      <c r="AE43" s="544"/>
      <c r="AF43" s="538" t="e">
        <f>IF($G43="","",VLOOKUP($G43,'Geometry 2'!$E$4:$AJ$14,19,TRUE)-12*VLOOKUP($G43,'Geometry 2'!$E$4:$AJ$14,32,TRUE)*($G43-IF($P43="",0,$P43)-VLOOKUP($G43,'Geometry 2'!$E$5:$AH$14,1,TRUE)))</f>
        <v>#N/A</v>
      </c>
      <c r="AG43" s="538"/>
      <c r="AH43" s="538"/>
      <c r="AI43" s="538"/>
      <c r="AJ43" s="539" t="e">
        <f>IF($G43="","",VLOOKUP($G43,'Geometry 2'!$E$4:$AH$14,23,TRUE))</f>
        <v>#N/A</v>
      </c>
      <c r="AK43" s="549"/>
      <c r="AL43" s="549"/>
      <c r="AM43" s="550"/>
      <c r="AN43" s="537"/>
      <c r="AO43" s="537"/>
      <c r="AP43" s="537"/>
      <c r="AQ43" s="537"/>
      <c r="AR43" s="537" t="e">
        <f>IF($G43="","",VLOOKUP($G43,'Geometry 2'!$E$4:$AH$14,27,TRUE))</f>
        <v>#N/A</v>
      </c>
      <c r="AS43" s="537"/>
      <c r="AT43" s="537"/>
      <c r="AU43" s="539"/>
      <c r="AV43" s="564"/>
      <c r="AW43" s="538"/>
      <c r="AX43" s="538"/>
      <c r="AZ43" s="517" t="str">
        <f t="shared" si="5"/>
        <v>24 - 19</v>
      </c>
      <c r="BA43" s="518"/>
      <c r="BB43" s="518"/>
      <c r="BC43" s="519"/>
      <c r="BD43" s="517"/>
      <c r="BE43" s="518"/>
      <c r="BF43" s="518"/>
      <c r="BG43" s="517" t="e">
        <f t="shared" si="9"/>
        <v>#N/A</v>
      </c>
      <c r="BH43" s="518"/>
      <c r="BI43" s="518"/>
      <c r="BJ43" s="518"/>
      <c r="BK43" s="519"/>
      <c r="BL43" s="517"/>
      <c r="BM43" s="518"/>
      <c r="BN43" s="518"/>
      <c r="BO43" s="518"/>
      <c r="BP43" s="520"/>
      <c r="BQ43" s="520"/>
      <c r="BR43" s="517" t="str">
        <f>IF(BP43="","",IF(OR(AND(Rev="H",Calculations!$F$27=TRUE),AND(Rev&lt;&gt;"H",Calculations!$F$30=TRUE)),IF(BP43&lt;=1,"Pass","Fail"),IF(BP43&lt;=1.05,"Pass","Fail")))</f>
        <v/>
      </c>
      <c r="BS43" s="518"/>
      <c r="BT43" s="519"/>
      <c r="BU43" s="34"/>
      <c r="BV43" s="16"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16"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16"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16"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16"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16"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16"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16"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16"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16"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16"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16"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16"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16"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16"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16"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16"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16"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45" t="str">
        <f t="shared" si="6"/>
        <v>24 - 19</v>
      </c>
      <c r="CO43" s="497"/>
      <c r="CP43" s="498"/>
      <c r="CQ43" s="499"/>
      <c r="CR43" s="497"/>
      <c r="CS43" s="498"/>
      <c r="CT43" s="499"/>
      <c r="CU43" s="497" t="str">
        <f t="shared" si="7"/>
        <v/>
      </c>
      <c r="CV43" s="498"/>
      <c r="CW43" s="503"/>
      <c r="CX43" s="484"/>
      <c r="CY43" s="485"/>
      <c r="CZ43" s="486"/>
      <c r="DA43" s="484"/>
      <c r="DB43" s="485"/>
      <c r="DC43" s="486"/>
      <c r="DD43" s="484" t="str">
        <f t="shared" si="8"/>
        <v/>
      </c>
      <c r="DE43" s="485"/>
      <c r="DF43" s="487"/>
      <c r="DG43" s="38"/>
      <c r="DH43" s="39"/>
      <c r="DI43" s="39"/>
      <c r="DJ43" s="39"/>
      <c r="DK43" s="39"/>
      <c r="DL43" s="39"/>
      <c r="DM43" s="39"/>
      <c r="DN43" s="39"/>
      <c r="DO43" s="39"/>
      <c r="DP43" s="39"/>
      <c r="DQ43" s="42"/>
      <c r="DR43" s="42"/>
      <c r="DS43" s="42"/>
      <c r="DT43" s="42"/>
      <c r="DU43" s="42"/>
      <c r="DV43" s="42"/>
      <c r="DW43" s="42"/>
      <c r="DX43" s="42"/>
      <c r="DY43" s="42"/>
      <c r="DZ43" s="42"/>
      <c r="EA43" s="42"/>
      <c r="EB43" s="42"/>
      <c r="EC43" s="42"/>
      <c r="ED43" s="42"/>
      <c r="EE43" s="42"/>
      <c r="EF43" s="42"/>
      <c r="EG43" s="42"/>
      <c r="EH43" s="42"/>
      <c r="EI43" s="42"/>
      <c r="EJ43" s="42"/>
      <c r="EK43" s="42"/>
      <c r="EL43" s="97"/>
      <c r="EM43" s="97"/>
      <c r="EN43" s="97"/>
      <c r="EO43" s="97"/>
      <c r="EP43" s="97"/>
      <c r="EQ43" s="97"/>
      <c r="ER43" s="97"/>
      <c r="ES43" s="97"/>
      <c r="ET43" s="97"/>
      <c r="EU43" s="97"/>
      <c r="EV43" s="97"/>
      <c r="EW43" s="97"/>
      <c r="EX43" s="97"/>
      <c r="EY43" s="97"/>
      <c r="EZ43" s="97"/>
      <c r="FA43" s="97"/>
      <c r="FB43" s="97"/>
      <c r="FC43" s="97"/>
      <c r="FD43" s="97"/>
      <c r="FE43" s="97"/>
      <c r="FF43" s="97"/>
      <c r="FG43" s="97"/>
      <c r="FH43" s="97"/>
      <c r="FI43" s="97"/>
      <c r="FJ43" s="97"/>
      <c r="FK43" s="97"/>
      <c r="FL43" s="97"/>
      <c r="FM43" s="97"/>
      <c r="FN43" s="97"/>
      <c r="FO43" s="97"/>
      <c r="FQ43" s="90"/>
      <c r="FR43" s="88"/>
      <c r="FS43" s="86"/>
      <c r="FT43" s="84"/>
    </row>
    <row r="44" spans="2:176" ht="15.75" customHeight="1" thickBot="1" x14ac:dyDescent="0.3">
      <c r="B44" s="47" t="e">
        <f>IF(AND(P43&lt;&gt;"",OR(AND(G44&gt;='Geometry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#N/A</v>
      </c>
      <c r="C44" s="3" t="str">
        <f t="shared" si="3"/>
        <v/>
      </c>
      <c r="D44" s="529">
        <f t="shared" si="4"/>
        <v>19</v>
      </c>
      <c r="E44" s="530"/>
      <c r="F44" s="14" t="str">
        <f t="shared" si="2"/>
        <v>-</v>
      </c>
      <c r="G44" s="531">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14</v>
      </c>
      <c r="H44" s="532"/>
      <c r="I44" s="143"/>
      <c r="J44" s="143"/>
      <c r="K44" s="143"/>
      <c r="L44" s="537" t="e">
        <f t="shared" si="10"/>
        <v>#N/A</v>
      </c>
      <c r="M44" s="537"/>
      <c r="N44" s="537"/>
      <c r="O44" s="537"/>
      <c r="P44" s="537" t="e">
        <f>IF(OR(G44=0,G44=""),"",IF(VLOOKUP(G44,'Geometry 2'!$C$4:$AI$14,1,TRUE)=VLOOKUP(G45,'Geometry 2'!$C$4:$AI$14,1,TRUE),"",IF(VLOOKUP(G44,'Geometry 2'!$C$4:$AI$14,33,TRUE)&lt;&gt;"n/a",MIN(G44,VLOOKUP(G44,'Geometry 2'!$C$4:$AI$14,1,TRUE))-VLOOKUP(G44,'Geometry 2'!$C$4:$AI$14,33,TRUE),"check")))</f>
        <v>#N/A</v>
      </c>
      <c r="Q44" s="537"/>
      <c r="R44" s="537"/>
      <c r="S44" s="537"/>
      <c r="T44" s="537" t="e">
        <f>IF($G44="","",VLOOKUP($G44,'Geometry 2'!$E$4:$AH$14,11,TRUE))</f>
        <v>#N/A</v>
      </c>
      <c r="U44" s="537"/>
      <c r="V44" s="537"/>
      <c r="W44" s="537"/>
      <c r="X44" s="538" t="e">
        <f>IF($G44="","",VLOOKUP($G44,'Geometry 2'!$E$4:$AJ$14,19,TRUE)-12*VLOOKUP($G44,'Geometry 2'!$E$4:$AJ$14,32,TRUE)*($D44-VLOOKUP($G44,'Geometry 2'!$E$5:$AH$14,1,TRUE)))</f>
        <v>#N/A</v>
      </c>
      <c r="Y44" s="538"/>
      <c r="Z44" s="538"/>
      <c r="AA44" s="538"/>
      <c r="AB44" s="542" t="e">
        <f>IF($G44="","",VLOOKUP($G44,'Geometry 2'!$E$4:$AJ$14,19,TRUE)-12*VLOOKUP($G44,'Geometry 2'!$E$4:$AJ$14,32,TRUE)*($G44-VLOOKUP($G44,'Geometry 2'!$E$5:$AH$14,1,TRUE)))</f>
        <v>#N/A</v>
      </c>
      <c r="AC44" s="543"/>
      <c r="AD44" s="543"/>
      <c r="AE44" s="544"/>
      <c r="AF44" s="538" t="e">
        <f>IF($G44="","",VLOOKUP($G44,'Geometry 2'!$E$4:$AJ$14,19,TRUE)-12*VLOOKUP($G44,'Geometry 2'!$E$4:$AJ$14,32,TRUE)*($G44-IF($P44="",0,$P44)-VLOOKUP($G44,'Geometry 2'!$E$5:$AH$14,1,TRUE)))</f>
        <v>#N/A</v>
      </c>
      <c r="AG44" s="538"/>
      <c r="AH44" s="538"/>
      <c r="AI44" s="538"/>
      <c r="AJ44" s="539" t="e">
        <f>IF($G44="","",VLOOKUP($G44,'Geometry 2'!$E$4:$AH$14,23,TRUE))</f>
        <v>#N/A</v>
      </c>
      <c r="AK44" s="549"/>
      <c r="AL44" s="549"/>
      <c r="AM44" s="550"/>
      <c r="AN44" s="537"/>
      <c r="AO44" s="537"/>
      <c r="AP44" s="537"/>
      <c r="AQ44" s="537"/>
      <c r="AR44" s="537" t="e">
        <f>IF($G44="","",VLOOKUP($G44,'Geometry 2'!$E$4:$AH$14,27,TRUE))</f>
        <v>#N/A</v>
      </c>
      <c r="AS44" s="537"/>
      <c r="AT44" s="537"/>
      <c r="AU44" s="539"/>
      <c r="AV44" s="564"/>
      <c r="AW44" s="538"/>
      <c r="AX44" s="538"/>
      <c r="AZ44" s="517" t="str">
        <f t="shared" si="5"/>
        <v>19 - 14</v>
      </c>
      <c r="BA44" s="518"/>
      <c r="BB44" s="518"/>
      <c r="BC44" s="519"/>
      <c r="BD44" s="517"/>
      <c r="BE44" s="518"/>
      <c r="BF44" s="518"/>
      <c r="BG44" s="517" t="e">
        <f t="shared" si="9"/>
        <v>#N/A</v>
      </c>
      <c r="BH44" s="518"/>
      <c r="BI44" s="518"/>
      <c r="BJ44" s="518"/>
      <c r="BK44" s="519"/>
      <c r="BL44" s="517"/>
      <c r="BM44" s="518"/>
      <c r="BN44" s="518"/>
      <c r="BO44" s="518"/>
      <c r="BP44" s="520"/>
      <c r="BQ44" s="520"/>
      <c r="BR44" s="517" t="str">
        <f>IF(BP44="","",IF(OR(AND(Rev="H",Calculations!$F$27=TRUE),AND(Rev&lt;&gt;"H",Calculations!$F$30=TRUE)),IF(BP44&lt;=1,"Pass","Fail"),IF(BP44&lt;=1.05,"Pass","Fail")))</f>
        <v/>
      </c>
      <c r="BS44" s="518"/>
      <c r="BT44" s="519"/>
      <c r="BU44" s="34"/>
      <c r="BV44" s="16"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16"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16"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16"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16"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16"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16"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16"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16"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16"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16"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16"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16"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16"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16"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16"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16"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16"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44" t="str">
        <f t="shared" si="6"/>
        <v>19 - 14</v>
      </c>
      <c r="CO44" s="494"/>
      <c r="CP44" s="495"/>
      <c r="CQ44" s="496"/>
      <c r="CR44" s="494"/>
      <c r="CS44" s="495"/>
      <c r="CT44" s="496"/>
      <c r="CU44" s="494" t="str">
        <f t="shared" si="7"/>
        <v/>
      </c>
      <c r="CV44" s="495"/>
      <c r="CW44" s="500"/>
      <c r="CX44" s="501"/>
      <c r="CY44" s="492"/>
      <c r="CZ44" s="502"/>
      <c r="DA44" s="488"/>
      <c r="DB44" s="489"/>
      <c r="DC44" s="490"/>
      <c r="DD44" s="491" t="str">
        <f t="shared" si="8"/>
        <v/>
      </c>
      <c r="DE44" s="492"/>
      <c r="DF44" s="493"/>
      <c r="DG44" s="40"/>
      <c r="DH44" s="41"/>
      <c r="DI44" s="41"/>
      <c r="DJ44" s="41"/>
      <c r="DK44" s="41"/>
      <c r="DL44" s="41"/>
      <c r="DM44" s="41"/>
      <c r="DN44" s="41"/>
      <c r="DO44" s="41"/>
      <c r="DP44" s="41"/>
      <c r="DQ44" s="43"/>
      <c r="DR44" s="43"/>
      <c r="DS44" s="43"/>
      <c r="DT44" s="43"/>
      <c r="DU44" s="43"/>
      <c r="DV44" s="43"/>
      <c r="DW44" s="43"/>
      <c r="DX44" s="43"/>
      <c r="DY44" s="43"/>
      <c r="DZ44" s="43"/>
      <c r="EA44" s="43"/>
      <c r="EB44" s="43"/>
      <c r="EC44" s="43"/>
      <c r="ED44" s="43"/>
      <c r="EE44" s="43"/>
      <c r="EF44" s="43"/>
      <c r="EG44" s="43"/>
      <c r="EH44" s="43"/>
      <c r="EI44" s="43"/>
      <c r="EJ44" s="43"/>
      <c r="EK44" s="43"/>
      <c r="EL44" s="98"/>
      <c r="EM44" s="98"/>
      <c r="EN44" s="98"/>
      <c r="EO44" s="98"/>
      <c r="EP44" s="98"/>
      <c r="EQ44" s="98"/>
      <c r="ER44" s="98"/>
      <c r="ES44" s="98"/>
      <c r="ET44" s="98"/>
      <c r="EU44" s="98"/>
      <c r="EV44" s="98"/>
      <c r="EW44" s="98"/>
      <c r="EX44" s="98"/>
      <c r="EY44" s="98"/>
      <c r="EZ44" s="98"/>
      <c r="FA44" s="98"/>
      <c r="FB44" s="98"/>
      <c r="FC44" s="98"/>
      <c r="FD44" s="98"/>
      <c r="FE44" s="98"/>
      <c r="FF44" s="98"/>
      <c r="FG44" s="98"/>
      <c r="FH44" s="98"/>
      <c r="FI44" s="98"/>
      <c r="FJ44" s="98"/>
      <c r="FK44" s="98"/>
      <c r="FL44" s="98"/>
      <c r="FM44" s="98"/>
      <c r="FN44" s="98"/>
      <c r="FO44" s="98"/>
      <c r="FQ44" s="89"/>
      <c r="FR44" s="87"/>
      <c r="FS44" s="85"/>
      <c r="FT44" s="84"/>
    </row>
    <row r="45" spans="2:176" ht="15.75" customHeight="1" thickBot="1" x14ac:dyDescent="0.3">
      <c r="B45" s="47" t="e">
        <f>IF(AND(P44&lt;&gt;"",OR(AND(G45&gt;='Geometry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#N/A</v>
      </c>
      <c r="C45" s="3" t="str">
        <f t="shared" si="3"/>
        <v/>
      </c>
      <c r="D45" s="529">
        <f t="shared" si="4"/>
        <v>14</v>
      </c>
      <c r="E45" s="530"/>
      <c r="F45" s="14" t="str">
        <f t="shared" si="2"/>
        <v>-</v>
      </c>
      <c r="G45" s="531">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9</v>
      </c>
      <c r="H45" s="532"/>
      <c r="I45" s="143"/>
      <c r="J45" s="143"/>
      <c r="K45" s="143"/>
      <c r="L45" s="537" t="e">
        <f t="shared" si="10"/>
        <v>#N/A</v>
      </c>
      <c r="M45" s="537"/>
      <c r="N45" s="537"/>
      <c r="O45" s="537"/>
      <c r="P45" s="537" t="e">
        <f>IF(OR(G45=0,G45=""),"",IF(VLOOKUP(G45,'Geometry 2'!$C$4:$AI$14,1,TRUE)=VLOOKUP(G46,'Geometry 2'!$C$4:$AI$14,1,TRUE),"",IF(VLOOKUP(G45,'Geometry 2'!$C$4:$AI$14,33,TRUE)&lt;&gt;"n/a",MIN(G45,VLOOKUP(G45,'Geometry 2'!$C$4:$AI$14,1,TRUE))-VLOOKUP(G45,'Geometry 2'!$C$4:$AI$14,33,TRUE),"check")))</f>
        <v>#N/A</v>
      </c>
      <c r="Q45" s="537"/>
      <c r="R45" s="537"/>
      <c r="S45" s="537"/>
      <c r="T45" s="537" t="e">
        <f>IF($G45="","",VLOOKUP($G45,'Geometry 2'!$E$4:$AH$14,11,TRUE))</f>
        <v>#N/A</v>
      </c>
      <c r="U45" s="537"/>
      <c r="V45" s="537"/>
      <c r="W45" s="537"/>
      <c r="X45" s="538" t="e">
        <f>IF($G45="","",VLOOKUP($G45,'Geometry 2'!$E$4:$AJ$14,19,TRUE)-12*VLOOKUP($G45,'Geometry 2'!$E$4:$AJ$14,32,TRUE)*($D45-VLOOKUP($G45,'Geometry 2'!$E$5:$AH$14,1,TRUE)))</f>
        <v>#N/A</v>
      </c>
      <c r="Y45" s="538"/>
      <c r="Z45" s="538"/>
      <c r="AA45" s="538"/>
      <c r="AB45" s="542" t="e">
        <f>IF($G45="","",VLOOKUP($G45,'Geometry 2'!$E$4:$AJ$14,19,TRUE)-12*VLOOKUP($G45,'Geometry 2'!$E$4:$AJ$14,32,TRUE)*($G45-VLOOKUP($G45,'Geometry 2'!$E$5:$AH$14,1,TRUE)))</f>
        <v>#N/A</v>
      </c>
      <c r="AC45" s="543"/>
      <c r="AD45" s="543"/>
      <c r="AE45" s="544"/>
      <c r="AF45" s="538" t="e">
        <f>IF($G45="","",VLOOKUP($G45,'Geometry 2'!$E$4:$AJ$14,19,TRUE)-12*VLOOKUP($G45,'Geometry 2'!$E$4:$AJ$14,32,TRUE)*($G45-IF($P45="",0,$P45)-VLOOKUP($G45,'Geometry 2'!$E$5:$AH$14,1,TRUE)))</f>
        <v>#N/A</v>
      </c>
      <c r="AG45" s="538"/>
      <c r="AH45" s="538"/>
      <c r="AI45" s="538"/>
      <c r="AJ45" s="539" t="e">
        <f>IF($G45="","",VLOOKUP($G45,'Geometry 2'!$E$4:$AH$14,23,TRUE))</f>
        <v>#N/A</v>
      </c>
      <c r="AK45" s="549"/>
      <c r="AL45" s="549"/>
      <c r="AM45" s="550"/>
      <c r="AN45" s="537"/>
      <c r="AO45" s="537"/>
      <c r="AP45" s="537"/>
      <c r="AQ45" s="537"/>
      <c r="AR45" s="537" t="e">
        <f>IF($G45="","",VLOOKUP($G45,'Geometry 2'!$E$4:$AH$14,27,TRUE))</f>
        <v>#N/A</v>
      </c>
      <c r="AS45" s="537"/>
      <c r="AT45" s="537"/>
      <c r="AU45" s="539"/>
      <c r="AV45" s="564"/>
      <c r="AW45" s="538"/>
      <c r="AX45" s="538"/>
      <c r="AZ45" s="517" t="str">
        <f t="shared" si="5"/>
        <v>14 - 9</v>
      </c>
      <c r="BA45" s="518"/>
      <c r="BB45" s="518"/>
      <c r="BC45" s="519"/>
      <c r="BD45" s="517"/>
      <c r="BE45" s="518"/>
      <c r="BF45" s="518"/>
      <c r="BG45" s="517" t="e">
        <f t="shared" si="9"/>
        <v>#N/A</v>
      </c>
      <c r="BH45" s="518"/>
      <c r="BI45" s="518"/>
      <c r="BJ45" s="518"/>
      <c r="BK45" s="519"/>
      <c r="BL45" s="517"/>
      <c r="BM45" s="518"/>
      <c r="BN45" s="518"/>
      <c r="BO45" s="518"/>
      <c r="BP45" s="520"/>
      <c r="BQ45" s="520"/>
      <c r="BR45" s="517" t="str">
        <f>IF(BP45="","",IF(OR(AND(Rev="H",Calculations!$F$27=TRUE),AND(Rev&lt;&gt;"H",Calculations!$F$30=TRUE)),IF(BP45&lt;=1,"Pass","Fail"),IF(BP45&lt;=1.05,"Pass","Fail")))</f>
        <v/>
      </c>
      <c r="BS45" s="518"/>
      <c r="BT45" s="519"/>
      <c r="BU45" s="34"/>
      <c r="BV45" s="16"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16"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16"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16"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16"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16"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16"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16"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16"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16"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16"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16"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16"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16"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16"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16"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16"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16"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45" t="str">
        <f t="shared" si="6"/>
        <v>14 - 9</v>
      </c>
      <c r="CO45" s="497"/>
      <c r="CP45" s="498"/>
      <c r="CQ45" s="499"/>
      <c r="CR45" s="497"/>
      <c r="CS45" s="498"/>
      <c r="CT45" s="499"/>
      <c r="CU45" s="497" t="str">
        <f t="shared" si="7"/>
        <v/>
      </c>
      <c r="CV45" s="498"/>
      <c r="CW45" s="503"/>
      <c r="CX45" s="484"/>
      <c r="CY45" s="485"/>
      <c r="CZ45" s="486"/>
      <c r="DA45" s="484"/>
      <c r="DB45" s="485"/>
      <c r="DC45" s="486"/>
      <c r="DD45" s="484" t="str">
        <f t="shared" si="8"/>
        <v/>
      </c>
      <c r="DE45" s="485"/>
      <c r="DF45" s="487"/>
      <c r="DG45" s="38"/>
      <c r="DH45" s="39"/>
      <c r="DI45" s="39"/>
      <c r="DJ45" s="39"/>
      <c r="DK45" s="39"/>
      <c r="DL45" s="39"/>
      <c r="DM45" s="39"/>
      <c r="DN45" s="39"/>
      <c r="DO45" s="39"/>
      <c r="DP45" s="39"/>
      <c r="DQ45" s="42"/>
      <c r="DR45" s="42"/>
      <c r="DS45" s="42"/>
      <c r="DT45" s="42"/>
      <c r="DU45" s="42"/>
      <c r="DV45" s="42"/>
      <c r="DW45" s="42"/>
      <c r="DX45" s="42"/>
      <c r="DY45" s="42"/>
      <c r="DZ45" s="42"/>
      <c r="EA45" s="42"/>
      <c r="EB45" s="42"/>
      <c r="EC45" s="42"/>
      <c r="ED45" s="42"/>
      <c r="EE45" s="42"/>
      <c r="EF45" s="42"/>
      <c r="EG45" s="42"/>
      <c r="EH45" s="42"/>
      <c r="EI45" s="42"/>
      <c r="EJ45" s="42"/>
      <c r="EK45" s="42"/>
      <c r="EL45" s="97"/>
      <c r="EM45" s="97"/>
      <c r="EN45" s="97"/>
      <c r="EO45" s="97"/>
      <c r="EP45" s="97"/>
      <c r="EQ45" s="97"/>
      <c r="ER45" s="97"/>
      <c r="ES45" s="97"/>
      <c r="ET45" s="97"/>
      <c r="EU45" s="97"/>
      <c r="EV45" s="97"/>
      <c r="EW45" s="97"/>
      <c r="EX45" s="97"/>
      <c r="EY45" s="97"/>
      <c r="EZ45" s="97"/>
      <c r="FA45" s="97"/>
      <c r="FB45" s="97"/>
      <c r="FC45" s="97"/>
      <c r="FD45" s="97"/>
      <c r="FE45" s="97"/>
      <c r="FF45" s="97"/>
      <c r="FG45" s="97"/>
      <c r="FH45" s="97"/>
      <c r="FI45" s="97"/>
      <c r="FJ45" s="97"/>
      <c r="FK45" s="97"/>
      <c r="FL45" s="97"/>
      <c r="FM45" s="97"/>
      <c r="FN45" s="97"/>
      <c r="FO45" s="97"/>
      <c r="FQ45" s="90"/>
      <c r="FR45" s="88"/>
      <c r="FS45" s="86"/>
      <c r="FT45" s="84"/>
    </row>
    <row r="46" spans="2:176" ht="15.75" customHeight="1" thickBot="1" x14ac:dyDescent="0.3">
      <c r="B46" s="47" t="e">
        <f>IF(AND(P45&lt;&gt;"",OR(AND(G46&gt;='Geometry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#N/A</v>
      </c>
      <c r="C46" s="3" t="str">
        <f t="shared" si="3"/>
        <v/>
      </c>
      <c r="D46" s="529">
        <f t="shared" si="4"/>
        <v>9</v>
      </c>
      <c r="E46" s="530"/>
      <c r="F46" s="14" t="str">
        <f t="shared" si="2"/>
        <v>-</v>
      </c>
      <c r="G46" s="531">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4</v>
      </c>
      <c r="H46" s="532"/>
      <c r="I46" s="143"/>
      <c r="J46" s="143"/>
      <c r="K46" s="143"/>
      <c r="L46" s="537" t="e">
        <f t="shared" si="10"/>
        <v>#N/A</v>
      </c>
      <c r="M46" s="537"/>
      <c r="N46" s="537"/>
      <c r="O46" s="537"/>
      <c r="P46" s="537" t="e">
        <f>IF(OR(G46=0,G46=""),"",IF(VLOOKUP(G46,'Geometry 2'!$C$4:$AI$14,1,TRUE)=VLOOKUP(G47,'Geometry 2'!$C$4:$AI$14,1,TRUE),"",IF(VLOOKUP(G46,'Geometry 2'!$C$4:$AI$14,33,TRUE)&lt;&gt;"n/a",MIN(G46,VLOOKUP(G46,'Geometry 2'!$C$4:$AI$14,1,TRUE))-VLOOKUP(G46,'Geometry 2'!$C$4:$AI$14,33,TRUE),"check")))</f>
        <v>#N/A</v>
      </c>
      <c r="Q46" s="537"/>
      <c r="R46" s="537"/>
      <c r="S46" s="537"/>
      <c r="T46" s="537" t="e">
        <f>IF($G46="","",VLOOKUP($G46,'Geometry 2'!$E$4:$AH$14,11,TRUE))</f>
        <v>#N/A</v>
      </c>
      <c r="U46" s="537"/>
      <c r="V46" s="537"/>
      <c r="W46" s="537"/>
      <c r="X46" s="538" t="e">
        <f>IF($G46="","",VLOOKUP($G46,'Geometry 2'!$E$4:$AJ$14,19,TRUE)-12*VLOOKUP($G46,'Geometry 2'!$E$4:$AJ$14,32,TRUE)*($D46-VLOOKUP($G46,'Geometry 2'!$E$5:$AH$14,1,TRUE)))</f>
        <v>#N/A</v>
      </c>
      <c r="Y46" s="538"/>
      <c r="Z46" s="538"/>
      <c r="AA46" s="538"/>
      <c r="AB46" s="542" t="e">
        <f>IF($G46="","",VLOOKUP($G46,'Geometry 2'!$E$4:$AJ$14,19,TRUE)-12*VLOOKUP($G46,'Geometry 2'!$E$4:$AJ$14,32,TRUE)*($G46-VLOOKUP($G46,'Geometry 2'!$E$5:$AH$14,1,TRUE)))</f>
        <v>#N/A</v>
      </c>
      <c r="AC46" s="543"/>
      <c r="AD46" s="543"/>
      <c r="AE46" s="544"/>
      <c r="AF46" s="538" t="e">
        <f>IF($G46="","",VLOOKUP($G46,'Geometry 2'!$E$4:$AJ$14,19,TRUE)-12*VLOOKUP($G46,'Geometry 2'!$E$4:$AJ$14,32,TRUE)*($G46-IF($P46="",0,$P46)-VLOOKUP($G46,'Geometry 2'!$E$5:$AH$14,1,TRUE)))</f>
        <v>#N/A</v>
      </c>
      <c r="AG46" s="538"/>
      <c r="AH46" s="538"/>
      <c r="AI46" s="538"/>
      <c r="AJ46" s="539" t="e">
        <f>IF($G46="","",VLOOKUP($G46,'Geometry 2'!$E$4:$AH$14,23,TRUE))</f>
        <v>#N/A</v>
      </c>
      <c r="AK46" s="549"/>
      <c r="AL46" s="549"/>
      <c r="AM46" s="550"/>
      <c r="AN46" s="537"/>
      <c r="AO46" s="537"/>
      <c r="AP46" s="537"/>
      <c r="AQ46" s="537"/>
      <c r="AR46" s="537" t="e">
        <f>IF($G46="","",VLOOKUP($G46,'Geometry 2'!$E$4:$AH$14,27,TRUE))</f>
        <v>#N/A</v>
      </c>
      <c r="AS46" s="537"/>
      <c r="AT46" s="537"/>
      <c r="AU46" s="539"/>
      <c r="AV46" s="564"/>
      <c r="AW46" s="538"/>
      <c r="AX46" s="538"/>
      <c r="AZ46" s="517" t="str">
        <f t="shared" si="5"/>
        <v>9 - 4</v>
      </c>
      <c r="BA46" s="518"/>
      <c r="BB46" s="518"/>
      <c r="BC46" s="519"/>
      <c r="BD46" s="517"/>
      <c r="BE46" s="518"/>
      <c r="BF46" s="518"/>
      <c r="BG46" s="517" t="e">
        <f t="shared" si="9"/>
        <v>#N/A</v>
      </c>
      <c r="BH46" s="518"/>
      <c r="BI46" s="518"/>
      <c r="BJ46" s="518"/>
      <c r="BK46" s="519"/>
      <c r="BL46" s="517"/>
      <c r="BM46" s="518"/>
      <c r="BN46" s="518"/>
      <c r="BO46" s="518"/>
      <c r="BP46" s="520"/>
      <c r="BQ46" s="520"/>
      <c r="BR46" s="517" t="str">
        <f>IF(BP46="","",IF(OR(AND(Rev="H",Calculations!$F$27=TRUE),AND(Rev&lt;&gt;"H",Calculations!$F$30=TRUE)),IF(BP46&lt;=1,"Pass","Fail"),IF(BP46&lt;=1.05,"Pass","Fail")))</f>
        <v/>
      </c>
      <c r="BS46" s="518"/>
      <c r="BT46" s="519"/>
      <c r="BU46" s="34"/>
      <c r="BV46" s="16"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16"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16"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16"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16"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16"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16"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16"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16"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16"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16"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16"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16"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16"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16"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16"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16"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16"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44" t="str">
        <f t="shared" si="6"/>
        <v>9 - 4</v>
      </c>
      <c r="CO46" s="494"/>
      <c r="CP46" s="495"/>
      <c r="CQ46" s="496"/>
      <c r="CR46" s="494"/>
      <c r="CS46" s="495"/>
      <c r="CT46" s="496"/>
      <c r="CU46" s="494" t="str">
        <f t="shared" si="7"/>
        <v/>
      </c>
      <c r="CV46" s="495"/>
      <c r="CW46" s="500"/>
      <c r="CX46" s="501"/>
      <c r="CY46" s="492"/>
      <c r="CZ46" s="502"/>
      <c r="DA46" s="488"/>
      <c r="DB46" s="489"/>
      <c r="DC46" s="490"/>
      <c r="DD46" s="491" t="str">
        <f t="shared" si="8"/>
        <v/>
      </c>
      <c r="DE46" s="492"/>
      <c r="DF46" s="493"/>
      <c r="DG46" s="40"/>
      <c r="DH46" s="41"/>
      <c r="DI46" s="41"/>
      <c r="DJ46" s="41"/>
      <c r="DK46" s="41"/>
      <c r="DL46" s="41"/>
      <c r="DM46" s="41"/>
      <c r="DN46" s="41"/>
      <c r="DO46" s="41"/>
      <c r="DP46" s="41"/>
      <c r="DQ46" s="43"/>
      <c r="DR46" s="43"/>
      <c r="DS46" s="43"/>
      <c r="DT46" s="43"/>
      <c r="DU46" s="43"/>
      <c r="DV46" s="43"/>
      <c r="DW46" s="43"/>
      <c r="DX46" s="43"/>
      <c r="DY46" s="43"/>
      <c r="DZ46" s="43"/>
      <c r="EA46" s="43"/>
      <c r="EB46" s="43"/>
      <c r="EC46" s="43"/>
      <c r="ED46" s="43"/>
      <c r="EE46" s="43"/>
      <c r="EF46" s="43"/>
      <c r="EG46" s="43"/>
      <c r="EH46" s="43"/>
      <c r="EI46" s="43"/>
      <c r="EJ46" s="43"/>
      <c r="EK46" s="43"/>
      <c r="EL46" s="98"/>
      <c r="EM46" s="98"/>
      <c r="EN46" s="98"/>
      <c r="EO46" s="98"/>
      <c r="EP46" s="98"/>
      <c r="EQ46" s="98"/>
      <c r="ER46" s="98"/>
      <c r="ES46" s="98"/>
      <c r="ET46" s="98"/>
      <c r="EU46" s="98"/>
      <c r="EV46" s="98"/>
      <c r="EW46" s="98"/>
      <c r="EX46" s="98"/>
      <c r="EY46" s="98"/>
      <c r="EZ46" s="98"/>
      <c r="FA46" s="98"/>
      <c r="FB46" s="98"/>
      <c r="FC46" s="98"/>
      <c r="FD46" s="98"/>
      <c r="FE46" s="98"/>
      <c r="FF46" s="98"/>
      <c r="FG46" s="98"/>
      <c r="FH46" s="98"/>
      <c r="FI46" s="98"/>
      <c r="FJ46" s="98"/>
      <c r="FK46" s="98"/>
      <c r="FL46" s="98"/>
      <c r="FM46" s="98"/>
      <c r="FN46" s="98"/>
      <c r="FO46" s="98"/>
      <c r="FQ46" s="89"/>
      <c r="FR46" s="87"/>
      <c r="FS46" s="85"/>
      <c r="FT46" s="84"/>
    </row>
    <row r="47" spans="2:176" ht="15.75" customHeight="1" thickBot="1" x14ac:dyDescent="0.3">
      <c r="B47" s="47" t="e">
        <f>IF(AND(P46&lt;&gt;"",OR(AND(G47&gt;='Geometry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#N/A</v>
      </c>
      <c r="C47" s="3" t="str">
        <f t="shared" si="3"/>
        <v/>
      </c>
      <c r="D47" s="529">
        <f t="shared" si="4"/>
        <v>4</v>
      </c>
      <c r="E47" s="530"/>
      <c r="F47" s="14" t="str">
        <f t="shared" si="2"/>
        <v>-</v>
      </c>
      <c r="G47" s="531">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0</v>
      </c>
      <c r="H47" s="532"/>
      <c r="I47" s="143"/>
      <c r="J47" s="143"/>
      <c r="K47" s="143"/>
      <c r="L47" s="537">
        <f t="shared" si="10"/>
        <v>4</v>
      </c>
      <c r="M47" s="537"/>
      <c r="N47" s="537"/>
      <c r="O47" s="537"/>
      <c r="P47" s="537" t="str">
        <f>IF(OR(G47=0,G47=""),"",IF(VLOOKUP(G47,'Geometry 2'!$C$4:$AI$14,1,TRUE)=VLOOKUP(G48,'Geometry 2'!$C$4:$AI$14,1,TRUE),"",IF(VLOOKUP(G47,'Geometry 2'!$C$4:$AI$14,33,TRUE)&lt;&gt;"n/a",MIN(G47,VLOOKUP(G47,'Geometry 2'!$C$4:$AI$14,1,TRUE))-VLOOKUP(G47,'Geometry 2'!$C$4:$AI$14,33,TRUE),"check")))</f>
        <v/>
      </c>
      <c r="Q47" s="537"/>
      <c r="R47" s="537"/>
      <c r="S47" s="537"/>
      <c r="T47" s="537" t="e">
        <f>IF($G47="","",VLOOKUP($G47,'Geometry 2'!$E$4:$AH$14,11,TRUE))</f>
        <v>#N/A</v>
      </c>
      <c r="U47" s="537"/>
      <c r="V47" s="537"/>
      <c r="W47" s="537"/>
      <c r="X47" s="538" t="e">
        <f>IF($G47="","",VLOOKUP($G47,'Geometry 2'!$E$4:$AJ$14,19,TRUE)-12*VLOOKUP($G47,'Geometry 2'!$E$4:$AJ$14,32,TRUE)*($D47-VLOOKUP($G47,'Geometry 2'!$E$5:$AH$14,1,TRUE)))</f>
        <v>#N/A</v>
      </c>
      <c r="Y47" s="538"/>
      <c r="Z47" s="538"/>
      <c r="AA47" s="538"/>
      <c r="AB47" s="542" t="e">
        <f>IF($G47="","",VLOOKUP($G47,'Geometry 2'!$E$4:$AJ$14,19,TRUE)-12*VLOOKUP($G47,'Geometry 2'!$E$4:$AJ$14,32,TRUE)*($G47-VLOOKUP($G47,'Geometry 2'!$E$5:$AH$14,1,TRUE)))</f>
        <v>#N/A</v>
      </c>
      <c r="AC47" s="543"/>
      <c r="AD47" s="543"/>
      <c r="AE47" s="544"/>
      <c r="AF47" s="538" t="e">
        <f>IF($G47="","",VLOOKUP($G47,'Geometry 2'!$E$4:$AJ$14,19,TRUE)-12*VLOOKUP($G47,'Geometry 2'!$E$4:$AJ$14,32,TRUE)*($G47-IF($P47="",0,$P47)-VLOOKUP($G47,'Geometry 2'!$E$5:$AH$14,1,TRUE)))</f>
        <v>#N/A</v>
      </c>
      <c r="AG47" s="538"/>
      <c r="AH47" s="538"/>
      <c r="AI47" s="538"/>
      <c r="AJ47" s="539" t="e">
        <f>IF($G47="","",VLOOKUP($G47,'Geometry 2'!$E$4:$AH$14,23,TRUE))</f>
        <v>#N/A</v>
      </c>
      <c r="AK47" s="549"/>
      <c r="AL47" s="549"/>
      <c r="AM47" s="550"/>
      <c r="AN47" s="537"/>
      <c r="AO47" s="537"/>
      <c r="AP47" s="537"/>
      <c r="AQ47" s="537"/>
      <c r="AR47" s="537" t="e">
        <f>IF($G47="","",VLOOKUP($G47,'Geometry 2'!$E$4:$AH$14,27,TRUE))</f>
        <v>#N/A</v>
      </c>
      <c r="AS47" s="537"/>
      <c r="AT47" s="537"/>
      <c r="AU47" s="539"/>
      <c r="AV47" s="564"/>
      <c r="AW47" s="538"/>
      <c r="AX47" s="538"/>
      <c r="AZ47" s="517" t="str">
        <f t="shared" si="5"/>
        <v>4 - 0</v>
      </c>
      <c r="BA47" s="518"/>
      <c r="BB47" s="518"/>
      <c r="BC47" s="519"/>
      <c r="BD47" s="517"/>
      <c r="BE47" s="518"/>
      <c r="BF47" s="518"/>
      <c r="BG47" s="517" t="e">
        <f t="shared" si="9"/>
        <v>#N/A</v>
      </c>
      <c r="BH47" s="518"/>
      <c r="BI47" s="518"/>
      <c r="BJ47" s="518"/>
      <c r="BK47" s="519"/>
      <c r="BL47" s="517"/>
      <c r="BM47" s="518"/>
      <c r="BN47" s="518"/>
      <c r="BO47" s="518"/>
      <c r="BP47" s="520"/>
      <c r="BQ47" s="520"/>
      <c r="BR47" s="517" t="str">
        <f>IF(BP47="","",IF(OR(AND(Rev="H",Calculations!$F$27=TRUE),AND(Rev&lt;&gt;"H",Calculations!$F$30=TRUE)),IF(BP47&lt;=1,"Pass","Fail"),IF(BP47&lt;=1.05,"Pass","Fail")))</f>
        <v/>
      </c>
      <c r="BS47" s="518"/>
      <c r="BT47" s="519"/>
      <c r="BU47" s="34"/>
      <c r="BV47" s="16"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16"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16"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16"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16"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16"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16"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16"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16"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16"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16"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16"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16"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16"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16"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16"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16"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16"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45" t="str">
        <f t="shared" si="6"/>
        <v>4 - 0</v>
      </c>
      <c r="CO47" s="497"/>
      <c r="CP47" s="498"/>
      <c r="CQ47" s="499"/>
      <c r="CR47" s="497"/>
      <c r="CS47" s="498"/>
      <c r="CT47" s="499"/>
      <c r="CU47" s="497" t="str">
        <f t="shared" si="7"/>
        <v/>
      </c>
      <c r="CV47" s="498"/>
      <c r="CW47" s="503"/>
      <c r="CX47" s="484"/>
      <c r="CY47" s="485"/>
      <c r="CZ47" s="486"/>
      <c r="DA47" s="484"/>
      <c r="DB47" s="485"/>
      <c r="DC47" s="486"/>
      <c r="DD47" s="484" t="str">
        <f t="shared" si="8"/>
        <v/>
      </c>
      <c r="DE47" s="485"/>
      <c r="DF47" s="487"/>
      <c r="DG47" s="38"/>
      <c r="DH47" s="39"/>
      <c r="DI47" s="39"/>
      <c r="DJ47" s="39"/>
      <c r="DK47" s="39"/>
      <c r="DL47" s="39"/>
      <c r="DM47" s="39"/>
      <c r="DN47" s="39"/>
      <c r="DO47" s="39"/>
      <c r="DP47" s="39"/>
      <c r="DQ47" s="42"/>
      <c r="DR47" s="42"/>
      <c r="DS47" s="42"/>
      <c r="DT47" s="42"/>
      <c r="DU47" s="42"/>
      <c r="DV47" s="42"/>
      <c r="DW47" s="42"/>
      <c r="DX47" s="42"/>
      <c r="DY47" s="42"/>
      <c r="DZ47" s="42"/>
      <c r="EA47" s="42"/>
      <c r="EB47" s="42"/>
      <c r="EC47" s="42"/>
      <c r="ED47" s="42"/>
      <c r="EE47" s="42"/>
      <c r="EF47" s="42"/>
      <c r="EG47" s="42"/>
      <c r="EH47" s="42"/>
      <c r="EI47" s="42"/>
      <c r="EJ47" s="42"/>
      <c r="EK47" s="42"/>
      <c r="EL47" s="97"/>
      <c r="EM47" s="97"/>
      <c r="EN47" s="97"/>
      <c r="EO47" s="97"/>
      <c r="EP47" s="97"/>
      <c r="EQ47" s="97"/>
      <c r="ER47" s="97"/>
      <c r="ES47" s="97"/>
      <c r="ET47" s="97"/>
      <c r="EU47" s="97"/>
      <c r="EV47" s="97"/>
      <c r="EW47" s="97"/>
      <c r="EX47" s="97"/>
      <c r="EY47" s="97"/>
      <c r="EZ47" s="97"/>
      <c r="FA47" s="97"/>
      <c r="FB47" s="97"/>
      <c r="FC47" s="97"/>
      <c r="FD47" s="97"/>
      <c r="FE47" s="97"/>
      <c r="FF47" s="97"/>
      <c r="FG47" s="97"/>
      <c r="FH47" s="97"/>
      <c r="FI47" s="97"/>
      <c r="FJ47" s="97"/>
      <c r="FK47" s="97"/>
      <c r="FL47" s="97"/>
      <c r="FM47" s="97"/>
      <c r="FN47" s="97"/>
      <c r="FO47" s="97"/>
      <c r="FQ47" s="90"/>
      <c r="FR47" s="88"/>
      <c r="FS47" s="86"/>
      <c r="FT47" s="84"/>
    </row>
    <row r="48" spans="2:176" ht="15.75" customHeight="1" thickBot="1" x14ac:dyDescent="0.3">
      <c r="B48" s="47" t="b">
        <f>IF(AND(P47&lt;&gt;"",OR(AND(G48&gt;='Geometry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3" t="str">
        <f t="shared" si="3"/>
        <v/>
      </c>
      <c r="D48" s="529" t="str">
        <f t="shared" si="4"/>
        <v/>
      </c>
      <c r="E48" s="530"/>
      <c r="F48" s="14" t="str">
        <f t="shared" si="2"/>
        <v/>
      </c>
      <c r="G48" s="531"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532"/>
      <c r="I48" s="143"/>
      <c r="J48" s="143"/>
      <c r="K48" s="143"/>
      <c r="L48" s="537" t="str">
        <f t="shared" si="10"/>
        <v/>
      </c>
      <c r="M48" s="537"/>
      <c r="N48" s="537"/>
      <c r="O48" s="537"/>
      <c r="P48" s="537" t="str">
        <f>IF(OR(G48=0,G48=""),"",IF(VLOOKUP(G48,'Geometry 2'!$C$4:$AI$14,1,TRUE)=VLOOKUP(G49,'Geometry 2'!$C$4:$AI$14,1,TRUE),"",IF(VLOOKUP(G48,'Geometry 2'!$C$4:$AI$14,33,TRUE)&lt;&gt;"n/a",MIN(G48,VLOOKUP(G48,'Geometry 2'!$C$4:$AI$14,1,TRUE))-VLOOKUP(G48,'Geometry 2'!$C$4:$AI$14,33,TRUE),"check")))</f>
        <v/>
      </c>
      <c r="Q48" s="537"/>
      <c r="R48" s="537"/>
      <c r="S48" s="537"/>
      <c r="T48" s="537" t="str">
        <f>IF($G48="","",VLOOKUP($G48,'Geometry 2'!$E$4:$AH$14,11,TRUE))</f>
        <v/>
      </c>
      <c r="U48" s="537"/>
      <c r="V48" s="537"/>
      <c r="W48" s="537"/>
      <c r="X48" s="538" t="str">
        <f>IF($G48="","",VLOOKUP($G48,'Geometry 2'!$E$4:$AJ$14,19,TRUE)-12*VLOOKUP($G48,'Geometry 2'!$E$4:$AJ$14,32,TRUE)*($D48-VLOOKUP($G48,'Geometry 2'!$E$5:$AH$14,1,TRUE)))</f>
        <v/>
      </c>
      <c r="Y48" s="538"/>
      <c r="Z48" s="538"/>
      <c r="AA48" s="538"/>
      <c r="AB48" s="542" t="str">
        <f>IF($G48="","",VLOOKUP($G48,'Geometry 2'!$E$4:$AJ$14,19,TRUE)-12*VLOOKUP($G48,'Geometry 2'!$E$4:$AJ$14,32,TRUE)*($G48-VLOOKUP($G48,'Geometry 2'!$E$5:$AH$14,1,TRUE)))</f>
        <v/>
      </c>
      <c r="AC48" s="543"/>
      <c r="AD48" s="543"/>
      <c r="AE48" s="544"/>
      <c r="AF48" s="538" t="str">
        <f>IF($G48="","",VLOOKUP($G48,'Geometry 2'!$E$4:$AJ$14,19,TRUE)-12*VLOOKUP($G48,'Geometry 2'!$E$4:$AJ$14,32,TRUE)*($G48-IF($P48="",0,$P48)-VLOOKUP($G48,'Geometry 2'!$E$5:$AH$14,1,TRUE)))</f>
        <v/>
      </c>
      <c r="AG48" s="538"/>
      <c r="AH48" s="538"/>
      <c r="AI48" s="538"/>
      <c r="AJ48" s="539" t="str">
        <f>IF($G48="","",VLOOKUP($G48,'Geometry 2'!$E$4:$AH$14,23,TRUE))</f>
        <v/>
      </c>
      <c r="AK48" s="549"/>
      <c r="AL48" s="549"/>
      <c r="AM48" s="550"/>
      <c r="AN48" s="537"/>
      <c r="AO48" s="537"/>
      <c r="AP48" s="537"/>
      <c r="AQ48" s="537"/>
      <c r="AR48" s="537" t="str">
        <f>IF($G48="","",VLOOKUP($G48,'Geometry 2'!$E$4:$AH$14,27,TRUE))</f>
        <v/>
      </c>
      <c r="AS48" s="537"/>
      <c r="AT48" s="537"/>
      <c r="AU48" s="539"/>
      <c r="AV48" s="564"/>
      <c r="AW48" s="538"/>
      <c r="AX48" s="538"/>
      <c r="AZ48" s="517" t="str">
        <f t="shared" si="5"/>
        <v/>
      </c>
      <c r="BA48" s="518"/>
      <c r="BB48" s="518"/>
      <c r="BC48" s="519"/>
      <c r="BD48" s="517"/>
      <c r="BE48" s="518"/>
      <c r="BF48" s="518"/>
      <c r="BG48" s="517" t="str">
        <f t="shared" si="9"/>
        <v/>
      </c>
      <c r="BH48" s="518"/>
      <c r="BI48" s="518"/>
      <c r="BJ48" s="518"/>
      <c r="BK48" s="519"/>
      <c r="BL48" s="517"/>
      <c r="BM48" s="518"/>
      <c r="BN48" s="518"/>
      <c r="BO48" s="518"/>
      <c r="BP48" s="520"/>
      <c r="BQ48" s="520"/>
      <c r="BR48" s="517" t="str">
        <f>IF(BP48="","",IF(OR(AND(Rev="H",Calculations!$F$27=TRUE),AND(Rev&lt;&gt;"H",Calculations!$F$30=TRUE)),IF(BP48&lt;=1,"Pass","Fail"),IF(BP48&lt;=1.05,"Pass","Fail")))</f>
        <v/>
      </c>
      <c r="BS48" s="518"/>
      <c r="BT48" s="519"/>
      <c r="BU48" s="34"/>
      <c r="BV48" s="16"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16"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16"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16"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16"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16"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16"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16"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16"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16"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16"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16"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16"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16"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16"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16"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16"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16"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44" t="str">
        <f t="shared" si="6"/>
        <v/>
      </c>
      <c r="CO48" s="494"/>
      <c r="CP48" s="495"/>
      <c r="CQ48" s="496"/>
      <c r="CR48" s="494"/>
      <c r="CS48" s="495"/>
      <c r="CT48" s="496"/>
      <c r="CU48" s="494" t="str">
        <f t="shared" si="7"/>
        <v/>
      </c>
      <c r="CV48" s="495"/>
      <c r="CW48" s="500"/>
      <c r="CX48" s="501"/>
      <c r="CY48" s="492"/>
      <c r="CZ48" s="502"/>
      <c r="DA48" s="488"/>
      <c r="DB48" s="489"/>
      <c r="DC48" s="490"/>
      <c r="DD48" s="491" t="str">
        <f t="shared" si="8"/>
        <v/>
      </c>
      <c r="DE48" s="492"/>
      <c r="DF48" s="493"/>
      <c r="DG48" s="40"/>
      <c r="DH48" s="41"/>
      <c r="DI48" s="41"/>
      <c r="DJ48" s="41"/>
      <c r="DK48" s="41"/>
      <c r="DL48" s="41"/>
      <c r="DM48" s="41"/>
      <c r="DN48" s="41"/>
      <c r="DO48" s="41"/>
      <c r="DP48" s="41"/>
      <c r="DQ48" s="43"/>
      <c r="DR48" s="43"/>
      <c r="DS48" s="43"/>
      <c r="DT48" s="43"/>
      <c r="DU48" s="43"/>
      <c r="DV48" s="43"/>
      <c r="DW48" s="43"/>
      <c r="DX48" s="43"/>
      <c r="DY48" s="43"/>
      <c r="DZ48" s="43"/>
      <c r="EA48" s="43"/>
      <c r="EB48" s="43"/>
      <c r="EC48" s="43"/>
      <c r="ED48" s="43"/>
      <c r="EE48" s="43"/>
      <c r="EF48" s="43"/>
      <c r="EG48" s="43"/>
      <c r="EH48" s="43"/>
      <c r="EI48" s="43"/>
      <c r="EJ48" s="43"/>
      <c r="EK48" s="43"/>
      <c r="EL48" s="98"/>
      <c r="EM48" s="98"/>
      <c r="EN48" s="98"/>
      <c r="EO48" s="98"/>
      <c r="EP48" s="98"/>
      <c r="EQ48" s="98"/>
      <c r="ER48" s="98"/>
      <c r="ES48" s="98"/>
      <c r="ET48" s="98"/>
      <c r="EU48" s="98"/>
      <c r="EV48" s="98"/>
      <c r="EW48" s="98"/>
      <c r="EX48" s="98"/>
      <c r="EY48" s="98"/>
      <c r="EZ48" s="98"/>
      <c r="FA48" s="98"/>
      <c r="FB48" s="98"/>
      <c r="FC48" s="98"/>
      <c r="FD48" s="98"/>
      <c r="FE48" s="98"/>
      <c r="FF48" s="98"/>
      <c r="FG48" s="98"/>
      <c r="FH48" s="98"/>
      <c r="FI48" s="98"/>
      <c r="FJ48" s="98"/>
      <c r="FK48" s="98"/>
      <c r="FL48" s="98"/>
      <c r="FM48" s="98"/>
      <c r="FN48" s="98"/>
      <c r="FO48" s="98"/>
      <c r="FQ48" s="89"/>
      <c r="FR48" s="87"/>
      <c r="FS48" s="85"/>
      <c r="FT48" s="84"/>
    </row>
    <row r="49" spans="2:176" ht="15.75" customHeight="1" thickBot="1" x14ac:dyDescent="0.3">
      <c r="B49" s="47" t="b">
        <f>IF(AND(P48&lt;&gt;"",OR(AND(G49&gt;='Geometry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3" t="str">
        <f t="shared" si="3"/>
        <v/>
      </c>
      <c r="D49" s="529" t="str">
        <f t="shared" si="4"/>
        <v/>
      </c>
      <c r="E49" s="530"/>
      <c r="F49" s="14" t="str">
        <f t="shared" si="2"/>
        <v/>
      </c>
      <c r="G49" s="531"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532"/>
      <c r="I49" s="143"/>
      <c r="J49" s="143"/>
      <c r="K49" s="143"/>
      <c r="L49" s="537" t="str">
        <f t="shared" si="10"/>
        <v/>
      </c>
      <c r="M49" s="537"/>
      <c r="N49" s="537"/>
      <c r="O49" s="537"/>
      <c r="P49" s="537" t="str">
        <f>IF(OR(G49=0,G49=""),"",IF(VLOOKUP(G49,'Geometry 2'!$C$4:$AI$14,1,TRUE)=VLOOKUP(G50,'Geometry 2'!$C$4:$AI$14,1,TRUE),"",IF(VLOOKUP(G49,'Geometry 2'!$C$4:$AI$14,33,TRUE)&lt;&gt;"n/a",MIN(G49,VLOOKUP(G49,'Geometry 2'!$C$4:$AI$14,1,TRUE))-VLOOKUP(G49,'Geometry 2'!$C$4:$AI$14,33,TRUE),"check")))</f>
        <v/>
      </c>
      <c r="Q49" s="537"/>
      <c r="R49" s="537"/>
      <c r="S49" s="537"/>
      <c r="T49" s="537" t="str">
        <f>IF($G49="","",VLOOKUP($G49,'Geometry 2'!$E$4:$AH$14,11,TRUE))</f>
        <v/>
      </c>
      <c r="U49" s="537"/>
      <c r="V49" s="537"/>
      <c r="W49" s="537"/>
      <c r="X49" s="538" t="str">
        <f>IF($G49="","",VLOOKUP($G49,'Geometry 2'!$E$4:$AJ$14,19,TRUE)-12*VLOOKUP($G49,'Geometry 2'!$E$4:$AJ$14,32,TRUE)*($D49-VLOOKUP($G49,'Geometry 2'!$E$5:$AH$14,1,TRUE)))</f>
        <v/>
      </c>
      <c r="Y49" s="538"/>
      <c r="Z49" s="538"/>
      <c r="AA49" s="538"/>
      <c r="AB49" s="542" t="str">
        <f>IF($G49="","",VLOOKUP($G49,'Geometry 2'!$E$4:$AJ$14,19,TRUE)-12*VLOOKUP($G49,'Geometry 2'!$E$4:$AJ$14,32,TRUE)*($G49-VLOOKUP($G49,'Geometry 2'!$E$5:$AH$14,1,TRUE)))</f>
        <v/>
      </c>
      <c r="AC49" s="543"/>
      <c r="AD49" s="543"/>
      <c r="AE49" s="544"/>
      <c r="AF49" s="538" t="str">
        <f>IF($G49="","",VLOOKUP($G49,'Geometry 2'!$E$4:$AJ$14,19,TRUE)-12*VLOOKUP($G49,'Geometry 2'!$E$4:$AJ$14,32,TRUE)*($G49-IF($P49="",0,$P49)-VLOOKUP($G49,'Geometry 2'!$E$5:$AH$14,1,TRUE)))</f>
        <v/>
      </c>
      <c r="AG49" s="538"/>
      <c r="AH49" s="538"/>
      <c r="AI49" s="538"/>
      <c r="AJ49" s="539" t="str">
        <f>IF($G49="","",VLOOKUP($G49,'Geometry 2'!$E$4:$AH$14,23,TRUE))</f>
        <v/>
      </c>
      <c r="AK49" s="549"/>
      <c r="AL49" s="549"/>
      <c r="AM49" s="550"/>
      <c r="AN49" s="537"/>
      <c r="AO49" s="537"/>
      <c r="AP49" s="537"/>
      <c r="AQ49" s="537"/>
      <c r="AR49" s="537" t="str">
        <f>IF($G49="","",VLOOKUP($G49,'Geometry 2'!$E$4:$AH$14,27,TRUE))</f>
        <v/>
      </c>
      <c r="AS49" s="537"/>
      <c r="AT49" s="537"/>
      <c r="AU49" s="539"/>
      <c r="AV49" s="564"/>
      <c r="AW49" s="538"/>
      <c r="AX49" s="538"/>
      <c r="AZ49" s="517" t="str">
        <f t="shared" si="5"/>
        <v/>
      </c>
      <c r="BA49" s="518"/>
      <c r="BB49" s="518"/>
      <c r="BC49" s="519"/>
      <c r="BD49" s="517"/>
      <c r="BE49" s="518"/>
      <c r="BF49" s="518"/>
      <c r="BG49" s="517" t="str">
        <f t="shared" si="9"/>
        <v/>
      </c>
      <c r="BH49" s="518"/>
      <c r="BI49" s="518"/>
      <c r="BJ49" s="518"/>
      <c r="BK49" s="519"/>
      <c r="BL49" s="517"/>
      <c r="BM49" s="518"/>
      <c r="BN49" s="518"/>
      <c r="BO49" s="518"/>
      <c r="BP49" s="520"/>
      <c r="BQ49" s="520"/>
      <c r="BR49" s="517" t="str">
        <f>IF(BP49="","",IF(OR(AND(Rev="H",Calculations!$F$27=TRUE),AND(Rev&lt;&gt;"H",Calculations!$F$30=TRUE)),IF(BP49&lt;=1,"Pass","Fail"),IF(BP49&lt;=1.05,"Pass","Fail")))</f>
        <v/>
      </c>
      <c r="BS49" s="518"/>
      <c r="BT49" s="519"/>
      <c r="BU49" s="34"/>
      <c r="BV49" s="16"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16"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16"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16"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16"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16"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16"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16"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16"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16"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16"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16"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16"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16"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16"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16"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16"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16"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45" t="str">
        <f t="shared" si="6"/>
        <v/>
      </c>
      <c r="CO49" s="497"/>
      <c r="CP49" s="498"/>
      <c r="CQ49" s="499"/>
      <c r="CR49" s="497"/>
      <c r="CS49" s="498"/>
      <c r="CT49" s="499"/>
      <c r="CU49" s="497" t="str">
        <f t="shared" si="7"/>
        <v/>
      </c>
      <c r="CV49" s="498"/>
      <c r="CW49" s="503"/>
      <c r="CX49" s="484"/>
      <c r="CY49" s="485"/>
      <c r="CZ49" s="486"/>
      <c r="DA49" s="484"/>
      <c r="DB49" s="485"/>
      <c r="DC49" s="486"/>
      <c r="DD49" s="484" t="str">
        <f t="shared" si="8"/>
        <v/>
      </c>
      <c r="DE49" s="485"/>
      <c r="DF49" s="487"/>
      <c r="DG49" s="38"/>
      <c r="DH49" s="39"/>
      <c r="DI49" s="39"/>
      <c r="DJ49" s="39"/>
      <c r="DK49" s="39"/>
      <c r="DL49" s="39"/>
      <c r="DM49" s="39"/>
      <c r="DN49" s="39"/>
      <c r="DO49" s="39"/>
      <c r="DP49" s="39"/>
      <c r="DQ49" s="42"/>
      <c r="DR49" s="42"/>
      <c r="DS49" s="42"/>
      <c r="DT49" s="42"/>
      <c r="DU49" s="42"/>
      <c r="DV49" s="42"/>
      <c r="DW49" s="42"/>
      <c r="DX49" s="42"/>
      <c r="DY49" s="42"/>
      <c r="DZ49" s="42"/>
      <c r="EA49" s="42"/>
      <c r="EB49" s="42"/>
      <c r="EC49" s="42"/>
      <c r="ED49" s="42"/>
      <c r="EE49" s="42"/>
      <c r="EF49" s="42"/>
      <c r="EG49" s="42"/>
      <c r="EH49" s="42"/>
      <c r="EI49" s="42"/>
      <c r="EJ49" s="42"/>
      <c r="EK49" s="42"/>
      <c r="EL49" s="97"/>
      <c r="EM49" s="97"/>
      <c r="EN49" s="97"/>
      <c r="EO49" s="97"/>
      <c r="EP49" s="97"/>
      <c r="EQ49" s="97"/>
      <c r="ER49" s="97"/>
      <c r="ES49" s="97"/>
      <c r="ET49" s="97"/>
      <c r="EU49" s="97"/>
      <c r="EV49" s="97"/>
      <c r="EW49" s="97"/>
      <c r="EX49" s="97"/>
      <c r="EY49" s="97"/>
      <c r="EZ49" s="97"/>
      <c r="FA49" s="97"/>
      <c r="FB49" s="97"/>
      <c r="FC49" s="97"/>
      <c r="FD49" s="97"/>
      <c r="FE49" s="97"/>
      <c r="FF49" s="97"/>
      <c r="FG49" s="97"/>
      <c r="FH49" s="97"/>
      <c r="FI49" s="97"/>
      <c r="FJ49" s="97"/>
      <c r="FK49" s="97"/>
      <c r="FL49" s="97"/>
      <c r="FM49" s="97"/>
      <c r="FN49" s="97"/>
      <c r="FO49" s="97"/>
      <c r="FQ49" s="90"/>
      <c r="FR49" s="88"/>
      <c r="FS49" s="86"/>
      <c r="FT49" s="84"/>
    </row>
    <row r="50" spans="2:176" ht="15.75" customHeight="1" thickBot="1" x14ac:dyDescent="0.3">
      <c r="B50" s="47" t="b">
        <f>IF(AND(P49&lt;&gt;"",OR(AND(G50&gt;='Geometry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3" t="str">
        <f t="shared" si="3"/>
        <v/>
      </c>
      <c r="D50" s="529" t="str">
        <f t="shared" si="4"/>
        <v/>
      </c>
      <c r="E50" s="530"/>
      <c r="F50" s="14" t="str">
        <f t="shared" si="2"/>
        <v/>
      </c>
      <c r="G50" s="531"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532"/>
      <c r="I50" s="143"/>
      <c r="J50" s="143"/>
      <c r="K50" s="143"/>
      <c r="L50" s="537" t="str">
        <f t="shared" si="10"/>
        <v/>
      </c>
      <c r="M50" s="537"/>
      <c r="N50" s="537"/>
      <c r="O50" s="537"/>
      <c r="P50" s="537" t="str">
        <f>IF(OR(G50=0,G50=""),"",IF(VLOOKUP(G50,'Geometry 2'!$C$4:$AI$14,1,TRUE)=VLOOKUP(G51,'Geometry 2'!$C$4:$AI$14,1,TRUE),"",IF(VLOOKUP(G50,'Geometry 2'!$C$4:$AI$14,33,TRUE)&lt;&gt;"n/a",MIN(G50,VLOOKUP(G50,'Geometry 2'!$C$4:$AI$14,1,TRUE))-VLOOKUP(G50,'Geometry 2'!$C$4:$AI$14,33,TRUE),"check")))</f>
        <v/>
      </c>
      <c r="Q50" s="537"/>
      <c r="R50" s="537"/>
      <c r="S50" s="537"/>
      <c r="T50" s="537" t="str">
        <f>IF($G50="","",VLOOKUP($G50,'Geometry 2'!$E$4:$AH$14,11,TRUE))</f>
        <v/>
      </c>
      <c r="U50" s="537"/>
      <c r="V50" s="537"/>
      <c r="W50" s="537"/>
      <c r="X50" s="538" t="str">
        <f>IF($G50="","",VLOOKUP($G50,'Geometry 2'!$E$4:$AJ$14,19,TRUE)-12*VLOOKUP($G50,'Geometry 2'!$E$4:$AJ$14,32,TRUE)*($D50-VLOOKUP($G50,'Geometry 2'!$E$5:$AH$14,1,TRUE)))</f>
        <v/>
      </c>
      <c r="Y50" s="538"/>
      <c r="Z50" s="538"/>
      <c r="AA50" s="538"/>
      <c r="AB50" s="542" t="str">
        <f>IF($G50="","",VLOOKUP($G50,'Geometry 2'!$E$4:$AJ$14,19,TRUE)-12*VLOOKUP($G50,'Geometry 2'!$E$4:$AJ$14,32,TRUE)*($G50-VLOOKUP($G50,'Geometry 2'!$E$5:$AH$14,1,TRUE)))</f>
        <v/>
      </c>
      <c r="AC50" s="543"/>
      <c r="AD50" s="543"/>
      <c r="AE50" s="544"/>
      <c r="AF50" s="538" t="str">
        <f>IF($G50="","",VLOOKUP($G50,'Geometry 2'!$E$4:$AJ$14,19,TRUE)-12*VLOOKUP($G50,'Geometry 2'!$E$4:$AJ$14,32,TRUE)*($G50-IF($P50="",0,$P50)-VLOOKUP($G50,'Geometry 2'!$E$5:$AH$14,1,TRUE)))</f>
        <v/>
      </c>
      <c r="AG50" s="538"/>
      <c r="AH50" s="538"/>
      <c r="AI50" s="538"/>
      <c r="AJ50" s="539" t="str">
        <f>IF($G50="","",VLOOKUP($G50,'Geometry 2'!$E$4:$AH$14,23,TRUE))</f>
        <v/>
      </c>
      <c r="AK50" s="549"/>
      <c r="AL50" s="549"/>
      <c r="AM50" s="550"/>
      <c r="AN50" s="537"/>
      <c r="AO50" s="537"/>
      <c r="AP50" s="537"/>
      <c r="AQ50" s="537"/>
      <c r="AR50" s="537" t="str">
        <f>IF($G50="","",VLOOKUP($G50,'Geometry 2'!$E$4:$AH$14,27,TRUE))</f>
        <v/>
      </c>
      <c r="AS50" s="537"/>
      <c r="AT50" s="537"/>
      <c r="AU50" s="539"/>
      <c r="AV50" s="564"/>
      <c r="AW50" s="538"/>
      <c r="AX50" s="538"/>
      <c r="AZ50" s="517" t="str">
        <f t="shared" si="5"/>
        <v/>
      </c>
      <c r="BA50" s="518"/>
      <c r="BB50" s="518"/>
      <c r="BC50" s="519"/>
      <c r="BD50" s="517"/>
      <c r="BE50" s="518"/>
      <c r="BF50" s="518"/>
      <c r="BG50" s="517" t="str">
        <f t="shared" si="9"/>
        <v/>
      </c>
      <c r="BH50" s="518"/>
      <c r="BI50" s="518"/>
      <c r="BJ50" s="518"/>
      <c r="BK50" s="519"/>
      <c r="BL50" s="517"/>
      <c r="BM50" s="518"/>
      <c r="BN50" s="518"/>
      <c r="BO50" s="518"/>
      <c r="BP50" s="520"/>
      <c r="BQ50" s="520"/>
      <c r="BR50" s="517" t="str">
        <f>IF(BP50="","",IF(OR(AND(Rev="H",Calculations!$F$27=TRUE),AND(Rev&lt;&gt;"H",Calculations!$F$30=TRUE)),IF(BP50&lt;=1,"Pass","Fail"),IF(BP50&lt;=1.05,"Pass","Fail")))</f>
        <v/>
      </c>
      <c r="BS50" s="518"/>
      <c r="BT50" s="519"/>
      <c r="BU50" s="34"/>
      <c r="BV50" s="16"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16"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16"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16"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16"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16"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16"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16"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16"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16"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16"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16"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16"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16"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16"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16"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16"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16"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44" t="str">
        <f t="shared" si="6"/>
        <v/>
      </c>
      <c r="CO50" s="494"/>
      <c r="CP50" s="495"/>
      <c r="CQ50" s="496"/>
      <c r="CR50" s="494"/>
      <c r="CS50" s="495"/>
      <c r="CT50" s="496"/>
      <c r="CU50" s="494" t="str">
        <f t="shared" si="7"/>
        <v/>
      </c>
      <c r="CV50" s="495"/>
      <c r="CW50" s="500"/>
      <c r="CX50" s="501"/>
      <c r="CY50" s="492"/>
      <c r="CZ50" s="502"/>
      <c r="DA50" s="488"/>
      <c r="DB50" s="489"/>
      <c r="DC50" s="490"/>
      <c r="DD50" s="491" t="str">
        <f t="shared" si="8"/>
        <v/>
      </c>
      <c r="DE50" s="492"/>
      <c r="DF50" s="493"/>
      <c r="DG50" s="40"/>
      <c r="DH50" s="41"/>
      <c r="DI50" s="41"/>
      <c r="DJ50" s="41"/>
      <c r="DK50" s="41"/>
      <c r="DL50" s="41"/>
      <c r="DM50" s="41"/>
      <c r="DN50" s="41"/>
      <c r="DO50" s="41"/>
      <c r="DP50" s="41"/>
      <c r="DQ50" s="43"/>
      <c r="DR50" s="43"/>
      <c r="DS50" s="43"/>
      <c r="DT50" s="43"/>
      <c r="DU50" s="43"/>
      <c r="DV50" s="43"/>
      <c r="DW50" s="43"/>
      <c r="DX50" s="43"/>
      <c r="DY50" s="43"/>
      <c r="DZ50" s="43"/>
      <c r="EA50" s="43"/>
      <c r="EB50" s="43"/>
      <c r="EC50" s="43"/>
      <c r="ED50" s="43"/>
      <c r="EE50" s="43"/>
      <c r="EF50" s="43"/>
      <c r="EG50" s="43"/>
      <c r="EH50" s="43"/>
      <c r="EI50" s="43"/>
      <c r="EJ50" s="43"/>
      <c r="EK50" s="43"/>
      <c r="EL50" s="98"/>
      <c r="EM50" s="98"/>
      <c r="EN50" s="98"/>
      <c r="EO50" s="98"/>
      <c r="EP50" s="98"/>
      <c r="EQ50" s="98"/>
      <c r="ER50" s="98"/>
      <c r="ES50" s="98"/>
      <c r="ET50" s="98"/>
      <c r="EU50" s="98"/>
      <c r="EV50" s="98"/>
      <c r="EW50" s="98"/>
      <c r="EX50" s="98"/>
      <c r="EY50" s="98"/>
      <c r="EZ50" s="98"/>
      <c r="FA50" s="98"/>
      <c r="FB50" s="98"/>
      <c r="FC50" s="98"/>
      <c r="FD50" s="98"/>
      <c r="FE50" s="98"/>
      <c r="FF50" s="98"/>
      <c r="FG50" s="98"/>
      <c r="FH50" s="98"/>
      <c r="FI50" s="98"/>
      <c r="FJ50" s="98"/>
      <c r="FK50" s="98"/>
      <c r="FL50" s="98"/>
      <c r="FM50" s="98"/>
      <c r="FN50" s="98"/>
      <c r="FO50" s="98"/>
      <c r="FQ50" s="89"/>
      <c r="FR50" s="87"/>
      <c r="FS50" s="85"/>
      <c r="FT50" s="84"/>
    </row>
    <row r="51" spans="2:176" ht="15.75" customHeight="1" thickBot="1" x14ac:dyDescent="0.3">
      <c r="B51" s="47" t="b">
        <f>IF(AND(P50&lt;&gt;"",OR(AND(G51&gt;='Geometry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3" t="str">
        <f t="shared" si="3"/>
        <v/>
      </c>
      <c r="D51" s="529" t="str">
        <f t="shared" si="4"/>
        <v/>
      </c>
      <c r="E51" s="530"/>
      <c r="F51" s="14" t="str">
        <f t="shared" si="2"/>
        <v/>
      </c>
      <c r="G51" s="531"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532"/>
      <c r="I51" s="143"/>
      <c r="J51" s="143"/>
      <c r="K51" s="143"/>
      <c r="L51" s="537" t="str">
        <f t="shared" si="10"/>
        <v/>
      </c>
      <c r="M51" s="537"/>
      <c r="N51" s="537"/>
      <c r="O51" s="537"/>
      <c r="P51" s="537" t="str">
        <f>IF(OR(G51=0,G51=""),"",IF(VLOOKUP(G51,'Geometry 2'!$C$4:$AI$14,1,TRUE)=VLOOKUP(G52,'Geometry 2'!$C$4:$AI$14,1,TRUE),"",IF(VLOOKUP(G51,'Geometry 2'!$C$4:$AI$14,33,TRUE)&lt;&gt;"n/a",MIN(G51,VLOOKUP(G51,'Geometry 2'!$C$4:$AI$14,1,TRUE))-VLOOKUP(G51,'Geometry 2'!$C$4:$AI$14,33,TRUE),"check")))</f>
        <v/>
      </c>
      <c r="Q51" s="537"/>
      <c r="R51" s="537"/>
      <c r="S51" s="537"/>
      <c r="T51" s="537" t="str">
        <f>IF($G51="","",VLOOKUP($G51,'Geometry 2'!$E$4:$AH$14,11,TRUE))</f>
        <v/>
      </c>
      <c r="U51" s="537"/>
      <c r="V51" s="537"/>
      <c r="W51" s="537"/>
      <c r="X51" s="538" t="str">
        <f>IF($G51="","",VLOOKUP($G51,'Geometry 2'!$E$4:$AJ$14,19,TRUE)-12*VLOOKUP($G51,'Geometry 2'!$E$4:$AJ$14,32,TRUE)*($D51-VLOOKUP($G51,'Geometry 2'!$E$5:$AH$14,1,TRUE)))</f>
        <v/>
      </c>
      <c r="Y51" s="538"/>
      <c r="Z51" s="538"/>
      <c r="AA51" s="538"/>
      <c r="AB51" s="542" t="str">
        <f>IF($G51="","",VLOOKUP($G51,'Geometry 2'!$E$4:$AJ$14,19,TRUE)-12*VLOOKUP($G51,'Geometry 2'!$E$4:$AJ$14,32,TRUE)*($G51-VLOOKUP($G51,'Geometry 2'!$E$5:$AH$14,1,TRUE)))</f>
        <v/>
      </c>
      <c r="AC51" s="543"/>
      <c r="AD51" s="543"/>
      <c r="AE51" s="544"/>
      <c r="AF51" s="538" t="str">
        <f>IF($G51="","",VLOOKUP($G51,'Geometry 2'!$E$4:$AJ$14,19,TRUE)-12*VLOOKUP($G51,'Geometry 2'!$E$4:$AJ$14,32,TRUE)*($G51-IF($P51="",0,$P51)-VLOOKUP($G51,'Geometry 2'!$E$5:$AH$14,1,TRUE)))</f>
        <v/>
      </c>
      <c r="AG51" s="538"/>
      <c r="AH51" s="538"/>
      <c r="AI51" s="538"/>
      <c r="AJ51" s="539" t="str">
        <f>IF($G51="","",VLOOKUP($G51,'Geometry 2'!$E$4:$AH$14,23,TRUE))</f>
        <v/>
      </c>
      <c r="AK51" s="549"/>
      <c r="AL51" s="549"/>
      <c r="AM51" s="550"/>
      <c r="AN51" s="537"/>
      <c r="AO51" s="537"/>
      <c r="AP51" s="537"/>
      <c r="AQ51" s="537"/>
      <c r="AR51" s="537" t="str">
        <f>IF($G51="","",VLOOKUP($G51,'Geometry 2'!$E$4:$AH$14,27,TRUE))</f>
        <v/>
      </c>
      <c r="AS51" s="537"/>
      <c r="AT51" s="537"/>
      <c r="AU51" s="539"/>
      <c r="AV51" s="564"/>
      <c r="AW51" s="538"/>
      <c r="AX51" s="538"/>
      <c r="AZ51" s="517" t="str">
        <f t="shared" si="5"/>
        <v/>
      </c>
      <c r="BA51" s="518"/>
      <c r="BB51" s="518"/>
      <c r="BC51" s="519"/>
      <c r="BD51" s="517"/>
      <c r="BE51" s="518"/>
      <c r="BF51" s="518"/>
      <c r="BG51" s="517" t="str">
        <f t="shared" si="9"/>
        <v/>
      </c>
      <c r="BH51" s="518"/>
      <c r="BI51" s="518"/>
      <c r="BJ51" s="518"/>
      <c r="BK51" s="519"/>
      <c r="BL51" s="517"/>
      <c r="BM51" s="518"/>
      <c r="BN51" s="518"/>
      <c r="BO51" s="518"/>
      <c r="BP51" s="520"/>
      <c r="BQ51" s="520"/>
      <c r="BR51" s="517" t="str">
        <f>IF(BP51="","",IF(OR(AND(Rev="H",Calculations!$F$27=TRUE),AND(Rev&lt;&gt;"H",Calculations!$F$30=TRUE)),IF(BP51&lt;=1,"Pass","Fail"),IF(BP51&lt;=1.05,"Pass","Fail")))</f>
        <v/>
      </c>
      <c r="BS51" s="518"/>
      <c r="BT51" s="519"/>
      <c r="BU51" s="34"/>
      <c r="BV51" s="16"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16"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16"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16"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16"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16"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16"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16"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16"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16"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16"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16"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16"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16"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16"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16"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16"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16"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45" t="str">
        <f t="shared" si="6"/>
        <v/>
      </c>
      <c r="CO51" s="497"/>
      <c r="CP51" s="498"/>
      <c r="CQ51" s="499"/>
      <c r="CR51" s="497"/>
      <c r="CS51" s="498"/>
      <c r="CT51" s="499"/>
      <c r="CU51" s="497" t="str">
        <f t="shared" si="7"/>
        <v/>
      </c>
      <c r="CV51" s="498"/>
      <c r="CW51" s="503"/>
      <c r="CX51" s="484"/>
      <c r="CY51" s="485"/>
      <c r="CZ51" s="486"/>
      <c r="DA51" s="484"/>
      <c r="DB51" s="485"/>
      <c r="DC51" s="486"/>
      <c r="DD51" s="484" t="str">
        <f t="shared" si="8"/>
        <v/>
      </c>
      <c r="DE51" s="485"/>
      <c r="DF51" s="487"/>
      <c r="DG51" s="38"/>
      <c r="DH51" s="39"/>
      <c r="DI51" s="39"/>
      <c r="DJ51" s="39"/>
      <c r="DK51" s="39"/>
      <c r="DL51" s="39"/>
      <c r="DM51" s="39"/>
      <c r="DN51" s="39"/>
      <c r="DO51" s="39"/>
      <c r="DP51" s="39"/>
      <c r="DQ51" s="42"/>
      <c r="DR51" s="42"/>
      <c r="DS51" s="42"/>
      <c r="DT51" s="42"/>
      <c r="DU51" s="42"/>
      <c r="DV51" s="42"/>
      <c r="DW51" s="42"/>
      <c r="DX51" s="42"/>
      <c r="DY51" s="42"/>
      <c r="DZ51" s="42"/>
      <c r="EA51" s="42"/>
      <c r="EB51" s="42"/>
      <c r="EC51" s="42"/>
      <c r="ED51" s="42"/>
      <c r="EE51" s="42"/>
      <c r="EF51" s="42"/>
      <c r="EG51" s="42"/>
      <c r="EH51" s="42"/>
      <c r="EI51" s="42"/>
      <c r="EJ51" s="42"/>
      <c r="EK51" s="42"/>
      <c r="EL51" s="97"/>
      <c r="EM51" s="97"/>
      <c r="EN51" s="97"/>
      <c r="EO51" s="97"/>
      <c r="EP51" s="97"/>
      <c r="EQ51" s="97"/>
      <c r="ER51" s="97"/>
      <c r="ES51" s="97"/>
      <c r="ET51" s="97"/>
      <c r="EU51" s="97"/>
      <c r="EV51" s="97"/>
      <c r="EW51" s="97"/>
      <c r="EX51" s="97"/>
      <c r="EY51" s="97"/>
      <c r="EZ51" s="97"/>
      <c r="FA51" s="97"/>
      <c r="FB51" s="97"/>
      <c r="FC51" s="97"/>
      <c r="FD51" s="97"/>
      <c r="FE51" s="97"/>
      <c r="FF51" s="97"/>
      <c r="FG51" s="97"/>
      <c r="FH51" s="97"/>
      <c r="FI51" s="97"/>
      <c r="FJ51" s="97"/>
      <c r="FK51" s="97"/>
      <c r="FL51" s="97"/>
      <c r="FM51" s="97"/>
      <c r="FN51" s="97"/>
      <c r="FO51" s="97"/>
      <c r="FQ51" s="90"/>
      <c r="FR51" s="88"/>
      <c r="FS51" s="86"/>
      <c r="FT51" s="84"/>
    </row>
    <row r="52" spans="2:176" ht="15.75" customHeight="1" thickBot="1" x14ac:dyDescent="0.3">
      <c r="B52" s="47" t="b">
        <f>IF(AND(P51&lt;&gt;"",OR(AND(G52&gt;='Geometry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3" t="str">
        <f t="shared" si="3"/>
        <v/>
      </c>
      <c r="D52" s="529" t="str">
        <f t="shared" si="4"/>
        <v/>
      </c>
      <c r="E52" s="530"/>
      <c r="F52" s="14" t="str">
        <f t="shared" si="2"/>
        <v/>
      </c>
      <c r="G52" s="531"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532"/>
      <c r="I52" s="143"/>
      <c r="J52" s="143"/>
      <c r="K52" s="143"/>
      <c r="L52" s="537" t="str">
        <f t="shared" si="10"/>
        <v/>
      </c>
      <c r="M52" s="537"/>
      <c r="N52" s="537"/>
      <c r="O52" s="537"/>
      <c r="P52" s="537" t="str">
        <f>IF(OR(G52=0,G52=""),"",IF(VLOOKUP(G52,'Geometry 2'!$C$4:$AI$14,1,TRUE)=VLOOKUP(G53,'Geometry 2'!$C$4:$AI$14,1,TRUE),"",IF(VLOOKUP(G52,'Geometry 2'!$C$4:$AI$14,33,TRUE)&lt;&gt;"n/a",MIN(G52,VLOOKUP(G52,'Geometry 2'!$C$4:$AI$14,1,TRUE))-VLOOKUP(G52,'Geometry 2'!$C$4:$AI$14,33,TRUE),"check")))</f>
        <v/>
      </c>
      <c r="Q52" s="537"/>
      <c r="R52" s="537"/>
      <c r="S52" s="537"/>
      <c r="T52" s="537" t="str">
        <f>IF($G52="","",VLOOKUP($G52,'Geometry 2'!$E$4:$AH$14,11,TRUE))</f>
        <v/>
      </c>
      <c r="U52" s="537"/>
      <c r="V52" s="537"/>
      <c r="W52" s="537"/>
      <c r="X52" s="538" t="str">
        <f>IF($G52="","",VLOOKUP($G52,'Geometry 2'!$E$4:$AJ$14,19,TRUE)-12*VLOOKUP($G52,'Geometry 2'!$E$4:$AJ$14,32,TRUE)*($D52-VLOOKUP($G52,'Geometry 2'!$E$5:$AH$14,1,TRUE)))</f>
        <v/>
      </c>
      <c r="Y52" s="538"/>
      <c r="Z52" s="538"/>
      <c r="AA52" s="538"/>
      <c r="AB52" s="542" t="str">
        <f>IF($G52="","",VLOOKUP($G52,'Geometry 2'!$E$4:$AJ$14,19,TRUE)-12*VLOOKUP($G52,'Geometry 2'!$E$4:$AJ$14,32,TRUE)*($G52-VLOOKUP($G52,'Geometry 2'!$E$5:$AH$14,1,TRUE)))</f>
        <v/>
      </c>
      <c r="AC52" s="543"/>
      <c r="AD52" s="543"/>
      <c r="AE52" s="544"/>
      <c r="AF52" s="538" t="str">
        <f>IF($G52="","",VLOOKUP($G52,'Geometry 2'!$E$4:$AJ$14,19,TRUE)-12*VLOOKUP($G52,'Geometry 2'!$E$4:$AJ$14,32,TRUE)*($G52-IF($P52="",0,$P52)-VLOOKUP($G52,'Geometry 2'!$E$5:$AH$14,1,TRUE)))</f>
        <v/>
      </c>
      <c r="AG52" s="538"/>
      <c r="AH52" s="538"/>
      <c r="AI52" s="538"/>
      <c r="AJ52" s="539" t="str">
        <f>IF($G52="","",VLOOKUP($G52,'Geometry 2'!$E$4:$AH$14,23,TRUE))</f>
        <v/>
      </c>
      <c r="AK52" s="549"/>
      <c r="AL52" s="549"/>
      <c r="AM52" s="550"/>
      <c r="AN52" s="537"/>
      <c r="AO52" s="537"/>
      <c r="AP52" s="537"/>
      <c r="AQ52" s="537"/>
      <c r="AR52" s="537" t="str">
        <f>IF($G52="","",VLOOKUP($G52,'Geometry 2'!$E$4:$AH$14,27,TRUE))</f>
        <v/>
      </c>
      <c r="AS52" s="537"/>
      <c r="AT52" s="537"/>
      <c r="AU52" s="539"/>
      <c r="AV52" s="564"/>
      <c r="AW52" s="538"/>
      <c r="AX52" s="538"/>
      <c r="AZ52" s="517" t="str">
        <f t="shared" si="5"/>
        <v/>
      </c>
      <c r="BA52" s="518"/>
      <c r="BB52" s="518"/>
      <c r="BC52" s="519"/>
      <c r="BD52" s="517"/>
      <c r="BE52" s="518"/>
      <c r="BF52" s="518"/>
      <c r="BG52" s="517" t="str">
        <f t="shared" si="9"/>
        <v/>
      </c>
      <c r="BH52" s="518"/>
      <c r="BI52" s="518"/>
      <c r="BJ52" s="518"/>
      <c r="BK52" s="519"/>
      <c r="BL52" s="517"/>
      <c r="BM52" s="518"/>
      <c r="BN52" s="518"/>
      <c r="BO52" s="518"/>
      <c r="BP52" s="520"/>
      <c r="BQ52" s="520"/>
      <c r="BR52" s="517" t="str">
        <f>IF(BP52="","",IF(OR(AND(Rev="H",Calculations!$F$27=TRUE),AND(Rev&lt;&gt;"H",Calculations!$F$30=TRUE)),IF(BP52&lt;=1,"Pass","Fail"),IF(BP52&lt;=1.05,"Pass","Fail")))</f>
        <v/>
      </c>
      <c r="BS52" s="518"/>
      <c r="BT52" s="519"/>
      <c r="BU52" s="34"/>
      <c r="BV52" s="16"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16"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16"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16"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16"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16"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16"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16"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16"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16"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16"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16"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16"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16"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16"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16"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16"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16"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44" t="str">
        <f t="shared" si="6"/>
        <v/>
      </c>
      <c r="CO52" s="494"/>
      <c r="CP52" s="495"/>
      <c r="CQ52" s="496"/>
      <c r="CR52" s="494"/>
      <c r="CS52" s="495"/>
      <c r="CT52" s="496"/>
      <c r="CU52" s="494" t="str">
        <f t="shared" si="7"/>
        <v/>
      </c>
      <c r="CV52" s="495"/>
      <c r="CW52" s="500"/>
      <c r="CX52" s="501"/>
      <c r="CY52" s="492"/>
      <c r="CZ52" s="502"/>
      <c r="DA52" s="488"/>
      <c r="DB52" s="489"/>
      <c r="DC52" s="490"/>
      <c r="DD52" s="491" t="str">
        <f t="shared" si="8"/>
        <v/>
      </c>
      <c r="DE52" s="492"/>
      <c r="DF52" s="493"/>
      <c r="DG52" s="40"/>
      <c r="DH52" s="41"/>
      <c r="DI52" s="41"/>
      <c r="DJ52" s="41"/>
      <c r="DK52" s="41"/>
      <c r="DL52" s="41"/>
      <c r="DM52" s="41"/>
      <c r="DN52" s="41"/>
      <c r="DO52" s="41"/>
      <c r="DP52" s="41"/>
      <c r="DQ52" s="43"/>
      <c r="DR52" s="43"/>
      <c r="DS52" s="43"/>
      <c r="DT52" s="43"/>
      <c r="DU52" s="43"/>
      <c r="DV52" s="43"/>
      <c r="DW52" s="43"/>
      <c r="DX52" s="43"/>
      <c r="DY52" s="43"/>
      <c r="DZ52" s="43"/>
      <c r="EA52" s="43"/>
      <c r="EB52" s="43"/>
      <c r="EC52" s="43"/>
      <c r="ED52" s="43"/>
      <c r="EE52" s="43"/>
      <c r="EF52" s="43"/>
      <c r="EG52" s="43"/>
      <c r="EH52" s="43"/>
      <c r="EI52" s="43"/>
      <c r="EJ52" s="43"/>
      <c r="EK52" s="43"/>
      <c r="EL52" s="98"/>
      <c r="EM52" s="98"/>
      <c r="EN52" s="98"/>
      <c r="EO52" s="98"/>
      <c r="EP52" s="98"/>
      <c r="EQ52" s="98"/>
      <c r="ER52" s="98"/>
      <c r="ES52" s="98"/>
      <c r="ET52" s="98"/>
      <c r="EU52" s="98"/>
      <c r="EV52" s="98"/>
      <c r="EW52" s="98"/>
      <c r="EX52" s="98"/>
      <c r="EY52" s="98"/>
      <c r="EZ52" s="98"/>
      <c r="FA52" s="98"/>
      <c r="FB52" s="98"/>
      <c r="FC52" s="98"/>
      <c r="FD52" s="98"/>
      <c r="FE52" s="98"/>
      <c r="FF52" s="98"/>
      <c r="FG52" s="98"/>
      <c r="FH52" s="98"/>
      <c r="FI52" s="98"/>
      <c r="FJ52" s="98"/>
      <c r="FK52" s="98"/>
      <c r="FL52" s="98"/>
      <c r="FM52" s="98"/>
      <c r="FN52" s="98"/>
      <c r="FO52" s="98"/>
      <c r="FQ52" s="89"/>
      <c r="FR52" s="87"/>
      <c r="FS52" s="85"/>
      <c r="FT52" s="84"/>
    </row>
    <row r="53" spans="2:176" ht="15.75" customHeight="1" thickBot="1" x14ac:dyDescent="0.3">
      <c r="B53" s="47" t="b">
        <f>IF(AND(P52&lt;&gt;"",OR(AND(G53&gt;='Geometry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3" t="str">
        <f t="shared" si="3"/>
        <v/>
      </c>
      <c r="D53" s="529" t="str">
        <f t="shared" si="4"/>
        <v/>
      </c>
      <c r="E53" s="530"/>
      <c r="F53" s="14" t="str">
        <f t="shared" si="2"/>
        <v/>
      </c>
      <c r="G53" s="531"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532"/>
      <c r="I53" s="143"/>
      <c r="J53" s="143"/>
      <c r="K53" s="143"/>
      <c r="L53" s="537" t="str">
        <f t="shared" si="10"/>
        <v/>
      </c>
      <c r="M53" s="537"/>
      <c r="N53" s="537"/>
      <c r="O53" s="537"/>
      <c r="P53" s="537" t="str">
        <f>IF(OR(G53=0,G53=""),"",IF(VLOOKUP(G53,'Geometry 2'!$C$4:$AI$14,1,TRUE)=VLOOKUP(G54,'Geometry 2'!$C$4:$AI$14,1,TRUE),"",IF(VLOOKUP(G53,'Geometry 2'!$C$4:$AI$14,33,TRUE)&lt;&gt;"n/a",MIN(G53,VLOOKUP(G53,'Geometry 2'!$C$4:$AI$14,1,TRUE))-VLOOKUP(G53,'Geometry 2'!$C$4:$AI$14,33,TRUE),"check")))</f>
        <v/>
      </c>
      <c r="Q53" s="537"/>
      <c r="R53" s="537"/>
      <c r="S53" s="537"/>
      <c r="T53" s="537" t="str">
        <f>IF($G53="","",VLOOKUP($G53,'Geometry 2'!$E$4:$AH$14,11,TRUE))</f>
        <v/>
      </c>
      <c r="U53" s="537"/>
      <c r="V53" s="537"/>
      <c r="W53" s="537"/>
      <c r="X53" s="538" t="str">
        <f>IF($G53="","",VLOOKUP($G53,'Geometry 2'!$E$4:$AJ$14,19,TRUE)-12*VLOOKUP($G53,'Geometry 2'!$E$4:$AJ$14,32,TRUE)*($D53-VLOOKUP($G53,'Geometry 2'!$E$5:$AH$14,1,TRUE)))</f>
        <v/>
      </c>
      <c r="Y53" s="538"/>
      <c r="Z53" s="538"/>
      <c r="AA53" s="538"/>
      <c r="AB53" s="542" t="str">
        <f>IF($G53="","",VLOOKUP($G53,'Geometry 2'!$E$4:$AJ$14,19,TRUE)-12*VLOOKUP($G53,'Geometry 2'!$E$4:$AJ$14,32,TRUE)*($G53-VLOOKUP($G53,'Geometry 2'!$E$5:$AH$14,1,TRUE)))</f>
        <v/>
      </c>
      <c r="AC53" s="543"/>
      <c r="AD53" s="543"/>
      <c r="AE53" s="544"/>
      <c r="AF53" s="538" t="str">
        <f>IF($G53="","",VLOOKUP($G53,'Geometry 2'!$E$4:$AJ$14,19,TRUE)-12*VLOOKUP($G53,'Geometry 2'!$E$4:$AJ$14,32,TRUE)*($G53-IF($P53="",0,$P53)-VLOOKUP($G53,'Geometry 2'!$E$5:$AH$14,1,TRUE)))</f>
        <v/>
      </c>
      <c r="AG53" s="538"/>
      <c r="AH53" s="538"/>
      <c r="AI53" s="538"/>
      <c r="AJ53" s="539" t="str">
        <f>IF($G53="","",VLOOKUP($G53,'Geometry 2'!$E$4:$AH$14,23,TRUE))</f>
        <v/>
      </c>
      <c r="AK53" s="549"/>
      <c r="AL53" s="549"/>
      <c r="AM53" s="550"/>
      <c r="AN53" s="537"/>
      <c r="AO53" s="537"/>
      <c r="AP53" s="537"/>
      <c r="AQ53" s="537"/>
      <c r="AR53" s="537" t="str">
        <f>IF($G53="","",VLOOKUP($G53,'Geometry 2'!$E$4:$AH$14,27,TRUE))</f>
        <v/>
      </c>
      <c r="AS53" s="537"/>
      <c r="AT53" s="537"/>
      <c r="AU53" s="539"/>
      <c r="AV53" s="564"/>
      <c r="AW53" s="538"/>
      <c r="AX53" s="538"/>
      <c r="AZ53" s="517" t="str">
        <f t="shared" si="5"/>
        <v/>
      </c>
      <c r="BA53" s="518"/>
      <c r="BB53" s="518"/>
      <c r="BC53" s="519"/>
      <c r="BD53" s="517"/>
      <c r="BE53" s="518"/>
      <c r="BF53" s="518"/>
      <c r="BG53" s="517" t="str">
        <f t="shared" si="9"/>
        <v/>
      </c>
      <c r="BH53" s="518"/>
      <c r="BI53" s="518"/>
      <c r="BJ53" s="518"/>
      <c r="BK53" s="519"/>
      <c r="BL53" s="517"/>
      <c r="BM53" s="518"/>
      <c r="BN53" s="518"/>
      <c r="BO53" s="518"/>
      <c r="BP53" s="520"/>
      <c r="BQ53" s="520"/>
      <c r="BR53" s="517" t="str">
        <f>IF(BP53="","",IF(OR(AND(Rev="H",Calculations!$F$27=TRUE),AND(Rev&lt;&gt;"H",Calculations!$F$30=TRUE)),IF(BP53&lt;=1,"Pass","Fail"),IF(BP53&lt;=1.05,"Pass","Fail")))</f>
        <v/>
      </c>
      <c r="BS53" s="518"/>
      <c r="BT53" s="519"/>
      <c r="BU53" s="34"/>
      <c r="BV53" s="16"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16"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16"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16"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16"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16"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16"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16"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16"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16"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16"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16"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16"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16"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16"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16"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16"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16"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45" t="str">
        <f t="shared" si="6"/>
        <v/>
      </c>
      <c r="CO53" s="497"/>
      <c r="CP53" s="498"/>
      <c r="CQ53" s="499"/>
      <c r="CR53" s="497"/>
      <c r="CS53" s="498"/>
      <c r="CT53" s="499"/>
      <c r="CU53" s="497" t="str">
        <f t="shared" si="7"/>
        <v/>
      </c>
      <c r="CV53" s="498"/>
      <c r="CW53" s="503"/>
      <c r="CX53" s="484"/>
      <c r="CY53" s="485"/>
      <c r="CZ53" s="486"/>
      <c r="DA53" s="484"/>
      <c r="DB53" s="485"/>
      <c r="DC53" s="486"/>
      <c r="DD53" s="484" t="str">
        <f t="shared" si="8"/>
        <v/>
      </c>
      <c r="DE53" s="485"/>
      <c r="DF53" s="487"/>
      <c r="DG53" s="38"/>
      <c r="DH53" s="39"/>
      <c r="DI53" s="39"/>
      <c r="DJ53" s="39"/>
      <c r="DK53" s="39"/>
      <c r="DL53" s="39"/>
      <c r="DM53" s="39"/>
      <c r="DN53" s="39"/>
      <c r="DO53" s="39"/>
      <c r="DP53" s="39"/>
      <c r="DQ53" s="42"/>
      <c r="DR53" s="42"/>
      <c r="DS53" s="42"/>
      <c r="DT53" s="42"/>
      <c r="DU53" s="42"/>
      <c r="DV53" s="42"/>
      <c r="DW53" s="42"/>
      <c r="DX53" s="42"/>
      <c r="DY53" s="42"/>
      <c r="DZ53" s="42"/>
      <c r="EA53" s="42"/>
      <c r="EB53" s="42"/>
      <c r="EC53" s="42"/>
      <c r="ED53" s="42"/>
      <c r="EE53" s="42"/>
      <c r="EF53" s="42"/>
      <c r="EG53" s="42"/>
      <c r="EH53" s="42"/>
      <c r="EI53" s="42"/>
      <c r="EJ53" s="42"/>
      <c r="EK53" s="42"/>
      <c r="EL53" s="97"/>
      <c r="EM53" s="97"/>
      <c r="EN53" s="97"/>
      <c r="EO53" s="97"/>
      <c r="EP53" s="97"/>
      <c r="EQ53" s="97"/>
      <c r="ER53" s="97"/>
      <c r="ES53" s="97"/>
      <c r="ET53" s="97"/>
      <c r="EU53" s="97"/>
      <c r="EV53" s="97"/>
      <c r="EW53" s="97"/>
      <c r="EX53" s="97"/>
      <c r="EY53" s="97"/>
      <c r="EZ53" s="97"/>
      <c r="FA53" s="97"/>
      <c r="FB53" s="97"/>
      <c r="FC53" s="97"/>
      <c r="FD53" s="97"/>
      <c r="FE53" s="97"/>
      <c r="FF53" s="97"/>
      <c r="FG53" s="97"/>
      <c r="FH53" s="97"/>
      <c r="FI53" s="97"/>
      <c r="FJ53" s="97"/>
      <c r="FK53" s="97"/>
      <c r="FL53" s="97"/>
      <c r="FM53" s="97"/>
      <c r="FN53" s="97"/>
      <c r="FO53" s="97"/>
      <c r="FQ53" s="90"/>
      <c r="FR53" s="88"/>
      <c r="FS53" s="86"/>
      <c r="FT53" s="84"/>
    </row>
    <row r="54" spans="2:176" ht="15.75" customHeight="1" thickBot="1" x14ac:dyDescent="0.3">
      <c r="B54" s="47" t="b">
        <f>IF(AND(P53&lt;&gt;"",OR(AND(G54&gt;='Geometry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3" t="str">
        <f t="shared" si="3"/>
        <v/>
      </c>
      <c r="D54" s="529" t="str">
        <f t="shared" si="4"/>
        <v/>
      </c>
      <c r="E54" s="530"/>
      <c r="F54" s="14" t="str">
        <f t="shared" si="2"/>
        <v/>
      </c>
      <c r="G54" s="531"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532"/>
      <c r="I54" s="143"/>
      <c r="J54" s="143"/>
      <c r="K54" s="143"/>
      <c r="L54" s="537" t="str">
        <f t="shared" si="10"/>
        <v/>
      </c>
      <c r="M54" s="537"/>
      <c r="N54" s="537"/>
      <c r="O54" s="537"/>
      <c r="P54" s="537" t="str">
        <f>IF(OR(G54=0,G54=""),"",IF(VLOOKUP(G54,'Geometry 2'!$C$4:$AI$14,1,TRUE)=VLOOKUP(G55,'Geometry 2'!$C$4:$AI$14,1,TRUE),"",IF(VLOOKUP(G54,'Geometry 2'!$C$4:$AI$14,33,TRUE)&lt;&gt;"n/a",MIN(G54,VLOOKUP(G54,'Geometry 2'!$C$4:$AI$14,1,TRUE))-VLOOKUP(G54,'Geometry 2'!$C$4:$AI$14,33,TRUE),"check")))</f>
        <v/>
      </c>
      <c r="Q54" s="537"/>
      <c r="R54" s="537"/>
      <c r="S54" s="537"/>
      <c r="T54" s="537" t="str">
        <f>IF($G54="","",VLOOKUP($G54,'Geometry 2'!$E$4:$AH$14,11,TRUE))</f>
        <v/>
      </c>
      <c r="U54" s="537"/>
      <c r="V54" s="537"/>
      <c r="W54" s="537"/>
      <c r="X54" s="538" t="str">
        <f>IF($G54="","",VLOOKUP($G54,'Geometry 2'!$E$4:$AJ$14,19,TRUE)-12*VLOOKUP($G54,'Geometry 2'!$E$4:$AJ$14,32,TRUE)*($D54-VLOOKUP($G54,'Geometry 2'!$E$5:$AH$14,1,TRUE)))</f>
        <v/>
      </c>
      <c r="Y54" s="538"/>
      <c r="Z54" s="538"/>
      <c r="AA54" s="538"/>
      <c r="AB54" s="542" t="str">
        <f>IF($G54="","",VLOOKUP($G54,'Geometry 2'!$E$4:$AJ$14,19,TRUE)-12*VLOOKUP($G54,'Geometry 2'!$E$4:$AJ$14,32,TRUE)*($G54-VLOOKUP($G54,'Geometry 2'!$E$5:$AH$14,1,TRUE)))</f>
        <v/>
      </c>
      <c r="AC54" s="543"/>
      <c r="AD54" s="543"/>
      <c r="AE54" s="544"/>
      <c r="AF54" s="538" t="str">
        <f>IF($G54="","",VLOOKUP($G54,'Geometry 2'!$E$4:$AJ$14,19,TRUE)-12*VLOOKUP($G54,'Geometry 2'!$E$4:$AJ$14,32,TRUE)*($G54-IF($P54="",0,$P54)-VLOOKUP($G54,'Geometry 2'!$E$5:$AH$14,1,TRUE)))</f>
        <v/>
      </c>
      <c r="AG54" s="538"/>
      <c r="AH54" s="538"/>
      <c r="AI54" s="538"/>
      <c r="AJ54" s="539" t="str">
        <f>IF($G54="","",VLOOKUP($G54,'Geometry 2'!$E$4:$AH$14,23,TRUE))</f>
        <v/>
      </c>
      <c r="AK54" s="549"/>
      <c r="AL54" s="549"/>
      <c r="AM54" s="550"/>
      <c r="AN54" s="537"/>
      <c r="AO54" s="537"/>
      <c r="AP54" s="537"/>
      <c r="AQ54" s="537"/>
      <c r="AR54" s="537" t="str">
        <f>IF($G54="","",VLOOKUP($G54,'Geometry 2'!$E$4:$AH$14,27,TRUE))</f>
        <v/>
      </c>
      <c r="AS54" s="537"/>
      <c r="AT54" s="537"/>
      <c r="AU54" s="539"/>
      <c r="AV54" s="564"/>
      <c r="AW54" s="538"/>
      <c r="AX54" s="538"/>
      <c r="AZ54" s="517" t="str">
        <f t="shared" si="5"/>
        <v/>
      </c>
      <c r="BA54" s="518"/>
      <c r="BB54" s="518"/>
      <c r="BC54" s="519"/>
      <c r="BD54" s="517"/>
      <c r="BE54" s="518"/>
      <c r="BF54" s="518"/>
      <c r="BG54" s="517" t="str">
        <f t="shared" si="9"/>
        <v/>
      </c>
      <c r="BH54" s="518"/>
      <c r="BI54" s="518"/>
      <c r="BJ54" s="518"/>
      <c r="BK54" s="519"/>
      <c r="BL54" s="517"/>
      <c r="BM54" s="518"/>
      <c r="BN54" s="518"/>
      <c r="BO54" s="518"/>
      <c r="BP54" s="520"/>
      <c r="BQ54" s="520"/>
      <c r="BR54" s="517" t="str">
        <f>IF(BP54="","",IF(OR(AND(Rev="H",Calculations!$F$27=TRUE),AND(Rev&lt;&gt;"H",Calculations!$F$30=TRUE)),IF(BP54&lt;=1,"Pass","Fail"),IF(BP54&lt;=1.05,"Pass","Fail")))</f>
        <v/>
      </c>
      <c r="BS54" s="518"/>
      <c r="BT54" s="519"/>
      <c r="BU54" s="34"/>
      <c r="BV54" s="16"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16"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16"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16"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16"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16"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16"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16"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16"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16"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16"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16"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16"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16"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16"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16"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16"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16"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44" t="str">
        <f t="shared" si="6"/>
        <v/>
      </c>
      <c r="CO54" s="494"/>
      <c r="CP54" s="495"/>
      <c r="CQ54" s="496"/>
      <c r="CR54" s="494"/>
      <c r="CS54" s="495"/>
      <c r="CT54" s="496"/>
      <c r="CU54" s="494" t="str">
        <f t="shared" si="7"/>
        <v/>
      </c>
      <c r="CV54" s="495"/>
      <c r="CW54" s="500"/>
      <c r="CX54" s="501"/>
      <c r="CY54" s="492"/>
      <c r="CZ54" s="502"/>
      <c r="DA54" s="488"/>
      <c r="DB54" s="489"/>
      <c r="DC54" s="490"/>
      <c r="DD54" s="491" t="str">
        <f t="shared" si="8"/>
        <v/>
      </c>
      <c r="DE54" s="492"/>
      <c r="DF54" s="493"/>
      <c r="DG54" s="40"/>
      <c r="DH54" s="41"/>
      <c r="DI54" s="41"/>
      <c r="DJ54" s="41"/>
      <c r="DK54" s="41"/>
      <c r="DL54" s="41"/>
      <c r="DM54" s="41"/>
      <c r="DN54" s="41"/>
      <c r="DO54" s="41"/>
      <c r="DP54" s="41"/>
      <c r="DQ54" s="43"/>
      <c r="DR54" s="43"/>
      <c r="DS54" s="43"/>
      <c r="DT54" s="43"/>
      <c r="DU54" s="43"/>
      <c r="DV54" s="43"/>
      <c r="DW54" s="43"/>
      <c r="DX54" s="43"/>
      <c r="DY54" s="43"/>
      <c r="DZ54" s="43"/>
      <c r="EA54" s="43"/>
      <c r="EB54" s="43"/>
      <c r="EC54" s="43"/>
      <c r="ED54" s="43"/>
      <c r="EE54" s="43"/>
      <c r="EF54" s="43"/>
      <c r="EG54" s="43"/>
      <c r="EH54" s="43"/>
      <c r="EI54" s="43"/>
      <c r="EJ54" s="43"/>
      <c r="EK54" s="43"/>
      <c r="EL54" s="98"/>
      <c r="EM54" s="98"/>
      <c r="EN54" s="98"/>
      <c r="EO54" s="98"/>
      <c r="EP54" s="98"/>
      <c r="EQ54" s="98"/>
      <c r="ER54" s="98"/>
      <c r="ES54" s="98"/>
      <c r="ET54" s="98"/>
      <c r="EU54" s="98"/>
      <c r="EV54" s="98"/>
      <c r="EW54" s="98"/>
      <c r="EX54" s="98"/>
      <c r="EY54" s="98"/>
      <c r="EZ54" s="98"/>
      <c r="FA54" s="98"/>
      <c r="FB54" s="98"/>
      <c r="FC54" s="98"/>
      <c r="FD54" s="98"/>
      <c r="FE54" s="98"/>
      <c r="FF54" s="98"/>
      <c r="FG54" s="98"/>
      <c r="FH54" s="98"/>
      <c r="FI54" s="98"/>
      <c r="FJ54" s="98"/>
      <c r="FK54" s="98"/>
      <c r="FL54" s="98"/>
      <c r="FM54" s="98"/>
      <c r="FN54" s="98"/>
      <c r="FO54" s="98"/>
      <c r="FQ54" s="89"/>
      <c r="FR54" s="87"/>
      <c r="FS54" s="85"/>
      <c r="FT54" s="84"/>
    </row>
    <row r="55" spans="2:176" ht="15.75" customHeight="1" thickBot="1" x14ac:dyDescent="0.3">
      <c r="B55" s="47" t="b">
        <f>IF(AND(P54&lt;&gt;"",OR(AND(G55&gt;='Geometry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3" t="str">
        <f t="shared" si="3"/>
        <v/>
      </c>
      <c r="D55" s="529" t="str">
        <f t="shared" si="4"/>
        <v/>
      </c>
      <c r="E55" s="530"/>
      <c r="F55" s="14" t="str">
        <f t="shared" si="2"/>
        <v/>
      </c>
      <c r="G55" s="531"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532"/>
      <c r="I55" s="143"/>
      <c r="J55" s="143"/>
      <c r="K55" s="143"/>
      <c r="L55" s="537" t="str">
        <f t="shared" si="10"/>
        <v/>
      </c>
      <c r="M55" s="537"/>
      <c r="N55" s="537"/>
      <c r="O55" s="537"/>
      <c r="P55" s="537" t="str">
        <f>IF(OR(G55=0,G55=""),"",IF(VLOOKUP(G55,'Geometry 2'!$C$4:$AI$14,1,TRUE)=VLOOKUP(G56,'Geometry 2'!$C$4:$AI$14,1,TRUE),"",IF(VLOOKUP(G55,'Geometry 2'!$C$4:$AI$14,33,TRUE)&lt;&gt;"n/a",MIN(G55,VLOOKUP(G55,'Geometry 2'!$C$4:$AI$14,1,TRUE))-VLOOKUP(G55,'Geometry 2'!$C$4:$AI$14,33,TRUE),"check")))</f>
        <v/>
      </c>
      <c r="Q55" s="537"/>
      <c r="R55" s="537"/>
      <c r="S55" s="537"/>
      <c r="T55" s="537" t="str">
        <f>IF($G55="","",VLOOKUP($G55,'Geometry 2'!$E$4:$AH$14,11,TRUE))</f>
        <v/>
      </c>
      <c r="U55" s="537"/>
      <c r="V55" s="537"/>
      <c r="W55" s="537"/>
      <c r="X55" s="538" t="str">
        <f>IF($G55="","",VLOOKUP($G55,'Geometry 2'!$E$4:$AJ$14,19,TRUE)-12*VLOOKUP($G55,'Geometry 2'!$E$4:$AJ$14,32,TRUE)*($D55-VLOOKUP($G55,'Geometry 2'!$E$5:$AH$14,1,TRUE)))</f>
        <v/>
      </c>
      <c r="Y55" s="538"/>
      <c r="Z55" s="538"/>
      <c r="AA55" s="538"/>
      <c r="AB55" s="542" t="str">
        <f>IF($G55="","",VLOOKUP($G55,'Geometry 2'!$E$4:$AJ$14,19,TRUE)-12*VLOOKUP($G55,'Geometry 2'!$E$4:$AJ$14,32,TRUE)*($G55-VLOOKUP($G55,'Geometry 2'!$E$5:$AH$14,1,TRUE)))</f>
        <v/>
      </c>
      <c r="AC55" s="543"/>
      <c r="AD55" s="543"/>
      <c r="AE55" s="544"/>
      <c r="AF55" s="538" t="str">
        <f>IF($G55="","",VLOOKUP($G55,'Geometry 2'!$E$4:$AJ$14,19,TRUE)-12*VLOOKUP($G55,'Geometry 2'!$E$4:$AJ$14,32,TRUE)*($G55-IF($P55="",0,$P55)-VLOOKUP($G55,'Geometry 2'!$E$5:$AH$14,1,TRUE)))</f>
        <v/>
      </c>
      <c r="AG55" s="538"/>
      <c r="AH55" s="538"/>
      <c r="AI55" s="538"/>
      <c r="AJ55" s="539" t="str">
        <f>IF($G55="","",VLOOKUP($G55,'Geometry 2'!$E$4:$AH$14,23,TRUE))</f>
        <v/>
      </c>
      <c r="AK55" s="549"/>
      <c r="AL55" s="549"/>
      <c r="AM55" s="550"/>
      <c r="AN55" s="537"/>
      <c r="AO55" s="537"/>
      <c r="AP55" s="537"/>
      <c r="AQ55" s="537"/>
      <c r="AR55" s="537" t="str">
        <f>IF($G55="","",VLOOKUP($G55,'Geometry 2'!$E$4:$AH$14,27,TRUE))</f>
        <v/>
      </c>
      <c r="AS55" s="537"/>
      <c r="AT55" s="537"/>
      <c r="AU55" s="539"/>
      <c r="AV55" s="564"/>
      <c r="AW55" s="538"/>
      <c r="AX55" s="538"/>
      <c r="AZ55" s="517" t="str">
        <f t="shared" si="5"/>
        <v/>
      </c>
      <c r="BA55" s="518"/>
      <c r="BB55" s="518"/>
      <c r="BC55" s="519"/>
      <c r="BD55" s="517"/>
      <c r="BE55" s="518"/>
      <c r="BF55" s="518"/>
      <c r="BG55" s="517" t="str">
        <f t="shared" si="9"/>
        <v/>
      </c>
      <c r="BH55" s="518"/>
      <c r="BI55" s="518"/>
      <c r="BJ55" s="518"/>
      <c r="BK55" s="519"/>
      <c r="BL55" s="517"/>
      <c r="BM55" s="518"/>
      <c r="BN55" s="518"/>
      <c r="BO55" s="518"/>
      <c r="BP55" s="520"/>
      <c r="BQ55" s="520"/>
      <c r="BR55" s="517" t="str">
        <f>IF(BP55="","",IF(OR(AND(Rev="H",Calculations!$F$27=TRUE),AND(Rev&lt;&gt;"H",Calculations!$F$30=TRUE)),IF(BP55&lt;=1,"Pass","Fail"),IF(BP55&lt;=1.05,"Pass","Fail")))</f>
        <v/>
      </c>
      <c r="BS55" s="518"/>
      <c r="BT55" s="519"/>
      <c r="BU55" s="34"/>
      <c r="BV55" s="16"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16"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16"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16"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16"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16"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16"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16"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16"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16"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16"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16"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16"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16"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16"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16"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16"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16"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45" t="str">
        <f t="shared" si="6"/>
        <v/>
      </c>
      <c r="CO55" s="497"/>
      <c r="CP55" s="498"/>
      <c r="CQ55" s="499"/>
      <c r="CR55" s="497"/>
      <c r="CS55" s="498"/>
      <c r="CT55" s="499"/>
      <c r="CU55" s="497" t="str">
        <f t="shared" si="7"/>
        <v/>
      </c>
      <c r="CV55" s="498"/>
      <c r="CW55" s="503"/>
      <c r="CX55" s="484"/>
      <c r="CY55" s="485"/>
      <c r="CZ55" s="486"/>
      <c r="DA55" s="484"/>
      <c r="DB55" s="485"/>
      <c r="DC55" s="486"/>
      <c r="DD55" s="484" t="str">
        <f t="shared" si="8"/>
        <v/>
      </c>
      <c r="DE55" s="485"/>
      <c r="DF55" s="487"/>
      <c r="DG55" s="38"/>
      <c r="DH55" s="39"/>
      <c r="DI55" s="39"/>
      <c r="DJ55" s="39"/>
      <c r="DK55" s="39"/>
      <c r="DL55" s="39"/>
      <c r="DM55" s="39"/>
      <c r="DN55" s="39"/>
      <c r="DO55" s="39"/>
      <c r="DP55" s="39"/>
      <c r="DQ55" s="42"/>
      <c r="DR55" s="42"/>
      <c r="DS55" s="42"/>
      <c r="DT55" s="42"/>
      <c r="DU55" s="42"/>
      <c r="DV55" s="42"/>
      <c r="DW55" s="42"/>
      <c r="DX55" s="42"/>
      <c r="DY55" s="42"/>
      <c r="DZ55" s="42"/>
      <c r="EA55" s="42"/>
      <c r="EB55" s="42"/>
      <c r="EC55" s="42"/>
      <c r="ED55" s="42"/>
      <c r="EE55" s="42"/>
      <c r="EF55" s="42"/>
      <c r="EG55" s="42"/>
      <c r="EH55" s="42"/>
      <c r="EI55" s="42"/>
      <c r="EJ55" s="42"/>
      <c r="EK55" s="42"/>
      <c r="EL55" s="97"/>
      <c r="EM55" s="97"/>
      <c r="EN55" s="97"/>
      <c r="EO55" s="97"/>
      <c r="EP55" s="97"/>
      <c r="EQ55" s="97"/>
      <c r="ER55" s="97"/>
      <c r="ES55" s="97"/>
      <c r="ET55" s="97"/>
      <c r="EU55" s="97"/>
      <c r="EV55" s="97"/>
      <c r="EW55" s="97"/>
      <c r="EX55" s="97"/>
      <c r="EY55" s="97"/>
      <c r="EZ55" s="97"/>
      <c r="FA55" s="97"/>
      <c r="FB55" s="97"/>
      <c r="FC55" s="97"/>
      <c r="FD55" s="97"/>
      <c r="FE55" s="97"/>
      <c r="FF55" s="97"/>
      <c r="FG55" s="97"/>
      <c r="FH55" s="97"/>
      <c r="FI55" s="97"/>
      <c r="FJ55" s="97"/>
      <c r="FK55" s="97"/>
      <c r="FL55" s="97"/>
      <c r="FM55" s="97"/>
      <c r="FN55" s="97"/>
      <c r="FO55" s="97"/>
      <c r="FQ55" s="90"/>
      <c r="FR55" s="88"/>
      <c r="FS55" s="86"/>
      <c r="FT55" s="84"/>
    </row>
    <row r="56" spans="2:176" ht="15.75" customHeight="1" thickBot="1" x14ac:dyDescent="0.3">
      <c r="B56" s="47" t="b">
        <f>IF(AND(P55&lt;&gt;"",OR(AND(G56&gt;='Geometry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3" t="str">
        <f t="shared" si="3"/>
        <v/>
      </c>
      <c r="D56" s="529" t="str">
        <f t="shared" si="4"/>
        <v/>
      </c>
      <c r="E56" s="530"/>
      <c r="F56" s="14" t="str">
        <f t="shared" si="2"/>
        <v/>
      </c>
      <c r="G56" s="531"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532"/>
      <c r="I56" s="143"/>
      <c r="J56" s="143"/>
      <c r="K56" s="143"/>
      <c r="L56" s="537" t="str">
        <f t="shared" si="10"/>
        <v/>
      </c>
      <c r="M56" s="537"/>
      <c r="N56" s="537"/>
      <c r="O56" s="537"/>
      <c r="P56" s="537" t="str">
        <f>IF(OR(G56=0,G56=""),"",IF(VLOOKUP(G56,'Geometry 2'!$C$4:$AI$14,1,TRUE)=VLOOKUP(G57,'Geometry 2'!$C$4:$AI$14,1,TRUE),"",IF(VLOOKUP(G56,'Geometry 2'!$C$4:$AI$14,33,TRUE)&lt;&gt;"n/a",MIN(G56,VLOOKUP(G56,'Geometry 2'!$C$4:$AI$14,1,TRUE))-VLOOKUP(G56,'Geometry 2'!$C$4:$AI$14,33,TRUE),"check")))</f>
        <v/>
      </c>
      <c r="Q56" s="537"/>
      <c r="R56" s="537"/>
      <c r="S56" s="537"/>
      <c r="T56" s="537" t="str">
        <f>IF($G56="","",VLOOKUP($G56,'Geometry 2'!$E$4:$AH$14,11,TRUE))</f>
        <v/>
      </c>
      <c r="U56" s="537"/>
      <c r="V56" s="537"/>
      <c r="W56" s="537"/>
      <c r="X56" s="538" t="str">
        <f>IF($G56="","",VLOOKUP($G56,'Geometry 2'!$E$4:$AJ$14,19,TRUE)-12*VLOOKUP($G56,'Geometry 2'!$E$4:$AJ$14,32,TRUE)*($D56-VLOOKUP($G56,'Geometry 2'!$E$5:$AH$14,1,TRUE)))</f>
        <v/>
      </c>
      <c r="Y56" s="538"/>
      <c r="Z56" s="538"/>
      <c r="AA56" s="538"/>
      <c r="AB56" s="542" t="str">
        <f>IF($G56="","",VLOOKUP($G56,'Geometry 2'!$E$4:$AJ$14,19,TRUE)-12*VLOOKUP($G56,'Geometry 2'!$E$4:$AJ$14,32,TRUE)*($G56-VLOOKUP($G56,'Geometry 2'!$E$5:$AH$14,1,TRUE)))</f>
        <v/>
      </c>
      <c r="AC56" s="543"/>
      <c r="AD56" s="543"/>
      <c r="AE56" s="544"/>
      <c r="AF56" s="538" t="str">
        <f>IF($G56="","",VLOOKUP($G56,'Geometry 2'!$E$4:$AJ$14,19,TRUE)-12*VLOOKUP($G56,'Geometry 2'!$E$4:$AJ$14,32,TRUE)*($G56-IF($P56="",0,$P56)-VLOOKUP($G56,'Geometry 2'!$E$5:$AH$14,1,TRUE)))</f>
        <v/>
      </c>
      <c r="AG56" s="538"/>
      <c r="AH56" s="538"/>
      <c r="AI56" s="538"/>
      <c r="AJ56" s="539" t="str">
        <f>IF($G56="","",VLOOKUP($G56,'Geometry 2'!$E$4:$AH$14,23,TRUE))</f>
        <v/>
      </c>
      <c r="AK56" s="549"/>
      <c r="AL56" s="549"/>
      <c r="AM56" s="550"/>
      <c r="AN56" s="537"/>
      <c r="AO56" s="537"/>
      <c r="AP56" s="537"/>
      <c r="AQ56" s="537"/>
      <c r="AR56" s="537" t="str">
        <f>IF($G56="","",VLOOKUP($G56,'Geometry 2'!$E$4:$AH$14,27,TRUE))</f>
        <v/>
      </c>
      <c r="AS56" s="537"/>
      <c r="AT56" s="537"/>
      <c r="AU56" s="539"/>
      <c r="AV56" s="564"/>
      <c r="AW56" s="538"/>
      <c r="AX56" s="538"/>
      <c r="AZ56" s="517" t="str">
        <f t="shared" si="5"/>
        <v/>
      </c>
      <c r="BA56" s="518"/>
      <c r="BB56" s="518"/>
      <c r="BC56" s="519"/>
      <c r="BD56" s="517"/>
      <c r="BE56" s="518"/>
      <c r="BF56" s="518"/>
      <c r="BG56" s="517" t="str">
        <f t="shared" si="9"/>
        <v/>
      </c>
      <c r="BH56" s="518"/>
      <c r="BI56" s="518"/>
      <c r="BJ56" s="518"/>
      <c r="BK56" s="519"/>
      <c r="BL56" s="517"/>
      <c r="BM56" s="518"/>
      <c r="BN56" s="518"/>
      <c r="BO56" s="518"/>
      <c r="BP56" s="520"/>
      <c r="BQ56" s="520"/>
      <c r="BR56" s="517" t="str">
        <f>IF(BP56="","",IF(OR(AND(Rev="H",Calculations!$F$27=TRUE),AND(Rev&lt;&gt;"H",Calculations!$F$30=TRUE)),IF(BP56&lt;=1,"Pass","Fail"),IF(BP56&lt;=1.05,"Pass","Fail")))</f>
        <v/>
      </c>
      <c r="BS56" s="518"/>
      <c r="BT56" s="519"/>
      <c r="BU56" s="34"/>
      <c r="BV56" s="16"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16"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16"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16"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16"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16"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16"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16"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16"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16"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16"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16"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16"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16"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16"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16"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16"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16"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44" t="str">
        <f t="shared" si="6"/>
        <v/>
      </c>
      <c r="CO56" s="494"/>
      <c r="CP56" s="495"/>
      <c r="CQ56" s="496"/>
      <c r="CR56" s="494"/>
      <c r="CS56" s="495"/>
      <c r="CT56" s="496"/>
      <c r="CU56" s="494" t="str">
        <f t="shared" si="7"/>
        <v/>
      </c>
      <c r="CV56" s="495"/>
      <c r="CW56" s="500"/>
      <c r="CX56" s="501"/>
      <c r="CY56" s="492"/>
      <c r="CZ56" s="502"/>
      <c r="DA56" s="488"/>
      <c r="DB56" s="489"/>
      <c r="DC56" s="490"/>
      <c r="DD56" s="491" t="str">
        <f t="shared" si="8"/>
        <v/>
      </c>
      <c r="DE56" s="492"/>
      <c r="DF56" s="493"/>
      <c r="DG56" s="40"/>
      <c r="DH56" s="41"/>
      <c r="DI56" s="41"/>
      <c r="DJ56" s="41"/>
      <c r="DK56" s="41"/>
      <c r="DL56" s="41"/>
      <c r="DM56" s="41"/>
      <c r="DN56" s="41"/>
      <c r="DO56" s="41"/>
      <c r="DP56" s="41"/>
      <c r="DQ56" s="43"/>
      <c r="DR56" s="43"/>
      <c r="DS56" s="43"/>
      <c r="DT56" s="43"/>
      <c r="DU56" s="43"/>
      <c r="DV56" s="43"/>
      <c r="DW56" s="43"/>
      <c r="DX56" s="43"/>
      <c r="DY56" s="43"/>
      <c r="DZ56" s="43"/>
      <c r="EA56" s="43"/>
      <c r="EB56" s="43"/>
      <c r="EC56" s="43"/>
      <c r="ED56" s="43"/>
      <c r="EE56" s="43"/>
      <c r="EF56" s="43"/>
      <c r="EG56" s="43"/>
      <c r="EH56" s="43"/>
      <c r="EI56" s="43"/>
      <c r="EJ56" s="43"/>
      <c r="EK56" s="43"/>
      <c r="EL56" s="98"/>
      <c r="EM56" s="98"/>
      <c r="EN56" s="98"/>
      <c r="EO56" s="98"/>
      <c r="EP56" s="98"/>
      <c r="EQ56" s="98"/>
      <c r="ER56" s="98"/>
      <c r="ES56" s="98"/>
      <c r="ET56" s="98"/>
      <c r="EU56" s="98"/>
      <c r="EV56" s="98"/>
      <c r="EW56" s="98"/>
      <c r="EX56" s="98"/>
      <c r="EY56" s="98"/>
      <c r="EZ56" s="98"/>
      <c r="FA56" s="98"/>
      <c r="FB56" s="98"/>
      <c r="FC56" s="98"/>
      <c r="FD56" s="98"/>
      <c r="FE56" s="98"/>
      <c r="FF56" s="98"/>
      <c r="FG56" s="98"/>
      <c r="FH56" s="98"/>
      <c r="FI56" s="98"/>
      <c r="FJ56" s="98"/>
      <c r="FK56" s="98"/>
      <c r="FL56" s="98"/>
      <c r="FM56" s="98"/>
      <c r="FN56" s="98"/>
      <c r="FO56" s="98"/>
      <c r="FQ56" s="89"/>
      <c r="FR56" s="87"/>
      <c r="FS56" s="85"/>
      <c r="FT56" s="84"/>
    </row>
    <row r="57" spans="2:176" ht="15.75" hidden="1" customHeight="1" thickBot="1" x14ac:dyDescent="0.3">
      <c r="B57" s="47" t="b">
        <f>IF(AND(P56&lt;&gt;"",OR(AND(G57&gt;='Geometry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3" t="str">
        <f t="shared" si="3"/>
        <v/>
      </c>
      <c r="D57" s="529" t="str">
        <f t="shared" si="4"/>
        <v/>
      </c>
      <c r="E57" s="530"/>
      <c r="F57" s="14" t="str">
        <f t="shared" si="2"/>
        <v/>
      </c>
      <c r="G57" s="531"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532"/>
      <c r="I57" s="143"/>
      <c r="J57" s="143"/>
      <c r="K57" s="143"/>
      <c r="L57" s="537" t="str">
        <f t="shared" si="10"/>
        <v/>
      </c>
      <c r="M57" s="537"/>
      <c r="N57" s="537"/>
      <c r="O57" s="537"/>
      <c r="P57" s="537" t="str">
        <f>IF(OR(G57=0,G57=""),"",IF(VLOOKUP(G57,'Geometry 2'!$C$4:$AI$14,1,TRUE)=VLOOKUP(G58,'Geometry 2'!$C$4:$AI$14,1,TRUE),"",IF(VLOOKUP(G57,'Geometry 2'!$C$4:$AI$14,33,TRUE)&lt;&gt;"n/a",MIN(G57,VLOOKUP(G57,'Geometry 2'!$C$4:$AI$14,1,TRUE))-VLOOKUP(G57,'Geometry 2'!$C$4:$AI$14,33,TRUE),"check")))</f>
        <v/>
      </c>
      <c r="Q57" s="537"/>
      <c r="R57" s="537"/>
      <c r="S57" s="537"/>
      <c r="T57" s="537" t="str">
        <f>IF($G57="","",VLOOKUP($G57,'Geometry 2'!$E$4:$AH$14,11,TRUE))</f>
        <v/>
      </c>
      <c r="U57" s="537"/>
      <c r="V57" s="537"/>
      <c r="W57" s="537"/>
      <c r="X57" s="538" t="str">
        <f>IF($G57="","",VLOOKUP($G57,'Geometry 2'!$E$4:$AJ$14,19,TRUE)-12*VLOOKUP($G57,'Geometry 2'!$E$4:$AJ$14,32,TRUE)*($D57-VLOOKUP($G57,'Geometry 2'!$E$5:$AH$14,1,TRUE)))</f>
        <v/>
      </c>
      <c r="Y57" s="538"/>
      <c r="Z57" s="538"/>
      <c r="AA57" s="538"/>
      <c r="AB57" s="542" t="str">
        <f>IF($G57="","",VLOOKUP($G57,'Geometry 2'!$E$4:$AJ$14,19,TRUE)-12*VLOOKUP($G57,'Geometry 2'!$E$4:$AJ$14,32,TRUE)*($G57-VLOOKUP($G57,'Geometry 2'!$E$5:$AH$14,1,TRUE)))</f>
        <v/>
      </c>
      <c r="AC57" s="543"/>
      <c r="AD57" s="543"/>
      <c r="AE57" s="544"/>
      <c r="AF57" s="538" t="str">
        <f>IF($G57="","",VLOOKUP($G57,'Geometry 2'!$E$4:$AJ$14,19,TRUE)-12*VLOOKUP($G57,'Geometry 2'!$E$4:$AJ$14,32,TRUE)*($G57-IF($P57="",0,$P57)-VLOOKUP($G57,'Geometry 2'!$E$5:$AH$14,1,TRUE)))</f>
        <v/>
      </c>
      <c r="AG57" s="538"/>
      <c r="AH57" s="538"/>
      <c r="AI57" s="538"/>
      <c r="AJ57" s="539" t="str">
        <f>IF($G57="","",VLOOKUP($G57,'Geometry 2'!$E$4:$AH$14,23,TRUE))</f>
        <v/>
      </c>
      <c r="AK57" s="549"/>
      <c r="AL57" s="549"/>
      <c r="AM57" s="550"/>
      <c r="AN57" s="537"/>
      <c r="AO57" s="537"/>
      <c r="AP57" s="537"/>
      <c r="AQ57" s="537"/>
      <c r="AR57" s="537" t="str">
        <f>IF($G57="","",VLOOKUP($G57,'Geometry 2'!$E$4:$AH$14,27,TRUE))</f>
        <v/>
      </c>
      <c r="AS57" s="537"/>
      <c r="AT57" s="537"/>
      <c r="AU57" s="539"/>
      <c r="AV57" s="564"/>
      <c r="AW57" s="538"/>
      <c r="AX57" s="538"/>
      <c r="AZ57" s="517" t="str">
        <f t="shared" si="5"/>
        <v/>
      </c>
      <c r="BA57" s="518"/>
      <c r="BB57" s="518"/>
      <c r="BC57" s="519"/>
      <c r="BD57" s="517"/>
      <c r="BE57" s="518"/>
      <c r="BF57" s="518"/>
      <c r="BG57" s="517" t="str">
        <f t="shared" si="9"/>
        <v/>
      </c>
      <c r="BH57" s="518"/>
      <c r="BI57" s="518"/>
      <c r="BJ57" s="518"/>
      <c r="BK57" s="519"/>
      <c r="BL57" s="517"/>
      <c r="BM57" s="518"/>
      <c r="BN57" s="518"/>
      <c r="BO57" s="518"/>
      <c r="BP57" s="520"/>
      <c r="BQ57" s="520"/>
      <c r="BR57" s="517" t="str">
        <f>IF(BP57="","",IF(OR(AND(Rev="H",Calculations!$F$27=TRUE),AND(Rev&lt;&gt;"H",Calculations!$F$30=TRUE)),IF(BP57&lt;=1,"Pass","Fail"),IF(BP57&lt;=1.05,"Pass","Fail")))</f>
        <v/>
      </c>
      <c r="BS57" s="518"/>
      <c r="BT57" s="519"/>
      <c r="BU57" s="34"/>
      <c r="BV57" s="16"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16"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16"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16"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16"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16"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16"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16"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16"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16"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16"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16"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16"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16"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16"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16"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16"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16"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45" t="str">
        <f t="shared" si="6"/>
        <v/>
      </c>
      <c r="CO57" s="497"/>
      <c r="CP57" s="498"/>
      <c r="CQ57" s="499"/>
      <c r="CR57" s="497"/>
      <c r="CS57" s="498"/>
      <c r="CT57" s="499"/>
      <c r="CU57" s="497" t="str">
        <f t="shared" si="7"/>
        <v/>
      </c>
      <c r="CV57" s="498"/>
      <c r="CW57" s="503"/>
      <c r="CX57" s="484"/>
      <c r="CY57" s="485"/>
      <c r="CZ57" s="486"/>
      <c r="DA57" s="484"/>
      <c r="DB57" s="485"/>
      <c r="DC57" s="486"/>
      <c r="DD57" s="484" t="str">
        <f t="shared" si="8"/>
        <v/>
      </c>
      <c r="DE57" s="485"/>
      <c r="DF57" s="487"/>
      <c r="DG57" s="38"/>
      <c r="DH57" s="39"/>
      <c r="DI57" s="39"/>
      <c r="DJ57" s="39"/>
      <c r="DK57" s="39"/>
      <c r="DL57" s="39"/>
      <c r="DM57" s="39"/>
      <c r="DN57" s="39"/>
      <c r="DO57" s="39"/>
      <c r="DP57" s="39"/>
      <c r="DQ57" s="42"/>
      <c r="DR57" s="42"/>
      <c r="DS57" s="42"/>
      <c r="DT57" s="42"/>
      <c r="DU57" s="42"/>
      <c r="DV57" s="42"/>
      <c r="DW57" s="42"/>
      <c r="DX57" s="42"/>
      <c r="DY57" s="42"/>
      <c r="DZ57" s="42"/>
      <c r="EA57" s="42"/>
      <c r="EB57" s="42"/>
      <c r="EC57" s="42"/>
      <c r="ED57" s="42"/>
      <c r="EE57" s="42"/>
      <c r="EF57" s="42"/>
      <c r="EG57" s="42"/>
      <c r="EH57" s="42"/>
      <c r="EI57" s="42"/>
      <c r="EJ57" s="42"/>
      <c r="EK57" s="42"/>
      <c r="EL57" s="97"/>
      <c r="EM57" s="97"/>
      <c r="EN57" s="97"/>
      <c r="EO57" s="97"/>
      <c r="EP57" s="97"/>
      <c r="EQ57" s="97"/>
      <c r="ER57" s="97"/>
      <c r="ES57" s="97"/>
      <c r="ET57" s="97"/>
      <c r="EU57" s="97"/>
      <c r="EV57" s="97"/>
      <c r="EW57" s="97"/>
      <c r="EX57" s="97"/>
      <c r="EY57" s="97"/>
      <c r="EZ57" s="97"/>
      <c r="FA57" s="97"/>
      <c r="FB57" s="97"/>
      <c r="FC57" s="97"/>
      <c r="FD57" s="97"/>
      <c r="FE57" s="97"/>
      <c r="FF57" s="97"/>
      <c r="FG57" s="97"/>
      <c r="FH57" s="97"/>
      <c r="FI57" s="97"/>
      <c r="FJ57" s="97"/>
      <c r="FK57" s="97"/>
      <c r="FL57" s="97"/>
      <c r="FM57" s="97"/>
      <c r="FN57" s="97"/>
      <c r="FO57" s="97"/>
      <c r="FQ57" s="90"/>
      <c r="FR57" s="88"/>
      <c r="FS57" s="86"/>
      <c r="FT57" s="84"/>
    </row>
    <row r="58" spans="2:176" ht="15.75" hidden="1" thickBot="1" x14ac:dyDescent="0.3">
      <c r="B58" s="47" t="b">
        <f>IF(AND(P57&lt;&gt;"",OR(AND(G58&gt;='Geometry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3" t="str">
        <f t="shared" si="3"/>
        <v/>
      </c>
      <c r="D58" s="529" t="str">
        <f t="shared" si="4"/>
        <v/>
      </c>
      <c r="E58" s="530"/>
      <c r="F58" s="14" t="str">
        <f t="shared" si="2"/>
        <v/>
      </c>
      <c r="G58" s="531"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532"/>
      <c r="I58" s="143"/>
      <c r="J58" s="143"/>
      <c r="K58" s="143"/>
      <c r="L58" s="537" t="str">
        <f t="shared" si="10"/>
        <v/>
      </c>
      <c r="M58" s="537"/>
      <c r="N58" s="537"/>
      <c r="O58" s="537"/>
      <c r="P58" s="537" t="str">
        <f>IF(OR(G58=0,G58=""),"",IF(VLOOKUP(G58,'Geometry 2'!$C$4:$AI$14,1,TRUE)=VLOOKUP(G59,'Geometry 2'!$C$4:$AI$14,1,TRUE),"",IF(VLOOKUP(G58,'Geometry 2'!$C$4:$AI$14,33,TRUE)&lt;&gt;"n/a",MIN(G58,VLOOKUP(G58,'Geometry 2'!$C$4:$AI$14,1,TRUE))-VLOOKUP(G58,'Geometry 2'!$C$4:$AI$14,33,TRUE),"check")))</f>
        <v/>
      </c>
      <c r="Q58" s="537"/>
      <c r="R58" s="537"/>
      <c r="S58" s="537"/>
      <c r="T58" s="537" t="str">
        <f>IF($G58="","",VLOOKUP($G58,'Geometry 2'!$E$4:$AH$14,11,TRUE))</f>
        <v/>
      </c>
      <c r="U58" s="537"/>
      <c r="V58" s="537"/>
      <c r="W58" s="537"/>
      <c r="X58" s="538" t="str">
        <f>IF($G58="","",VLOOKUP($G58,'Geometry 2'!$E$4:$AJ$14,19,TRUE)-12*VLOOKUP($G58,'Geometry 2'!$E$4:$AJ$14,32,TRUE)*($D58-VLOOKUP($G58,'Geometry 2'!$E$5:$AH$14,1,TRUE)))</f>
        <v/>
      </c>
      <c r="Y58" s="538"/>
      <c r="Z58" s="538"/>
      <c r="AA58" s="538"/>
      <c r="AB58" s="542" t="str">
        <f>IF($G58="","",VLOOKUP($G58,'Geometry 2'!$E$4:$AJ$14,19,TRUE)-12*VLOOKUP($G58,'Geometry 2'!$E$4:$AJ$14,32,TRUE)*($G58-VLOOKUP($G58,'Geometry 2'!$E$5:$AH$14,1,TRUE)))</f>
        <v/>
      </c>
      <c r="AC58" s="543"/>
      <c r="AD58" s="543"/>
      <c r="AE58" s="544"/>
      <c r="AF58" s="538" t="str">
        <f>IF($G58="","",VLOOKUP($G58,'Geometry 2'!$E$4:$AJ$14,19,TRUE)-12*VLOOKUP($G58,'Geometry 2'!$E$4:$AJ$14,32,TRUE)*($G58-IF($P58="",0,$P58)-VLOOKUP($G58,'Geometry 2'!$E$5:$AH$14,1,TRUE)))</f>
        <v/>
      </c>
      <c r="AG58" s="538"/>
      <c r="AH58" s="538"/>
      <c r="AI58" s="538"/>
      <c r="AJ58" s="539" t="str">
        <f>IF($G58="","",VLOOKUP($G58,'Geometry 2'!$E$4:$AH$14,23,TRUE))</f>
        <v/>
      </c>
      <c r="AK58" s="549"/>
      <c r="AL58" s="549"/>
      <c r="AM58" s="550"/>
      <c r="AN58" s="537"/>
      <c r="AO58" s="537"/>
      <c r="AP58" s="537"/>
      <c r="AQ58" s="537"/>
      <c r="AR58" s="537" t="str">
        <f>IF($G58="","",VLOOKUP($G58,'Geometry 2'!$E$4:$AH$14,27,TRUE))</f>
        <v/>
      </c>
      <c r="AS58" s="537"/>
      <c r="AT58" s="537"/>
      <c r="AU58" s="539"/>
      <c r="AV58" s="564"/>
      <c r="AW58" s="538"/>
      <c r="AX58" s="538"/>
      <c r="AZ58" s="517" t="str">
        <f t="shared" si="5"/>
        <v/>
      </c>
      <c r="BA58" s="518"/>
      <c r="BB58" s="518"/>
      <c r="BC58" s="519"/>
      <c r="BD58" s="517"/>
      <c r="BE58" s="518"/>
      <c r="BF58" s="518"/>
      <c r="BG58" s="517" t="str">
        <f t="shared" si="9"/>
        <v/>
      </c>
      <c r="BH58" s="518"/>
      <c r="BI58" s="518"/>
      <c r="BJ58" s="518"/>
      <c r="BK58" s="519"/>
      <c r="BL58" s="517"/>
      <c r="BM58" s="518"/>
      <c r="BN58" s="518"/>
      <c r="BO58" s="518"/>
      <c r="BP58" s="520"/>
      <c r="BQ58" s="520"/>
      <c r="BR58" s="517" t="str">
        <f>IF(BP58="","",IF(OR(AND(Rev="H",Calculations!$F$27=TRUE),AND(Rev&lt;&gt;"H",Calculations!$F$30=TRUE)),IF(BP58&lt;=1,"Pass","Fail"),IF(BP58&lt;=1.05,"Pass","Fail")))</f>
        <v/>
      </c>
      <c r="BS58" s="518"/>
      <c r="BT58" s="519"/>
      <c r="BU58" s="34"/>
      <c r="BV58" s="16"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16"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16"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16"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16"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16"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16"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16"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16"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16"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16"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16"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16"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16"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16"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16"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16"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16"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44" t="str">
        <f t="shared" si="6"/>
        <v/>
      </c>
      <c r="CO58" s="494"/>
      <c r="CP58" s="495"/>
      <c r="CQ58" s="496"/>
      <c r="CR58" s="494"/>
      <c r="CS58" s="495"/>
      <c r="CT58" s="496"/>
      <c r="CU58" s="494" t="str">
        <f t="shared" si="7"/>
        <v/>
      </c>
      <c r="CV58" s="495"/>
      <c r="CW58" s="500"/>
      <c r="CX58" s="501"/>
      <c r="CY58" s="492"/>
      <c r="CZ58" s="502"/>
      <c r="DA58" s="488"/>
      <c r="DB58" s="489"/>
      <c r="DC58" s="490"/>
      <c r="DD58" s="491" t="str">
        <f t="shared" si="8"/>
        <v/>
      </c>
      <c r="DE58" s="492"/>
      <c r="DF58" s="493"/>
      <c r="DG58" s="40"/>
      <c r="DH58" s="41"/>
      <c r="DI58" s="41"/>
      <c r="DJ58" s="41"/>
      <c r="DK58" s="41"/>
      <c r="DL58" s="41"/>
      <c r="DM58" s="41"/>
      <c r="DN58" s="41"/>
      <c r="DO58" s="41"/>
      <c r="DP58" s="41"/>
      <c r="DQ58" s="43"/>
      <c r="DR58" s="43"/>
      <c r="DS58" s="43"/>
      <c r="DT58" s="43"/>
      <c r="DU58" s="43"/>
      <c r="DV58" s="43"/>
      <c r="DW58" s="43"/>
      <c r="DX58" s="43"/>
      <c r="DY58" s="43"/>
      <c r="DZ58" s="43"/>
      <c r="EA58" s="43"/>
      <c r="EB58" s="43"/>
      <c r="EC58" s="43"/>
      <c r="ED58" s="43"/>
      <c r="EE58" s="43"/>
      <c r="EF58" s="43"/>
      <c r="EG58" s="43"/>
      <c r="EH58" s="43"/>
      <c r="EI58" s="43"/>
      <c r="EJ58" s="43"/>
      <c r="EK58" s="43"/>
      <c r="EL58" s="98"/>
      <c r="EM58" s="98"/>
      <c r="EN58" s="98"/>
      <c r="EO58" s="98"/>
      <c r="EP58" s="98"/>
      <c r="EQ58" s="98"/>
      <c r="ER58" s="98"/>
      <c r="ES58" s="98"/>
      <c r="ET58" s="98"/>
      <c r="EU58" s="98"/>
      <c r="EV58" s="98"/>
      <c r="EW58" s="98"/>
      <c r="EX58" s="98"/>
      <c r="EY58" s="98"/>
      <c r="EZ58" s="98"/>
      <c r="FA58" s="98"/>
      <c r="FB58" s="98"/>
      <c r="FC58" s="98"/>
      <c r="FD58" s="98"/>
      <c r="FE58" s="98"/>
      <c r="FF58" s="98"/>
      <c r="FG58" s="98"/>
      <c r="FH58" s="98"/>
      <c r="FI58" s="98"/>
      <c r="FJ58" s="98"/>
      <c r="FK58" s="98"/>
      <c r="FL58" s="98"/>
      <c r="FM58" s="98"/>
      <c r="FN58" s="98"/>
      <c r="FO58" s="98"/>
      <c r="FQ58" s="89"/>
      <c r="FR58" s="87"/>
      <c r="FS58" s="85"/>
      <c r="FT58" s="84"/>
    </row>
    <row r="59" spans="2:176" ht="15.75" hidden="1" thickBot="1" x14ac:dyDescent="0.3">
      <c r="B59" s="47" t="b">
        <f>IF(AND(P58&lt;&gt;"",OR(AND(G59&gt;='Geometry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3" t="str">
        <f t="shared" si="3"/>
        <v/>
      </c>
      <c r="D59" s="529" t="str">
        <f t="shared" si="4"/>
        <v/>
      </c>
      <c r="E59" s="530"/>
      <c r="F59" s="14" t="str">
        <f t="shared" si="2"/>
        <v/>
      </c>
      <c r="G59" s="531"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532"/>
      <c r="I59" s="143"/>
      <c r="J59" s="143"/>
      <c r="K59" s="143"/>
      <c r="L59" s="537" t="str">
        <f t="shared" si="10"/>
        <v/>
      </c>
      <c r="M59" s="537"/>
      <c r="N59" s="537"/>
      <c r="O59" s="537"/>
      <c r="P59" s="537" t="str">
        <f>IF(OR(G59=0,G59=""),"",IF(VLOOKUP(G59,'Geometry 2'!$C$4:$AI$14,1,TRUE)=VLOOKUP(G60,'Geometry 2'!$C$4:$AI$14,1,TRUE),"",IF(VLOOKUP(G59,'Geometry 2'!$C$4:$AI$14,33,TRUE)&lt;&gt;"n/a",MIN(G59,VLOOKUP(G59,'Geometry 2'!$C$4:$AI$14,1,TRUE))-VLOOKUP(G59,'Geometry 2'!$C$4:$AI$14,33,TRUE),"check")))</f>
        <v/>
      </c>
      <c r="Q59" s="537"/>
      <c r="R59" s="537"/>
      <c r="S59" s="537"/>
      <c r="T59" s="537" t="str">
        <f>IF($G59="","",VLOOKUP($G59,'Geometry 2'!$E$4:$AH$14,11,TRUE))</f>
        <v/>
      </c>
      <c r="U59" s="537"/>
      <c r="V59" s="537"/>
      <c r="W59" s="537"/>
      <c r="X59" s="538" t="str">
        <f>IF($G59="","",VLOOKUP($G59,'Geometry 2'!$E$4:$AJ$14,19,TRUE)-12*VLOOKUP($G59,'Geometry 2'!$E$4:$AJ$14,32,TRUE)*($D59-VLOOKUP($G59,'Geometry 2'!$E$5:$AH$14,1,TRUE)))</f>
        <v/>
      </c>
      <c r="Y59" s="538"/>
      <c r="Z59" s="538"/>
      <c r="AA59" s="538"/>
      <c r="AB59" s="542" t="str">
        <f>IF($G59="","",VLOOKUP($G59,'Geometry 2'!$E$4:$AJ$14,19,TRUE)-12*VLOOKUP($G59,'Geometry 2'!$E$4:$AJ$14,32,TRUE)*($G59-VLOOKUP($G59,'Geometry 2'!$E$5:$AH$14,1,TRUE)))</f>
        <v/>
      </c>
      <c r="AC59" s="543"/>
      <c r="AD59" s="543"/>
      <c r="AE59" s="544"/>
      <c r="AF59" s="538" t="str">
        <f>IF($G59="","",VLOOKUP($G59,'Geometry 2'!$E$4:$AJ$14,19,TRUE)-12*VLOOKUP($G59,'Geometry 2'!$E$4:$AJ$14,32,TRUE)*($G59-IF($P59="",0,$P59)-VLOOKUP($G59,'Geometry 2'!$E$5:$AH$14,1,TRUE)))</f>
        <v/>
      </c>
      <c r="AG59" s="538"/>
      <c r="AH59" s="538"/>
      <c r="AI59" s="538"/>
      <c r="AJ59" s="539" t="str">
        <f>IF($G59="","",VLOOKUP($G59,'Geometry 2'!$E$4:$AH$14,23,TRUE))</f>
        <v/>
      </c>
      <c r="AK59" s="549"/>
      <c r="AL59" s="549"/>
      <c r="AM59" s="550"/>
      <c r="AN59" s="537"/>
      <c r="AO59" s="537"/>
      <c r="AP59" s="537"/>
      <c r="AQ59" s="537"/>
      <c r="AR59" s="537" t="str">
        <f>IF($G59="","",VLOOKUP($G59,'Geometry 2'!$E$4:$AH$14,27,TRUE))</f>
        <v/>
      </c>
      <c r="AS59" s="537"/>
      <c r="AT59" s="537"/>
      <c r="AU59" s="539"/>
      <c r="AV59" s="564"/>
      <c r="AW59" s="538"/>
      <c r="AX59" s="538"/>
      <c r="AZ59" s="517" t="str">
        <f t="shared" si="5"/>
        <v/>
      </c>
      <c r="BA59" s="518"/>
      <c r="BB59" s="518"/>
      <c r="BC59" s="519"/>
      <c r="BD59" s="517"/>
      <c r="BE59" s="518"/>
      <c r="BF59" s="518"/>
      <c r="BG59" s="517" t="str">
        <f t="shared" si="9"/>
        <v/>
      </c>
      <c r="BH59" s="518"/>
      <c r="BI59" s="518"/>
      <c r="BJ59" s="518"/>
      <c r="BK59" s="519"/>
      <c r="BL59" s="517"/>
      <c r="BM59" s="518"/>
      <c r="BN59" s="518"/>
      <c r="BO59" s="518"/>
      <c r="BP59" s="520"/>
      <c r="BQ59" s="520"/>
      <c r="BR59" s="517" t="str">
        <f>IF(BP59="","",IF(OR(AND(Rev="H",Calculations!$F$27=TRUE),AND(Rev&lt;&gt;"H",Calculations!$F$30=TRUE)),IF(BP59&lt;=1,"Pass","Fail"),IF(BP59&lt;=1.05,"Pass","Fail")))</f>
        <v/>
      </c>
      <c r="BS59" s="518"/>
      <c r="BT59" s="519"/>
      <c r="BU59" s="34"/>
      <c r="BV59" s="16"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16"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16"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16"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16"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16"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16"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16"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16"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16"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16"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16"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16"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16"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16"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16"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16"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16"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45" t="str">
        <f t="shared" si="6"/>
        <v/>
      </c>
      <c r="CO59" s="497"/>
      <c r="CP59" s="498"/>
      <c r="CQ59" s="499"/>
      <c r="CR59" s="497"/>
      <c r="CS59" s="498"/>
      <c r="CT59" s="499"/>
      <c r="CU59" s="497" t="str">
        <f t="shared" si="7"/>
        <v/>
      </c>
      <c r="CV59" s="498"/>
      <c r="CW59" s="503"/>
      <c r="CX59" s="484"/>
      <c r="CY59" s="485"/>
      <c r="CZ59" s="486"/>
      <c r="DA59" s="484"/>
      <c r="DB59" s="485"/>
      <c r="DC59" s="486"/>
      <c r="DD59" s="484" t="str">
        <f t="shared" si="8"/>
        <v/>
      </c>
      <c r="DE59" s="485"/>
      <c r="DF59" s="487"/>
      <c r="DG59" s="38"/>
      <c r="DH59" s="39"/>
      <c r="DI59" s="39"/>
      <c r="DJ59" s="39"/>
      <c r="DK59" s="39"/>
      <c r="DL59" s="39"/>
      <c r="DM59" s="39"/>
      <c r="DN59" s="39"/>
      <c r="DO59" s="39"/>
      <c r="DP59" s="39"/>
      <c r="DQ59" s="42"/>
      <c r="DR59" s="42"/>
      <c r="DS59" s="42"/>
      <c r="DT59" s="42"/>
      <c r="DU59" s="42"/>
      <c r="DV59" s="42"/>
      <c r="DW59" s="42"/>
      <c r="DX59" s="42"/>
      <c r="DY59" s="42"/>
      <c r="DZ59" s="42"/>
      <c r="EA59" s="42"/>
      <c r="EB59" s="42"/>
      <c r="EC59" s="42"/>
      <c r="ED59" s="42"/>
      <c r="EE59" s="42"/>
      <c r="EF59" s="42"/>
      <c r="EG59" s="42"/>
      <c r="EH59" s="42"/>
      <c r="EI59" s="42"/>
      <c r="EJ59" s="42"/>
      <c r="EK59" s="42"/>
      <c r="EL59" s="97"/>
      <c r="EM59" s="97"/>
      <c r="EN59" s="97"/>
      <c r="EO59" s="97"/>
      <c r="EP59" s="97"/>
      <c r="EQ59" s="97"/>
      <c r="ER59" s="97"/>
      <c r="ES59" s="97"/>
      <c r="ET59" s="97"/>
      <c r="EU59" s="97"/>
      <c r="EV59" s="97"/>
      <c r="EW59" s="97"/>
      <c r="EX59" s="97"/>
      <c r="EY59" s="97"/>
      <c r="EZ59" s="97"/>
      <c r="FA59" s="97"/>
      <c r="FB59" s="97"/>
      <c r="FC59" s="97"/>
      <c r="FD59" s="97"/>
      <c r="FE59" s="97"/>
      <c r="FF59" s="97"/>
      <c r="FG59" s="97"/>
      <c r="FH59" s="97"/>
      <c r="FI59" s="97"/>
      <c r="FJ59" s="97"/>
      <c r="FK59" s="97"/>
      <c r="FL59" s="97"/>
      <c r="FM59" s="97"/>
      <c r="FN59" s="97"/>
      <c r="FO59" s="97"/>
      <c r="FQ59" s="90"/>
      <c r="FR59" s="88"/>
      <c r="FS59" s="86"/>
      <c r="FT59" s="84"/>
    </row>
    <row r="60" spans="2:176" ht="15.75" hidden="1" thickBot="1" x14ac:dyDescent="0.3">
      <c r="B60" s="47" t="b">
        <f>IF(AND(P59&lt;&gt;"",OR(AND(G60&gt;='Geometry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3" t="str">
        <f t="shared" si="3"/>
        <v/>
      </c>
      <c r="D60" s="529" t="str">
        <f t="shared" si="4"/>
        <v/>
      </c>
      <c r="E60" s="530"/>
      <c r="F60" s="14" t="str">
        <f t="shared" si="2"/>
        <v/>
      </c>
      <c r="G60" s="531"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532"/>
      <c r="I60" s="143"/>
      <c r="J60" s="143"/>
      <c r="K60" s="143"/>
      <c r="L60" s="537" t="str">
        <f t="shared" si="10"/>
        <v/>
      </c>
      <c r="M60" s="537"/>
      <c r="N60" s="537"/>
      <c r="O60" s="537"/>
      <c r="P60" s="537" t="str">
        <f>IF(OR(G60=0,G60=""),"",IF(VLOOKUP(G60,'Geometry 2'!$C$4:$AI$14,1,TRUE)=VLOOKUP(G61,'Geometry 2'!$C$4:$AI$14,1,TRUE),"",IF(VLOOKUP(G60,'Geometry 2'!$C$4:$AI$14,33,TRUE)&lt;&gt;"n/a",MIN(G60,VLOOKUP(G60,'Geometry 2'!$C$4:$AI$14,1,TRUE))-VLOOKUP(G60,'Geometry 2'!$C$4:$AI$14,33,TRUE),"check")))</f>
        <v/>
      </c>
      <c r="Q60" s="537"/>
      <c r="R60" s="537"/>
      <c r="S60" s="537"/>
      <c r="T60" s="537" t="str">
        <f>IF($G60="","",VLOOKUP($G60,'Geometry 2'!$E$4:$AH$14,11,TRUE))</f>
        <v/>
      </c>
      <c r="U60" s="537"/>
      <c r="V60" s="537"/>
      <c r="W60" s="537"/>
      <c r="X60" s="538" t="str">
        <f>IF($G60="","",VLOOKUP($G60,'Geometry 2'!$E$4:$AJ$14,19,TRUE)-12*VLOOKUP($G60,'Geometry 2'!$E$4:$AJ$14,32,TRUE)*($D60-VLOOKUP($G60,'Geometry 2'!$E$5:$AH$14,1,TRUE)))</f>
        <v/>
      </c>
      <c r="Y60" s="538"/>
      <c r="Z60" s="538"/>
      <c r="AA60" s="538"/>
      <c r="AB60" s="542" t="str">
        <f>IF($G60="","",VLOOKUP($G60,'Geometry 2'!$E$4:$AJ$14,19,TRUE)-12*VLOOKUP($G60,'Geometry 2'!$E$4:$AJ$14,32,TRUE)*($G60-VLOOKUP($G60,'Geometry 2'!$E$5:$AH$14,1,TRUE)))</f>
        <v/>
      </c>
      <c r="AC60" s="543"/>
      <c r="AD60" s="543"/>
      <c r="AE60" s="544"/>
      <c r="AF60" s="538" t="str">
        <f>IF($G60="","",VLOOKUP($G60,'Geometry 2'!$E$4:$AJ$14,19,TRUE)-12*VLOOKUP($G60,'Geometry 2'!$E$4:$AJ$14,32,TRUE)*($G60-IF($P60="",0,$P60)-VLOOKUP($G60,'Geometry 2'!$E$5:$AH$14,1,TRUE)))</f>
        <v/>
      </c>
      <c r="AG60" s="538"/>
      <c r="AH60" s="538"/>
      <c r="AI60" s="538"/>
      <c r="AJ60" s="539" t="str">
        <f>IF($G60="","",VLOOKUP($G60,'Geometry 2'!$E$4:$AH$14,23,TRUE))</f>
        <v/>
      </c>
      <c r="AK60" s="549"/>
      <c r="AL60" s="549"/>
      <c r="AM60" s="550"/>
      <c r="AN60" s="537"/>
      <c r="AO60" s="537"/>
      <c r="AP60" s="537"/>
      <c r="AQ60" s="537"/>
      <c r="AR60" s="537" t="str">
        <f>IF($G60="","",VLOOKUP($G60,'Geometry 2'!$E$4:$AH$14,27,TRUE))</f>
        <v/>
      </c>
      <c r="AS60" s="537"/>
      <c r="AT60" s="537"/>
      <c r="AU60" s="539"/>
      <c r="AV60" s="564"/>
      <c r="AW60" s="538"/>
      <c r="AX60" s="538"/>
      <c r="AZ60" s="517" t="str">
        <f t="shared" si="5"/>
        <v/>
      </c>
      <c r="BA60" s="518"/>
      <c r="BB60" s="518"/>
      <c r="BC60" s="519"/>
      <c r="BD60" s="517"/>
      <c r="BE60" s="518"/>
      <c r="BF60" s="518"/>
      <c r="BG60" s="517" t="str">
        <f t="shared" si="9"/>
        <v/>
      </c>
      <c r="BH60" s="518"/>
      <c r="BI60" s="518"/>
      <c r="BJ60" s="518"/>
      <c r="BK60" s="519"/>
      <c r="BL60" s="517"/>
      <c r="BM60" s="518"/>
      <c r="BN60" s="518"/>
      <c r="BO60" s="518"/>
      <c r="BP60" s="520"/>
      <c r="BQ60" s="520"/>
      <c r="BR60" s="517" t="str">
        <f>IF(BP60="","",IF(OR(AND(Rev="H",Calculations!$F$27=TRUE),AND(Rev&lt;&gt;"H",Calculations!$F$30=TRUE)),IF(BP60&lt;=1,"Pass","Fail"),IF(BP60&lt;=1.05,"Pass","Fail")))</f>
        <v/>
      </c>
      <c r="BS60" s="518"/>
      <c r="BT60" s="519"/>
      <c r="BU60" s="34"/>
      <c r="BV60" s="16"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16"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16"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16"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16"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16"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16"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16"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16"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16"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16"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16"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16"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16"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16"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16"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16"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16"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44" t="str">
        <f t="shared" si="6"/>
        <v/>
      </c>
      <c r="CO60" s="494"/>
      <c r="CP60" s="495"/>
      <c r="CQ60" s="496"/>
      <c r="CR60" s="494"/>
      <c r="CS60" s="495"/>
      <c r="CT60" s="496"/>
      <c r="CU60" s="494" t="str">
        <f t="shared" si="7"/>
        <v/>
      </c>
      <c r="CV60" s="495"/>
      <c r="CW60" s="500"/>
      <c r="CX60" s="501"/>
      <c r="CY60" s="492"/>
      <c r="CZ60" s="502"/>
      <c r="DA60" s="488"/>
      <c r="DB60" s="489"/>
      <c r="DC60" s="490"/>
      <c r="DD60" s="491" t="str">
        <f t="shared" si="8"/>
        <v/>
      </c>
      <c r="DE60" s="492"/>
      <c r="DF60" s="493"/>
      <c r="DG60" s="40"/>
      <c r="DH60" s="41"/>
      <c r="DI60" s="41"/>
      <c r="DJ60" s="41"/>
      <c r="DK60" s="41"/>
      <c r="DL60" s="41"/>
      <c r="DM60" s="41"/>
      <c r="DN60" s="41"/>
      <c r="DO60" s="41"/>
      <c r="DP60" s="41"/>
      <c r="DQ60" s="43"/>
      <c r="DR60" s="43"/>
      <c r="DS60" s="43"/>
      <c r="DT60" s="43"/>
      <c r="DU60" s="43"/>
      <c r="DV60" s="43"/>
      <c r="DW60" s="43"/>
      <c r="DX60" s="43"/>
      <c r="DY60" s="43"/>
      <c r="DZ60" s="43"/>
      <c r="EA60" s="43"/>
      <c r="EB60" s="43"/>
      <c r="EC60" s="43"/>
      <c r="ED60" s="43"/>
      <c r="EE60" s="43"/>
      <c r="EF60" s="43"/>
      <c r="EG60" s="43"/>
      <c r="EH60" s="43"/>
      <c r="EI60" s="43"/>
      <c r="EJ60" s="43"/>
      <c r="EK60" s="43"/>
      <c r="EL60" s="98"/>
      <c r="EM60" s="98"/>
      <c r="EN60" s="98"/>
      <c r="EO60" s="98"/>
      <c r="EP60" s="98"/>
      <c r="EQ60" s="98"/>
      <c r="ER60" s="98"/>
      <c r="ES60" s="98"/>
      <c r="ET60" s="98"/>
      <c r="EU60" s="98"/>
      <c r="EV60" s="98"/>
      <c r="EW60" s="98"/>
      <c r="EX60" s="98"/>
      <c r="EY60" s="98"/>
      <c r="EZ60" s="98"/>
      <c r="FA60" s="98"/>
      <c r="FB60" s="98"/>
      <c r="FC60" s="98"/>
      <c r="FD60" s="98"/>
      <c r="FE60" s="98"/>
      <c r="FF60" s="98"/>
      <c r="FG60" s="98"/>
      <c r="FH60" s="98"/>
      <c r="FI60" s="98"/>
      <c r="FJ60" s="98"/>
      <c r="FK60" s="98"/>
      <c r="FL60" s="98"/>
      <c r="FM60" s="98"/>
      <c r="FN60" s="98"/>
      <c r="FO60" s="98"/>
      <c r="FQ60" s="89"/>
      <c r="FR60" s="87"/>
      <c r="FS60" s="85"/>
      <c r="FT60" s="84"/>
    </row>
    <row r="61" spans="2:176" ht="15.75" hidden="1" thickBot="1" x14ac:dyDescent="0.3">
      <c r="B61" s="47" t="b">
        <f>IF(AND(P60&lt;&gt;"",OR(AND(G61&gt;='Geometry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3" t="str">
        <f t="shared" si="3"/>
        <v/>
      </c>
      <c r="D61" s="529" t="str">
        <f t="shared" si="4"/>
        <v/>
      </c>
      <c r="E61" s="530"/>
      <c r="F61" s="14" t="str">
        <f t="shared" si="2"/>
        <v/>
      </c>
      <c r="G61" s="531"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532"/>
      <c r="I61" s="143"/>
      <c r="J61" s="143"/>
      <c r="K61" s="143"/>
      <c r="L61" s="537" t="str">
        <f t="shared" si="10"/>
        <v/>
      </c>
      <c r="M61" s="537"/>
      <c r="N61" s="537"/>
      <c r="O61" s="537"/>
      <c r="P61" s="537" t="str">
        <f>IF(OR(G61=0,G61=""),"",IF(VLOOKUP(G61,'Geometry 2'!$C$4:$AI$14,1,TRUE)=VLOOKUP(G62,'Geometry 2'!$C$4:$AI$14,1,TRUE),"",IF(VLOOKUP(G61,'Geometry 2'!$C$4:$AI$14,33,TRUE)&lt;&gt;"n/a",MIN(G61,VLOOKUP(G61,'Geometry 2'!$C$4:$AI$14,1,TRUE))-VLOOKUP(G61,'Geometry 2'!$C$4:$AI$14,33,TRUE),"check")))</f>
        <v/>
      </c>
      <c r="Q61" s="537"/>
      <c r="R61" s="537"/>
      <c r="S61" s="537"/>
      <c r="T61" s="537" t="str">
        <f>IF($G61="","",VLOOKUP($G61,'Geometry 2'!$E$4:$AH$14,11,TRUE))</f>
        <v/>
      </c>
      <c r="U61" s="537"/>
      <c r="V61" s="537"/>
      <c r="W61" s="537"/>
      <c r="X61" s="538" t="str">
        <f>IF($G61="","",VLOOKUP($G61,'Geometry 2'!$E$4:$AJ$14,19,TRUE)-12*VLOOKUP($G61,'Geometry 2'!$E$4:$AJ$14,32,TRUE)*($D61-VLOOKUP($G61,'Geometry 2'!$E$5:$AH$14,1,TRUE)))</f>
        <v/>
      </c>
      <c r="Y61" s="538"/>
      <c r="Z61" s="538"/>
      <c r="AA61" s="538"/>
      <c r="AB61" s="542" t="str">
        <f>IF($G61="","",VLOOKUP($G61,'Geometry 2'!$E$4:$AJ$14,19,TRUE)-12*VLOOKUP($G61,'Geometry 2'!$E$4:$AJ$14,32,TRUE)*($G61-VLOOKUP($G61,'Geometry 2'!$E$5:$AH$14,1,TRUE)))</f>
        <v/>
      </c>
      <c r="AC61" s="543"/>
      <c r="AD61" s="543"/>
      <c r="AE61" s="544"/>
      <c r="AF61" s="538" t="str">
        <f>IF($G61="","",VLOOKUP($G61,'Geometry 2'!$E$4:$AJ$14,19,TRUE)-12*VLOOKUP($G61,'Geometry 2'!$E$4:$AJ$14,32,TRUE)*($G61-IF($P61="",0,$P61)-VLOOKUP($G61,'Geometry 2'!$E$5:$AH$14,1,TRUE)))</f>
        <v/>
      </c>
      <c r="AG61" s="538"/>
      <c r="AH61" s="538"/>
      <c r="AI61" s="538"/>
      <c r="AJ61" s="539" t="str">
        <f>IF($G61="","",VLOOKUP($G61,'Geometry 2'!$E$4:$AH$14,23,TRUE))</f>
        <v/>
      </c>
      <c r="AK61" s="549"/>
      <c r="AL61" s="549"/>
      <c r="AM61" s="550"/>
      <c r="AN61" s="537"/>
      <c r="AO61" s="537"/>
      <c r="AP61" s="537"/>
      <c r="AQ61" s="537"/>
      <c r="AR61" s="537" t="str">
        <f>IF($G61="","",VLOOKUP($G61,'Geometry 2'!$E$4:$AH$14,27,TRUE))</f>
        <v/>
      </c>
      <c r="AS61" s="537"/>
      <c r="AT61" s="537"/>
      <c r="AU61" s="539"/>
      <c r="AV61" s="564"/>
      <c r="AW61" s="538"/>
      <c r="AX61" s="538"/>
      <c r="AZ61" s="517" t="str">
        <f t="shared" si="5"/>
        <v/>
      </c>
      <c r="BA61" s="518"/>
      <c r="BB61" s="518"/>
      <c r="BC61" s="519"/>
      <c r="BD61" s="517"/>
      <c r="BE61" s="518"/>
      <c r="BF61" s="518"/>
      <c r="BG61" s="517" t="str">
        <f t="shared" si="9"/>
        <v/>
      </c>
      <c r="BH61" s="518"/>
      <c r="BI61" s="518"/>
      <c r="BJ61" s="518"/>
      <c r="BK61" s="519"/>
      <c r="BL61" s="517"/>
      <c r="BM61" s="518"/>
      <c r="BN61" s="518"/>
      <c r="BO61" s="518"/>
      <c r="BP61" s="520"/>
      <c r="BQ61" s="520"/>
      <c r="BR61" s="517" t="str">
        <f>IF(BP61="","",IF(OR(AND(Rev="H",Calculations!$F$27=TRUE),AND(Rev&lt;&gt;"H",Calculations!$F$30=TRUE)),IF(BP61&lt;=1,"Pass","Fail"),IF(BP61&lt;=1.05,"Pass","Fail")))</f>
        <v/>
      </c>
      <c r="BS61" s="518"/>
      <c r="BT61" s="519"/>
      <c r="BU61" s="34"/>
      <c r="BV61" s="16"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16"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16"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16"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16"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16"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16"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16"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16"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16"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16"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16"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16"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16"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16"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16"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16"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16"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45" t="str">
        <f t="shared" si="6"/>
        <v/>
      </c>
      <c r="CO61" s="497"/>
      <c r="CP61" s="498"/>
      <c r="CQ61" s="499"/>
      <c r="CR61" s="497"/>
      <c r="CS61" s="498"/>
      <c r="CT61" s="499"/>
      <c r="CU61" s="497" t="str">
        <f t="shared" si="7"/>
        <v/>
      </c>
      <c r="CV61" s="498"/>
      <c r="CW61" s="503"/>
      <c r="CX61" s="484"/>
      <c r="CY61" s="485"/>
      <c r="CZ61" s="486"/>
      <c r="DA61" s="484"/>
      <c r="DB61" s="485"/>
      <c r="DC61" s="486"/>
      <c r="DD61" s="484" t="str">
        <f t="shared" si="8"/>
        <v/>
      </c>
      <c r="DE61" s="485"/>
      <c r="DF61" s="487"/>
      <c r="DG61" s="38"/>
      <c r="DH61" s="39"/>
      <c r="DI61" s="39"/>
      <c r="DJ61" s="39"/>
      <c r="DK61" s="39"/>
      <c r="DL61" s="39"/>
      <c r="DM61" s="39"/>
      <c r="DN61" s="39"/>
      <c r="DO61" s="39"/>
      <c r="DP61" s="39"/>
      <c r="DQ61" s="42"/>
      <c r="DR61" s="42"/>
      <c r="DS61" s="42"/>
      <c r="DT61" s="42"/>
      <c r="DU61" s="42"/>
      <c r="DV61" s="42"/>
      <c r="DW61" s="42"/>
      <c r="DX61" s="42"/>
      <c r="DY61" s="42"/>
      <c r="DZ61" s="42"/>
      <c r="EA61" s="42"/>
      <c r="EB61" s="42"/>
      <c r="EC61" s="42"/>
      <c r="ED61" s="42"/>
      <c r="EE61" s="42"/>
      <c r="EF61" s="42"/>
      <c r="EG61" s="42"/>
      <c r="EH61" s="42"/>
      <c r="EI61" s="42"/>
      <c r="EJ61" s="42"/>
      <c r="EK61" s="42"/>
      <c r="EL61" s="97"/>
      <c r="EM61" s="97"/>
      <c r="EN61" s="97"/>
      <c r="EO61" s="97"/>
      <c r="EP61" s="97"/>
      <c r="EQ61" s="97"/>
      <c r="ER61" s="97"/>
      <c r="ES61" s="97"/>
      <c r="ET61" s="97"/>
      <c r="EU61" s="97"/>
      <c r="EV61" s="97"/>
      <c r="EW61" s="97"/>
      <c r="EX61" s="97"/>
      <c r="EY61" s="97"/>
      <c r="EZ61" s="97"/>
      <c r="FA61" s="97"/>
      <c r="FB61" s="97"/>
      <c r="FC61" s="97"/>
      <c r="FD61" s="97"/>
      <c r="FE61" s="97"/>
      <c r="FF61" s="97"/>
      <c r="FG61" s="97"/>
      <c r="FH61" s="97"/>
      <c r="FI61" s="97"/>
      <c r="FJ61" s="97"/>
      <c r="FK61" s="97"/>
      <c r="FL61" s="97"/>
      <c r="FM61" s="97"/>
      <c r="FN61" s="97"/>
      <c r="FO61" s="97"/>
      <c r="FQ61" s="90"/>
      <c r="FR61" s="88"/>
      <c r="FS61" s="86"/>
      <c r="FT61" s="84"/>
    </row>
    <row r="62" spans="2:176" ht="15.75" hidden="1" thickBot="1" x14ac:dyDescent="0.3">
      <c r="B62" s="47" t="b">
        <f>IF(AND(P61&lt;&gt;"",OR(AND(G62&gt;='Geometry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3" t="str">
        <f t="shared" si="3"/>
        <v/>
      </c>
      <c r="D62" s="529" t="str">
        <f t="shared" si="4"/>
        <v/>
      </c>
      <c r="E62" s="530"/>
      <c r="F62" s="14" t="str">
        <f t="shared" si="2"/>
        <v/>
      </c>
      <c r="G62" s="531"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532"/>
      <c r="I62" s="143"/>
      <c r="J62" s="143"/>
      <c r="K62" s="143"/>
      <c r="L62" s="537" t="str">
        <f t="shared" si="10"/>
        <v/>
      </c>
      <c r="M62" s="537"/>
      <c r="N62" s="537"/>
      <c r="O62" s="537"/>
      <c r="P62" s="537" t="str">
        <f>IF(OR(G62=0,G62=""),"",IF(VLOOKUP(G62,'Geometry 2'!$C$4:$AI$14,1,TRUE)=VLOOKUP(G63,'Geometry 2'!$C$4:$AI$14,1,TRUE),"",IF(VLOOKUP(G62,'Geometry 2'!$C$4:$AI$14,33,TRUE)&lt;&gt;"n/a",MIN(G62,VLOOKUP(G62,'Geometry 2'!$C$4:$AI$14,1,TRUE))-VLOOKUP(G62,'Geometry 2'!$C$4:$AI$14,33,TRUE),"check")))</f>
        <v/>
      </c>
      <c r="Q62" s="537"/>
      <c r="R62" s="537"/>
      <c r="S62" s="537"/>
      <c r="T62" s="537" t="str">
        <f>IF($G62="","",VLOOKUP($G62,'Geometry 2'!$E$4:$AH$14,11,TRUE))</f>
        <v/>
      </c>
      <c r="U62" s="537"/>
      <c r="V62" s="537"/>
      <c r="W62" s="537"/>
      <c r="X62" s="538" t="str">
        <f>IF($G62="","",VLOOKUP($G62,'Geometry 2'!$E$4:$AJ$14,19,TRUE)-12*VLOOKUP($G62,'Geometry 2'!$E$4:$AJ$14,32,TRUE)*($D62-VLOOKUP($G62,'Geometry 2'!$E$5:$AH$14,1,TRUE)))</f>
        <v/>
      </c>
      <c r="Y62" s="538"/>
      <c r="Z62" s="538"/>
      <c r="AA62" s="538"/>
      <c r="AB62" s="542" t="str">
        <f>IF($G62="","",VLOOKUP($G62,'Geometry 2'!$E$4:$AJ$14,19,TRUE)-12*VLOOKUP($G62,'Geometry 2'!$E$4:$AJ$14,32,TRUE)*($G62-VLOOKUP($G62,'Geometry 2'!$E$5:$AH$14,1,TRUE)))</f>
        <v/>
      </c>
      <c r="AC62" s="543"/>
      <c r="AD62" s="543"/>
      <c r="AE62" s="544"/>
      <c r="AF62" s="538" t="str">
        <f>IF($G62="","",VLOOKUP($G62,'Geometry 2'!$E$4:$AJ$14,19,TRUE)-12*VLOOKUP($G62,'Geometry 2'!$E$4:$AJ$14,32,TRUE)*($G62-IF($P62="",0,$P62)-VLOOKUP($G62,'Geometry 2'!$E$5:$AH$14,1,TRUE)))</f>
        <v/>
      </c>
      <c r="AG62" s="538"/>
      <c r="AH62" s="538"/>
      <c r="AI62" s="538"/>
      <c r="AJ62" s="539" t="str">
        <f>IF($G62="","",VLOOKUP($G62,'Geometry 2'!$E$4:$AH$14,23,TRUE))</f>
        <v/>
      </c>
      <c r="AK62" s="549"/>
      <c r="AL62" s="549"/>
      <c r="AM62" s="550"/>
      <c r="AN62" s="537"/>
      <c r="AO62" s="537"/>
      <c r="AP62" s="537"/>
      <c r="AQ62" s="537"/>
      <c r="AR62" s="537" t="str">
        <f>IF($G62="","",VLOOKUP($G62,'Geometry 2'!$E$4:$AH$14,27,TRUE))</f>
        <v/>
      </c>
      <c r="AS62" s="537"/>
      <c r="AT62" s="537"/>
      <c r="AU62" s="539"/>
      <c r="AV62" s="564"/>
      <c r="AW62" s="538"/>
      <c r="AX62" s="538"/>
      <c r="AZ62" s="517" t="str">
        <f t="shared" si="5"/>
        <v/>
      </c>
      <c r="BA62" s="518"/>
      <c r="BB62" s="518"/>
      <c r="BC62" s="519"/>
      <c r="BD62" s="517"/>
      <c r="BE62" s="518"/>
      <c r="BF62" s="518"/>
      <c r="BG62" s="517" t="str">
        <f t="shared" si="9"/>
        <v/>
      </c>
      <c r="BH62" s="518"/>
      <c r="BI62" s="518"/>
      <c r="BJ62" s="518"/>
      <c r="BK62" s="519"/>
      <c r="BL62" s="517"/>
      <c r="BM62" s="518"/>
      <c r="BN62" s="518"/>
      <c r="BO62" s="518"/>
      <c r="BP62" s="520"/>
      <c r="BQ62" s="520"/>
      <c r="BR62" s="517" t="str">
        <f>IF(BP62="","",IF(OR(AND(Rev="H",Calculations!$F$27=TRUE),AND(Rev&lt;&gt;"H",Calculations!$F$30=TRUE)),IF(BP62&lt;=1,"Pass","Fail"),IF(BP62&lt;=1.05,"Pass","Fail")))</f>
        <v/>
      </c>
      <c r="BS62" s="518"/>
      <c r="BT62" s="519"/>
      <c r="BU62" s="34"/>
      <c r="BV62" s="16"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16"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16"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16"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16"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16"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16"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16"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16"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16"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16"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16"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16"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16"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16"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16"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16"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16"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44" t="str">
        <f t="shared" si="6"/>
        <v/>
      </c>
      <c r="CO62" s="494"/>
      <c r="CP62" s="495"/>
      <c r="CQ62" s="496"/>
      <c r="CR62" s="494"/>
      <c r="CS62" s="495"/>
      <c r="CT62" s="496"/>
      <c r="CU62" s="494" t="str">
        <f t="shared" si="7"/>
        <v/>
      </c>
      <c r="CV62" s="495"/>
      <c r="CW62" s="500"/>
      <c r="CX62" s="501"/>
      <c r="CY62" s="492"/>
      <c r="CZ62" s="502"/>
      <c r="DA62" s="488"/>
      <c r="DB62" s="489"/>
      <c r="DC62" s="490"/>
      <c r="DD62" s="491" t="str">
        <f t="shared" si="8"/>
        <v/>
      </c>
      <c r="DE62" s="492"/>
      <c r="DF62" s="493"/>
      <c r="DG62" s="40"/>
      <c r="DH62" s="41"/>
      <c r="DI62" s="41"/>
      <c r="DJ62" s="41"/>
      <c r="DK62" s="41"/>
      <c r="DL62" s="41"/>
      <c r="DM62" s="41"/>
      <c r="DN62" s="41"/>
      <c r="DO62" s="41"/>
      <c r="DP62" s="41"/>
      <c r="DQ62" s="43"/>
      <c r="DR62" s="43"/>
      <c r="DS62" s="43"/>
      <c r="DT62" s="43"/>
      <c r="DU62" s="43"/>
      <c r="DV62" s="43"/>
      <c r="DW62" s="43"/>
      <c r="DX62" s="43"/>
      <c r="DY62" s="43"/>
      <c r="DZ62" s="43"/>
      <c r="EA62" s="43"/>
      <c r="EB62" s="43"/>
      <c r="EC62" s="43"/>
      <c r="ED62" s="43"/>
      <c r="EE62" s="43"/>
      <c r="EF62" s="43"/>
      <c r="EG62" s="43"/>
      <c r="EH62" s="43"/>
      <c r="EI62" s="43"/>
      <c r="EJ62" s="43"/>
      <c r="EK62" s="43"/>
      <c r="EL62" s="98"/>
      <c r="EM62" s="98"/>
      <c r="EN62" s="98"/>
      <c r="EO62" s="98"/>
      <c r="EP62" s="98"/>
      <c r="EQ62" s="98"/>
      <c r="ER62" s="98"/>
      <c r="ES62" s="98"/>
      <c r="ET62" s="98"/>
      <c r="EU62" s="98"/>
      <c r="EV62" s="98"/>
      <c r="EW62" s="98"/>
      <c r="EX62" s="98"/>
      <c r="EY62" s="98"/>
      <c r="EZ62" s="98"/>
      <c r="FA62" s="98"/>
      <c r="FB62" s="98"/>
      <c r="FC62" s="98"/>
      <c r="FD62" s="98"/>
      <c r="FE62" s="98"/>
      <c r="FF62" s="98"/>
      <c r="FG62" s="98"/>
      <c r="FH62" s="98"/>
      <c r="FI62" s="98"/>
      <c r="FJ62" s="98"/>
      <c r="FK62" s="98"/>
      <c r="FL62" s="98"/>
      <c r="FM62" s="98"/>
      <c r="FN62" s="98"/>
      <c r="FO62" s="98"/>
      <c r="FQ62" s="89"/>
      <c r="FR62" s="87"/>
      <c r="FS62" s="85"/>
      <c r="FT62" s="84"/>
    </row>
    <row r="63" spans="2:176" ht="15.75" hidden="1" thickBot="1" x14ac:dyDescent="0.3">
      <c r="B63" s="47" t="b">
        <f>IF(AND(P62&lt;&gt;"",OR(AND(G63&gt;='Geometry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3" t="str">
        <f t="shared" si="3"/>
        <v/>
      </c>
      <c r="D63" s="529" t="str">
        <f t="shared" si="4"/>
        <v/>
      </c>
      <c r="E63" s="530"/>
      <c r="F63" s="14" t="str">
        <f t="shared" si="2"/>
        <v/>
      </c>
      <c r="G63" s="531"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532"/>
      <c r="I63" s="143"/>
      <c r="J63" s="143"/>
      <c r="K63" s="143"/>
      <c r="L63" s="537" t="str">
        <f t="shared" si="10"/>
        <v/>
      </c>
      <c r="M63" s="537"/>
      <c r="N63" s="537"/>
      <c r="O63" s="537"/>
      <c r="P63" s="537" t="str">
        <f>IF(OR(G63=0,G63=""),"",IF(VLOOKUP(G63,'Geometry 2'!$C$4:$AI$14,1,TRUE)=VLOOKUP(G64,'Geometry 2'!$C$4:$AI$14,1,TRUE),"",IF(VLOOKUP(G63,'Geometry 2'!$C$4:$AI$14,33,TRUE)&lt;&gt;"n/a",MIN(G63,VLOOKUP(G63,'Geometry 2'!$C$4:$AI$14,1,TRUE))-VLOOKUP(G63,'Geometry 2'!$C$4:$AI$14,33,TRUE),"check")))</f>
        <v/>
      </c>
      <c r="Q63" s="537"/>
      <c r="R63" s="537"/>
      <c r="S63" s="537"/>
      <c r="T63" s="537" t="str">
        <f>IF($G63="","",VLOOKUP($G63,'Geometry 2'!$E$4:$AH$14,11,TRUE))</f>
        <v/>
      </c>
      <c r="U63" s="537"/>
      <c r="V63" s="537"/>
      <c r="W63" s="537"/>
      <c r="X63" s="538" t="str">
        <f>IF($G63="","",VLOOKUP($G63,'Geometry 2'!$E$4:$AJ$14,19,TRUE)-12*VLOOKUP($G63,'Geometry 2'!$E$4:$AJ$14,32,TRUE)*($D63-VLOOKUP($G63,'Geometry 2'!$E$5:$AH$14,1,TRUE)))</f>
        <v/>
      </c>
      <c r="Y63" s="538"/>
      <c r="Z63" s="538"/>
      <c r="AA63" s="538"/>
      <c r="AB63" s="542" t="str">
        <f>IF($G63="","",VLOOKUP($G63,'Geometry 2'!$E$4:$AJ$14,19,TRUE)-12*VLOOKUP($G63,'Geometry 2'!$E$4:$AJ$14,32,TRUE)*($G63-VLOOKUP($G63,'Geometry 2'!$E$5:$AH$14,1,TRUE)))</f>
        <v/>
      </c>
      <c r="AC63" s="543"/>
      <c r="AD63" s="543"/>
      <c r="AE63" s="544"/>
      <c r="AF63" s="538" t="str">
        <f>IF($G63="","",VLOOKUP($G63,'Geometry 2'!$E$4:$AJ$14,19,TRUE)-12*VLOOKUP($G63,'Geometry 2'!$E$4:$AJ$14,32,TRUE)*($G63-IF($P63="",0,$P63)-VLOOKUP($G63,'Geometry 2'!$E$5:$AH$14,1,TRUE)))</f>
        <v/>
      </c>
      <c r="AG63" s="538"/>
      <c r="AH63" s="538"/>
      <c r="AI63" s="538"/>
      <c r="AJ63" s="539" t="str">
        <f>IF($G63="","",VLOOKUP($G63,'Geometry 2'!$E$4:$AH$14,23,TRUE))</f>
        <v/>
      </c>
      <c r="AK63" s="549"/>
      <c r="AL63" s="549"/>
      <c r="AM63" s="550"/>
      <c r="AN63" s="537"/>
      <c r="AO63" s="537"/>
      <c r="AP63" s="537"/>
      <c r="AQ63" s="537"/>
      <c r="AR63" s="537" t="str">
        <f>IF($G63="","",VLOOKUP($G63,'Geometry 2'!$E$4:$AH$14,27,TRUE))</f>
        <v/>
      </c>
      <c r="AS63" s="537"/>
      <c r="AT63" s="537"/>
      <c r="AU63" s="539"/>
      <c r="AV63" s="564"/>
      <c r="AW63" s="538"/>
      <c r="AX63" s="538"/>
      <c r="AZ63" s="517" t="str">
        <f t="shared" si="5"/>
        <v/>
      </c>
      <c r="BA63" s="518"/>
      <c r="BB63" s="518"/>
      <c r="BC63" s="519"/>
      <c r="BD63" s="517"/>
      <c r="BE63" s="518"/>
      <c r="BF63" s="518"/>
      <c r="BG63" s="517" t="str">
        <f t="shared" si="9"/>
        <v/>
      </c>
      <c r="BH63" s="518"/>
      <c r="BI63" s="518"/>
      <c r="BJ63" s="518"/>
      <c r="BK63" s="519"/>
      <c r="BL63" s="517"/>
      <c r="BM63" s="518"/>
      <c r="BN63" s="518"/>
      <c r="BO63" s="518"/>
      <c r="BP63" s="520"/>
      <c r="BQ63" s="520"/>
      <c r="BR63" s="517" t="str">
        <f>IF(BP63="","",IF(OR(AND(Rev="H",Calculations!$F$27=TRUE),AND(Rev&lt;&gt;"H",Calculations!$F$30=TRUE)),IF(BP63&lt;=1,"Pass","Fail"),IF(BP63&lt;=1.05,"Pass","Fail")))</f>
        <v/>
      </c>
      <c r="BS63" s="518"/>
      <c r="BT63" s="519"/>
      <c r="BU63" s="34"/>
      <c r="BV63" s="16"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16"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16"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16"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16"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16"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16"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16"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16"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16"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16"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16"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16"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16"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16"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16"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16"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16"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45" t="str">
        <f t="shared" si="6"/>
        <v/>
      </c>
      <c r="CO63" s="497"/>
      <c r="CP63" s="498"/>
      <c r="CQ63" s="499"/>
      <c r="CR63" s="497"/>
      <c r="CS63" s="498"/>
      <c r="CT63" s="499"/>
      <c r="CU63" s="497" t="str">
        <f t="shared" si="7"/>
        <v/>
      </c>
      <c r="CV63" s="498"/>
      <c r="CW63" s="503"/>
      <c r="CX63" s="484"/>
      <c r="CY63" s="485"/>
      <c r="CZ63" s="486"/>
      <c r="DA63" s="484"/>
      <c r="DB63" s="485"/>
      <c r="DC63" s="486"/>
      <c r="DD63" s="484" t="str">
        <f t="shared" si="8"/>
        <v/>
      </c>
      <c r="DE63" s="485"/>
      <c r="DF63" s="487"/>
      <c r="DG63" s="38"/>
      <c r="DH63" s="39"/>
      <c r="DI63" s="39"/>
      <c r="DJ63" s="39"/>
      <c r="DK63" s="39"/>
      <c r="DL63" s="39"/>
      <c r="DM63" s="39"/>
      <c r="DN63" s="39"/>
      <c r="DO63" s="39"/>
      <c r="DP63" s="39"/>
      <c r="DQ63" s="42"/>
      <c r="DR63" s="42"/>
      <c r="DS63" s="42"/>
      <c r="DT63" s="42"/>
      <c r="DU63" s="42"/>
      <c r="DV63" s="42"/>
      <c r="DW63" s="42"/>
      <c r="DX63" s="42"/>
      <c r="DY63" s="42"/>
      <c r="DZ63" s="42"/>
      <c r="EA63" s="42"/>
      <c r="EB63" s="42"/>
      <c r="EC63" s="42"/>
      <c r="ED63" s="42"/>
      <c r="EE63" s="42"/>
      <c r="EF63" s="42"/>
      <c r="EG63" s="42"/>
      <c r="EH63" s="42"/>
      <c r="EI63" s="42"/>
      <c r="EJ63" s="42"/>
      <c r="EK63" s="42"/>
      <c r="EL63" s="97"/>
      <c r="EM63" s="97"/>
      <c r="EN63" s="97"/>
      <c r="EO63" s="97"/>
      <c r="EP63" s="97"/>
      <c r="EQ63" s="97"/>
      <c r="ER63" s="97"/>
      <c r="ES63" s="97"/>
      <c r="ET63" s="97"/>
      <c r="EU63" s="97"/>
      <c r="EV63" s="97"/>
      <c r="EW63" s="97"/>
      <c r="EX63" s="97"/>
      <c r="EY63" s="97"/>
      <c r="EZ63" s="97"/>
      <c r="FA63" s="97"/>
      <c r="FB63" s="97"/>
      <c r="FC63" s="97"/>
      <c r="FD63" s="97"/>
      <c r="FE63" s="97"/>
      <c r="FF63" s="97"/>
      <c r="FG63" s="97"/>
      <c r="FH63" s="97"/>
      <c r="FI63" s="97"/>
      <c r="FJ63" s="97"/>
      <c r="FK63" s="97"/>
      <c r="FL63" s="97"/>
      <c r="FM63" s="97"/>
      <c r="FN63" s="97"/>
      <c r="FO63" s="97"/>
      <c r="FQ63" s="90"/>
      <c r="FR63" s="88"/>
      <c r="FS63" s="86"/>
      <c r="FT63" s="84"/>
    </row>
    <row r="64" spans="2:176" ht="15.75" hidden="1" thickBot="1" x14ac:dyDescent="0.3">
      <c r="B64" s="47" t="b">
        <f>IF(AND(P63&lt;&gt;"",OR(AND(G64&gt;='Geometry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3" t="str">
        <f t="shared" si="3"/>
        <v/>
      </c>
      <c r="D64" s="529" t="str">
        <f t="shared" si="4"/>
        <v/>
      </c>
      <c r="E64" s="530"/>
      <c r="F64" s="14" t="str">
        <f t="shared" si="2"/>
        <v/>
      </c>
      <c r="G64" s="531"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532"/>
      <c r="I64" s="143"/>
      <c r="J64" s="143"/>
      <c r="K64" s="143"/>
      <c r="L64" s="537" t="str">
        <f t="shared" si="10"/>
        <v/>
      </c>
      <c r="M64" s="537"/>
      <c r="N64" s="537"/>
      <c r="O64" s="537"/>
      <c r="P64" s="537" t="str">
        <f>IF(OR(G64=0,G64=""),"",IF(VLOOKUP(G64,'Geometry 2'!$C$4:$AI$14,1,TRUE)=VLOOKUP(G65,'Geometry 2'!$C$4:$AI$14,1,TRUE),"",IF(VLOOKUP(G64,'Geometry 2'!$C$4:$AI$14,33,TRUE)&lt;&gt;"n/a",MIN(G64,VLOOKUP(G64,'Geometry 2'!$C$4:$AI$14,1,TRUE))-VLOOKUP(G64,'Geometry 2'!$C$4:$AI$14,33,TRUE),"check")))</f>
        <v/>
      </c>
      <c r="Q64" s="537"/>
      <c r="R64" s="537"/>
      <c r="S64" s="537"/>
      <c r="T64" s="537" t="str">
        <f>IF($G64="","",VLOOKUP($G64,'Geometry 2'!$E$4:$AH$14,11,TRUE))</f>
        <v/>
      </c>
      <c r="U64" s="537"/>
      <c r="V64" s="537"/>
      <c r="W64" s="537"/>
      <c r="X64" s="538" t="str">
        <f>IF($G64="","",VLOOKUP($G64,'Geometry 2'!$E$4:$AJ$14,19,TRUE)-12*VLOOKUP($G64,'Geometry 2'!$E$4:$AJ$14,32,TRUE)*($D64-VLOOKUP($G64,'Geometry 2'!$E$5:$AH$14,1,TRUE)))</f>
        <v/>
      </c>
      <c r="Y64" s="538"/>
      <c r="Z64" s="538"/>
      <c r="AA64" s="538"/>
      <c r="AB64" s="542" t="str">
        <f>IF($G64="","",VLOOKUP($G64,'Geometry 2'!$E$4:$AJ$14,19,TRUE)-12*VLOOKUP($G64,'Geometry 2'!$E$4:$AJ$14,32,TRUE)*($G64-VLOOKUP($G64,'Geometry 2'!$E$5:$AH$14,1,TRUE)))</f>
        <v/>
      </c>
      <c r="AC64" s="543"/>
      <c r="AD64" s="543"/>
      <c r="AE64" s="544"/>
      <c r="AF64" s="538" t="str">
        <f>IF($G64="","",VLOOKUP($G64,'Geometry 2'!$E$4:$AJ$14,19,TRUE)-12*VLOOKUP($G64,'Geometry 2'!$E$4:$AJ$14,32,TRUE)*($G64-IF($P64="",0,$P64)-VLOOKUP($G64,'Geometry 2'!$E$5:$AH$14,1,TRUE)))</f>
        <v/>
      </c>
      <c r="AG64" s="538"/>
      <c r="AH64" s="538"/>
      <c r="AI64" s="538"/>
      <c r="AJ64" s="539" t="str">
        <f>IF($G64="","",VLOOKUP($G64,'Geometry 2'!$E$4:$AH$14,23,TRUE))</f>
        <v/>
      </c>
      <c r="AK64" s="549"/>
      <c r="AL64" s="549"/>
      <c r="AM64" s="550"/>
      <c r="AN64" s="537"/>
      <c r="AO64" s="537"/>
      <c r="AP64" s="537"/>
      <c r="AQ64" s="537"/>
      <c r="AR64" s="537" t="str">
        <f>IF($G64="","",VLOOKUP($G64,'Geometry 2'!$E$4:$AH$14,27,TRUE))</f>
        <v/>
      </c>
      <c r="AS64" s="537"/>
      <c r="AT64" s="537"/>
      <c r="AU64" s="539"/>
      <c r="AV64" s="564"/>
      <c r="AW64" s="538"/>
      <c r="AX64" s="538"/>
      <c r="AZ64" s="517" t="str">
        <f t="shared" si="5"/>
        <v/>
      </c>
      <c r="BA64" s="518"/>
      <c r="BB64" s="518"/>
      <c r="BC64" s="519"/>
      <c r="BD64" s="517"/>
      <c r="BE64" s="518"/>
      <c r="BF64" s="518"/>
      <c r="BG64" s="517" t="str">
        <f t="shared" si="9"/>
        <v/>
      </c>
      <c r="BH64" s="518"/>
      <c r="BI64" s="518"/>
      <c r="BJ64" s="518"/>
      <c r="BK64" s="519"/>
      <c r="BL64" s="517"/>
      <c r="BM64" s="518"/>
      <c r="BN64" s="518"/>
      <c r="BO64" s="518"/>
      <c r="BP64" s="520"/>
      <c r="BQ64" s="520"/>
      <c r="BR64" s="517" t="str">
        <f>IF(BP64="","",IF(OR(AND(Rev="H",Calculations!$F$27=TRUE),AND(Rev&lt;&gt;"H",Calculations!$F$30=TRUE)),IF(BP64&lt;=1,"Pass","Fail"),IF(BP64&lt;=1.05,"Pass","Fail")))</f>
        <v/>
      </c>
      <c r="BS64" s="518"/>
      <c r="BT64" s="519"/>
      <c r="BU64" s="34"/>
      <c r="BV64" s="16"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16"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16"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16"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16"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16"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16"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16"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16"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16"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16"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16"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16"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16"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16"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16"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16"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16"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44" t="str">
        <f t="shared" si="6"/>
        <v/>
      </c>
      <c r="CO64" s="494"/>
      <c r="CP64" s="495"/>
      <c r="CQ64" s="496"/>
      <c r="CR64" s="494"/>
      <c r="CS64" s="495"/>
      <c r="CT64" s="496"/>
      <c r="CU64" s="494" t="str">
        <f t="shared" si="7"/>
        <v/>
      </c>
      <c r="CV64" s="495"/>
      <c r="CW64" s="500"/>
      <c r="CX64" s="501"/>
      <c r="CY64" s="492"/>
      <c r="CZ64" s="502"/>
      <c r="DA64" s="488"/>
      <c r="DB64" s="489"/>
      <c r="DC64" s="490"/>
      <c r="DD64" s="491" t="str">
        <f t="shared" si="8"/>
        <v/>
      </c>
      <c r="DE64" s="492"/>
      <c r="DF64" s="493"/>
      <c r="DG64" s="40"/>
      <c r="DH64" s="41"/>
      <c r="DI64" s="41"/>
      <c r="DJ64" s="41"/>
      <c r="DK64" s="41"/>
      <c r="DL64" s="41"/>
      <c r="DM64" s="41"/>
      <c r="DN64" s="41"/>
      <c r="DO64" s="41"/>
      <c r="DP64" s="41"/>
      <c r="DQ64" s="43"/>
      <c r="DR64" s="43"/>
      <c r="DS64" s="43"/>
      <c r="DT64" s="43"/>
      <c r="DU64" s="43"/>
      <c r="DV64" s="43"/>
      <c r="DW64" s="43"/>
      <c r="DX64" s="43"/>
      <c r="DY64" s="43"/>
      <c r="DZ64" s="43"/>
      <c r="EA64" s="43"/>
      <c r="EB64" s="43"/>
      <c r="EC64" s="43"/>
      <c r="ED64" s="43"/>
      <c r="EE64" s="43"/>
      <c r="EF64" s="43"/>
      <c r="EG64" s="43"/>
      <c r="EH64" s="43"/>
      <c r="EI64" s="43"/>
      <c r="EJ64" s="43"/>
      <c r="EK64" s="43"/>
      <c r="EL64" s="98"/>
      <c r="EM64" s="98"/>
      <c r="EN64" s="98"/>
      <c r="EO64" s="98"/>
      <c r="EP64" s="98"/>
      <c r="EQ64" s="98"/>
      <c r="ER64" s="98"/>
      <c r="ES64" s="98"/>
      <c r="ET64" s="98"/>
      <c r="EU64" s="98"/>
      <c r="EV64" s="98"/>
      <c r="EW64" s="98"/>
      <c r="EX64" s="98"/>
      <c r="EY64" s="98"/>
      <c r="EZ64" s="98"/>
      <c r="FA64" s="98"/>
      <c r="FB64" s="98"/>
      <c r="FC64" s="98"/>
      <c r="FD64" s="98"/>
      <c r="FE64" s="98"/>
      <c r="FF64" s="98"/>
      <c r="FG64" s="98"/>
      <c r="FH64" s="98"/>
      <c r="FI64" s="98"/>
      <c r="FJ64" s="98"/>
      <c r="FK64" s="98"/>
      <c r="FL64" s="98"/>
      <c r="FM64" s="98"/>
      <c r="FN64" s="98"/>
      <c r="FO64" s="98"/>
      <c r="FQ64" s="89"/>
      <c r="FR64" s="87"/>
      <c r="FS64" s="85"/>
      <c r="FT64" s="84"/>
    </row>
    <row r="65" spans="2:176" ht="15.75" hidden="1" thickBot="1" x14ac:dyDescent="0.3">
      <c r="B65" s="47" t="b">
        <f>IF(AND(P64&lt;&gt;"",OR(AND(G65&gt;='Geometry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3" t="str">
        <f t="shared" si="3"/>
        <v/>
      </c>
      <c r="D65" s="529" t="str">
        <f t="shared" si="4"/>
        <v/>
      </c>
      <c r="E65" s="530"/>
      <c r="F65" s="14" t="str">
        <f t="shared" si="2"/>
        <v/>
      </c>
      <c r="G65" s="531"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532"/>
      <c r="I65" s="143"/>
      <c r="J65" s="143"/>
      <c r="K65" s="143"/>
      <c r="L65" s="537" t="str">
        <f t="shared" si="10"/>
        <v/>
      </c>
      <c r="M65" s="537"/>
      <c r="N65" s="537"/>
      <c r="O65" s="537"/>
      <c r="P65" s="537" t="str">
        <f>IF(OR(G65=0,G65=""),"",IF(VLOOKUP(G65,'Geometry 2'!$C$4:$AI$14,1,TRUE)=VLOOKUP(G66,'Geometry 2'!$C$4:$AI$14,1,TRUE),"",IF(VLOOKUP(G65,'Geometry 2'!$C$4:$AI$14,33,TRUE)&lt;&gt;"n/a",MIN(G65,VLOOKUP(G65,'Geometry 2'!$C$4:$AI$14,1,TRUE))-VLOOKUP(G65,'Geometry 2'!$C$4:$AI$14,33,TRUE),"check")))</f>
        <v/>
      </c>
      <c r="Q65" s="537"/>
      <c r="R65" s="537"/>
      <c r="S65" s="537"/>
      <c r="T65" s="537" t="str">
        <f>IF($G65="","",VLOOKUP($G65,'Geometry 2'!$E$4:$AH$14,11,TRUE))</f>
        <v/>
      </c>
      <c r="U65" s="537"/>
      <c r="V65" s="537"/>
      <c r="W65" s="537"/>
      <c r="X65" s="538" t="str">
        <f>IF($G65="","",VLOOKUP($G65,'Geometry 2'!$E$4:$AJ$14,19,TRUE)-12*VLOOKUP($G65,'Geometry 2'!$E$4:$AJ$14,32,TRUE)*($D65-VLOOKUP($G65,'Geometry 2'!$E$5:$AH$14,1,TRUE)))</f>
        <v/>
      </c>
      <c r="Y65" s="538"/>
      <c r="Z65" s="538"/>
      <c r="AA65" s="538"/>
      <c r="AB65" s="542" t="str">
        <f>IF($G65="","",VLOOKUP($G65,'Geometry 2'!$E$4:$AJ$14,19,TRUE)-12*VLOOKUP($G65,'Geometry 2'!$E$4:$AJ$14,32,TRUE)*($G65-VLOOKUP($G65,'Geometry 2'!$E$5:$AH$14,1,TRUE)))</f>
        <v/>
      </c>
      <c r="AC65" s="543"/>
      <c r="AD65" s="543"/>
      <c r="AE65" s="544"/>
      <c r="AF65" s="538" t="str">
        <f>IF($G65="","",VLOOKUP($G65,'Geometry 2'!$E$4:$AJ$14,19,TRUE)-12*VLOOKUP($G65,'Geometry 2'!$E$4:$AJ$14,32,TRUE)*($G65-IF($P65="",0,$P65)-VLOOKUP($G65,'Geometry 2'!$E$5:$AH$14,1,TRUE)))</f>
        <v/>
      </c>
      <c r="AG65" s="538"/>
      <c r="AH65" s="538"/>
      <c r="AI65" s="538"/>
      <c r="AJ65" s="539" t="str">
        <f>IF($G65="","",VLOOKUP($G65,'Geometry 2'!$E$4:$AH$14,23,TRUE))</f>
        <v/>
      </c>
      <c r="AK65" s="549"/>
      <c r="AL65" s="549"/>
      <c r="AM65" s="550"/>
      <c r="AN65" s="537"/>
      <c r="AO65" s="537"/>
      <c r="AP65" s="537"/>
      <c r="AQ65" s="537"/>
      <c r="AR65" s="537" t="str">
        <f>IF($G65="","",VLOOKUP($G65,'Geometry 2'!$E$4:$AH$14,27,TRUE))</f>
        <v/>
      </c>
      <c r="AS65" s="537"/>
      <c r="AT65" s="537"/>
      <c r="AU65" s="539"/>
      <c r="AV65" s="564"/>
      <c r="AW65" s="538"/>
      <c r="AX65" s="538"/>
      <c r="AZ65" s="517" t="str">
        <f t="shared" si="5"/>
        <v/>
      </c>
      <c r="BA65" s="518"/>
      <c r="BB65" s="518"/>
      <c r="BC65" s="519"/>
      <c r="BD65" s="517"/>
      <c r="BE65" s="518"/>
      <c r="BF65" s="518"/>
      <c r="BG65" s="517" t="str">
        <f t="shared" si="9"/>
        <v/>
      </c>
      <c r="BH65" s="518"/>
      <c r="BI65" s="518"/>
      <c r="BJ65" s="518"/>
      <c r="BK65" s="519"/>
      <c r="BL65" s="517"/>
      <c r="BM65" s="518"/>
      <c r="BN65" s="518"/>
      <c r="BO65" s="518"/>
      <c r="BP65" s="520"/>
      <c r="BQ65" s="520"/>
      <c r="BR65" s="517" t="str">
        <f>IF(BP65="","",IF(OR(AND(Rev="H",Calculations!$F$27=TRUE),AND(Rev&lt;&gt;"H",Calculations!$F$30=TRUE)),IF(BP65&lt;=1,"Pass","Fail"),IF(BP65&lt;=1.05,"Pass","Fail")))</f>
        <v/>
      </c>
      <c r="BS65" s="518"/>
      <c r="BT65" s="519"/>
      <c r="BU65" s="34"/>
      <c r="BV65" s="16"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16"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16"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16"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16"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16"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16"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16"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16"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16"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16"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16"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16"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16"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16"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16"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16"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16"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45" t="str">
        <f t="shared" si="6"/>
        <v/>
      </c>
      <c r="CO65" s="497"/>
      <c r="CP65" s="498"/>
      <c r="CQ65" s="499"/>
      <c r="CR65" s="497"/>
      <c r="CS65" s="498"/>
      <c r="CT65" s="499"/>
      <c r="CU65" s="497" t="str">
        <f t="shared" si="7"/>
        <v/>
      </c>
      <c r="CV65" s="498"/>
      <c r="CW65" s="503"/>
      <c r="CX65" s="484"/>
      <c r="CY65" s="485"/>
      <c r="CZ65" s="486"/>
      <c r="DA65" s="484"/>
      <c r="DB65" s="485"/>
      <c r="DC65" s="486"/>
      <c r="DD65" s="484" t="str">
        <f t="shared" si="8"/>
        <v/>
      </c>
      <c r="DE65" s="485"/>
      <c r="DF65" s="487"/>
      <c r="DG65" s="38"/>
      <c r="DH65" s="39"/>
      <c r="DI65" s="39"/>
      <c r="DJ65" s="39"/>
      <c r="DK65" s="39"/>
      <c r="DL65" s="39"/>
      <c r="DM65" s="39"/>
      <c r="DN65" s="39"/>
      <c r="DO65" s="39"/>
      <c r="DP65" s="39"/>
      <c r="DQ65" s="42"/>
      <c r="DR65" s="42"/>
      <c r="DS65" s="42"/>
      <c r="DT65" s="42"/>
      <c r="DU65" s="42"/>
      <c r="DV65" s="42"/>
      <c r="DW65" s="42"/>
      <c r="DX65" s="42"/>
      <c r="DY65" s="42"/>
      <c r="DZ65" s="42"/>
      <c r="EA65" s="42"/>
      <c r="EB65" s="42"/>
      <c r="EC65" s="42"/>
      <c r="ED65" s="42"/>
      <c r="EE65" s="42"/>
      <c r="EF65" s="42"/>
      <c r="EG65" s="42"/>
      <c r="EH65" s="42"/>
      <c r="EI65" s="42"/>
      <c r="EJ65" s="42"/>
      <c r="EK65" s="42"/>
      <c r="EL65" s="97"/>
      <c r="EM65" s="97"/>
      <c r="EN65" s="97"/>
      <c r="EO65" s="97"/>
      <c r="EP65" s="97"/>
      <c r="EQ65" s="97"/>
      <c r="ER65" s="97"/>
      <c r="ES65" s="97"/>
      <c r="ET65" s="97"/>
      <c r="EU65" s="97"/>
      <c r="EV65" s="97"/>
      <c r="EW65" s="97"/>
      <c r="EX65" s="97"/>
      <c r="EY65" s="97"/>
      <c r="EZ65" s="97"/>
      <c r="FA65" s="97"/>
      <c r="FB65" s="97"/>
      <c r="FC65" s="97"/>
      <c r="FD65" s="97"/>
      <c r="FE65" s="97"/>
      <c r="FF65" s="97"/>
      <c r="FG65" s="97"/>
      <c r="FH65" s="97"/>
      <c r="FI65" s="97"/>
      <c r="FJ65" s="97"/>
      <c r="FK65" s="97"/>
      <c r="FL65" s="97"/>
      <c r="FM65" s="97"/>
      <c r="FN65" s="97"/>
      <c r="FO65" s="97"/>
      <c r="FQ65" s="90"/>
      <c r="FR65" s="88"/>
      <c r="FS65" s="86"/>
      <c r="FT65" s="84"/>
    </row>
    <row r="66" spans="2:176" ht="15.75" hidden="1" thickBot="1" x14ac:dyDescent="0.3">
      <c r="B66" s="47" t="b">
        <f>IF(AND(P65&lt;&gt;"",OR(AND(G66&gt;='Geometry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3" t="str">
        <f t="shared" si="3"/>
        <v/>
      </c>
      <c r="D66" s="529" t="str">
        <f t="shared" si="4"/>
        <v/>
      </c>
      <c r="E66" s="530"/>
      <c r="F66" s="14" t="str">
        <f t="shared" si="2"/>
        <v/>
      </c>
      <c r="G66" s="531"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532"/>
      <c r="I66" s="143"/>
      <c r="J66" s="143"/>
      <c r="K66" s="143"/>
      <c r="L66" s="537" t="str">
        <f t="shared" si="10"/>
        <v/>
      </c>
      <c r="M66" s="537"/>
      <c r="N66" s="537"/>
      <c r="O66" s="537"/>
      <c r="P66" s="537" t="str">
        <f>IF(OR(G66=0,G66=""),"",IF(VLOOKUP(G66,'Geometry 2'!$C$4:$AI$14,1,TRUE)=VLOOKUP(G67,'Geometry 2'!$C$4:$AI$14,1,TRUE),"",IF(VLOOKUP(G66,'Geometry 2'!$C$4:$AI$14,33,TRUE)&lt;&gt;"n/a",MIN(G66,VLOOKUP(G66,'Geometry 2'!$C$4:$AI$14,1,TRUE))-VLOOKUP(G66,'Geometry 2'!$C$4:$AI$14,33,TRUE),"check")))</f>
        <v/>
      </c>
      <c r="Q66" s="537"/>
      <c r="R66" s="537"/>
      <c r="S66" s="537"/>
      <c r="T66" s="537" t="str">
        <f>IF($G66="","",VLOOKUP($G66,'Geometry 2'!$E$4:$AH$14,11,TRUE))</f>
        <v/>
      </c>
      <c r="U66" s="537"/>
      <c r="V66" s="537"/>
      <c r="W66" s="537"/>
      <c r="X66" s="538" t="str">
        <f>IF($G66="","",VLOOKUP($G66,'Geometry 2'!$E$4:$AJ$14,19,TRUE)-12*VLOOKUP($G66,'Geometry 2'!$E$4:$AJ$14,32,TRUE)*($D66-VLOOKUP($G66,'Geometry 2'!$E$5:$AH$14,1,TRUE)))</f>
        <v/>
      </c>
      <c r="Y66" s="538"/>
      <c r="Z66" s="538"/>
      <c r="AA66" s="538"/>
      <c r="AB66" s="542" t="str">
        <f>IF($G66="","",VLOOKUP($G66,'Geometry 2'!$E$4:$AJ$14,19,TRUE)-12*VLOOKUP($G66,'Geometry 2'!$E$4:$AJ$14,32,TRUE)*($G66-VLOOKUP($G66,'Geometry 2'!$E$5:$AH$14,1,TRUE)))</f>
        <v/>
      </c>
      <c r="AC66" s="543"/>
      <c r="AD66" s="543"/>
      <c r="AE66" s="544"/>
      <c r="AF66" s="538" t="str">
        <f>IF($G66="","",VLOOKUP($G66,'Geometry 2'!$E$4:$AJ$14,19,TRUE)-12*VLOOKUP($G66,'Geometry 2'!$E$4:$AJ$14,32,TRUE)*($G66-IF($P66="",0,$P66)-VLOOKUP($G66,'Geometry 2'!$E$5:$AH$14,1,TRUE)))</f>
        <v/>
      </c>
      <c r="AG66" s="538"/>
      <c r="AH66" s="538"/>
      <c r="AI66" s="538"/>
      <c r="AJ66" s="539" t="str">
        <f>IF($G66="","",VLOOKUP($G66,'Geometry 2'!$E$4:$AH$14,23,TRUE))</f>
        <v/>
      </c>
      <c r="AK66" s="549"/>
      <c r="AL66" s="549"/>
      <c r="AM66" s="550"/>
      <c r="AN66" s="537"/>
      <c r="AO66" s="537"/>
      <c r="AP66" s="537"/>
      <c r="AQ66" s="537"/>
      <c r="AR66" s="537" t="str">
        <f>IF($G66="","",VLOOKUP($G66,'Geometry 2'!$E$4:$AH$14,27,TRUE))</f>
        <v/>
      </c>
      <c r="AS66" s="537"/>
      <c r="AT66" s="537"/>
      <c r="AU66" s="539"/>
      <c r="AV66" s="564"/>
      <c r="AW66" s="538"/>
      <c r="AX66" s="538"/>
      <c r="AZ66" s="517" t="str">
        <f t="shared" si="5"/>
        <v/>
      </c>
      <c r="BA66" s="518"/>
      <c r="BB66" s="518"/>
      <c r="BC66" s="519"/>
      <c r="BD66" s="517"/>
      <c r="BE66" s="518"/>
      <c r="BF66" s="518"/>
      <c r="BG66" s="517" t="str">
        <f t="shared" si="9"/>
        <v/>
      </c>
      <c r="BH66" s="518"/>
      <c r="BI66" s="518"/>
      <c r="BJ66" s="518"/>
      <c r="BK66" s="519"/>
      <c r="BL66" s="517"/>
      <c r="BM66" s="518"/>
      <c r="BN66" s="518"/>
      <c r="BO66" s="518"/>
      <c r="BP66" s="520"/>
      <c r="BQ66" s="520"/>
      <c r="BR66" s="517" t="str">
        <f>IF(BP66="","",IF(OR(AND(Rev="H",Calculations!$F$27=TRUE),AND(Rev&lt;&gt;"H",Calculations!$F$30=TRUE)),IF(BP66&lt;=1,"Pass","Fail"),IF(BP66&lt;=1.05,"Pass","Fail")))</f>
        <v/>
      </c>
      <c r="BS66" s="518"/>
      <c r="BT66" s="519"/>
      <c r="BU66" s="34"/>
      <c r="BV66" s="16"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16"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16"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16"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16"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16"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16"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16"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16"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16"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16"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16"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16"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16"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16"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16"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16"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16"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44" t="str">
        <f t="shared" si="6"/>
        <v/>
      </c>
      <c r="CO66" s="494"/>
      <c r="CP66" s="495"/>
      <c r="CQ66" s="496"/>
      <c r="CR66" s="494"/>
      <c r="CS66" s="495"/>
      <c r="CT66" s="496"/>
      <c r="CU66" s="494" t="str">
        <f t="shared" si="7"/>
        <v/>
      </c>
      <c r="CV66" s="495"/>
      <c r="CW66" s="500"/>
      <c r="CX66" s="501"/>
      <c r="CY66" s="492"/>
      <c r="CZ66" s="502"/>
      <c r="DA66" s="488"/>
      <c r="DB66" s="489"/>
      <c r="DC66" s="490"/>
      <c r="DD66" s="491" t="str">
        <f t="shared" si="8"/>
        <v/>
      </c>
      <c r="DE66" s="492"/>
      <c r="DF66" s="493"/>
      <c r="DG66" s="40"/>
      <c r="DH66" s="41"/>
      <c r="DI66" s="41"/>
      <c r="DJ66" s="41"/>
      <c r="DK66" s="41"/>
      <c r="DL66" s="41"/>
      <c r="DM66" s="41"/>
      <c r="DN66" s="41"/>
      <c r="DO66" s="41"/>
      <c r="DP66" s="41"/>
      <c r="DQ66" s="43"/>
      <c r="DR66" s="43"/>
      <c r="DS66" s="43"/>
      <c r="DT66" s="43"/>
      <c r="DU66" s="43"/>
      <c r="DV66" s="43"/>
      <c r="DW66" s="43"/>
      <c r="DX66" s="43"/>
      <c r="DY66" s="43"/>
      <c r="DZ66" s="43"/>
      <c r="EA66" s="43"/>
      <c r="EB66" s="43"/>
      <c r="EC66" s="43"/>
      <c r="ED66" s="43"/>
      <c r="EE66" s="43"/>
      <c r="EF66" s="43"/>
      <c r="EG66" s="43"/>
      <c r="EH66" s="43"/>
      <c r="EI66" s="43"/>
      <c r="EJ66" s="43"/>
      <c r="EK66" s="43"/>
      <c r="EL66" s="98"/>
      <c r="EM66" s="98"/>
      <c r="EN66" s="98"/>
      <c r="EO66" s="98"/>
      <c r="EP66" s="98"/>
      <c r="EQ66" s="98"/>
      <c r="ER66" s="98"/>
      <c r="ES66" s="98"/>
      <c r="ET66" s="98"/>
      <c r="EU66" s="98"/>
      <c r="EV66" s="98"/>
      <c r="EW66" s="98"/>
      <c r="EX66" s="98"/>
      <c r="EY66" s="98"/>
      <c r="EZ66" s="98"/>
      <c r="FA66" s="98"/>
      <c r="FB66" s="98"/>
      <c r="FC66" s="98"/>
      <c r="FD66" s="98"/>
      <c r="FE66" s="98"/>
      <c r="FF66" s="98"/>
      <c r="FG66" s="98"/>
      <c r="FH66" s="98"/>
      <c r="FI66" s="98"/>
      <c r="FJ66" s="98"/>
      <c r="FK66" s="98"/>
      <c r="FL66" s="98"/>
      <c r="FM66" s="98"/>
      <c r="FN66" s="98"/>
      <c r="FO66" s="98"/>
      <c r="FQ66" s="89"/>
      <c r="FR66" s="87"/>
      <c r="FS66" s="85"/>
      <c r="FT66" s="84"/>
    </row>
    <row r="67" spans="2:176" ht="15.75" hidden="1" thickBot="1" x14ac:dyDescent="0.3">
      <c r="B67" s="47" t="b">
        <f>IF(AND(P66&lt;&gt;"",OR(AND(G67&gt;='Geometry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3" t="str">
        <f t="shared" si="3"/>
        <v/>
      </c>
      <c r="D67" s="529" t="str">
        <f t="shared" si="4"/>
        <v/>
      </c>
      <c r="E67" s="530"/>
      <c r="F67" s="14" t="str">
        <f t="shared" si="2"/>
        <v/>
      </c>
      <c r="G67" s="531"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532"/>
      <c r="I67" s="143"/>
      <c r="J67" s="143"/>
      <c r="K67" s="143"/>
      <c r="L67" s="537" t="str">
        <f t="shared" si="10"/>
        <v/>
      </c>
      <c r="M67" s="537"/>
      <c r="N67" s="537"/>
      <c r="O67" s="537"/>
      <c r="P67" s="537" t="str">
        <f>IF(OR(G67=0,G67=""),"",IF(VLOOKUP(G67,'Geometry 2'!$C$4:$AI$14,1,TRUE)=VLOOKUP(G68,'Geometry 2'!$C$4:$AI$14,1,TRUE),"",IF(VLOOKUP(G67,'Geometry 2'!$C$4:$AI$14,33,TRUE)&lt;&gt;"n/a",MIN(G67,VLOOKUP(G67,'Geometry 2'!$C$4:$AI$14,1,TRUE))-VLOOKUP(G67,'Geometry 2'!$C$4:$AI$14,33,TRUE),"check")))</f>
        <v/>
      </c>
      <c r="Q67" s="537"/>
      <c r="R67" s="537"/>
      <c r="S67" s="537"/>
      <c r="T67" s="537" t="str">
        <f>IF($G67="","",VLOOKUP($G67,'Geometry 2'!$E$4:$AH$14,11,TRUE))</f>
        <v/>
      </c>
      <c r="U67" s="537"/>
      <c r="V67" s="537"/>
      <c r="W67" s="537"/>
      <c r="X67" s="538" t="str">
        <f>IF($G67="","",VLOOKUP($G67,'Geometry 2'!$E$4:$AJ$14,19,TRUE)-12*VLOOKUP($G67,'Geometry 2'!$E$4:$AJ$14,32,TRUE)*($D67-VLOOKUP($G67,'Geometry 2'!$E$5:$AH$14,1,TRUE)))</f>
        <v/>
      </c>
      <c r="Y67" s="538"/>
      <c r="Z67" s="538"/>
      <c r="AA67" s="538"/>
      <c r="AB67" s="542" t="str">
        <f>IF($G67="","",VLOOKUP($G67,'Geometry 2'!$E$4:$AJ$14,19,TRUE)-12*VLOOKUP($G67,'Geometry 2'!$E$4:$AJ$14,32,TRUE)*($G67-VLOOKUP($G67,'Geometry 2'!$E$5:$AH$14,1,TRUE)))</f>
        <v/>
      </c>
      <c r="AC67" s="543"/>
      <c r="AD67" s="543"/>
      <c r="AE67" s="544"/>
      <c r="AF67" s="538" t="str">
        <f>IF($G67="","",VLOOKUP($G67,'Geometry 2'!$E$4:$AJ$14,19,TRUE)-12*VLOOKUP($G67,'Geometry 2'!$E$4:$AJ$14,32,TRUE)*($G67-IF($P67="",0,$P67)-VLOOKUP($G67,'Geometry 2'!$E$5:$AH$14,1,TRUE)))</f>
        <v/>
      </c>
      <c r="AG67" s="538"/>
      <c r="AH67" s="538"/>
      <c r="AI67" s="538"/>
      <c r="AJ67" s="539" t="str">
        <f>IF($G67="","",VLOOKUP($G67,'Geometry 2'!$E$4:$AH$14,23,TRUE))</f>
        <v/>
      </c>
      <c r="AK67" s="549"/>
      <c r="AL67" s="549"/>
      <c r="AM67" s="550"/>
      <c r="AN67" s="537"/>
      <c r="AO67" s="537"/>
      <c r="AP67" s="537"/>
      <c r="AQ67" s="537"/>
      <c r="AR67" s="537" t="str">
        <f>IF($G67="","",VLOOKUP($G67,'Geometry 2'!$E$4:$AH$14,27,TRUE))</f>
        <v/>
      </c>
      <c r="AS67" s="537"/>
      <c r="AT67" s="537"/>
      <c r="AU67" s="539"/>
      <c r="AV67" s="564"/>
      <c r="AW67" s="538"/>
      <c r="AX67" s="538"/>
      <c r="AZ67" s="517" t="str">
        <f t="shared" si="5"/>
        <v/>
      </c>
      <c r="BA67" s="518"/>
      <c r="BB67" s="518"/>
      <c r="BC67" s="519"/>
      <c r="BD67" s="517"/>
      <c r="BE67" s="518"/>
      <c r="BF67" s="518"/>
      <c r="BG67" s="517" t="str">
        <f t="shared" si="9"/>
        <v/>
      </c>
      <c r="BH67" s="518"/>
      <c r="BI67" s="518"/>
      <c r="BJ67" s="518"/>
      <c r="BK67" s="519"/>
      <c r="BL67" s="517"/>
      <c r="BM67" s="518"/>
      <c r="BN67" s="518"/>
      <c r="BO67" s="518"/>
      <c r="BP67" s="520"/>
      <c r="BQ67" s="520"/>
      <c r="BR67" s="517" t="str">
        <f>IF(BP67="","",IF(OR(AND(Rev="H",Calculations!$F$27=TRUE),AND(Rev&lt;&gt;"H",Calculations!$F$30=TRUE)),IF(BP67&lt;=1,"Pass","Fail"),IF(BP67&lt;=1.05,"Pass","Fail")))</f>
        <v/>
      </c>
      <c r="BS67" s="518"/>
      <c r="BT67" s="519"/>
      <c r="BU67" s="34"/>
      <c r="BV67" s="16"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16"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16"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16"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16"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16"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16"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16"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16"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16"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16"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16"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16"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16"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16"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16"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16"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16"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45" t="str">
        <f t="shared" si="6"/>
        <v/>
      </c>
      <c r="CO67" s="497"/>
      <c r="CP67" s="498"/>
      <c r="CQ67" s="499"/>
      <c r="CR67" s="497"/>
      <c r="CS67" s="498"/>
      <c r="CT67" s="499"/>
      <c r="CU67" s="497" t="str">
        <f t="shared" si="7"/>
        <v/>
      </c>
      <c r="CV67" s="498"/>
      <c r="CW67" s="503"/>
      <c r="CX67" s="484"/>
      <c r="CY67" s="485"/>
      <c r="CZ67" s="486"/>
      <c r="DA67" s="484"/>
      <c r="DB67" s="485"/>
      <c r="DC67" s="486"/>
      <c r="DD67" s="484" t="str">
        <f t="shared" si="8"/>
        <v/>
      </c>
      <c r="DE67" s="485"/>
      <c r="DF67" s="487"/>
      <c r="DG67" s="38"/>
      <c r="DH67" s="39"/>
      <c r="DI67" s="39"/>
      <c r="DJ67" s="39"/>
      <c r="DK67" s="39"/>
      <c r="DL67" s="39"/>
      <c r="DM67" s="39"/>
      <c r="DN67" s="39"/>
      <c r="DO67" s="39"/>
      <c r="DP67" s="39"/>
      <c r="DQ67" s="42"/>
      <c r="DR67" s="42"/>
      <c r="DS67" s="42"/>
      <c r="DT67" s="42"/>
      <c r="DU67" s="42"/>
      <c r="DV67" s="42"/>
      <c r="DW67" s="42"/>
      <c r="DX67" s="42"/>
      <c r="DY67" s="42"/>
      <c r="DZ67" s="42"/>
      <c r="EA67" s="42"/>
      <c r="EB67" s="42"/>
      <c r="EC67" s="42"/>
      <c r="ED67" s="42"/>
      <c r="EE67" s="42"/>
      <c r="EF67" s="42"/>
      <c r="EG67" s="42"/>
      <c r="EH67" s="42"/>
      <c r="EI67" s="42"/>
      <c r="EJ67" s="42"/>
      <c r="EK67" s="42"/>
      <c r="EL67" s="97"/>
      <c r="EM67" s="97"/>
      <c r="EN67" s="97"/>
      <c r="EO67" s="97"/>
      <c r="EP67" s="97"/>
      <c r="EQ67" s="97"/>
      <c r="ER67" s="97"/>
      <c r="ES67" s="97"/>
      <c r="ET67" s="97"/>
      <c r="EU67" s="97"/>
      <c r="EV67" s="97"/>
      <c r="EW67" s="97"/>
      <c r="EX67" s="97"/>
      <c r="EY67" s="97"/>
      <c r="EZ67" s="97"/>
      <c r="FA67" s="97"/>
      <c r="FB67" s="97"/>
      <c r="FC67" s="97"/>
      <c r="FD67" s="97"/>
      <c r="FE67" s="97"/>
      <c r="FF67" s="97"/>
      <c r="FG67" s="97"/>
      <c r="FH67" s="97"/>
      <c r="FI67" s="97"/>
      <c r="FJ67" s="97"/>
      <c r="FK67" s="97"/>
      <c r="FL67" s="97"/>
      <c r="FM67" s="97"/>
      <c r="FN67" s="97"/>
      <c r="FO67" s="97"/>
      <c r="FQ67" s="90"/>
      <c r="FR67" s="88"/>
      <c r="FS67" s="86"/>
      <c r="FT67" s="84"/>
    </row>
    <row r="68" spans="2:176" ht="15.75" hidden="1" thickBot="1" x14ac:dyDescent="0.3">
      <c r="B68" s="47" t="b">
        <f>IF(AND(P67&lt;&gt;"",OR(AND(G68&gt;='Geometry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3" t="str">
        <f t="shared" si="3"/>
        <v/>
      </c>
      <c r="D68" s="529" t="str">
        <f t="shared" si="4"/>
        <v/>
      </c>
      <c r="E68" s="530"/>
      <c r="F68" s="14" t="str">
        <f t="shared" si="2"/>
        <v/>
      </c>
      <c r="G68" s="531"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532"/>
      <c r="I68" s="143"/>
      <c r="J68" s="143"/>
      <c r="K68" s="143"/>
      <c r="L68" s="537" t="str">
        <f t="shared" si="10"/>
        <v/>
      </c>
      <c r="M68" s="537"/>
      <c r="N68" s="537"/>
      <c r="O68" s="537"/>
      <c r="P68" s="537" t="str">
        <f>IF(OR(G68=0,G68=""),"",IF(VLOOKUP(G68,'Geometry 2'!$C$4:$AI$14,1,TRUE)=VLOOKUP(G69,'Geometry 2'!$C$4:$AI$14,1,TRUE),"",IF(VLOOKUP(G68,'Geometry 2'!$C$4:$AI$14,33,TRUE)&lt;&gt;"n/a",MIN(G68,VLOOKUP(G68,'Geometry 2'!$C$4:$AI$14,1,TRUE))-VLOOKUP(G68,'Geometry 2'!$C$4:$AI$14,33,TRUE),"check")))</f>
        <v/>
      </c>
      <c r="Q68" s="537"/>
      <c r="R68" s="537"/>
      <c r="S68" s="537"/>
      <c r="T68" s="537" t="str">
        <f>IF($G68="","",VLOOKUP($G68,'Geometry 2'!$E$4:$AH$14,11,TRUE))</f>
        <v/>
      </c>
      <c r="U68" s="537"/>
      <c r="V68" s="537"/>
      <c r="W68" s="537"/>
      <c r="X68" s="538" t="str">
        <f>IF($G68="","",VLOOKUP($G68,'Geometry 2'!$E$4:$AJ$14,19,TRUE)-12*VLOOKUP($G68,'Geometry 2'!$E$4:$AJ$14,32,TRUE)*($D68-VLOOKUP($G68,'Geometry 2'!$E$5:$AH$14,1,TRUE)))</f>
        <v/>
      </c>
      <c r="Y68" s="538"/>
      <c r="Z68" s="538"/>
      <c r="AA68" s="538"/>
      <c r="AB68" s="542" t="str">
        <f>IF($G68="","",VLOOKUP($G68,'Geometry 2'!$E$4:$AJ$14,19,TRUE)-12*VLOOKUP($G68,'Geometry 2'!$E$4:$AJ$14,32,TRUE)*($G68-VLOOKUP($G68,'Geometry 2'!$E$5:$AH$14,1,TRUE)))</f>
        <v/>
      </c>
      <c r="AC68" s="543"/>
      <c r="AD68" s="543"/>
      <c r="AE68" s="544"/>
      <c r="AF68" s="538" t="str">
        <f>IF($G68="","",VLOOKUP($G68,'Geometry 2'!$E$4:$AJ$14,19,TRUE)-12*VLOOKUP($G68,'Geometry 2'!$E$4:$AJ$14,32,TRUE)*($G68-IF($P68="",0,$P68)-VLOOKUP($G68,'Geometry 2'!$E$5:$AH$14,1,TRUE)))</f>
        <v/>
      </c>
      <c r="AG68" s="538"/>
      <c r="AH68" s="538"/>
      <c r="AI68" s="538"/>
      <c r="AJ68" s="539" t="str">
        <f>IF($G68="","",VLOOKUP($G68,'Geometry 2'!$E$4:$AH$14,23,TRUE))</f>
        <v/>
      </c>
      <c r="AK68" s="549"/>
      <c r="AL68" s="549"/>
      <c r="AM68" s="550"/>
      <c r="AN68" s="537"/>
      <c r="AO68" s="537"/>
      <c r="AP68" s="537"/>
      <c r="AQ68" s="537"/>
      <c r="AR68" s="537" t="str">
        <f>IF($G68="","",VLOOKUP($G68,'Geometry 2'!$E$4:$AH$14,27,TRUE))</f>
        <v/>
      </c>
      <c r="AS68" s="537"/>
      <c r="AT68" s="537"/>
      <c r="AU68" s="539"/>
      <c r="AV68" s="564"/>
      <c r="AW68" s="538"/>
      <c r="AX68" s="538"/>
      <c r="AZ68" s="517" t="str">
        <f t="shared" si="5"/>
        <v/>
      </c>
      <c r="BA68" s="518"/>
      <c r="BB68" s="518"/>
      <c r="BC68" s="519"/>
      <c r="BD68" s="517"/>
      <c r="BE68" s="518"/>
      <c r="BF68" s="518"/>
      <c r="BG68" s="517" t="str">
        <f t="shared" si="9"/>
        <v/>
      </c>
      <c r="BH68" s="518"/>
      <c r="BI68" s="518"/>
      <c r="BJ68" s="518"/>
      <c r="BK68" s="519"/>
      <c r="BL68" s="517"/>
      <c r="BM68" s="518"/>
      <c r="BN68" s="518"/>
      <c r="BO68" s="518"/>
      <c r="BP68" s="520"/>
      <c r="BQ68" s="520"/>
      <c r="BR68" s="517" t="str">
        <f>IF(BP68="","",IF(OR(AND(Rev="H",Calculations!$F$27=TRUE),AND(Rev&lt;&gt;"H",Calculations!$F$30=TRUE)),IF(BP68&lt;=1,"Pass","Fail"),IF(BP68&lt;=1.05,"Pass","Fail")))</f>
        <v/>
      </c>
      <c r="BS68" s="518"/>
      <c r="BT68" s="519"/>
      <c r="BU68" s="34"/>
      <c r="BV68" s="16"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16"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16"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16"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16"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16"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16"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16"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16"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16"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16"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16"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16"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16"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16"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16"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16"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16"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44" t="str">
        <f t="shared" si="6"/>
        <v/>
      </c>
      <c r="CO68" s="494"/>
      <c r="CP68" s="495"/>
      <c r="CQ68" s="496"/>
      <c r="CR68" s="494"/>
      <c r="CS68" s="495"/>
      <c r="CT68" s="496"/>
      <c r="CU68" s="494" t="str">
        <f t="shared" si="7"/>
        <v/>
      </c>
      <c r="CV68" s="495"/>
      <c r="CW68" s="500"/>
      <c r="CX68" s="501"/>
      <c r="CY68" s="492"/>
      <c r="CZ68" s="502"/>
      <c r="DA68" s="488"/>
      <c r="DB68" s="489"/>
      <c r="DC68" s="490"/>
      <c r="DD68" s="491" t="str">
        <f t="shared" si="8"/>
        <v/>
      </c>
      <c r="DE68" s="492"/>
      <c r="DF68" s="493"/>
      <c r="DG68" s="40"/>
      <c r="DH68" s="41"/>
      <c r="DI68" s="41"/>
      <c r="DJ68" s="41"/>
      <c r="DK68" s="41"/>
      <c r="DL68" s="41"/>
      <c r="DM68" s="41"/>
      <c r="DN68" s="41"/>
      <c r="DO68" s="41"/>
      <c r="DP68" s="41"/>
      <c r="DQ68" s="43"/>
      <c r="DR68" s="43"/>
      <c r="DS68" s="43"/>
      <c r="DT68" s="43"/>
      <c r="DU68" s="43"/>
      <c r="DV68" s="43"/>
      <c r="DW68" s="43"/>
      <c r="DX68" s="43"/>
      <c r="DY68" s="43"/>
      <c r="DZ68" s="43"/>
      <c r="EA68" s="43"/>
      <c r="EB68" s="43"/>
      <c r="EC68" s="43"/>
      <c r="ED68" s="43"/>
      <c r="EE68" s="43"/>
      <c r="EF68" s="43"/>
      <c r="EG68" s="43"/>
      <c r="EH68" s="43"/>
      <c r="EI68" s="43"/>
      <c r="EJ68" s="43"/>
      <c r="EK68" s="43"/>
      <c r="EL68" s="98"/>
      <c r="EM68" s="98"/>
      <c r="EN68" s="98"/>
      <c r="EO68" s="98"/>
      <c r="EP68" s="98"/>
      <c r="EQ68" s="98"/>
      <c r="ER68" s="98"/>
      <c r="ES68" s="98"/>
      <c r="ET68" s="98"/>
      <c r="EU68" s="98"/>
      <c r="EV68" s="98"/>
      <c r="EW68" s="98"/>
      <c r="EX68" s="98"/>
      <c r="EY68" s="98"/>
      <c r="EZ68" s="98"/>
      <c r="FA68" s="98"/>
      <c r="FB68" s="98"/>
      <c r="FC68" s="98"/>
      <c r="FD68" s="98"/>
      <c r="FE68" s="98"/>
      <c r="FF68" s="98"/>
      <c r="FG68" s="98"/>
      <c r="FH68" s="98"/>
      <c r="FI68" s="98"/>
      <c r="FJ68" s="98"/>
      <c r="FK68" s="98"/>
      <c r="FL68" s="98"/>
      <c r="FM68" s="98"/>
      <c r="FN68" s="98"/>
      <c r="FO68" s="98"/>
      <c r="FQ68" s="89"/>
      <c r="FR68" s="87"/>
      <c r="FS68" s="85"/>
      <c r="FT68" s="84"/>
    </row>
    <row r="69" spans="2:176" ht="15.75" hidden="1" thickBot="1" x14ac:dyDescent="0.3">
      <c r="B69" s="47" t="b">
        <f>IF(AND(P68&lt;&gt;"",OR(AND(G69&gt;='Geometry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3" t="str">
        <f t="shared" si="3"/>
        <v/>
      </c>
      <c r="D69" s="529" t="str">
        <f t="shared" si="4"/>
        <v/>
      </c>
      <c r="E69" s="530"/>
      <c r="F69" s="14" t="str">
        <f t="shared" si="2"/>
        <v/>
      </c>
      <c r="G69" s="531"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532"/>
      <c r="I69" s="143"/>
      <c r="J69" s="143"/>
      <c r="K69" s="143"/>
      <c r="L69" s="537" t="str">
        <f t="shared" ref="L69:L104" si="11">IF(D69="","",D69-G69+IF(P69="",0,P69))</f>
        <v/>
      </c>
      <c r="M69" s="537"/>
      <c r="N69" s="537"/>
      <c r="O69" s="537"/>
      <c r="P69" s="537" t="str">
        <f>IF(OR(G69=0,G69=""),"",IF(VLOOKUP(G69,'Geometry 2'!$C$4:$AI$14,1,TRUE)=VLOOKUP(G70,'Geometry 2'!$C$4:$AI$14,1,TRUE),"",IF(VLOOKUP(G69,'Geometry 2'!$C$4:$AI$14,33,TRUE)&lt;&gt;"n/a",MIN(G69,VLOOKUP(G69,'Geometry 2'!$C$4:$AI$14,1,TRUE))-VLOOKUP(G69,'Geometry 2'!$C$4:$AI$14,33,TRUE),"check")))</f>
        <v/>
      </c>
      <c r="Q69" s="537"/>
      <c r="R69" s="537"/>
      <c r="S69" s="537"/>
      <c r="T69" s="537" t="str">
        <f>IF($G69="","",VLOOKUP($G69,'Geometry 2'!$E$4:$AH$14,11,TRUE))</f>
        <v/>
      </c>
      <c r="U69" s="537"/>
      <c r="V69" s="537"/>
      <c r="W69" s="537"/>
      <c r="X69" s="538" t="str">
        <f>IF($G69="","",VLOOKUP($G69,'Geometry 2'!$E$4:$AJ$14,19,TRUE)-12*VLOOKUP($G69,'Geometry 2'!$E$4:$AJ$14,32,TRUE)*($D69-VLOOKUP($G69,'Geometry 2'!$E$5:$AH$14,1,TRUE)))</f>
        <v/>
      </c>
      <c r="Y69" s="538"/>
      <c r="Z69" s="538"/>
      <c r="AA69" s="538"/>
      <c r="AB69" s="542" t="str">
        <f>IF($G69="","",VLOOKUP($G69,'Geometry 2'!$E$4:$AJ$14,19,TRUE)-12*VLOOKUP($G69,'Geometry 2'!$E$4:$AJ$14,32,TRUE)*($G69-VLOOKUP($G69,'Geometry 2'!$E$5:$AH$14,1,TRUE)))</f>
        <v/>
      </c>
      <c r="AC69" s="543"/>
      <c r="AD69" s="543"/>
      <c r="AE69" s="544"/>
      <c r="AF69" s="538" t="str">
        <f>IF($G69="","",VLOOKUP($G69,'Geometry 2'!$E$4:$AJ$14,19,TRUE)-12*VLOOKUP($G69,'Geometry 2'!$E$4:$AJ$14,32,TRUE)*($G69-IF($P69="",0,$P69)-VLOOKUP($G69,'Geometry 2'!$E$5:$AH$14,1,TRUE)))</f>
        <v/>
      </c>
      <c r="AG69" s="538"/>
      <c r="AH69" s="538"/>
      <c r="AI69" s="538"/>
      <c r="AJ69" s="539" t="str">
        <f>IF($G69="","",VLOOKUP($G69,'Geometry 2'!$E$4:$AH$14,23,TRUE))</f>
        <v/>
      </c>
      <c r="AK69" s="549"/>
      <c r="AL69" s="549"/>
      <c r="AM69" s="550"/>
      <c r="AN69" s="537"/>
      <c r="AO69" s="537"/>
      <c r="AP69" s="537"/>
      <c r="AQ69" s="537"/>
      <c r="AR69" s="537" t="str">
        <f>IF($G69="","",VLOOKUP($G69,'Geometry 2'!$E$4:$AH$14,27,TRUE))</f>
        <v/>
      </c>
      <c r="AS69" s="537"/>
      <c r="AT69" s="537"/>
      <c r="AU69" s="539"/>
      <c r="AV69" s="564"/>
      <c r="AW69" s="538"/>
      <c r="AX69" s="538"/>
      <c r="AZ69" s="517" t="str">
        <f t="shared" si="5"/>
        <v/>
      </c>
      <c r="BA69" s="518"/>
      <c r="BB69" s="518"/>
      <c r="BC69" s="519"/>
      <c r="BD69" s="517"/>
      <c r="BE69" s="518"/>
      <c r="BF69" s="518"/>
      <c r="BG69" s="517" t="str">
        <f t="shared" si="9"/>
        <v/>
      </c>
      <c r="BH69" s="518"/>
      <c r="BI69" s="518"/>
      <c r="BJ69" s="518"/>
      <c r="BK69" s="519"/>
      <c r="BL69" s="517"/>
      <c r="BM69" s="518"/>
      <c r="BN69" s="518"/>
      <c r="BO69" s="518"/>
      <c r="BP69" s="520"/>
      <c r="BQ69" s="520"/>
      <c r="BR69" s="517" t="str">
        <f>IF(BP69="","",IF(OR(AND(Rev="H",Calculations!$F$27=TRUE),AND(Rev&lt;&gt;"H",Calculations!$F$30=TRUE)),IF(BP69&lt;=1,"Pass","Fail"),IF(BP69&lt;=1.05,"Pass","Fail")))</f>
        <v/>
      </c>
      <c r="BS69" s="518"/>
      <c r="BT69" s="519"/>
      <c r="BU69" s="34"/>
      <c r="BV69" s="16"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16"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16"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16"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16"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16"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16"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16"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16"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16"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16"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16"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16"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16"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16"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16"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16"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16"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45" t="str">
        <f t="shared" si="6"/>
        <v/>
      </c>
      <c r="CO69" s="497"/>
      <c r="CP69" s="498"/>
      <c r="CQ69" s="499"/>
      <c r="CR69" s="497"/>
      <c r="CS69" s="498"/>
      <c r="CT69" s="499"/>
      <c r="CU69" s="497" t="str">
        <f t="shared" si="7"/>
        <v/>
      </c>
      <c r="CV69" s="498"/>
      <c r="CW69" s="503"/>
      <c r="CX69" s="484"/>
      <c r="CY69" s="485"/>
      <c r="CZ69" s="486"/>
      <c r="DA69" s="484"/>
      <c r="DB69" s="485"/>
      <c r="DC69" s="486"/>
      <c r="DD69" s="484" t="str">
        <f t="shared" si="8"/>
        <v/>
      </c>
      <c r="DE69" s="485"/>
      <c r="DF69" s="487"/>
      <c r="DG69" s="38"/>
      <c r="DH69" s="39"/>
      <c r="DI69" s="39"/>
      <c r="DJ69" s="39"/>
      <c r="DK69" s="39"/>
      <c r="DL69" s="39"/>
      <c r="DM69" s="39"/>
      <c r="DN69" s="39"/>
      <c r="DO69" s="39"/>
      <c r="DP69" s="39"/>
      <c r="DQ69" s="42"/>
      <c r="DR69" s="42"/>
      <c r="DS69" s="42"/>
      <c r="DT69" s="42"/>
      <c r="DU69" s="42"/>
      <c r="DV69" s="42"/>
      <c r="DW69" s="42"/>
      <c r="DX69" s="42"/>
      <c r="DY69" s="42"/>
      <c r="DZ69" s="42"/>
      <c r="EA69" s="42"/>
      <c r="EB69" s="42"/>
      <c r="EC69" s="42"/>
      <c r="ED69" s="42"/>
      <c r="EE69" s="42"/>
      <c r="EF69" s="42"/>
      <c r="EG69" s="42"/>
      <c r="EH69" s="42"/>
      <c r="EI69" s="42"/>
      <c r="EJ69" s="42"/>
      <c r="EK69" s="42"/>
      <c r="EL69" s="97"/>
      <c r="EM69" s="97"/>
      <c r="EN69" s="97"/>
      <c r="EO69" s="97"/>
      <c r="EP69" s="97"/>
      <c r="EQ69" s="97"/>
      <c r="ER69" s="97"/>
      <c r="ES69" s="97"/>
      <c r="ET69" s="97"/>
      <c r="EU69" s="97"/>
      <c r="EV69" s="97"/>
      <c r="EW69" s="97"/>
      <c r="EX69" s="97"/>
      <c r="EY69" s="97"/>
      <c r="EZ69" s="97"/>
      <c r="FA69" s="97"/>
      <c r="FB69" s="97"/>
      <c r="FC69" s="97"/>
      <c r="FD69" s="97"/>
      <c r="FE69" s="97"/>
      <c r="FF69" s="97"/>
      <c r="FG69" s="97"/>
      <c r="FH69" s="97"/>
      <c r="FI69" s="97"/>
      <c r="FJ69" s="97"/>
      <c r="FK69" s="97"/>
      <c r="FL69" s="97"/>
      <c r="FM69" s="97"/>
      <c r="FN69" s="97"/>
      <c r="FO69" s="97"/>
      <c r="FQ69" s="90"/>
      <c r="FR69" s="88"/>
      <c r="FS69" s="86"/>
      <c r="FT69" s="84"/>
    </row>
    <row r="70" spans="2:176" ht="15.75" hidden="1" thickBot="1" x14ac:dyDescent="0.3">
      <c r="B70" s="47" t="b">
        <f>IF(AND(P69&lt;&gt;"",OR(AND(G70&gt;='Geometry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3" t="str">
        <f t="shared" si="3"/>
        <v/>
      </c>
      <c r="D70" s="529" t="str">
        <f t="shared" si="4"/>
        <v/>
      </c>
      <c r="E70" s="530"/>
      <c r="F70" s="14" t="str">
        <f t="shared" ref="F70:F104" si="12">IF(D70="","","-")</f>
        <v/>
      </c>
      <c r="G70" s="531"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532"/>
      <c r="I70" s="143"/>
      <c r="J70" s="143"/>
      <c r="K70" s="143"/>
      <c r="L70" s="537" t="str">
        <f t="shared" si="11"/>
        <v/>
      </c>
      <c r="M70" s="537"/>
      <c r="N70" s="537"/>
      <c r="O70" s="537"/>
      <c r="P70" s="537" t="str">
        <f>IF(OR(G70=0,G70=""),"",IF(VLOOKUP(G70,'Geometry 2'!$C$4:$AI$14,1,TRUE)=VLOOKUP(G71,'Geometry 2'!$C$4:$AI$14,1,TRUE),"",IF(VLOOKUP(G70,'Geometry 2'!$C$4:$AI$14,33,TRUE)&lt;&gt;"n/a",MIN(G70,VLOOKUP(G70,'Geometry 2'!$C$4:$AI$14,1,TRUE))-VLOOKUP(G70,'Geometry 2'!$C$4:$AI$14,33,TRUE),"check")))</f>
        <v/>
      </c>
      <c r="Q70" s="537"/>
      <c r="R70" s="537"/>
      <c r="S70" s="537"/>
      <c r="T70" s="537" t="str">
        <f>IF($G70="","",VLOOKUP($G70,'Geometry 2'!$E$4:$AH$14,11,TRUE))</f>
        <v/>
      </c>
      <c r="U70" s="537"/>
      <c r="V70" s="537"/>
      <c r="W70" s="537"/>
      <c r="X70" s="538" t="str">
        <f>IF($G70="","",VLOOKUP($G70,'Geometry 2'!$E$4:$AJ$14,19,TRUE)-12*VLOOKUP($G70,'Geometry 2'!$E$4:$AJ$14,32,TRUE)*($D70-VLOOKUP($G70,'Geometry 2'!$E$5:$AH$14,1,TRUE)))</f>
        <v/>
      </c>
      <c r="Y70" s="538"/>
      <c r="Z70" s="538"/>
      <c r="AA70" s="538"/>
      <c r="AB70" s="542" t="str">
        <f>IF($G70="","",VLOOKUP($G70,'Geometry 2'!$E$4:$AJ$14,19,TRUE)-12*VLOOKUP($G70,'Geometry 2'!$E$4:$AJ$14,32,TRUE)*($G70-VLOOKUP($G70,'Geometry 2'!$E$5:$AH$14,1,TRUE)))</f>
        <v/>
      </c>
      <c r="AC70" s="543"/>
      <c r="AD70" s="543"/>
      <c r="AE70" s="544"/>
      <c r="AF70" s="538" t="str">
        <f>IF($G70="","",VLOOKUP($G70,'Geometry 2'!$E$4:$AJ$14,19,TRUE)-12*VLOOKUP($G70,'Geometry 2'!$E$4:$AJ$14,32,TRUE)*($G70-IF($P70="",0,$P70)-VLOOKUP($G70,'Geometry 2'!$E$5:$AH$14,1,TRUE)))</f>
        <v/>
      </c>
      <c r="AG70" s="538"/>
      <c r="AH70" s="538"/>
      <c r="AI70" s="538"/>
      <c r="AJ70" s="539" t="str">
        <f>IF($G70="","",VLOOKUP($G70,'Geometry 2'!$E$4:$AH$14,23,TRUE))</f>
        <v/>
      </c>
      <c r="AK70" s="549"/>
      <c r="AL70" s="549"/>
      <c r="AM70" s="550"/>
      <c r="AN70" s="537"/>
      <c r="AO70" s="537"/>
      <c r="AP70" s="537"/>
      <c r="AQ70" s="537"/>
      <c r="AR70" s="537" t="str">
        <f>IF($G70="","",VLOOKUP($G70,'Geometry 2'!$E$4:$AH$14,27,TRUE))</f>
        <v/>
      </c>
      <c r="AS70" s="537"/>
      <c r="AT70" s="537"/>
      <c r="AU70" s="539"/>
      <c r="AV70" s="564"/>
      <c r="AW70" s="538"/>
      <c r="AX70" s="538"/>
      <c r="AZ70" s="517" t="str">
        <f t="shared" si="5"/>
        <v/>
      </c>
      <c r="BA70" s="518"/>
      <c r="BB70" s="518"/>
      <c r="BC70" s="519"/>
      <c r="BD70" s="517"/>
      <c r="BE70" s="518"/>
      <c r="BF70" s="518"/>
      <c r="BG70" s="517" t="str">
        <f t="shared" si="9"/>
        <v/>
      </c>
      <c r="BH70" s="518"/>
      <c r="BI70" s="518"/>
      <c r="BJ70" s="518"/>
      <c r="BK70" s="519"/>
      <c r="BL70" s="517"/>
      <c r="BM70" s="518"/>
      <c r="BN70" s="518"/>
      <c r="BO70" s="518"/>
      <c r="BP70" s="520"/>
      <c r="BQ70" s="520"/>
      <c r="BR70" s="517" t="str">
        <f>IF(BP70="","",IF(OR(AND(Rev="H",Calculations!$F$27=TRUE),AND(Rev&lt;&gt;"H",Calculations!$F$30=TRUE)),IF(BP70&lt;=1,"Pass","Fail"),IF(BP70&lt;=1.05,"Pass","Fail")))</f>
        <v/>
      </c>
      <c r="BS70" s="518"/>
      <c r="BT70" s="519"/>
      <c r="BU70" s="34"/>
      <c r="BV70" s="16"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16"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16"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16"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16"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16"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16"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16"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16"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16"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16"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16"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16"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16"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16"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16"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16"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16"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44" t="str">
        <f t="shared" si="6"/>
        <v/>
      </c>
      <c r="CO70" s="494"/>
      <c r="CP70" s="495"/>
      <c r="CQ70" s="496"/>
      <c r="CR70" s="494"/>
      <c r="CS70" s="495"/>
      <c r="CT70" s="496"/>
      <c r="CU70" s="494" t="str">
        <f t="shared" si="7"/>
        <v/>
      </c>
      <c r="CV70" s="495"/>
      <c r="CW70" s="500"/>
      <c r="CX70" s="501"/>
      <c r="CY70" s="492"/>
      <c r="CZ70" s="502"/>
      <c r="DA70" s="488"/>
      <c r="DB70" s="489"/>
      <c r="DC70" s="490"/>
      <c r="DD70" s="491" t="str">
        <f t="shared" si="8"/>
        <v/>
      </c>
      <c r="DE70" s="492"/>
      <c r="DF70" s="493"/>
      <c r="DG70" s="40"/>
      <c r="DH70" s="41"/>
      <c r="DI70" s="41"/>
      <c r="DJ70" s="41"/>
      <c r="DK70" s="41"/>
      <c r="DL70" s="41"/>
      <c r="DM70" s="41"/>
      <c r="DN70" s="41"/>
      <c r="DO70" s="41"/>
      <c r="DP70" s="41"/>
      <c r="DQ70" s="43"/>
      <c r="DR70" s="43"/>
      <c r="DS70" s="43"/>
      <c r="DT70" s="43"/>
      <c r="DU70" s="43"/>
      <c r="DV70" s="43"/>
      <c r="DW70" s="43"/>
      <c r="DX70" s="43"/>
      <c r="DY70" s="43"/>
      <c r="DZ70" s="43"/>
      <c r="EA70" s="43"/>
      <c r="EB70" s="43"/>
      <c r="EC70" s="43"/>
      <c r="ED70" s="43"/>
      <c r="EE70" s="43"/>
      <c r="EF70" s="43"/>
      <c r="EG70" s="43"/>
      <c r="EH70" s="43"/>
      <c r="EI70" s="43"/>
      <c r="EJ70" s="43"/>
      <c r="EK70" s="43"/>
      <c r="EL70" s="98"/>
      <c r="EM70" s="98"/>
      <c r="EN70" s="98"/>
      <c r="EO70" s="98"/>
      <c r="EP70" s="98"/>
      <c r="EQ70" s="98"/>
      <c r="ER70" s="98"/>
      <c r="ES70" s="98"/>
      <c r="ET70" s="98"/>
      <c r="EU70" s="98"/>
      <c r="EV70" s="98"/>
      <c r="EW70" s="98"/>
      <c r="EX70" s="98"/>
      <c r="EY70" s="98"/>
      <c r="EZ70" s="98"/>
      <c r="FA70" s="98"/>
      <c r="FB70" s="98"/>
      <c r="FC70" s="98"/>
      <c r="FD70" s="98"/>
      <c r="FE70" s="98"/>
      <c r="FF70" s="98"/>
      <c r="FG70" s="98"/>
      <c r="FH70" s="98"/>
      <c r="FI70" s="98"/>
      <c r="FJ70" s="98"/>
      <c r="FK70" s="98"/>
      <c r="FL70" s="98"/>
      <c r="FM70" s="98"/>
      <c r="FN70" s="98"/>
      <c r="FO70" s="98"/>
      <c r="FQ70" s="89"/>
      <c r="FR70" s="87"/>
      <c r="FS70" s="85"/>
      <c r="FT70" s="84"/>
    </row>
    <row r="71" spans="2:176" ht="15.75" hidden="1" thickBot="1" x14ac:dyDescent="0.3">
      <c r="B71" s="47" t="b">
        <f>IF(AND(P70&lt;&gt;"",OR(AND(G71&gt;='Geometry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3" t="str">
        <f t="shared" ref="C71:C104" si="13">IF(OR(G70=0,C70=""),"",C70+1)</f>
        <v/>
      </c>
      <c r="D71" s="529" t="str">
        <f t="shared" ref="D71:D104" si="14">IF(OR(G70=0,G70=""),"",G70)</f>
        <v/>
      </c>
      <c r="E71" s="530"/>
      <c r="F71" s="14" t="str">
        <f t="shared" si="12"/>
        <v/>
      </c>
      <c r="G71" s="531"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532"/>
      <c r="I71" s="143"/>
      <c r="J71" s="143"/>
      <c r="K71" s="143"/>
      <c r="L71" s="537" t="str">
        <f t="shared" si="11"/>
        <v/>
      </c>
      <c r="M71" s="537"/>
      <c r="N71" s="537"/>
      <c r="O71" s="537"/>
      <c r="P71" s="537" t="str">
        <f>IF(OR(G71=0,G71=""),"",IF(VLOOKUP(G71,'Geometry 2'!$C$4:$AI$14,1,TRUE)=VLOOKUP(G72,'Geometry 2'!$C$4:$AI$14,1,TRUE),"",IF(VLOOKUP(G71,'Geometry 2'!$C$4:$AI$14,33,TRUE)&lt;&gt;"n/a",MIN(G71,VLOOKUP(G71,'Geometry 2'!$C$4:$AI$14,1,TRUE))-VLOOKUP(G71,'Geometry 2'!$C$4:$AI$14,33,TRUE),"check")))</f>
        <v/>
      </c>
      <c r="Q71" s="537"/>
      <c r="R71" s="537"/>
      <c r="S71" s="537"/>
      <c r="T71" s="537" t="str">
        <f>IF($G71="","",VLOOKUP($G71,'Geometry 2'!$E$4:$AH$14,11,TRUE))</f>
        <v/>
      </c>
      <c r="U71" s="537"/>
      <c r="V71" s="537"/>
      <c r="W71" s="537"/>
      <c r="X71" s="538" t="str">
        <f>IF($G71="","",VLOOKUP($G71,'Geometry 2'!$E$4:$AJ$14,19,TRUE)-12*VLOOKUP($G71,'Geometry 2'!$E$4:$AJ$14,32,TRUE)*($D71-VLOOKUP($G71,'Geometry 2'!$E$5:$AH$14,1,TRUE)))</f>
        <v/>
      </c>
      <c r="Y71" s="538"/>
      <c r="Z71" s="538"/>
      <c r="AA71" s="538"/>
      <c r="AB71" s="542" t="str">
        <f>IF($G71="","",VLOOKUP($G71,'Geometry 2'!$E$4:$AJ$14,19,TRUE)-12*VLOOKUP($G71,'Geometry 2'!$E$4:$AJ$14,32,TRUE)*($G71-VLOOKUP($G71,'Geometry 2'!$E$5:$AH$14,1,TRUE)))</f>
        <v/>
      </c>
      <c r="AC71" s="543"/>
      <c r="AD71" s="543"/>
      <c r="AE71" s="544"/>
      <c r="AF71" s="538" t="str">
        <f>IF($G71="","",VLOOKUP($G71,'Geometry 2'!$E$4:$AJ$14,19,TRUE)-12*VLOOKUP($G71,'Geometry 2'!$E$4:$AJ$14,32,TRUE)*($G71-IF($P71="",0,$P71)-VLOOKUP($G71,'Geometry 2'!$E$5:$AH$14,1,TRUE)))</f>
        <v/>
      </c>
      <c r="AG71" s="538"/>
      <c r="AH71" s="538"/>
      <c r="AI71" s="538"/>
      <c r="AJ71" s="539" t="str">
        <f>IF($G71="","",VLOOKUP($G71,'Geometry 2'!$E$4:$AH$14,23,TRUE))</f>
        <v/>
      </c>
      <c r="AK71" s="549"/>
      <c r="AL71" s="549"/>
      <c r="AM71" s="550"/>
      <c r="AN71" s="537"/>
      <c r="AO71" s="537"/>
      <c r="AP71" s="537"/>
      <c r="AQ71" s="537"/>
      <c r="AR71" s="537" t="str">
        <f>IF($G71="","",VLOOKUP($G71,'Geometry 2'!$E$4:$AH$14,27,TRUE))</f>
        <v/>
      </c>
      <c r="AS71" s="537"/>
      <c r="AT71" s="537"/>
      <c r="AU71" s="539"/>
      <c r="AV71" s="564"/>
      <c r="AW71" s="538"/>
      <c r="AX71" s="538"/>
      <c r="AZ71" s="517" t="str">
        <f t="shared" ref="AZ71:AZ104" si="15">IF(G71="","",CONCATENATE(ROUND(D71,2)," ",F71," ",ROUND(G71,2)))</f>
        <v/>
      </c>
      <c r="BA71" s="518"/>
      <c r="BB71" s="518"/>
      <c r="BC71" s="519"/>
      <c r="BD71" s="517"/>
      <c r="BE71" s="518"/>
      <c r="BF71" s="518"/>
      <c r="BG71" s="517" t="str">
        <f t="shared" si="9"/>
        <v/>
      </c>
      <c r="BH71" s="518"/>
      <c r="BI71" s="518"/>
      <c r="BJ71" s="518"/>
      <c r="BK71" s="519"/>
      <c r="BL71" s="517"/>
      <c r="BM71" s="518"/>
      <c r="BN71" s="518"/>
      <c r="BO71" s="518"/>
      <c r="BP71" s="520"/>
      <c r="BQ71" s="520"/>
      <c r="BR71" s="517" t="str">
        <f>IF(BP71="","",IF(OR(AND(Rev="H",Calculations!$F$27=TRUE),AND(Rev&lt;&gt;"H",Calculations!$F$30=TRUE)),IF(BP71&lt;=1,"Pass","Fail"),IF(BP71&lt;=1.05,"Pass","Fail")))</f>
        <v/>
      </c>
      <c r="BS71" s="518"/>
      <c r="BT71" s="519"/>
      <c r="BU71" s="34"/>
      <c r="BV71" s="16"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16"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16"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16"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16"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16"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16"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16"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16"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16"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16"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16"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16"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16"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16"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16"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16"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16"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45" t="str">
        <f t="shared" ref="CN71:CN104" si="16">AZ71</f>
        <v/>
      </c>
      <c r="CO71" s="497"/>
      <c r="CP71" s="498"/>
      <c r="CQ71" s="499"/>
      <c r="CR71" s="497"/>
      <c r="CS71" s="498"/>
      <c r="CT71" s="499"/>
      <c r="CU71" s="497" t="str">
        <f t="shared" ref="CU71:CU104" si="17">IF(CO71="","",IF(CR71="n/a",CO71,CO71+CR71))</f>
        <v/>
      </c>
      <c r="CV71" s="498"/>
      <c r="CW71" s="503"/>
      <c r="CX71" s="484"/>
      <c r="CY71" s="485"/>
      <c r="CZ71" s="486"/>
      <c r="DA71" s="484"/>
      <c r="DB71" s="485"/>
      <c r="DC71" s="486"/>
      <c r="DD71" s="484" t="str">
        <f t="shared" ref="DD71:DD104" si="18">IF(CX71="","",IF(DA71="n/a",CX71,CX71+DA71))</f>
        <v/>
      </c>
      <c r="DE71" s="485"/>
      <c r="DF71" s="487"/>
      <c r="DG71" s="38"/>
      <c r="DH71" s="39"/>
      <c r="DI71" s="39"/>
      <c r="DJ71" s="39"/>
      <c r="DK71" s="39"/>
      <c r="DL71" s="39"/>
      <c r="DM71" s="39"/>
      <c r="DN71" s="39"/>
      <c r="DO71" s="39"/>
      <c r="DP71" s="39"/>
      <c r="DQ71" s="42"/>
      <c r="DR71" s="42"/>
      <c r="DS71" s="42"/>
      <c r="DT71" s="42"/>
      <c r="DU71" s="42"/>
      <c r="DV71" s="42"/>
      <c r="DW71" s="42"/>
      <c r="DX71" s="42"/>
      <c r="DY71" s="42"/>
      <c r="DZ71" s="42"/>
      <c r="EA71" s="42"/>
      <c r="EB71" s="42"/>
      <c r="EC71" s="42"/>
      <c r="ED71" s="42"/>
      <c r="EE71" s="42"/>
      <c r="EF71" s="42"/>
      <c r="EG71" s="42"/>
      <c r="EH71" s="42"/>
      <c r="EI71" s="42"/>
      <c r="EJ71" s="42"/>
      <c r="EK71" s="42"/>
      <c r="EL71" s="97"/>
      <c r="EM71" s="97"/>
      <c r="EN71" s="97"/>
      <c r="EO71" s="97"/>
      <c r="EP71" s="97"/>
      <c r="EQ71" s="97"/>
      <c r="ER71" s="97"/>
      <c r="ES71" s="97"/>
      <c r="ET71" s="97"/>
      <c r="EU71" s="97"/>
      <c r="EV71" s="97"/>
      <c r="EW71" s="97"/>
      <c r="EX71" s="97"/>
      <c r="EY71" s="97"/>
      <c r="EZ71" s="97"/>
      <c r="FA71" s="97"/>
      <c r="FB71" s="97"/>
      <c r="FC71" s="97"/>
      <c r="FD71" s="97"/>
      <c r="FE71" s="97"/>
      <c r="FF71" s="97"/>
      <c r="FG71" s="97"/>
      <c r="FH71" s="97"/>
      <c r="FI71" s="97"/>
      <c r="FJ71" s="97"/>
      <c r="FK71" s="97"/>
      <c r="FL71" s="97"/>
      <c r="FM71" s="97"/>
      <c r="FN71" s="97"/>
      <c r="FO71" s="97"/>
      <c r="FQ71" s="90"/>
      <c r="FR71" s="88"/>
      <c r="FS71" s="86"/>
      <c r="FT71" s="84"/>
    </row>
    <row r="72" spans="2:176" ht="15.75" hidden="1" thickBot="1" x14ac:dyDescent="0.3">
      <c r="B72" s="47" t="b">
        <f>IF(AND(P71&lt;&gt;"",OR(AND(G72&gt;='Geometry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3" t="str">
        <f t="shared" si="13"/>
        <v/>
      </c>
      <c r="D72" s="529" t="str">
        <f t="shared" si="14"/>
        <v/>
      </c>
      <c r="E72" s="530"/>
      <c r="F72" s="14" t="str">
        <f t="shared" si="12"/>
        <v/>
      </c>
      <c r="G72" s="531"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532"/>
      <c r="I72" s="143"/>
      <c r="J72" s="143"/>
      <c r="K72" s="143"/>
      <c r="L72" s="537" t="str">
        <f t="shared" si="11"/>
        <v/>
      </c>
      <c r="M72" s="537"/>
      <c r="N72" s="537"/>
      <c r="O72" s="537"/>
      <c r="P72" s="537" t="str">
        <f>IF(OR(G72=0,G72=""),"",IF(VLOOKUP(G72,'Geometry 2'!$C$4:$AI$14,1,TRUE)=VLOOKUP(G73,'Geometry 2'!$C$4:$AI$14,1,TRUE),"",IF(VLOOKUP(G72,'Geometry 2'!$C$4:$AI$14,33,TRUE)&lt;&gt;"n/a",MIN(G72,VLOOKUP(G72,'Geometry 2'!$C$4:$AI$14,1,TRUE))-VLOOKUP(G72,'Geometry 2'!$C$4:$AI$14,33,TRUE),"check")))</f>
        <v/>
      </c>
      <c r="Q72" s="537"/>
      <c r="R72" s="537"/>
      <c r="S72" s="537"/>
      <c r="T72" s="537" t="str">
        <f>IF($G72="","",VLOOKUP($G72,'Geometry 2'!$E$4:$AH$14,11,TRUE))</f>
        <v/>
      </c>
      <c r="U72" s="537"/>
      <c r="V72" s="537"/>
      <c r="W72" s="537"/>
      <c r="X72" s="538" t="str">
        <f>IF($G72="","",VLOOKUP($G72,'Geometry 2'!$E$4:$AJ$14,19,TRUE)-12*VLOOKUP($G72,'Geometry 2'!$E$4:$AJ$14,32,TRUE)*($D72-VLOOKUP($G72,'Geometry 2'!$E$5:$AH$14,1,TRUE)))</f>
        <v/>
      </c>
      <c r="Y72" s="538"/>
      <c r="Z72" s="538"/>
      <c r="AA72" s="538"/>
      <c r="AB72" s="542" t="str">
        <f>IF($G72="","",VLOOKUP($G72,'Geometry 2'!$E$4:$AJ$14,19,TRUE)-12*VLOOKUP($G72,'Geometry 2'!$E$4:$AJ$14,32,TRUE)*($G72-VLOOKUP($G72,'Geometry 2'!$E$5:$AH$14,1,TRUE)))</f>
        <v/>
      </c>
      <c r="AC72" s="543"/>
      <c r="AD72" s="543"/>
      <c r="AE72" s="544"/>
      <c r="AF72" s="538" t="str">
        <f>IF($G72="","",VLOOKUP($G72,'Geometry 2'!$E$4:$AJ$14,19,TRUE)-12*VLOOKUP($G72,'Geometry 2'!$E$4:$AJ$14,32,TRUE)*($G72-IF($P72="",0,$P72)-VLOOKUP($G72,'Geometry 2'!$E$5:$AH$14,1,TRUE)))</f>
        <v/>
      </c>
      <c r="AG72" s="538"/>
      <c r="AH72" s="538"/>
      <c r="AI72" s="538"/>
      <c r="AJ72" s="539" t="str">
        <f>IF($G72="","",VLOOKUP($G72,'Geometry 2'!$E$4:$AH$14,23,TRUE))</f>
        <v/>
      </c>
      <c r="AK72" s="549"/>
      <c r="AL72" s="549"/>
      <c r="AM72" s="550"/>
      <c r="AN72" s="537"/>
      <c r="AO72" s="537"/>
      <c r="AP72" s="537"/>
      <c r="AQ72" s="537"/>
      <c r="AR72" s="537" t="str">
        <f>IF($G72="","",VLOOKUP($G72,'Geometry 2'!$E$4:$AH$14,27,TRUE))</f>
        <v/>
      </c>
      <c r="AS72" s="537"/>
      <c r="AT72" s="537"/>
      <c r="AU72" s="539"/>
      <c r="AV72" s="564"/>
      <c r="AW72" s="538"/>
      <c r="AX72" s="538"/>
      <c r="AZ72" s="517" t="str">
        <f t="shared" si="15"/>
        <v/>
      </c>
      <c r="BA72" s="518"/>
      <c r="BB72" s="518"/>
      <c r="BC72" s="519"/>
      <c r="BD72" s="517"/>
      <c r="BE72" s="518"/>
      <c r="BF72" s="518"/>
      <c r="BG72" s="517" t="str">
        <f t="shared" si="9"/>
        <v/>
      </c>
      <c r="BH72" s="518"/>
      <c r="BI72" s="518"/>
      <c r="BJ72" s="518"/>
      <c r="BK72" s="519"/>
      <c r="BL72" s="517"/>
      <c r="BM72" s="518"/>
      <c r="BN72" s="518"/>
      <c r="BO72" s="518"/>
      <c r="BP72" s="520"/>
      <c r="BQ72" s="520"/>
      <c r="BR72" s="517" t="str">
        <f>IF(BP72="","",IF(OR(AND(Rev="H",Calculations!$F$27=TRUE),AND(Rev&lt;&gt;"H",Calculations!$F$30=TRUE)),IF(BP72&lt;=1,"Pass","Fail"),IF(BP72&lt;=1.05,"Pass","Fail")))</f>
        <v/>
      </c>
      <c r="BS72" s="518"/>
      <c r="BT72" s="519"/>
      <c r="BU72" s="34"/>
      <c r="BV72" s="16"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16"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16"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16"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16"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16"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16"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16"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16"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16"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16"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16"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16"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16"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16"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16"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16"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16"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44" t="str">
        <f t="shared" si="16"/>
        <v/>
      </c>
      <c r="CO72" s="494"/>
      <c r="CP72" s="495"/>
      <c r="CQ72" s="496"/>
      <c r="CR72" s="494"/>
      <c r="CS72" s="495"/>
      <c r="CT72" s="496"/>
      <c r="CU72" s="494" t="str">
        <f t="shared" si="17"/>
        <v/>
      </c>
      <c r="CV72" s="495"/>
      <c r="CW72" s="500"/>
      <c r="CX72" s="501"/>
      <c r="CY72" s="492"/>
      <c r="CZ72" s="502"/>
      <c r="DA72" s="488"/>
      <c r="DB72" s="489"/>
      <c r="DC72" s="490"/>
      <c r="DD72" s="491" t="str">
        <f t="shared" si="18"/>
        <v/>
      </c>
      <c r="DE72" s="492"/>
      <c r="DF72" s="493"/>
      <c r="DG72" s="40"/>
      <c r="DH72" s="41"/>
      <c r="DI72" s="41"/>
      <c r="DJ72" s="41"/>
      <c r="DK72" s="41"/>
      <c r="DL72" s="41"/>
      <c r="DM72" s="41"/>
      <c r="DN72" s="41"/>
      <c r="DO72" s="41"/>
      <c r="DP72" s="41"/>
      <c r="DQ72" s="43"/>
      <c r="DR72" s="43"/>
      <c r="DS72" s="43"/>
      <c r="DT72" s="43"/>
      <c r="DU72" s="43"/>
      <c r="DV72" s="43"/>
      <c r="DW72" s="43"/>
      <c r="DX72" s="43"/>
      <c r="DY72" s="43"/>
      <c r="DZ72" s="43"/>
      <c r="EA72" s="43"/>
      <c r="EB72" s="43"/>
      <c r="EC72" s="43"/>
      <c r="ED72" s="43"/>
      <c r="EE72" s="43"/>
      <c r="EF72" s="43"/>
      <c r="EG72" s="43"/>
      <c r="EH72" s="43"/>
      <c r="EI72" s="43"/>
      <c r="EJ72" s="43"/>
      <c r="EK72" s="43"/>
      <c r="EL72" s="98"/>
      <c r="EM72" s="98"/>
      <c r="EN72" s="98"/>
      <c r="EO72" s="98"/>
      <c r="EP72" s="98"/>
      <c r="EQ72" s="98"/>
      <c r="ER72" s="98"/>
      <c r="ES72" s="98"/>
      <c r="ET72" s="98"/>
      <c r="EU72" s="98"/>
      <c r="EV72" s="98"/>
      <c r="EW72" s="98"/>
      <c r="EX72" s="98"/>
      <c r="EY72" s="98"/>
      <c r="EZ72" s="98"/>
      <c r="FA72" s="98"/>
      <c r="FB72" s="98"/>
      <c r="FC72" s="98"/>
      <c r="FD72" s="98"/>
      <c r="FE72" s="98"/>
      <c r="FF72" s="98"/>
      <c r="FG72" s="98"/>
      <c r="FH72" s="98"/>
      <c r="FI72" s="98"/>
      <c r="FJ72" s="98"/>
      <c r="FK72" s="98"/>
      <c r="FL72" s="98"/>
      <c r="FM72" s="98"/>
      <c r="FN72" s="98"/>
      <c r="FO72" s="98"/>
      <c r="FQ72" s="89"/>
      <c r="FR72" s="87"/>
      <c r="FS72" s="85"/>
      <c r="FT72" s="84"/>
    </row>
    <row r="73" spans="2:176" ht="15.75" hidden="1" thickBot="1" x14ac:dyDescent="0.3">
      <c r="B73" s="47" t="b">
        <f>IF(AND(P72&lt;&gt;"",OR(AND(G73&gt;='Geometry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3" t="str">
        <f t="shared" si="13"/>
        <v/>
      </c>
      <c r="D73" s="529" t="str">
        <f t="shared" si="14"/>
        <v/>
      </c>
      <c r="E73" s="530"/>
      <c r="F73" s="14" t="str">
        <f t="shared" si="12"/>
        <v/>
      </c>
      <c r="G73" s="531"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532"/>
      <c r="I73" s="143"/>
      <c r="J73" s="143"/>
      <c r="K73" s="143"/>
      <c r="L73" s="537" t="str">
        <f t="shared" si="11"/>
        <v/>
      </c>
      <c r="M73" s="537"/>
      <c r="N73" s="537"/>
      <c r="O73" s="537"/>
      <c r="P73" s="537" t="str">
        <f>IF(OR(G73=0,G73=""),"",IF(VLOOKUP(G73,'Geometry 2'!$C$4:$AI$14,1,TRUE)=VLOOKUP(G74,'Geometry 2'!$C$4:$AI$14,1,TRUE),"",IF(VLOOKUP(G73,'Geometry 2'!$C$4:$AI$14,33,TRUE)&lt;&gt;"n/a",MIN(G73,VLOOKUP(G73,'Geometry 2'!$C$4:$AI$14,1,TRUE))-VLOOKUP(G73,'Geometry 2'!$C$4:$AI$14,33,TRUE),"check")))</f>
        <v/>
      </c>
      <c r="Q73" s="537"/>
      <c r="R73" s="537"/>
      <c r="S73" s="537"/>
      <c r="T73" s="537" t="str">
        <f>IF($G73="","",VLOOKUP($G73,'Geometry 2'!$E$4:$AH$14,11,TRUE))</f>
        <v/>
      </c>
      <c r="U73" s="537"/>
      <c r="V73" s="537"/>
      <c r="W73" s="537"/>
      <c r="X73" s="538" t="str">
        <f>IF($G73="","",VLOOKUP($G73,'Geometry 2'!$E$4:$AJ$14,19,TRUE)-12*VLOOKUP($G73,'Geometry 2'!$E$4:$AJ$14,32,TRUE)*($D73-VLOOKUP($G73,'Geometry 2'!$E$5:$AH$14,1,TRUE)))</f>
        <v/>
      </c>
      <c r="Y73" s="538"/>
      <c r="Z73" s="538"/>
      <c r="AA73" s="538"/>
      <c r="AB73" s="542" t="str">
        <f>IF($G73="","",VLOOKUP($G73,'Geometry 2'!$E$4:$AJ$14,19,TRUE)-12*VLOOKUP($G73,'Geometry 2'!$E$4:$AJ$14,32,TRUE)*($G73-VLOOKUP($G73,'Geometry 2'!$E$5:$AH$14,1,TRUE)))</f>
        <v/>
      </c>
      <c r="AC73" s="543"/>
      <c r="AD73" s="543"/>
      <c r="AE73" s="544"/>
      <c r="AF73" s="538" t="str">
        <f>IF($G73="","",VLOOKUP($G73,'Geometry 2'!$E$4:$AJ$14,19,TRUE)-12*VLOOKUP($G73,'Geometry 2'!$E$4:$AJ$14,32,TRUE)*($G73-IF($P73="",0,$P73)-VLOOKUP($G73,'Geometry 2'!$E$5:$AH$14,1,TRUE)))</f>
        <v/>
      </c>
      <c r="AG73" s="538"/>
      <c r="AH73" s="538"/>
      <c r="AI73" s="538"/>
      <c r="AJ73" s="539" t="str">
        <f>IF($G73="","",VLOOKUP($G73,'Geometry 2'!$E$4:$AH$14,23,TRUE))</f>
        <v/>
      </c>
      <c r="AK73" s="549"/>
      <c r="AL73" s="549"/>
      <c r="AM73" s="550"/>
      <c r="AN73" s="537"/>
      <c r="AO73" s="537"/>
      <c r="AP73" s="537"/>
      <c r="AQ73" s="537"/>
      <c r="AR73" s="537" t="str">
        <f>IF($G73="","",VLOOKUP($G73,'Geometry 2'!$E$4:$AH$14,27,TRUE))</f>
        <v/>
      </c>
      <c r="AS73" s="537"/>
      <c r="AT73" s="537"/>
      <c r="AU73" s="539"/>
      <c r="AV73" s="564"/>
      <c r="AW73" s="538"/>
      <c r="AX73" s="538"/>
      <c r="AZ73" s="517" t="str">
        <f t="shared" si="15"/>
        <v/>
      </c>
      <c r="BA73" s="518"/>
      <c r="BB73" s="518"/>
      <c r="BC73" s="519"/>
      <c r="BD73" s="517"/>
      <c r="BE73" s="518"/>
      <c r="BF73" s="518"/>
      <c r="BG73" s="517" t="str">
        <f t="shared" si="9"/>
        <v/>
      </c>
      <c r="BH73" s="518"/>
      <c r="BI73" s="518"/>
      <c r="BJ73" s="518"/>
      <c r="BK73" s="519"/>
      <c r="BL73" s="517"/>
      <c r="BM73" s="518"/>
      <c r="BN73" s="518"/>
      <c r="BO73" s="518"/>
      <c r="BP73" s="520"/>
      <c r="BQ73" s="520"/>
      <c r="BR73" s="517" t="str">
        <f>IF(BP73="","",IF(OR(AND(Rev="H",Calculations!$F$27=TRUE),AND(Rev&lt;&gt;"H",Calculations!$F$30=TRUE)),IF(BP73&lt;=1,"Pass","Fail"),IF(BP73&lt;=1.05,"Pass","Fail")))</f>
        <v/>
      </c>
      <c r="BS73" s="518"/>
      <c r="BT73" s="519"/>
      <c r="BU73" s="34"/>
      <c r="BV73" s="16"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16"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16"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16"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16"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16"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16"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16"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16"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16"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16"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16"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16"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16"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16"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16"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16"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16"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45" t="str">
        <f t="shared" si="16"/>
        <v/>
      </c>
      <c r="CO73" s="497"/>
      <c r="CP73" s="498"/>
      <c r="CQ73" s="499"/>
      <c r="CR73" s="497"/>
      <c r="CS73" s="498"/>
      <c r="CT73" s="499"/>
      <c r="CU73" s="497" t="str">
        <f t="shared" si="17"/>
        <v/>
      </c>
      <c r="CV73" s="498"/>
      <c r="CW73" s="503"/>
      <c r="CX73" s="484"/>
      <c r="CY73" s="485"/>
      <c r="CZ73" s="486"/>
      <c r="DA73" s="484"/>
      <c r="DB73" s="485"/>
      <c r="DC73" s="486"/>
      <c r="DD73" s="484" t="str">
        <f t="shared" si="18"/>
        <v/>
      </c>
      <c r="DE73" s="485"/>
      <c r="DF73" s="487"/>
      <c r="DG73" s="38"/>
      <c r="DH73" s="39"/>
      <c r="DI73" s="39"/>
      <c r="DJ73" s="39"/>
      <c r="DK73" s="39"/>
      <c r="DL73" s="39"/>
      <c r="DM73" s="39"/>
      <c r="DN73" s="39"/>
      <c r="DO73" s="39"/>
      <c r="DP73" s="39"/>
      <c r="DQ73" s="42"/>
      <c r="DR73" s="42"/>
      <c r="DS73" s="42"/>
      <c r="DT73" s="42"/>
      <c r="DU73" s="42"/>
      <c r="DV73" s="42"/>
      <c r="DW73" s="42"/>
      <c r="DX73" s="42"/>
      <c r="DY73" s="42"/>
      <c r="DZ73" s="42"/>
      <c r="EA73" s="42"/>
      <c r="EB73" s="42"/>
      <c r="EC73" s="42"/>
      <c r="ED73" s="42"/>
      <c r="EE73" s="42"/>
      <c r="EF73" s="42"/>
      <c r="EG73" s="42"/>
      <c r="EH73" s="42"/>
      <c r="EI73" s="42"/>
      <c r="EJ73" s="42"/>
      <c r="EK73" s="42"/>
      <c r="EL73" s="97"/>
      <c r="EM73" s="97"/>
      <c r="EN73" s="97"/>
      <c r="EO73" s="97"/>
      <c r="EP73" s="97"/>
      <c r="EQ73" s="97"/>
      <c r="ER73" s="97"/>
      <c r="ES73" s="97"/>
      <c r="ET73" s="97"/>
      <c r="EU73" s="97"/>
      <c r="EV73" s="97"/>
      <c r="EW73" s="97"/>
      <c r="EX73" s="97"/>
      <c r="EY73" s="97"/>
      <c r="EZ73" s="97"/>
      <c r="FA73" s="97"/>
      <c r="FB73" s="97"/>
      <c r="FC73" s="97"/>
      <c r="FD73" s="97"/>
      <c r="FE73" s="97"/>
      <c r="FF73" s="97"/>
      <c r="FG73" s="97"/>
      <c r="FH73" s="97"/>
      <c r="FI73" s="97"/>
      <c r="FJ73" s="97"/>
      <c r="FK73" s="97"/>
      <c r="FL73" s="97"/>
      <c r="FM73" s="97"/>
      <c r="FN73" s="97"/>
      <c r="FO73" s="97"/>
      <c r="FQ73" s="90"/>
      <c r="FR73" s="88"/>
      <c r="FS73" s="86"/>
      <c r="FT73" s="84"/>
    </row>
    <row r="74" spans="2:176" ht="15.75" hidden="1" thickBot="1" x14ac:dyDescent="0.3">
      <c r="B74" s="47" t="b">
        <f>IF(AND(P73&lt;&gt;"",OR(AND(G74&gt;='Geometry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3" t="str">
        <f t="shared" si="13"/>
        <v/>
      </c>
      <c r="D74" s="529" t="str">
        <f t="shared" si="14"/>
        <v/>
      </c>
      <c r="E74" s="530"/>
      <c r="F74" s="14" t="str">
        <f t="shared" si="12"/>
        <v/>
      </c>
      <c r="G74" s="531"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532"/>
      <c r="I74" s="143"/>
      <c r="J74" s="143"/>
      <c r="K74" s="143"/>
      <c r="L74" s="537" t="str">
        <f t="shared" si="11"/>
        <v/>
      </c>
      <c r="M74" s="537"/>
      <c r="N74" s="537"/>
      <c r="O74" s="537"/>
      <c r="P74" s="537" t="str">
        <f>IF(OR(G74=0,G74=""),"",IF(VLOOKUP(G74,'Geometry 2'!$C$4:$AI$14,1,TRUE)=VLOOKUP(G75,'Geometry 2'!$C$4:$AI$14,1,TRUE),"",IF(VLOOKUP(G74,'Geometry 2'!$C$4:$AI$14,33,TRUE)&lt;&gt;"n/a",MIN(G74,VLOOKUP(G74,'Geometry 2'!$C$4:$AI$14,1,TRUE))-VLOOKUP(G74,'Geometry 2'!$C$4:$AI$14,33,TRUE),"check")))</f>
        <v/>
      </c>
      <c r="Q74" s="537"/>
      <c r="R74" s="537"/>
      <c r="S74" s="537"/>
      <c r="T74" s="537" t="str">
        <f>IF($G74="","",VLOOKUP($G74,'Geometry 2'!$E$4:$AH$14,11,TRUE))</f>
        <v/>
      </c>
      <c r="U74" s="537"/>
      <c r="V74" s="537"/>
      <c r="W74" s="537"/>
      <c r="X74" s="538" t="str">
        <f>IF($G74="","",VLOOKUP($G74,'Geometry 2'!$E$4:$AJ$14,19,TRUE)-12*VLOOKUP($G74,'Geometry 2'!$E$4:$AJ$14,32,TRUE)*($D74-VLOOKUP($G74,'Geometry 2'!$E$5:$AH$14,1,TRUE)))</f>
        <v/>
      </c>
      <c r="Y74" s="538"/>
      <c r="Z74" s="538"/>
      <c r="AA74" s="538"/>
      <c r="AB74" s="542" t="str">
        <f>IF($G74="","",VLOOKUP($G74,'Geometry 2'!$E$4:$AJ$14,19,TRUE)-12*VLOOKUP($G74,'Geometry 2'!$E$4:$AJ$14,32,TRUE)*($G74-VLOOKUP($G74,'Geometry 2'!$E$5:$AH$14,1,TRUE)))</f>
        <v/>
      </c>
      <c r="AC74" s="543"/>
      <c r="AD74" s="543"/>
      <c r="AE74" s="544"/>
      <c r="AF74" s="538" t="str">
        <f>IF($G74="","",VLOOKUP($G74,'Geometry 2'!$E$4:$AJ$14,19,TRUE)-12*VLOOKUP($G74,'Geometry 2'!$E$4:$AJ$14,32,TRUE)*($G74-IF($P74="",0,$P74)-VLOOKUP($G74,'Geometry 2'!$E$5:$AH$14,1,TRUE)))</f>
        <v/>
      </c>
      <c r="AG74" s="538"/>
      <c r="AH74" s="538"/>
      <c r="AI74" s="538"/>
      <c r="AJ74" s="539" t="str">
        <f>IF($G74="","",VLOOKUP($G74,'Geometry 2'!$E$4:$AH$14,23,TRUE))</f>
        <v/>
      </c>
      <c r="AK74" s="549"/>
      <c r="AL74" s="549"/>
      <c r="AM74" s="550"/>
      <c r="AN74" s="537"/>
      <c r="AO74" s="537"/>
      <c r="AP74" s="537"/>
      <c r="AQ74" s="537"/>
      <c r="AR74" s="537" t="str">
        <f>IF($G74="","",VLOOKUP($G74,'Geometry 2'!$E$4:$AH$14,27,TRUE))</f>
        <v/>
      </c>
      <c r="AS74" s="537"/>
      <c r="AT74" s="537"/>
      <c r="AU74" s="539"/>
      <c r="AV74" s="564"/>
      <c r="AW74" s="538"/>
      <c r="AX74" s="538"/>
      <c r="AZ74" s="517" t="str">
        <f t="shared" si="15"/>
        <v/>
      </c>
      <c r="BA74" s="518"/>
      <c r="BB74" s="518"/>
      <c r="BC74" s="519"/>
      <c r="BD74" s="517"/>
      <c r="BE74" s="518"/>
      <c r="BF74" s="518"/>
      <c r="BG74" s="517" t="str">
        <f t="shared" si="9"/>
        <v/>
      </c>
      <c r="BH74" s="518"/>
      <c r="BI74" s="518"/>
      <c r="BJ74" s="518"/>
      <c r="BK74" s="519"/>
      <c r="BL74" s="517"/>
      <c r="BM74" s="518"/>
      <c r="BN74" s="518"/>
      <c r="BO74" s="518"/>
      <c r="BP74" s="520"/>
      <c r="BQ74" s="520"/>
      <c r="BR74" s="517" t="str">
        <f>IF(BP74="","",IF(OR(AND(Rev="H",Calculations!$F$27=TRUE),AND(Rev&lt;&gt;"H",Calculations!$F$30=TRUE)),IF(BP74&lt;=1,"Pass","Fail"),IF(BP74&lt;=1.05,"Pass","Fail")))</f>
        <v/>
      </c>
      <c r="BS74" s="518"/>
      <c r="BT74" s="519"/>
      <c r="BU74" s="34"/>
      <c r="BV74" s="16"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16"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16"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16"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16"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16"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16"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16"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16"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16"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16"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16"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16"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16"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16"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16"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16"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16"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44" t="str">
        <f t="shared" si="16"/>
        <v/>
      </c>
      <c r="CO74" s="494"/>
      <c r="CP74" s="495"/>
      <c r="CQ74" s="496"/>
      <c r="CR74" s="494"/>
      <c r="CS74" s="495"/>
      <c r="CT74" s="496"/>
      <c r="CU74" s="494" t="str">
        <f t="shared" si="17"/>
        <v/>
      </c>
      <c r="CV74" s="495"/>
      <c r="CW74" s="500"/>
      <c r="CX74" s="501"/>
      <c r="CY74" s="492"/>
      <c r="CZ74" s="502"/>
      <c r="DA74" s="488"/>
      <c r="DB74" s="489"/>
      <c r="DC74" s="490"/>
      <c r="DD74" s="491" t="str">
        <f t="shared" si="18"/>
        <v/>
      </c>
      <c r="DE74" s="492"/>
      <c r="DF74" s="493"/>
      <c r="DG74" s="40"/>
      <c r="DH74" s="41"/>
      <c r="DI74" s="41"/>
      <c r="DJ74" s="41"/>
      <c r="DK74" s="41"/>
      <c r="DL74" s="41"/>
      <c r="DM74" s="41"/>
      <c r="DN74" s="41"/>
      <c r="DO74" s="41"/>
      <c r="DP74" s="41"/>
      <c r="DQ74" s="43"/>
      <c r="DR74" s="43"/>
      <c r="DS74" s="43"/>
      <c r="DT74" s="43"/>
      <c r="DU74" s="43"/>
      <c r="DV74" s="43"/>
      <c r="DW74" s="43"/>
      <c r="DX74" s="43"/>
      <c r="DY74" s="43"/>
      <c r="DZ74" s="43"/>
      <c r="EA74" s="43"/>
      <c r="EB74" s="43"/>
      <c r="EC74" s="43"/>
      <c r="ED74" s="43"/>
      <c r="EE74" s="43"/>
      <c r="EF74" s="43"/>
      <c r="EG74" s="43"/>
      <c r="EH74" s="43"/>
      <c r="EI74" s="43"/>
      <c r="EJ74" s="43"/>
      <c r="EK74" s="43"/>
      <c r="EL74" s="98"/>
      <c r="EM74" s="98"/>
      <c r="EN74" s="98"/>
      <c r="EO74" s="98"/>
      <c r="EP74" s="98"/>
      <c r="EQ74" s="98"/>
      <c r="ER74" s="98"/>
      <c r="ES74" s="98"/>
      <c r="ET74" s="98"/>
      <c r="EU74" s="98"/>
      <c r="EV74" s="98"/>
      <c r="EW74" s="98"/>
      <c r="EX74" s="98"/>
      <c r="EY74" s="98"/>
      <c r="EZ74" s="98"/>
      <c r="FA74" s="98"/>
      <c r="FB74" s="98"/>
      <c r="FC74" s="98"/>
      <c r="FD74" s="98"/>
      <c r="FE74" s="98"/>
      <c r="FF74" s="98"/>
      <c r="FG74" s="98"/>
      <c r="FH74" s="98"/>
      <c r="FI74" s="98"/>
      <c r="FJ74" s="98"/>
      <c r="FK74" s="98"/>
      <c r="FL74" s="98"/>
      <c r="FM74" s="98"/>
      <c r="FN74" s="98"/>
      <c r="FO74" s="98"/>
      <c r="FQ74" s="89"/>
      <c r="FR74" s="87"/>
      <c r="FS74" s="85"/>
      <c r="FT74" s="84"/>
    </row>
    <row r="75" spans="2:176" ht="15.75" hidden="1" thickBot="1" x14ac:dyDescent="0.3">
      <c r="B75" s="47" t="b">
        <f>IF(AND(P74&lt;&gt;"",OR(AND(G75&gt;='Geometry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3" t="str">
        <f t="shared" si="13"/>
        <v/>
      </c>
      <c r="D75" s="529" t="str">
        <f t="shared" si="14"/>
        <v/>
      </c>
      <c r="E75" s="530"/>
      <c r="F75" s="14" t="str">
        <f t="shared" si="12"/>
        <v/>
      </c>
      <c r="G75" s="531"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532"/>
      <c r="I75" s="143"/>
      <c r="J75" s="143"/>
      <c r="K75" s="143"/>
      <c r="L75" s="537" t="str">
        <f t="shared" si="11"/>
        <v/>
      </c>
      <c r="M75" s="537"/>
      <c r="N75" s="537"/>
      <c r="O75" s="537"/>
      <c r="P75" s="537" t="str">
        <f>IF(OR(G75=0,G75=""),"",IF(VLOOKUP(G75,'Geometry 2'!$C$4:$AI$14,1,TRUE)=VLOOKUP(G76,'Geometry 2'!$C$4:$AI$14,1,TRUE),"",IF(VLOOKUP(G75,'Geometry 2'!$C$4:$AI$14,33,TRUE)&lt;&gt;"n/a",MIN(G75,VLOOKUP(G75,'Geometry 2'!$C$4:$AI$14,1,TRUE))-VLOOKUP(G75,'Geometry 2'!$C$4:$AI$14,33,TRUE),"check")))</f>
        <v/>
      </c>
      <c r="Q75" s="537"/>
      <c r="R75" s="537"/>
      <c r="S75" s="537"/>
      <c r="T75" s="537" t="str">
        <f>IF($G75="","",VLOOKUP($G75,'Geometry 2'!$E$4:$AH$14,11,TRUE))</f>
        <v/>
      </c>
      <c r="U75" s="537"/>
      <c r="V75" s="537"/>
      <c r="W75" s="537"/>
      <c r="X75" s="538" t="str">
        <f>IF($G75="","",VLOOKUP($G75,'Geometry 2'!$E$4:$AJ$14,19,TRUE)-12*VLOOKUP($G75,'Geometry 2'!$E$4:$AJ$14,32,TRUE)*($D75-VLOOKUP($G75,'Geometry 2'!$E$5:$AH$14,1,TRUE)))</f>
        <v/>
      </c>
      <c r="Y75" s="538"/>
      <c r="Z75" s="538"/>
      <c r="AA75" s="538"/>
      <c r="AB75" s="542" t="str">
        <f>IF($G75="","",VLOOKUP($G75,'Geometry 2'!$E$4:$AJ$14,19,TRUE)-12*VLOOKUP($G75,'Geometry 2'!$E$4:$AJ$14,32,TRUE)*($G75-VLOOKUP($G75,'Geometry 2'!$E$5:$AH$14,1,TRUE)))</f>
        <v/>
      </c>
      <c r="AC75" s="543"/>
      <c r="AD75" s="543"/>
      <c r="AE75" s="544"/>
      <c r="AF75" s="538" t="str">
        <f>IF($G75="","",VLOOKUP($G75,'Geometry 2'!$E$4:$AJ$14,19,TRUE)-12*VLOOKUP($G75,'Geometry 2'!$E$4:$AJ$14,32,TRUE)*($G75-IF($P75="",0,$P75)-VLOOKUP($G75,'Geometry 2'!$E$5:$AH$14,1,TRUE)))</f>
        <v/>
      </c>
      <c r="AG75" s="538"/>
      <c r="AH75" s="538"/>
      <c r="AI75" s="538"/>
      <c r="AJ75" s="539" t="str">
        <f>IF($G75="","",VLOOKUP($G75,'Geometry 2'!$E$4:$AH$14,23,TRUE))</f>
        <v/>
      </c>
      <c r="AK75" s="549"/>
      <c r="AL75" s="549"/>
      <c r="AM75" s="550"/>
      <c r="AN75" s="537"/>
      <c r="AO75" s="537"/>
      <c r="AP75" s="537"/>
      <c r="AQ75" s="537"/>
      <c r="AR75" s="537" t="str">
        <f>IF($G75="","",VLOOKUP($G75,'Geometry 2'!$E$4:$AH$14,27,TRUE))</f>
        <v/>
      </c>
      <c r="AS75" s="537"/>
      <c r="AT75" s="537"/>
      <c r="AU75" s="539"/>
      <c r="AV75" s="564"/>
      <c r="AW75" s="538"/>
      <c r="AX75" s="538"/>
      <c r="AZ75" s="517" t="str">
        <f t="shared" si="15"/>
        <v/>
      </c>
      <c r="BA75" s="518"/>
      <c r="BB75" s="518"/>
      <c r="BC75" s="519"/>
      <c r="BD75" s="517"/>
      <c r="BE75" s="518"/>
      <c r="BF75" s="518"/>
      <c r="BG75" s="517" t="str">
        <f t="shared" si="9"/>
        <v/>
      </c>
      <c r="BH75" s="518"/>
      <c r="BI75" s="518"/>
      <c r="BJ75" s="518"/>
      <c r="BK75" s="519"/>
      <c r="BL75" s="517"/>
      <c r="BM75" s="518"/>
      <c r="BN75" s="518"/>
      <c r="BO75" s="518"/>
      <c r="BP75" s="520"/>
      <c r="BQ75" s="520"/>
      <c r="BR75" s="517" t="str">
        <f>IF(BP75="","",IF(OR(AND(Rev="H",Calculations!$F$27=TRUE),AND(Rev&lt;&gt;"H",Calculations!$F$30=TRUE)),IF(BP75&lt;=1,"Pass","Fail"),IF(BP75&lt;=1.05,"Pass","Fail")))</f>
        <v/>
      </c>
      <c r="BS75" s="518"/>
      <c r="BT75" s="519"/>
      <c r="BU75" s="34"/>
      <c r="BV75" s="16"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16"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16"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16"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16"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16"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16"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16"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16"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16"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16"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16"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16"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16"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16"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16"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16"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16"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45" t="str">
        <f t="shared" si="16"/>
        <v/>
      </c>
      <c r="CO75" s="497"/>
      <c r="CP75" s="498"/>
      <c r="CQ75" s="499"/>
      <c r="CR75" s="497"/>
      <c r="CS75" s="498"/>
      <c r="CT75" s="499"/>
      <c r="CU75" s="497" t="str">
        <f t="shared" si="17"/>
        <v/>
      </c>
      <c r="CV75" s="498"/>
      <c r="CW75" s="503"/>
      <c r="CX75" s="484"/>
      <c r="CY75" s="485"/>
      <c r="CZ75" s="486"/>
      <c r="DA75" s="484"/>
      <c r="DB75" s="485"/>
      <c r="DC75" s="486"/>
      <c r="DD75" s="484" t="str">
        <f t="shared" si="18"/>
        <v/>
      </c>
      <c r="DE75" s="485"/>
      <c r="DF75" s="487"/>
      <c r="DG75" s="38"/>
      <c r="DH75" s="39"/>
      <c r="DI75" s="39"/>
      <c r="DJ75" s="39"/>
      <c r="DK75" s="39"/>
      <c r="DL75" s="39"/>
      <c r="DM75" s="39"/>
      <c r="DN75" s="39"/>
      <c r="DO75" s="39"/>
      <c r="DP75" s="39"/>
      <c r="DQ75" s="42"/>
      <c r="DR75" s="42"/>
      <c r="DS75" s="42"/>
      <c r="DT75" s="42"/>
      <c r="DU75" s="42"/>
      <c r="DV75" s="42"/>
      <c r="DW75" s="42"/>
      <c r="DX75" s="42"/>
      <c r="DY75" s="42"/>
      <c r="DZ75" s="42"/>
      <c r="EA75" s="42"/>
      <c r="EB75" s="42"/>
      <c r="EC75" s="42"/>
      <c r="ED75" s="42"/>
      <c r="EE75" s="42"/>
      <c r="EF75" s="42"/>
      <c r="EG75" s="42"/>
      <c r="EH75" s="42"/>
      <c r="EI75" s="42"/>
      <c r="EJ75" s="42"/>
      <c r="EK75" s="42"/>
      <c r="EL75" s="97"/>
      <c r="EM75" s="97"/>
      <c r="EN75" s="97"/>
      <c r="EO75" s="97"/>
      <c r="EP75" s="97"/>
      <c r="EQ75" s="97"/>
      <c r="ER75" s="97"/>
      <c r="ES75" s="97"/>
      <c r="ET75" s="97"/>
      <c r="EU75" s="97"/>
      <c r="EV75" s="97"/>
      <c r="EW75" s="97"/>
      <c r="EX75" s="97"/>
      <c r="EY75" s="97"/>
      <c r="EZ75" s="97"/>
      <c r="FA75" s="97"/>
      <c r="FB75" s="97"/>
      <c r="FC75" s="97"/>
      <c r="FD75" s="97"/>
      <c r="FE75" s="97"/>
      <c r="FF75" s="97"/>
      <c r="FG75" s="97"/>
      <c r="FH75" s="97"/>
      <c r="FI75" s="97"/>
      <c r="FJ75" s="97"/>
      <c r="FK75" s="97"/>
      <c r="FL75" s="97"/>
      <c r="FM75" s="97"/>
      <c r="FN75" s="97"/>
      <c r="FO75" s="97"/>
      <c r="FQ75" s="90"/>
      <c r="FR75" s="88"/>
      <c r="FS75" s="86"/>
      <c r="FT75" s="84"/>
    </row>
    <row r="76" spans="2:176" ht="15.75" hidden="1" thickBot="1" x14ac:dyDescent="0.3">
      <c r="B76" s="47" t="b">
        <f>IF(AND(P75&lt;&gt;"",OR(AND(G76&gt;='Geometry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3" t="str">
        <f t="shared" si="13"/>
        <v/>
      </c>
      <c r="D76" s="529" t="str">
        <f t="shared" si="14"/>
        <v/>
      </c>
      <c r="E76" s="530"/>
      <c r="F76" s="14" t="str">
        <f t="shared" si="12"/>
        <v/>
      </c>
      <c r="G76" s="531"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532"/>
      <c r="I76" s="143"/>
      <c r="J76" s="143"/>
      <c r="K76" s="143"/>
      <c r="L76" s="537" t="str">
        <f t="shared" si="11"/>
        <v/>
      </c>
      <c r="M76" s="537"/>
      <c r="N76" s="537"/>
      <c r="O76" s="537"/>
      <c r="P76" s="537" t="str">
        <f>IF(OR(G76=0,G76=""),"",IF(VLOOKUP(G76,'Geometry 2'!$C$4:$AI$14,1,TRUE)=VLOOKUP(G77,'Geometry 2'!$C$4:$AI$14,1,TRUE),"",IF(VLOOKUP(G76,'Geometry 2'!$C$4:$AI$14,33,TRUE)&lt;&gt;"n/a",MIN(G76,VLOOKUP(G76,'Geometry 2'!$C$4:$AI$14,1,TRUE))-VLOOKUP(G76,'Geometry 2'!$C$4:$AI$14,33,TRUE),"check")))</f>
        <v/>
      </c>
      <c r="Q76" s="537"/>
      <c r="R76" s="537"/>
      <c r="S76" s="537"/>
      <c r="T76" s="537" t="str">
        <f>IF($G76="","",VLOOKUP($G76,'Geometry 2'!$E$4:$AH$14,11,TRUE))</f>
        <v/>
      </c>
      <c r="U76" s="537"/>
      <c r="V76" s="537"/>
      <c r="W76" s="537"/>
      <c r="X76" s="538" t="str">
        <f>IF($G76="","",VLOOKUP($G76,'Geometry 2'!$E$4:$AJ$14,19,TRUE)-12*VLOOKUP($G76,'Geometry 2'!$E$4:$AJ$14,32,TRUE)*($D76-VLOOKUP($G76,'Geometry 2'!$E$5:$AH$14,1,TRUE)))</f>
        <v/>
      </c>
      <c r="Y76" s="538"/>
      <c r="Z76" s="538"/>
      <c r="AA76" s="538"/>
      <c r="AB76" s="542" t="str">
        <f>IF($G76="","",VLOOKUP($G76,'Geometry 2'!$E$4:$AJ$14,19,TRUE)-12*VLOOKUP($G76,'Geometry 2'!$E$4:$AJ$14,32,TRUE)*($G76-VLOOKUP($G76,'Geometry 2'!$E$5:$AH$14,1,TRUE)))</f>
        <v/>
      </c>
      <c r="AC76" s="543"/>
      <c r="AD76" s="543"/>
      <c r="AE76" s="544"/>
      <c r="AF76" s="538" t="str">
        <f>IF($G76="","",VLOOKUP($G76,'Geometry 2'!$E$4:$AJ$14,19,TRUE)-12*VLOOKUP($G76,'Geometry 2'!$E$4:$AJ$14,32,TRUE)*($G76-IF($P76="",0,$P76)-VLOOKUP($G76,'Geometry 2'!$E$5:$AH$14,1,TRUE)))</f>
        <v/>
      </c>
      <c r="AG76" s="538"/>
      <c r="AH76" s="538"/>
      <c r="AI76" s="538"/>
      <c r="AJ76" s="539" t="str">
        <f>IF($G76="","",VLOOKUP($G76,'Geometry 2'!$E$4:$AH$14,23,TRUE))</f>
        <v/>
      </c>
      <c r="AK76" s="549"/>
      <c r="AL76" s="549"/>
      <c r="AM76" s="550"/>
      <c r="AN76" s="537"/>
      <c r="AO76" s="537"/>
      <c r="AP76" s="537"/>
      <c r="AQ76" s="537"/>
      <c r="AR76" s="537" t="str">
        <f>IF($G76="","",VLOOKUP($G76,'Geometry 2'!$E$4:$AH$14,27,TRUE))</f>
        <v/>
      </c>
      <c r="AS76" s="537"/>
      <c r="AT76" s="537"/>
      <c r="AU76" s="539"/>
      <c r="AV76" s="564"/>
      <c r="AW76" s="538"/>
      <c r="AX76" s="538"/>
      <c r="AZ76" s="517" t="str">
        <f t="shared" si="15"/>
        <v/>
      </c>
      <c r="BA76" s="518"/>
      <c r="BB76" s="518"/>
      <c r="BC76" s="519"/>
      <c r="BD76" s="517"/>
      <c r="BE76" s="518"/>
      <c r="BF76" s="518"/>
      <c r="BG76" s="517" t="str">
        <f t="shared" si="9"/>
        <v/>
      </c>
      <c r="BH76" s="518"/>
      <c r="BI76" s="518"/>
      <c r="BJ76" s="518"/>
      <c r="BK76" s="519"/>
      <c r="BL76" s="517"/>
      <c r="BM76" s="518"/>
      <c r="BN76" s="518"/>
      <c r="BO76" s="518"/>
      <c r="BP76" s="520"/>
      <c r="BQ76" s="520"/>
      <c r="BR76" s="517" t="str">
        <f>IF(BP76="","",IF(OR(AND(Rev="H",Calculations!$F$27=TRUE),AND(Rev&lt;&gt;"H",Calculations!$F$30=TRUE)),IF(BP76&lt;=1,"Pass","Fail"),IF(BP76&lt;=1.05,"Pass","Fail")))</f>
        <v/>
      </c>
      <c r="BS76" s="518"/>
      <c r="BT76" s="519"/>
      <c r="BU76" s="34"/>
      <c r="BV76" s="16"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16"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16"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16"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16"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16"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16"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16"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16"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16"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16"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16"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16"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16"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16"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16"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16"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16"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44" t="str">
        <f t="shared" si="16"/>
        <v/>
      </c>
      <c r="CO76" s="494"/>
      <c r="CP76" s="495"/>
      <c r="CQ76" s="496"/>
      <c r="CR76" s="494"/>
      <c r="CS76" s="495"/>
      <c r="CT76" s="496"/>
      <c r="CU76" s="494" t="str">
        <f t="shared" si="17"/>
        <v/>
      </c>
      <c r="CV76" s="495"/>
      <c r="CW76" s="500"/>
      <c r="CX76" s="501"/>
      <c r="CY76" s="492"/>
      <c r="CZ76" s="502"/>
      <c r="DA76" s="488"/>
      <c r="DB76" s="489"/>
      <c r="DC76" s="490"/>
      <c r="DD76" s="491" t="str">
        <f t="shared" si="18"/>
        <v/>
      </c>
      <c r="DE76" s="492"/>
      <c r="DF76" s="493"/>
      <c r="DG76" s="40"/>
      <c r="DH76" s="41"/>
      <c r="DI76" s="41"/>
      <c r="DJ76" s="41"/>
      <c r="DK76" s="41"/>
      <c r="DL76" s="41"/>
      <c r="DM76" s="41"/>
      <c r="DN76" s="41"/>
      <c r="DO76" s="41"/>
      <c r="DP76" s="41"/>
      <c r="DQ76" s="43"/>
      <c r="DR76" s="43"/>
      <c r="DS76" s="43"/>
      <c r="DT76" s="43"/>
      <c r="DU76" s="43"/>
      <c r="DV76" s="43"/>
      <c r="DW76" s="43"/>
      <c r="DX76" s="43"/>
      <c r="DY76" s="43"/>
      <c r="DZ76" s="43"/>
      <c r="EA76" s="43"/>
      <c r="EB76" s="43"/>
      <c r="EC76" s="43"/>
      <c r="ED76" s="43"/>
      <c r="EE76" s="43"/>
      <c r="EF76" s="43"/>
      <c r="EG76" s="43"/>
      <c r="EH76" s="43"/>
      <c r="EI76" s="43"/>
      <c r="EJ76" s="43"/>
      <c r="EK76" s="43"/>
      <c r="EL76" s="98"/>
      <c r="EM76" s="98"/>
      <c r="EN76" s="98"/>
      <c r="EO76" s="98"/>
      <c r="EP76" s="98"/>
      <c r="EQ76" s="98"/>
      <c r="ER76" s="98"/>
      <c r="ES76" s="98"/>
      <c r="ET76" s="98"/>
      <c r="EU76" s="98"/>
      <c r="EV76" s="98"/>
      <c r="EW76" s="98"/>
      <c r="EX76" s="98"/>
      <c r="EY76" s="98"/>
      <c r="EZ76" s="98"/>
      <c r="FA76" s="98"/>
      <c r="FB76" s="98"/>
      <c r="FC76" s="98"/>
      <c r="FD76" s="98"/>
      <c r="FE76" s="98"/>
      <c r="FF76" s="98"/>
      <c r="FG76" s="98"/>
      <c r="FH76" s="98"/>
      <c r="FI76" s="98"/>
      <c r="FJ76" s="98"/>
      <c r="FK76" s="98"/>
      <c r="FL76" s="98"/>
      <c r="FM76" s="98"/>
      <c r="FN76" s="98"/>
      <c r="FO76" s="98"/>
      <c r="FQ76" s="89"/>
      <c r="FR76" s="87"/>
      <c r="FS76" s="85"/>
      <c r="FT76" s="84"/>
    </row>
    <row r="77" spans="2:176" ht="15.75" hidden="1" thickBot="1" x14ac:dyDescent="0.3">
      <c r="B77" s="47" t="b">
        <f>IF(AND(P76&lt;&gt;"",OR(AND(G77&gt;='Geometry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3" t="str">
        <f t="shared" si="13"/>
        <v/>
      </c>
      <c r="D77" s="529" t="str">
        <f t="shared" si="14"/>
        <v/>
      </c>
      <c r="E77" s="530"/>
      <c r="F77" s="14" t="str">
        <f t="shared" si="12"/>
        <v/>
      </c>
      <c r="G77" s="531"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532"/>
      <c r="I77" s="143"/>
      <c r="J77" s="143"/>
      <c r="K77" s="143"/>
      <c r="L77" s="537" t="str">
        <f t="shared" si="11"/>
        <v/>
      </c>
      <c r="M77" s="537"/>
      <c r="N77" s="537"/>
      <c r="O77" s="537"/>
      <c r="P77" s="537" t="str">
        <f>IF(OR(G77=0,G77=""),"",IF(VLOOKUP(G77,'Geometry 2'!$C$4:$AI$14,1,TRUE)=VLOOKUP(G78,'Geometry 2'!$C$4:$AI$14,1,TRUE),"",IF(VLOOKUP(G77,'Geometry 2'!$C$4:$AI$14,33,TRUE)&lt;&gt;"n/a",MIN(G77,VLOOKUP(G77,'Geometry 2'!$C$4:$AI$14,1,TRUE))-VLOOKUP(G77,'Geometry 2'!$C$4:$AI$14,33,TRUE),"check")))</f>
        <v/>
      </c>
      <c r="Q77" s="537"/>
      <c r="R77" s="537"/>
      <c r="S77" s="537"/>
      <c r="T77" s="537" t="str">
        <f>IF($G77="","",VLOOKUP($G77,'Geometry 2'!$E$4:$AH$14,11,TRUE))</f>
        <v/>
      </c>
      <c r="U77" s="537"/>
      <c r="V77" s="537"/>
      <c r="W77" s="537"/>
      <c r="X77" s="538" t="str">
        <f>IF($G77="","",VLOOKUP($G77,'Geometry 2'!$E$4:$AJ$14,19,TRUE)-12*VLOOKUP($G77,'Geometry 2'!$E$4:$AJ$14,32,TRUE)*($D77-VLOOKUP($G77,'Geometry 2'!$E$5:$AH$14,1,TRUE)))</f>
        <v/>
      </c>
      <c r="Y77" s="538"/>
      <c r="Z77" s="538"/>
      <c r="AA77" s="538"/>
      <c r="AB77" s="542" t="str">
        <f>IF($G77="","",VLOOKUP($G77,'Geometry 2'!$E$4:$AJ$14,19,TRUE)-12*VLOOKUP($G77,'Geometry 2'!$E$4:$AJ$14,32,TRUE)*($G77-VLOOKUP($G77,'Geometry 2'!$E$5:$AH$14,1,TRUE)))</f>
        <v/>
      </c>
      <c r="AC77" s="543"/>
      <c r="AD77" s="543"/>
      <c r="AE77" s="544"/>
      <c r="AF77" s="538" t="str">
        <f>IF($G77="","",VLOOKUP($G77,'Geometry 2'!$E$4:$AJ$14,19,TRUE)-12*VLOOKUP($G77,'Geometry 2'!$E$4:$AJ$14,32,TRUE)*($G77-IF($P77="",0,$P77)-VLOOKUP($G77,'Geometry 2'!$E$5:$AH$14,1,TRUE)))</f>
        <v/>
      </c>
      <c r="AG77" s="538"/>
      <c r="AH77" s="538"/>
      <c r="AI77" s="538"/>
      <c r="AJ77" s="539" t="str">
        <f>IF($G77="","",VLOOKUP($G77,'Geometry 2'!$E$4:$AH$14,23,TRUE))</f>
        <v/>
      </c>
      <c r="AK77" s="549"/>
      <c r="AL77" s="549"/>
      <c r="AM77" s="550"/>
      <c r="AN77" s="537"/>
      <c r="AO77" s="537"/>
      <c r="AP77" s="537"/>
      <c r="AQ77" s="537"/>
      <c r="AR77" s="537" t="str">
        <f>IF($G77="","",VLOOKUP($G77,'Geometry 2'!$E$4:$AH$14,27,TRUE))</f>
        <v/>
      </c>
      <c r="AS77" s="537"/>
      <c r="AT77" s="537"/>
      <c r="AU77" s="539"/>
      <c r="AV77" s="564"/>
      <c r="AW77" s="538"/>
      <c r="AX77" s="538"/>
      <c r="AZ77" s="517" t="str">
        <f t="shared" si="15"/>
        <v/>
      </c>
      <c r="BA77" s="518"/>
      <c r="BB77" s="518"/>
      <c r="BC77" s="519"/>
      <c r="BD77" s="517"/>
      <c r="BE77" s="518"/>
      <c r="BF77" s="518"/>
      <c r="BG77" s="517" t="str">
        <f t="shared" si="9"/>
        <v/>
      </c>
      <c r="BH77" s="518"/>
      <c r="BI77" s="518"/>
      <c r="BJ77" s="518"/>
      <c r="BK77" s="519"/>
      <c r="BL77" s="517"/>
      <c r="BM77" s="518"/>
      <c r="BN77" s="518"/>
      <c r="BO77" s="518"/>
      <c r="BP77" s="520"/>
      <c r="BQ77" s="520"/>
      <c r="BR77" s="517" t="str">
        <f>IF(BP77="","",IF(OR(AND(Rev="H",Calculations!$F$27=TRUE),AND(Rev&lt;&gt;"H",Calculations!$F$30=TRUE)),IF(BP77&lt;=1,"Pass","Fail"),IF(BP77&lt;=1.05,"Pass","Fail")))</f>
        <v/>
      </c>
      <c r="BS77" s="518"/>
      <c r="BT77" s="519"/>
      <c r="BU77" s="34"/>
      <c r="BV77" s="16"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16"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16"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16"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16"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16"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16"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16"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16"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16"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16"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16"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16"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16"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16"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16"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16"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16"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45" t="str">
        <f t="shared" si="16"/>
        <v/>
      </c>
      <c r="CO77" s="497"/>
      <c r="CP77" s="498"/>
      <c r="CQ77" s="499"/>
      <c r="CR77" s="497"/>
      <c r="CS77" s="498"/>
      <c r="CT77" s="499"/>
      <c r="CU77" s="497" t="str">
        <f t="shared" si="17"/>
        <v/>
      </c>
      <c r="CV77" s="498"/>
      <c r="CW77" s="503"/>
      <c r="CX77" s="484"/>
      <c r="CY77" s="485"/>
      <c r="CZ77" s="486"/>
      <c r="DA77" s="484"/>
      <c r="DB77" s="485"/>
      <c r="DC77" s="486"/>
      <c r="DD77" s="484" t="str">
        <f t="shared" si="18"/>
        <v/>
      </c>
      <c r="DE77" s="485"/>
      <c r="DF77" s="487"/>
      <c r="DG77" s="38"/>
      <c r="DH77" s="39"/>
      <c r="DI77" s="39"/>
      <c r="DJ77" s="39"/>
      <c r="DK77" s="39"/>
      <c r="DL77" s="39"/>
      <c r="DM77" s="39"/>
      <c r="DN77" s="39"/>
      <c r="DO77" s="39"/>
      <c r="DP77" s="39"/>
      <c r="DQ77" s="42"/>
      <c r="DR77" s="42"/>
      <c r="DS77" s="42"/>
      <c r="DT77" s="42"/>
      <c r="DU77" s="42"/>
      <c r="DV77" s="42"/>
      <c r="DW77" s="42"/>
      <c r="DX77" s="42"/>
      <c r="DY77" s="42"/>
      <c r="DZ77" s="42"/>
      <c r="EA77" s="42"/>
      <c r="EB77" s="42"/>
      <c r="EC77" s="42"/>
      <c r="ED77" s="42"/>
      <c r="EE77" s="42"/>
      <c r="EF77" s="42"/>
      <c r="EG77" s="42"/>
      <c r="EH77" s="42"/>
      <c r="EI77" s="42"/>
      <c r="EJ77" s="42"/>
      <c r="EK77" s="42"/>
      <c r="EL77" s="97"/>
      <c r="EM77" s="97"/>
      <c r="EN77" s="97"/>
      <c r="EO77" s="97"/>
      <c r="EP77" s="97"/>
      <c r="EQ77" s="97"/>
      <c r="ER77" s="97"/>
      <c r="ES77" s="97"/>
      <c r="ET77" s="97"/>
      <c r="EU77" s="97"/>
      <c r="EV77" s="97"/>
      <c r="EW77" s="97"/>
      <c r="EX77" s="97"/>
      <c r="EY77" s="97"/>
      <c r="EZ77" s="97"/>
      <c r="FA77" s="97"/>
      <c r="FB77" s="97"/>
      <c r="FC77" s="97"/>
      <c r="FD77" s="97"/>
      <c r="FE77" s="97"/>
      <c r="FF77" s="97"/>
      <c r="FG77" s="97"/>
      <c r="FH77" s="97"/>
      <c r="FI77" s="97"/>
      <c r="FJ77" s="97"/>
      <c r="FK77" s="97"/>
      <c r="FL77" s="97"/>
      <c r="FM77" s="97"/>
      <c r="FN77" s="97"/>
      <c r="FO77" s="97"/>
      <c r="FQ77" s="90"/>
      <c r="FR77" s="88"/>
      <c r="FS77" s="86"/>
      <c r="FT77" s="84"/>
    </row>
    <row r="78" spans="2:176" ht="15.75" hidden="1" thickBot="1" x14ac:dyDescent="0.3">
      <c r="B78" s="47" t="b">
        <f>IF(AND(P77&lt;&gt;"",OR(AND(G78&gt;='Geometry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3" t="str">
        <f t="shared" si="13"/>
        <v/>
      </c>
      <c r="D78" s="529" t="str">
        <f t="shared" si="14"/>
        <v/>
      </c>
      <c r="E78" s="530"/>
      <c r="F78" s="14" t="str">
        <f t="shared" si="12"/>
        <v/>
      </c>
      <c r="G78" s="531"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532"/>
      <c r="I78" s="143"/>
      <c r="J78" s="143"/>
      <c r="K78" s="143"/>
      <c r="L78" s="537" t="str">
        <f t="shared" si="11"/>
        <v/>
      </c>
      <c r="M78" s="537"/>
      <c r="N78" s="537"/>
      <c r="O78" s="537"/>
      <c r="P78" s="537" t="str">
        <f>IF(OR(G78=0,G78=""),"",IF(VLOOKUP(G78,'Geometry 2'!$C$4:$AI$14,1,TRUE)=VLOOKUP(G79,'Geometry 2'!$C$4:$AI$14,1,TRUE),"",IF(VLOOKUP(G78,'Geometry 2'!$C$4:$AI$14,33,TRUE)&lt;&gt;"n/a",MIN(G78,VLOOKUP(G78,'Geometry 2'!$C$4:$AI$14,1,TRUE))-VLOOKUP(G78,'Geometry 2'!$C$4:$AI$14,33,TRUE),"check")))</f>
        <v/>
      </c>
      <c r="Q78" s="537"/>
      <c r="R78" s="537"/>
      <c r="S78" s="537"/>
      <c r="T78" s="537" t="str">
        <f>IF($G78="","",VLOOKUP($G78,'Geometry 2'!$E$4:$AH$14,11,TRUE))</f>
        <v/>
      </c>
      <c r="U78" s="537"/>
      <c r="V78" s="537"/>
      <c r="W78" s="537"/>
      <c r="X78" s="538" t="str">
        <f>IF($G78="","",VLOOKUP($G78,'Geometry 2'!$E$4:$AJ$14,19,TRUE)-12*VLOOKUP($G78,'Geometry 2'!$E$4:$AJ$14,32,TRUE)*($D78-VLOOKUP($G78,'Geometry 2'!$E$5:$AH$14,1,TRUE)))</f>
        <v/>
      </c>
      <c r="Y78" s="538"/>
      <c r="Z78" s="538"/>
      <c r="AA78" s="538"/>
      <c r="AB78" s="542" t="str">
        <f>IF($G78="","",VLOOKUP($G78,'Geometry 2'!$E$4:$AJ$14,19,TRUE)-12*VLOOKUP($G78,'Geometry 2'!$E$4:$AJ$14,32,TRUE)*($G78-VLOOKUP($G78,'Geometry 2'!$E$5:$AH$14,1,TRUE)))</f>
        <v/>
      </c>
      <c r="AC78" s="543"/>
      <c r="AD78" s="543"/>
      <c r="AE78" s="544"/>
      <c r="AF78" s="538" t="str">
        <f>IF($G78="","",VLOOKUP($G78,'Geometry 2'!$E$4:$AJ$14,19,TRUE)-12*VLOOKUP($G78,'Geometry 2'!$E$4:$AJ$14,32,TRUE)*($G78-IF($P78="",0,$P78)-VLOOKUP($G78,'Geometry 2'!$E$5:$AH$14,1,TRUE)))</f>
        <v/>
      </c>
      <c r="AG78" s="538"/>
      <c r="AH78" s="538"/>
      <c r="AI78" s="538"/>
      <c r="AJ78" s="539" t="str">
        <f>IF($G78="","",VLOOKUP($G78,'Geometry 2'!$E$4:$AH$14,23,TRUE))</f>
        <v/>
      </c>
      <c r="AK78" s="549"/>
      <c r="AL78" s="549"/>
      <c r="AM78" s="550"/>
      <c r="AN78" s="537"/>
      <c r="AO78" s="537"/>
      <c r="AP78" s="537"/>
      <c r="AQ78" s="537"/>
      <c r="AR78" s="537" t="str">
        <f>IF($G78="","",VLOOKUP($G78,'Geometry 2'!$E$4:$AH$14,27,TRUE))</f>
        <v/>
      </c>
      <c r="AS78" s="537"/>
      <c r="AT78" s="537"/>
      <c r="AU78" s="539"/>
      <c r="AV78" s="564"/>
      <c r="AW78" s="538"/>
      <c r="AX78" s="538"/>
      <c r="AZ78" s="517" t="str">
        <f t="shared" si="15"/>
        <v/>
      </c>
      <c r="BA78" s="518"/>
      <c r="BB78" s="518"/>
      <c r="BC78" s="519"/>
      <c r="BD78" s="517"/>
      <c r="BE78" s="518"/>
      <c r="BF78" s="518"/>
      <c r="BG78" s="517" t="str">
        <f t="shared" si="9"/>
        <v/>
      </c>
      <c r="BH78" s="518"/>
      <c r="BI78" s="518"/>
      <c r="BJ78" s="518"/>
      <c r="BK78" s="519"/>
      <c r="BL78" s="517"/>
      <c r="BM78" s="518"/>
      <c r="BN78" s="518"/>
      <c r="BO78" s="518"/>
      <c r="BP78" s="520"/>
      <c r="BQ78" s="520"/>
      <c r="BR78" s="517" t="str">
        <f>IF(BP78="","",IF(OR(AND(Rev="H",Calculations!$F$27=TRUE),AND(Rev&lt;&gt;"H",Calculations!$F$30=TRUE)),IF(BP78&lt;=1,"Pass","Fail"),IF(BP78&lt;=1.05,"Pass","Fail")))</f>
        <v/>
      </c>
      <c r="BS78" s="518"/>
      <c r="BT78" s="519"/>
      <c r="BU78" s="34"/>
      <c r="BV78" s="16"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16"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16"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16"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16"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16"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16"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16"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16"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16"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16"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16"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16"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16"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16"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16"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16"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16"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44" t="str">
        <f t="shared" si="16"/>
        <v/>
      </c>
      <c r="CO78" s="494"/>
      <c r="CP78" s="495"/>
      <c r="CQ78" s="496"/>
      <c r="CR78" s="494"/>
      <c r="CS78" s="495"/>
      <c r="CT78" s="496"/>
      <c r="CU78" s="494" t="str">
        <f t="shared" si="17"/>
        <v/>
      </c>
      <c r="CV78" s="495"/>
      <c r="CW78" s="500"/>
      <c r="CX78" s="501"/>
      <c r="CY78" s="492"/>
      <c r="CZ78" s="502"/>
      <c r="DA78" s="488"/>
      <c r="DB78" s="489"/>
      <c r="DC78" s="490"/>
      <c r="DD78" s="491" t="str">
        <f t="shared" si="18"/>
        <v/>
      </c>
      <c r="DE78" s="492"/>
      <c r="DF78" s="493"/>
      <c r="DG78" s="40"/>
      <c r="DH78" s="41"/>
      <c r="DI78" s="41"/>
      <c r="DJ78" s="41"/>
      <c r="DK78" s="41"/>
      <c r="DL78" s="41"/>
      <c r="DM78" s="41"/>
      <c r="DN78" s="41"/>
      <c r="DO78" s="41"/>
      <c r="DP78" s="41"/>
      <c r="DQ78" s="43"/>
      <c r="DR78" s="43"/>
      <c r="DS78" s="43"/>
      <c r="DT78" s="43"/>
      <c r="DU78" s="43"/>
      <c r="DV78" s="43"/>
      <c r="DW78" s="43"/>
      <c r="DX78" s="43"/>
      <c r="DY78" s="43"/>
      <c r="DZ78" s="43"/>
      <c r="EA78" s="43"/>
      <c r="EB78" s="43"/>
      <c r="EC78" s="43"/>
      <c r="ED78" s="43"/>
      <c r="EE78" s="43"/>
      <c r="EF78" s="43"/>
      <c r="EG78" s="43"/>
      <c r="EH78" s="43"/>
      <c r="EI78" s="43"/>
      <c r="EJ78" s="43"/>
      <c r="EK78" s="43"/>
      <c r="EL78" s="98"/>
      <c r="EM78" s="98"/>
      <c r="EN78" s="98"/>
      <c r="EO78" s="98"/>
      <c r="EP78" s="98"/>
      <c r="EQ78" s="98"/>
      <c r="ER78" s="98"/>
      <c r="ES78" s="98"/>
      <c r="ET78" s="98"/>
      <c r="EU78" s="98"/>
      <c r="EV78" s="98"/>
      <c r="EW78" s="98"/>
      <c r="EX78" s="98"/>
      <c r="EY78" s="98"/>
      <c r="EZ78" s="98"/>
      <c r="FA78" s="98"/>
      <c r="FB78" s="98"/>
      <c r="FC78" s="98"/>
      <c r="FD78" s="98"/>
      <c r="FE78" s="98"/>
      <c r="FF78" s="98"/>
      <c r="FG78" s="98"/>
      <c r="FH78" s="98"/>
      <c r="FI78" s="98"/>
      <c r="FJ78" s="98"/>
      <c r="FK78" s="98"/>
      <c r="FL78" s="98"/>
      <c r="FM78" s="98"/>
      <c r="FN78" s="98"/>
      <c r="FO78" s="98"/>
      <c r="FQ78" s="89"/>
      <c r="FR78" s="87"/>
      <c r="FS78" s="85"/>
      <c r="FT78" s="84"/>
    </row>
    <row r="79" spans="2:176" ht="15.75" hidden="1" thickBot="1" x14ac:dyDescent="0.3">
      <c r="B79" s="47" t="b">
        <f>IF(AND(P78&lt;&gt;"",OR(AND(G79&gt;='Geometry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3" t="str">
        <f t="shared" si="13"/>
        <v/>
      </c>
      <c r="D79" s="529" t="str">
        <f t="shared" si="14"/>
        <v/>
      </c>
      <c r="E79" s="530"/>
      <c r="F79" s="14" t="str">
        <f t="shared" si="12"/>
        <v/>
      </c>
      <c r="G79" s="531"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532"/>
      <c r="I79" s="143"/>
      <c r="J79" s="143"/>
      <c r="K79" s="143"/>
      <c r="L79" s="537" t="str">
        <f t="shared" si="11"/>
        <v/>
      </c>
      <c r="M79" s="537"/>
      <c r="N79" s="537"/>
      <c r="O79" s="537"/>
      <c r="P79" s="537" t="str">
        <f>IF(OR(G79=0,G79=""),"",IF(VLOOKUP(G79,'Geometry 2'!$C$4:$AI$14,1,TRUE)=VLOOKUP(G80,'Geometry 2'!$C$4:$AI$14,1,TRUE),"",IF(VLOOKUP(G79,'Geometry 2'!$C$4:$AI$14,33,TRUE)&lt;&gt;"n/a",MIN(G79,VLOOKUP(G79,'Geometry 2'!$C$4:$AI$14,1,TRUE))-VLOOKUP(G79,'Geometry 2'!$C$4:$AI$14,33,TRUE),"check")))</f>
        <v/>
      </c>
      <c r="Q79" s="537"/>
      <c r="R79" s="537"/>
      <c r="S79" s="537"/>
      <c r="T79" s="537" t="str">
        <f>IF($G79="","",VLOOKUP($G79,'Geometry 2'!$E$4:$AH$14,11,TRUE))</f>
        <v/>
      </c>
      <c r="U79" s="537"/>
      <c r="V79" s="537"/>
      <c r="W79" s="537"/>
      <c r="X79" s="538" t="str">
        <f>IF($G79="","",VLOOKUP($G79,'Geometry 2'!$E$4:$AJ$14,19,TRUE)-12*VLOOKUP($G79,'Geometry 2'!$E$4:$AJ$14,32,TRUE)*($D79-VLOOKUP($G79,'Geometry 2'!$E$5:$AH$14,1,TRUE)))</f>
        <v/>
      </c>
      <c r="Y79" s="538"/>
      <c r="Z79" s="538"/>
      <c r="AA79" s="538"/>
      <c r="AB79" s="542" t="str">
        <f>IF($G79="","",VLOOKUP($G79,'Geometry 2'!$E$4:$AJ$14,19,TRUE)-12*VLOOKUP($G79,'Geometry 2'!$E$4:$AJ$14,32,TRUE)*($G79-VLOOKUP($G79,'Geometry 2'!$E$5:$AH$14,1,TRUE)))</f>
        <v/>
      </c>
      <c r="AC79" s="543"/>
      <c r="AD79" s="543"/>
      <c r="AE79" s="544"/>
      <c r="AF79" s="538" t="str">
        <f>IF($G79="","",VLOOKUP($G79,'Geometry 2'!$E$4:$AJ$14,19,TRUE)-12*VLOOKUP($G79,'Geometry 2'!$E$4:$AJ$14,32,TRUE)*($G79-IF($P79="",0,$P79)-VLOOKUP($G79,'Geometry 2'!$E$5:$AH$14,1,TRUE)))</f>
        <v/>
      </c>
      <c r="AG79" s="538"/>
      <c r="AH79" s="538"/>
      <c r="AI79" s="538"/>
      <c r="AJ79" s="539" t="str">
        <f>IF($G79="","",VLOOKUP($G79,'Geometry 2'!$E$4:$AH$14,23,TRUE))</f>
        <v/>
      </c>
      <c r="AK79" s="549"/>
      <c r="AL79" s="549"/>
      <c r="AM79" s="550"/>
      <c r="AN79" s="537"/>
      <c r="AO79" s="537"/>
      <c r="AP79" s="537"/>
      <c r="AQ79" s="537"/>
      <c r="AR79" s="537" t="str">
        <f>IF($G79="","",VLOOKUP($G79,'Geometry 2'!$E$4:$AH$14,27,TRUE))</f>
        <v/>
      </c>
      <c r="AS79" s="537"/>
      <c r="AT79" s="537"/>
      <c r="AU79" s="539"/>
      <c r="AV79" s="564"/>
      <c r="AW79" s="538"/>
      <c r="AX79" s="538"/>
      <c r="AZ79" s="517" t="str">
        <f t="shared" si="15"/>
        <v/>
      </c>
      <c r="BA79" s="518"/>
      <c r="BB79" s="518"/>
      <c r="BC79" s="519"/>
      <c r="BD79" s="517"/>
      <c r="BE79" s="518"/>
      <c r="BF79" s="518"/>
      <c r="BG79" s="517" t="str">
        <f t="shared" si="9"/>
        <v/>
      </c>
      <c r="BH79" s="518"/>
      <c r="BI79" s="518"/>
      <c r="BJ79" s="518"/>
      <c r="BK79" s="519"/>
      <c r="BL79" s="517"/>
      <c r="BM79" s="518"/>
      <c r="BN79" s="518"/>
      <c r="BO79" s="518"/>
      <c r="BP79" s="520"/>
      <c r="BQ79" s="520"/>
      <c r="BR79" s="517" t="str">
        <f>IF(BP79="","",IF(OR(AND(Rev="H",Calculations!$F$27=TRUE),AND(Rev&lt;&gt;"H",Calculations!$F$30=TRUE)),IF(BP79&lt;=1,"Pass","Fail"),IF(BP79&lt;=1.05,"Pass","Fail")))</f>
        <v/>
      </c>
      <c r="BS79" s="518"/>
      <c r="BT79" s="519"/>
      <c r="BU79" s="34"/>
      <c r="BV79" s="16"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16"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16"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16"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16"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16"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16"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16"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16"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16"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16"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16"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16"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16"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16"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16"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16"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16"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45" t="str">
        <f t="shared" si="16"/>
        <v/>
      </c>
      <c r="CO79" s="497"/>
      <c r="CP79" s="498"/>
      <c r="CQ79" s="499"/>
      <c r="CR79" s="497"/>
      <c r="CS79" s="498"/>
      <c r="CT79" s="499"/>
      <c r="CU79" s="497" t="str">
        <f t="shared" si="17"/>
        <v/>
      </c>
      <c r="CV79" s="498"/>
      <c r="CW79" s="503"/>
      <c r="CX79" s="484"/>
      <c r="CY79" s="485"/>
      <c r="CZ79" s="486"/>
      <c r="DA79" s="484"/>
      <c r="DB79" s="485"/>
      <c r="DC79" s="486"/>
      <c r="DD79" s="484" t="str">
        <f t="shared" si="18"/>
        <v/>
      </c>
      <c r="DE79" s="485"/>
      <c r="DF79" s="487"/>
      <c r="DG79" s="38"/>
      <c r="DH79" s="39"/>
      <c r="DI79" s="39"/>
      <c r="DJ79" s="39"/>
      <c r="DK79" s="39"/>
      <c r="DL79" s="39"/>
      <c r="DM79" s="39"/>
      <c r="DN79" s="39"/>
      <c r="DO79" s="39"/>
      <c r="DP79" s="39"/>
      <c r="DQ79" s="42"/>
      <c r="DR79" s="42"/>
      <c r="DS79" s="42"/>
      <c r="DT79" s="42"/>
      <c r="DU79" s="42"/>
      <c r="DV79" s="42"/>
      <c r="DW79" s="42"/>
      <c r="DX79" s="42"/>
      <c r="DY79" s="42"/>
      <c r="DZ79" s="42"/>
      <c r="EA79" s="42"/>
      <c r="EB79" s="42"/>
      <c r="EC79" s="42"/>
      <c r="ED79" s="42"/>
      <c r="EE79" s="42"/>
      <c r="EF79" s="42"/>
      <c r="EG79" s="42"/>
      <c r="EH79" s="42"/>
      <c r="EI79" s="42"/>
      <c r="EJ79" s="42"/>
      <c r="EK79" s="42"/>
      <c r="EL79" s="97"/>
      <c r="EM79" s="97"/>
      <c r="EN79" s="97"/>
      <c r="EO79" s="97"/>
      <c r="EP79" s="97"/>
      <c r="EQ79" s="97"/>
      <c r="ER79" s="97"/>
      <c r="ES79" s="97"/>
      <c r="ET79" s="97"/>
      <c r="EU79" s="97"/>
      <c r="EV79" s="97"/>
      <c r="EW79" s="97"/>
      <c r="EX79" s="97"/>
      <c r="EY79" s="97"/>
      <c r="EZ79" s="97"/>
      <c r="FA79" s="97"/>
      <c r="FB79" s="97"/>
      <c r="FC79" s="97"/>
      <c r="FD79" s="97"/>
      <c r="FE79" s="97"/>
      <c r="FF79" s="97"/>
      <c r="FG79" s="97"/>
      <c r="FH79" s="97"/>
      <c r="FI79" s="97"/>
      <c r="FJ79" s="97"/>
      <c r="FK79" s="97"/>
      <c r="FL79" s="97"/>
      <c r="FM79" s="97"/>
      <c r="FN79" s="97"/>
      <c r="FO79" s="97"/>
      <c r="FQ79" s="90"/>
      <c r="FR79" s="88"/>
      <c r="FS79" s="86"/>
      <c r="FT79" s="84"/>
    </row>
    <row r="80" spans="2:176" ht="15.75" hidden="1" thickBot="1" x14ac:dyDescent="0.3">
      <c r="B80" s="47" t="b">
        <f>IF(AND(P79&lt;&gt;"",OR(AND(G80&gt;='Geometry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3" t="str">
        <f t="shared" si="13"/>
        <v/>
      </c>
      <c r="D80" s="529" t="str">
        <f t="shared" si="14"/>
        <v/>
      </c>
      <c r="E80" s="530"/>
      <c r="F80" s="14" t="str">
        <f t="shared" si="12"/>
        <v/>
      </c>
      <c r="G80" s="531"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532"/>
      <c r="I80" s="143"/>
      <c r="J80" s="143"/>
      <c r="K80" s="143"/>
      <c r="L80" s="537" t="str">
        <f t="shared" si="11"/>
        <v/>
      </c>
      <c r="M80" s="537"/>
      <c r="N80" s="537"/>
      <c r="O80" s="537"/>
      <c r="P80" s="537" t="str">
        <f>IF(OR(G80=0,G80=""),"",IF(VLOOKUP(G80,'Geometry 2'!$C$4:$AI$14,1,TRUE)=VLOOKUP(G81,'Geometry 2'!$C$4:$AI$14,1,TRUE),"",IF(VLOOKUP(G80,'Geometry 2'!$C$4:$AI$14,33,TRUE)&lt;&gt;"n/a",MIN(G80,VLOOKUP(G80,'Geometry 2'!$C$4:$AI$14,1,TRUE))-VLOOKUP(G80,'Geometry 2'!$C$4:$AI$14,33,TRUE),"check")))</f>
        <v/>
      </c>
      <c r="Q80" s="537"/>
      <c r="R80" s="537"/>
      <c r="S80" s="537"/>
      <c r="T80" s="537" t="str">
        <f>IF($G80="","",VLOOKUP($G80,'Geometry 2'!$E$4:$AH$14,11,TRUE))</f>
        <v/>
      </c>
      <c r="U80" s="537"/>
      <c r="V80" s="537"/>
      <c r="W80" s="537"/>
      <c r="X80" s="538" t="str">
        <f>IF($G80="","",VLOOKUP($G80,'Geometry 2'!$E$4:$AJ$14,19,TRUE)-12*VLOOKUP($G80,'Geometry 2'!$E$4:$AJ$14,32,TRUE)*($D80-VLOOKUP($G80,'Geometry 2'!$E$5:$AH$14,1,TRUE)))</f>
        <v/>
      </c>
      <c r="Y80" s="538"/>
      <c r="Z80" s="538"/>
      <c r="AA80" s="538"/>
      <c r="AB80" s="542" t="str">
        <f>IF($G80="","",VLOOKUP($G80,'Geometry 2'!$E$4:$AJ$14,19,TRUE)-12*VLOOKUP($G80,'Geometry 2'!$E$4:$AJ$14,32,TRUE)*($G80-VLOOKUP($G80,'Geometry 2'!$E$5:$AH$14,1,TRUE)))</f>
        <v/>
      </c>
      <c r="AC80" s="543"/>
      <c r="AD80" s="543"/>
      <c r="AE80" s="544"/>
      <c r="AF80" s="538" t="str">
        <f>IF($G80="","",VLOOKUP($G80,'Geometry 2'!$E$4:$AJ$14,19,TRUE)-12*VLOOKUP($G80,'Geometry 2'!$E$4:$AJ$14,32,TRUE)*($G80-IF($P80="",0,$P80)-VLOOKUP($G80,'Geometry 2'!$E$5:$AH$14,1,TRUE)))</f>
        <v/>
      </c>
      <c r="AG80" s="538"/>
      <c r="AH80" s="538"/>
      <c r="AI80" s="538"/>
      <c r="AJ80" s="539" t="str">
        <f>IF($G80="","",VLOOKUP($G80,'Geometry 2'!$E$4:$AH$14,23,TRUE))</f>
        <v/>
      </c>
      <c r="AK80" s="549"/>
      <c r="AL80" s="549"/>
      <c r="AM80" s="550"/>
      <c r="AN80" s="537"/>
      <c r="AO80" s="537"/>
      <c r="AP80" s="537"/>
      <c r="AQ80" s="537"/>
      <c r="AR80" s="537" t="str">
        <f>IF($G80="","",VLOOKUP($G80,'Geometry 2'!$E$4:$AH$14,27,TRUE))</f>
        <v/>
      </c>
      <c r="AS80" s="537"/>
      <c r="AT80" s="537"/>
      <c r="AU80" s="539"/>
      <c r="AV80" s="564"/>
      <c r="AW80" s="538"/>
      <c r="AX80" s="538"/>
      <c r="AZ80" s="517" t="str">
        <f t="shared" si="15"/>
        <v/>
      </c>
      <c r="BA80" s="518"/>
      <c r="BB80" s="518"/>
      <c r="BC80" s="519"/>
      <c r="BD80" s="517"/>
      <c r="BE80" s="518"/>
      <c r="BF80" s="518"/>
      <c r="BG80" s="517" t="str">
        <f t="shared" si="9"/>
        <v/>
      </c>
      <c r="BH80" s="518"/>
      <c r="BI80" s="518"/>
      <c r="BJ80" s="518"/>
      <c r="BK80" s="519"/>
      <c r="BL80" s="517"/>
      <c r="BM80" s="518"/>
      <c r="BN80" s="518"/>
      <c r="BO80" s="518"/>
      <c r="BP80" s="520"/>
      <c r="BQ80" s="520"/>
      <c r="BR80" s="517" t="str">
        <f>IF(BP80="","",IF(OR(AND(Rev="H",Calculations!$F$27=TRUE),AND(Rev&lt;&gt;"H",Calculations!$F$30=TRUE)),IF(BP80&lt;=1,"Pass","Fail"),IF(BP80&lt;=1.05,"Pass","Fail")))</f>
        <v/>
      </c>
      <c r="BS80" s="518"/>
      <c r="BT80" s="519"/>
      <c r="BU80" s="34"/>
      <c r="BV80" s="16"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16"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16"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16"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16"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16"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16"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16"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16"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16"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16"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16"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16"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16"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16"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16"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16"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16"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44" t="str">
        <f t="shared" si="16"/>
        <v/>
      </c>
      <c r="CO80" s="494"/>
      <c r="CP80" s="495"/>
      <c r="CQ80" s="496"/>
      <c r="CR80" s="494"/>
      <c r="CS80" s="495"/>
      <c r="CT80" s="496"/>
      <c r="CU80" s="494" t="str">
        <f t="shared" si="17"/>
        <v/>
      </c>
      <c r="CV80" s="495"/>
      <c r="CW80" s="500"/>
      <c r="CX80" s="501"/>
      <c r="CY80" s="492"/>
      <c r="CZ80" s="502"/>
      <c r="DA80" s="488"/>
      <c r="DB80" s="489"/>
      <c r="DC80" s="490"/>
      <c r="DD80" s="491" t="str">
        <f t="shared" si="18"/>
        <v/>
      </c>
      <c r="DE80" s="492"/>
      <c r="DF80" s="493"/>
      <c r="DG80" s="40"/>
      <c r="DH80" s="41"/>
      <c r="DI80" s="41"/>
      <c r="DJ80" s="41"/>
      <c r="DK80" s="41"/>
      <c r="DL80" s="41"/>
      <c r="DM80" s="41"/>
      <c r="DN80" s="41"/>
      <c r="DO80" s="41"/>
      <c r="DP80" s="41"/>
      <c r="DQ80" s="43"/>
      <c r="DR80" s="43"/>
      <c r="DS80" s="43"/>
      <c r="DT80" s="43"/>
      <c r="DU80" s="43"/>
      <c r="DV80" s="43"/>
      <c r="DW80" s="43"/>
      <c r="DX80" s="43"/>
      <c r="DY80" s="43"/>
      <c r="DZ80" s="43"/>
      <c r="EA80" s="43"/>
      <c r="EB80" s="43"/>
      <c r="EC80" s="43"/>
      <c r="ED80" s="43"/>
      <c r="EE80" s="43"/>
      <c r="EF80" s="43"/>
      <c r="EG80" s="43"/>
      <c r="EH80" s="43"/>
      <c r="EI80" s="43"/>
      <c r="EJ80" s="43"/>
      <c r="EK80" s="43"/>
      <c r="EL80" s="98"/>
      <c r="EM80" s="98"/>
      <c r="EN80" s="98"/>
      <c r="EO80" s="98"/>
      <c r="EP80" s="98"/>
      <c r="EQ80" s="98"/>
      <c r="ER80" s="98"/>
      <c r="ES80" s="98"/>
      <c r="ET80" s="98"/>
      <c r="EU80" s="98"/>
      <c r="EV80" s="98"/>
      <c r="EW80" s="98"/>
      <c r="EX80" s="98"/>
      <c r="EY80" s="98"/>
      <c r="EZ80" s="98"/>
      <c r="FA80" s="98"/>
      <c r="FB80" s="98"/>
      <c r="FC80" s="98"/>
      <c r="FD80" s="98"/>
      <c r="FE80" s="98"/>
      <c r="FF80" s="98"/>
      <c r="FG80" s="98"/>
      <c r="FH80" s="98"/>
      <c r="FI80" s="98"/>
      <c r="FJ80" s="98"/>
      <c r="FK80" s="98"/>
      <c r="FL80" s="98"/>
      <c r="FM80" s="98"/>
      <c r="FN80" s="98"/>
      <c r="FO80" s="98"/>
      <c r="FQ80" s="89"/>
      <c r="FR80" s="87"/>
      <c r="FS80" s="85"/>
      <c r="FT80" s="84"/>
    </row>
    <row r="81" spans="2:176" ht="15.75" hidden="1" thickBot="1" x14ac:dyDescent="0.3">
      <c r="B81" s="47" t="b">
        <f>IF(AND(P80&lt;&gt;"",OR(AND(G81&gt;='Geometry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3" t="str">
        <f t="shared" si="13"/>
        <v/>
      </c>
      <c r="D81" s="529" t="str">
        <f t="shared" si="14"/>
        <v/>
      </c>
      <c r="E81" s="530"/>
      <c r="F81" s="14" t="str">
        <f t="shared" si="12"/>
        <v/>
      </c>
      <c r="G81" s="531"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532"/>
      <c r="I81" s="143"/>
      <c r="J81" s="143"/>
      <c r="K81" s="143"/>
      <c r="L81" s="537" t="str">
        <f t="shared" si="11"/>
        <v/>
      </c>
      <c r="M81" s="537"/>
      <c r="N81" s="537"/>
      <c r="O81" s="537"/>
      <c r="P81" s="537" t="str">
        <f>IF(OR(G81=0,G81=""),"",IF(VLOOKUP(G81,'Geometry 2'!$C$4:$AI$14,1,TRUE)=VLOOKUP(G82,'Geometry 2'!$C$4:$AI$14,1,TRUE),"",IF(VLOOKUP(G81,'Geometry 2'!$C$4:$AI$14,33,TRUE)&lt;&gt;"n/a",MIN(G81,VLOOKUP(G81,'Geometry 2'!$C$4:$AI$14,1,TRUE))-VLOOKUP(G81,'Geometry 2'!$C$4:$AI$14,33,TRUE),"check")))</f>
        <v/>
      </c>
      <c r="Q81" s="537"/>
      <c r="R81" s="537"/>
      <c r="S81" s="537"/>
      <c r="T81" s="537" t="str">
        <f>IF($G81="","",VLOOKUP($G81,'Geometry 2'!$E$4:$AH$14,11,TRUE))</f>
        <v/>
      </c>
      <c r="U81" s="537"/>
      <c r="V81" s="537"/>
      <c r="W81" s="537"/>
      <c r="X81" s="538" t="str">
        <f>IF($G81="","",VLOOKUP($G81,'Geometry 2'!$E$4:$AJ$14,19,TRUE)-12*VLOOKUP($G81,'Geometry 2'!$E$4:$AJ$14,32,TRUE)*($D81-VLOOKUP($G81,'Geometry 2'!$E$5:$AH$14,1,TRUE)))</f>
        <v/>
      </c>
      <c r="Y81" s="538"/>
      <c r="Z81" s="538"/>
      <c r="AA81" s="538"/>
      <c r="AB81" s="542" t="str">
        <f>IF($G81="","",VLOOKUP($G81,'Geometry 2'!$E$4:$AJ$14,19,TRUE)-12*VLOOKUP($G81,'Geometry 2'!$E$4:$AJ$14,32,TRUE)*($G81-VLOOKUP($G81,'Geometry 2'!$E$5:$AH$14,1,TRUE)))</f>
        <v/>
      </c>
      <c r="AC81" s="543"/>
      <c r="AD81" s="543"/>
      <c r="AE81" s="544"/>
      <c r="AF81" s="538" t="str">
        <f>IF($G81="","",VLOOKUP($G81,'Geometry 2'!$E$4:$AJ$14,19,TRUE)-12*VLOOKUP($G81,'Geometry 2'!$E$4:$AJ$14,32,TRUE)*($G81-IF($P81="",0,$P81)-VLOOKUP($G81,'Geometry 2'!$E$5:$AH$14,1,TRUE)))</f>
        <v/>
      </c>
      <c r="AG81" s="538"/>
      <c r="AH81" s="538"/>
      <c r="AI81" s="538"/>
      <c r="AJ81" s="539" t="str">
        <f>IF($G81="","",VLOOKUP($G81,'Geometry 2'!$E$4:$AH$14,23,TRUE))</f>
        <v/>
      </c>
      <c r="AK81" s="549"/>
      <c r="AL81" s="549"/>
      <c r="AM81" s="550"/>
      <c r="AN81" s="537"/>
      <c r="AO81" s="537"/>
      <c r="AP81" s="537"/>
      <c r="AQ81" s="537"/>
      <c r="AR81" s="537" t="str">
        <f>IF($G81="","",VLOOKUP($G81,'Geometry 2'!$E$4:$AH$14,27,TRUE))</f>
        <v/>
      </c>
      <c r="AS81" s="537"/>
      <c r="AT81" s="537"/>
      <c r="AU81" s="539"/>
      <c r="AV81" s="564"/>
      <c r="AW81" s="538"/>
      <c r="AX81" s="538"/>
      <c r="AZ81" s="517" t="str">
        <f t="shared" si="15"/>
        <v/>
      </c>
      <c r="BA81" s="518"/>
      <c r="BB81" s="518"/>
      <c r="BC81" s="519"/>
      <c r="BD81" s="517"/>
      <c r="BE81" s="518"/>
      <c r="BF81" s="518"/>
      <c r="BG81" s="517" t="str">
        <f t="shared" si="9"/>
        <v/>
      </c>
      <c r="BH81" s="518"/>
      <c r="BI81" s="518"/>
      <c r="BJ81" s="518"/>
      <c r="BK81" s="519"/>
      <c r="BL81" s="517"/>
      <c r="BM81" s="518"/>
      <c r="BN81" s="518"/>
      <c r="BO81" s="518"/>
      <c r="BP81" s="520"/>
      <c r="BQ81" s="520"/>
      <c r="BR81" s="517" t="str">
        <f>IF(BP81="","",IF(OR(AND(Rev="H",Calculations!$F$27=TRUE),AND(Rev&lt;&gt;"H",Calculations!$F$30=TRUE)),IF(BP81&lt;=1,"Pass","Fail"),IF(BP81&lt;=1.05,"Pass","Fail")))</f>
        <v/>
      </c>
      <c r="BS81" s="518"/>
      <c r="BT81" s="519"/>
      <c r="BU81" s="34"/>
      <c r="BV81" s="16"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16"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16"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16"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16"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16"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16"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16"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16"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16"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16"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16"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16"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16"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16"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16"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16"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16"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45" t="str">
        <f t="shared" si="16"/>
        <v/>
      </c>
      <c r="CO81" s="497"/>
      <c r="CP81" s="498"/>
      <c r="CQ81" s="499"/>
      <c r="CR81" s="497"/>
      <c r="CS81" s="498"/>
      <c r="CT81" s="499"/>
      <c r="CU81" s="497" t="str">
        <f t="shared" si="17"/>
        <v/>
      </c>
      <c r="CV81" s="498"/>
      <c r="CW81" s="503"/>
      <c r="CX81" s="484"/>
      <c r="CY81" s="485"/>
      <c r="CZ81" s="486"/>
      <c r="DA81" s="484"/>
      <c r="DB81" s="485"/>
      <c r="DC81" s="486"/>
      <c r="DD81" s="484" t="str">
        <f t="shared" si="18"/>
        <v/>
      </c>
      <c r="DE81" s="485"/>
      <c r="DF81" s="487"/>
      <c r="DG81" s="38"/>
      <c r="DH81" s="39"/>
      <c r="DI81" s="39"/>
      <c r="DJ81" s="39"/>
      <c r="DK81" s="39"/>
      <c r="DL81" s="39"/>
      <c r="DM81" s="39"/>
      <c r="DN81" s="39"/>
      <c r="DO81" s="39"/>
      <c r="DP81" s="39"/>
      <c r="DQ81" s="42"/>
      <c r="DR81" s="42"/>
      <c r="DS81" s="42"/>
      <c r="DT81" s="42"/>
      <c r="DU81" s="42"/>
      <c r="DV81" s="42"/>
      <c r="DW81" s="42"/>
      <c r="DX81" s="42"/>
      <c r="DY81" s="42"/>
      <c r="DZ81" s="42"/>
      <c r="EA81" s="42"/>
      <c r="EB81" s="42"/>
      <c r="EC81" s="42"/>
      <c r="ED81" s="42"/>
      <c r="EE81" s="42"/>
      <c r="EF81" s="42"/>
      <c r="EG81" s="42"/>
      <c r="EH81" s="42"/>
      <c r="EI81" s="42"/>
      <c r="EJ81" s="42"/>
      <c r="EK81" s="42"/>
      <c r="EL81" s="97"/>
      <c r="EM81" s="97"/>
      <c r="EN81" s="97"/>
      <c r="EO81" s="97"/>
      <c r="EP81" s="97"/>
      <c r="EQ81" s="97"/>
      <c r="ER81" s="97"/>
      <c r="ES81" s="97"/>
      <c r="ET81" s="97"/>
      <c r="EU81" s="97"/>
      <c r="EV81" s="97"/>
      <c r="EW81" s="97"/>
      <c r="EX81" s="97"/>
      <c r="EY81" s="97"/>
      <c r="EZ81" s="97"/>
      <c r="FA81" s="97"/>
      <c r="FB81" s="97"/>
      <c r="FC81" s="97"/>
      <c r="FD81" s="97"/>
      <c r="FE81" s="97"/>
      <c r="FF81" s="97"/>
      <c r="FG81" s="97"/>
      <c r="FH81" s="97"/>
      <c r="FI81" s="97"/>
      <c r="FJ81" s="97"/>
      <c r="FK81" s="97"/>
      <c r="FL81" s="97"/>
      <c r="FM81" s="97"/>
      <c r="FN81" s="97"/>
      <c r="FO81" s="97"/>
      <c r="FQ81" s="90"/>
      <c r="FR81" s="88"/>
      <c r="FS81" s="86"/>
      <c r="FT81" s="84"/>
    </row>
    <row r="82" spans="2:176" ht="15.75" hidden="1" thickBot="1" x14ac:dyDescent="0.3">
      <c r="B82" s="47" t="b">
        <f>IF(AND(P81&lt;&gt;"",OR(AND(G82&gt;='Geometry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3" t="str">
        <f t="shared" si="13"/>
        <v/>
      </c>
      <c r="D82" s="529" t="str">
        <f t="shared" si="14"/>
        <v/>
      </c>
      <c r="E82" s="530"/>
      <c r="F82" s="14" t="str">
        <f t="shared" si="12"/>
        <v/>
      </c>
      <c r="G82" s="531"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532"/>
      <c r="I82" s="143"/>
      <c r="J82" s="143"/>
      <c r="K82" s="143"/>
      <c r="L82" s="537" t="str">
        <f t="shared" si="11"/>
        <v/>
      </c>
      <c r="M82" s="537"/>
      <c r="N82" s="537"/>
      <c r="O82" s="537"/>
      <c r="P82" s="537" t="str">
        <f>IF(OR(G82=0,G82=""),"",IF(VLOOKUP(G82,'Geometry 2'!$C$4:$AI$14,1,TRUE)=VLOOKUP(G83,'Geometry 2'!$C$4:$AI$14,1,TRUE),"",IF(VLOOKUP(G82,'Geometry 2'!$C$4:$AI$14,33,TRUE)&lt;&gt;"n/a",MIN(G82,VLOOKUP(G82,'Geometry 2'!$C$4:$AI$14,1,TRUE))-VLOOKUP(G82,'Geometry 2'!$C$4:$AI$14,33,TRUE),"check")))</f>
        <v/>
      </c>
      <c r="Q82" s="537"/>
      <c r="R82" s="537"/>
      <c r="S82" s="537"/>
      <c r="T82" s="537" t="str">
        <f>IF($G82="","",VLOOKUP($G82,'Geometry 2'!$E$4:$AH$14,11,TRUE))</f>
        <v/>
      </c>
      <c r="U82" s="537"/>
      <c r="V82" s="537"/>
      <c r="W82" s="537"/>
      <c r="X82" s="538" t="str">
        <f>IF($G82="","",VLOOKUP($G82,'Geometry 2'!$E$4:$AJ$14,19,TRUE)-12*VLOOKUP($G82,'Geometry 2'!$E$4:$AJ$14,32,TRUE)*($D82-VLOOKUP($G82,'Geometry 2'!$E$5:$AH$14,1,TRUE)))</f>
        <v/>
      </c>
      <c r="Y82" s="538"/>
      <c r="Z82" s="538"/>
      <c r="AA82" s="538"/>
      <c r="AB82" s="542" t="str">
        <f>IF($G82="","",VLOOKUP($G82,'Geometry 2'!$E$4:$AJ$14,19,TRUE)-12*VLOOKUP($G82,'Geometry 2'!$E$4:$AJ$14,32,TRUE)*($G82-VLOOKUP($G82,'Geometry 2'!$E$5:$AH$14,1,TRUE)))</f>
        <v/>
      </c>
      <c r="AC82" s="543"/>
      <c r="AD82" s="543"/>
      <c r="AE82" s="544"/>
      <c r="AF82" s="538" t="str">
        <f>IF($G82="","",VLOOKUP($G82,'Geometry 2'!$E$4:$AJ$14,19,TRUE)-12*VLOOKUP($G82,'Geometry 2'!$E$4:$AJ$14,32,TRUE)*($G82-IF($P82="",0,$P82)-VLOOKUP($G82,'Geometry 2'!$E$5:$AH$14,1,TRUE)))</f>
        <v/>
      </c>
      <c r="AG82" s="538"/>
      <c r="AH82" s="538"/>
      <c r="AI82" s="538"/>
      <c r="AJ82" s="539" t="str">
        <f>IF($G82="","",VLOOKUP($G82,'Geometry 2'!$E$4:$AH$14,23,TRUE))</f>
        <v/>
      </c>
      <c r="AK82" s="549"/>
      <c r="AL82" s="549"/>
      <c r="AM82" s="550"/>
      <c r="AN82" s="537"/>
      <c r="AO82" s="537"/>
      <c r="AP82" s="537"/>
      <c r="AQ82" s="537"/>
      <c r="AR82" s="537" t="str">
        <f>IF($G82="","",VLOOKUP($G82,'Geometry 2'!$E$4:$AH$14,27,TRUE))</f>
        <v/>
      </c>
      <c r="AS82" s="537"/>
      <c r="AT82" s="537"/>
      <c r="AU82" s="539"/>
      <c r="AV82" s="564"/>
      <c r="AW82" s="538"/>
      <c r="AX82" s="538"/>
      <c r="AZ82" s="517" t="str">
        <f t="shared" si="15"/>
        <v/>
      </c>
      <c r="BA82" s="518"/>
      <c r="BB82" s="518"/>
      <c r="BC82" s="519"/>
      <c r="BD82" s="517"/>
      <c r="BE82" s="518"/>
      <c r="BF82" s="518"/>
      <c r="BG82" s="517" t="str">
        <f t="shared" si="9"/>
        <v/>
      </c>
      <c r="BH82" s="518"/>
      <c r="BI82" s="518"/>
      <c r="BJ82" s="518"/>
      <c r="BK82" s="519"/>
      <c r="BL82" s="517"/>
      <c r="BM82" s="518"/>
      <c r="BN82" s="518"/>
      <c r="BO82" s="518"/>
      <c r="BP82" s="520"/>
      <c r="BQ82" s="520"/>
      <c r="BR82" s="517" t="str">
        <f>IF(BP82="","",IF(OR(AND(Rev="H",Calculations!$F$27=TRUE),AND(Rev&lt;&gt;"H",Calculations!$F$30=TRUE)),IF(BP82&lt;=1,"Pass","Fail"),IF(BP82&lt;=1.05,"Pass","Fail")))</f>
        <v/>
      </c>
      <c r="BS82" s="518"/>
      <c r="BT82" s="519"/>
      <c r="BU82" s="34"/>
      <c r="BV82" s="16"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16"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16"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16"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16"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16"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16"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16"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16"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16"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16"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16"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16"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16"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16"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16"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16"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16"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44" t="str">
        <f t="shared" si="16"/>
        <v/>
      </c>
      <c r="CO82" s="494"/>
      <c r="CP82" s="495"/>
      <c r="CQ82" s="496"/>
      <c r="CR82" s="494"/>
      <c r="CS82" s="495"/>
      <c r="CT82" s="496"/>
      <c r="CU82" s="494" t="str">
        <f t="shared" si="17"/>
        <v/>
      </c>
      <c r="CV82" s="495"/>
      <c r="CW82" s="500"/>
      <c r="CX82" s="501"/>
      <c r="CY82" s="492"/>
      <c r="CZ82" s="502"/>
      <c r="DA82" s="488"/>
      <c r="DB82" s="489"/>
      <c r="DC82" s="490"/>
      <c r="DD82" s="491" t="str">
        <f t="shared" si="18"/>
        <v/>
      </c>
      <c r="DE82" s="492"/>
      <c r="DF82" s="493"/>
      <c r="DG82" s="40"/>
      <c r="DH82" s="41"/>
      <c r="DI82" s="41"/>
      <c r="DJ82" s="41"/>
      <c r="DK82" s="41"/>
      <c r="DL82" s="41"/>
      <c r="DM82" s="41"/>
      <c r="DN82" s="41"/>
      <c r="DO82" s="41"/>
      <c r="DP82" s="41"/>
      <c r="DQ82" s="43"/>
      <c r="DR82" s="43"/>
      <c r="DS82" s="43"/>
      <c r="DT82" s="43"/>
      <c r="DU82" s="43"/>
      <c r="DV82" s="43"/>
      <c r="DW82" s="43"/>
      <c r="DX82" s="43"/>
      <c r="DY82" s="43"/>
      <c r="DZ82" s="43"/>
      <c r="EA82" s="43"/>
      <c r="EB82" s="43"/>
      <c r="EC82" s="43"/>
      <c r="ED82" s="43"/>
      <c r="EE82" s="43"/>
      <c r="EF82" s="43"/>
      <c r="EG82" s="43"/>
      <c r="EH82" s="43"/>
      <c r="EI82" s="43"/>
      <c r="EJ82" s="43"/>
      <c r="EK82" s="43"/>
      <c r="EL82" s="98"/>
      <c r="EM82" s="98"/>
      <c r="EN82" s="98"/>
      <c r="EO82" s="98"/>
      <c r="EP82" s="98"/>
      <c r="EQ82" s="98"/>
      <c r="ER82" s="98"/>
      <c r="ES82" s="98"/>
      <c r="ET82" s="98"/>
      <c r="EU82" s="98"/>
      <c r="EV82" s="98"/>
      <c r="EW82" s="98"/>
      <c r="EX82" s="98"/>
      <c r="EY82" s="98"/>
      <c r="EZ82" s="98"/>
      <c r="FA82" s="98"/>
      <c r="FB82" s="98"/>
      <c r="FC82" s="98"/>
      <c r="FD82" s="98"/>
      <c r="FE82" s="98"/>
      <c r="FF82" s="98"/>
      <c r="FG82" s="98"/>
      <c r="FH82" s="98"/>
      <c r="FI82" s="98"/>
      <c r="FJ82" s="98"/>
      <c r="FK82" s="98"/>
      <c r="FL82" s="98"/>
      <c r="FM82" s="98"/>
      <c r="FN82" s="98"/>
      <c r="FO82" s="98"/>
      <c r="FQ82" s="89"/>
      <c r="FR82" s="87"/>
      <c r="FS82" s="85"/>
      <c r="FT82" s="84"/>
    </row>
    <row r="83" spans="2:176" ht="15.75" hidden="1" thickBot="1" x14ac:dyDescent="0.3">
      <c r="B83" s="47" t="b">
        <f>IF(AND(P82&lt;&gt;"",OR(AND(G83&gt;='Geometry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3" t="str">
        <f t="shared" si="13"/>
        <v/>
      </c>
      <c r="D83" s="529" t="str">
        <f t="shared" si="14"/>
        <v/>
      </c>
      <c r="E83" s="530"/>
      <c r="F83" s="14" t="str">
        <f t="shared" si="12"/>
        <v/>
      </c>
      <c r="G83" s="531"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532"/>
      <c r="I83" s="143"/>
      <c r="J83" s="143"/>
      <c r="K83" s="143"/>
      <c r="L83" s="537" t="str">
        <f t="shared" si="11"/>
        <v/>
      </c>
      <c r="M83" s="537"/>
      <c r="N83" s="537"/>
      <c r="O83" s="537"/>
      <c r="P83" s="537" t="str">
        <f>IF(OR(G83=0,G83=""),"",IF(VLOOKUP(G83,'Geometry 2'!$C$4:$AI$14,1,TRUE)=VLOOKUP(G84,'Geometry 2'!$C$4:$AI$14,1,TRUE),"",IF(VLOOKUP(G83,'Geometry 2'!$C$4:$AI$14,33,TRUE)&lt;&gt;"n/a",MIN(G83,VLOOKUP(G83,'Geometry 2'!$C$4:$AI$14,1,TRUE))-VLOOKUP(G83,'Geometry 2'!$C$4:$AI$14,33,TRUE),"check")))</f>
        <v/>
      </c>
      <c r="Q83" s="537"/>
      <c r="R83" s="537"/>
      <c r="S83" s="537"/>
      <c r="T83" s="537" t="str">
        <f>IF($G83="","",VLOOKUP($G83,'Geometry 2'!$E$4:$AH$14,11,TRUE))</f>
        <v/>
      </c>
      <c r="U83" s="537"/>
      <c r="V83" s="537"/>
      <c r="W83" s="537"/>
      <c r="X83" s="538" t="str">
        <f>IF($G83="","",VLOOKUP($G83,'Geometry 2'!$E$4:$AJ$14,19,TRUE)-12*VLOOKUP($G83,'Geometry 2'!$E$4:$AJ$14,32,TRUE)*($D83-VLOOKUP($G83,'Geometry 2'!$E$5:$AH$14,1,TRUE)))</f>
        <v/>
      </c>
      <c r="Y83" s="538"/>
      <c r="Z83" s="538"/>
      <c r="AA83" s="538"/>
      <c r="AB83" s="542" t="str">
        <f>IF($G83="","",VLOOKUP($G83,'Geometry 2'!$E$4:$AJ$14,19,TRUE)-12*VLOOKUP($G83,'Geometry 2'!$E$4:$AJ$14,32,TRUE)*($G83-VLOOKUP($G83,'Geometry 2'!$E$5:$AH$14,1,TRUE)))</f>
        <v/>
      </c>
      <c r="AC83" s="543"/>
      <c r="AD83" s="543"/>
      <c r="AE83" s="544"/>
      <c r="AF83" s="538" t="str">
        <f>IF($G83="","",VLOOKUP($G83,'Geometry 2'!$E$4:$AJ$14,19,TRUE)-12*VLOOKUP($G83,'Geometry 2'!$E$4:$AJ$14,32,TRUE)*($G83-IF($P83="",0,$P83)-VLOOKUP($G83,'Geometry 2'!$E$5:$AH$14,1,TRUE)))</f>
        <v/>
      </c>
      <c r="AG83" s="538"/>
      <c r="AH83" s="538"/>
      <c r="AI83" s="538"/>
      <c r="AJ83" s="539" t="str">
        <f>IF($G83="","",VLOOKUP($G83,'Geometry 2'!$E$4:$AH$14,23,TRUE))</f>
        <v/>
      </c>
      <c r="AK83" s="549"/>
      <c r="AL83" s="549"/>
      <c r="AM83" s="550"/>
      <c r="AN83" s="537"/>
      <c r="AO83" s="537"/>
      <c r="AP83" s="537"/>
      <c r="AQ83" s="537"/>
      <c r="AR83" s="537" t="str">
        <f>IF($G83="","",VLOOKUP($G83,'Geometry 2'!$E$4:$AH$14,27,TRUE))</f>
        <v/>
      </c>
      <c r="AS83" s="537"/>
      <c r="AT83" s="537"/>
      <c r="AU83" s="539"/>
      <c r="AV83" s="564"/>
      <c r="AW83" s="538"/>
      <c r="AX83" s="538"/>
      <c r="AZ83" s="517" t="str">
        <f t="shared" si="15"/>
        <v/>
      </c>
      <c r="BA83" s="518"/>
      <c r="BB83" s="518"/>
      <c r="BC83" s="519"/>
      <c r="BD83" s="517"/>
      <c r="BE83" s="518"/>
      <c r="BF83" s="518"/>
      <c r="BG83" s="517" t="str">
        <f t="shared" si="9"/>
        <v/>
      </c>
      <c r="BH83" s="518"/>
      <c r="BI83" s="518"/>
      <c r="BJ83" s="518"/>
      <c r="BK83" s="519"/>
      <c r="BL83" s="517"/>
      <c r="BM83" s="518"/>
      <c r="BN83" s="518"/>
      <c r="BO83" s="518"/>
      <c r="BP83" s="520"/>
      <c r="BQ83" s="520"/>
      <c r="BR83" s="517" t="str">
        <f>IF(BP83="","",IF(OR(AND(Rev="H",Calculations!$F$27=TRUE),AND(Rev&lt;&gt;"H",Calculations!$F$30=TRUE)),IF(BP83&lt;=1,"Pass","Fail"),IF(BP83&lt;=1.05,"Pass","Fail")))</f>
        <v/>
      </c>
      <c r="BS83" s="518"/>
      <c r="BT83" s="519"/>
      <c r="BU83" s="34"/>
      <c r="BV83" s="16"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16"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16"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16"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16"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16"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16"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16"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16"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16"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16"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16"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16"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16"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16"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16"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16"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16"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45" t="str">
        <f t="shared" si="16"/>
        <v/>
      </c>
      <c r="CO83" s="497"/>
      <c r="CP83" s="498"/>
      <c r="CQ83" s="499"/>
      <c r="CR83" s="497"/>
      <c r="CS83" s="498"/>
      <c r="CT83" s="499"/>
      <c r="CU83" s="497" t="str">
        <f t="shared" si="17"/>
        <v/>
      </c>
      <c r="CV83" s="498"/>
      <c r="CW83" s="503"/>
      <c r="CX83" s="484"/>
      <c r="CY83" s="485"/>
      <c r="CZ83" s="486"/>
      <c r="DA83" s="484"/>
      <c r="DB83" s="485"/>
      <c r="DC83" s="486"/>
      <c r="DD83" s="484" t="str">
        <f t="shared" si="18"/>
        <v/>
      </c>
      <c r="DE83" s="485"/>
      <c r="DF83" s="487"/>
      <c r="DG83" s="38"/>
      <c r="DH83" s="39"/>
      <c r="DI83" s="39"/>
      <c r="DJ83" s="39"/>
      <c r="DK83" s="39"/>
      <c r="DL83" s="39"/>
      <c r="DM83" s="39"/>
      <c r="DN83" s="39"/>
      <c r="DO83" s="39"/>
      <c r="DP83" s="39"/>
      <c r="DQ83" s="42"/>
      <c r="DR83" s="42"/>
      <c r="DS83" s="42"/>
      <c r="DT83" s="42"/>
      <c r="DU83" s="42"/>
      <c r="DV83" s="42"/>
      <c r="DW83" s="42"/>
      <c r="DX83" s="42"/>
      <c r="DY83" s="42"/>
      <c r="DZ83" s="42"/>
      <c r="EA83" s="42"/>
      <c r="EB83" s="42"/>
      <c r="EC83" s="42"/>
      <c r="ED83" s="42"/>
      <c r="EE83" s="42"/>
      <c r="EF83" s="42"/>
      <c r="EG83" s="42"/>
      <c r="EH83" s="42"/>
      <c r="EI83" s="42"/>
      <c r="EJ83" s="42"/>
      <c r="EK83" s="42"/>
      <c r="EL83" s="97"/>
      <c r="EM83" s="97"/>
      <c r="EN83" s="97"/>
      <c r="EO83" s="97"/>
      <c r="EP83" s="97"/>
      <c r="EQ83" s="97"/>
      <c r="ER83" s="97"/>
      <c r="ES83" s="97"/>
      <c r="ET83" s="97"/>
      <c r="EU83" s="97"/>
      <c r="EV83" s="97"/>
      <c r="EW83" s="97"/>
      <c r="EX83" s="97"/>
      <c r="EY83" s="97"/>
      <c r="EZ83" s="97"/>
      <c r="FA83" s="97"/>
      <c r="FB83" s="97"/>
      <c r="FC83" s="97"/>
      <c r="FD83" s="97"/>
      <c r="FE83" s="97"/>
      <c r="FF83" s="97"/>
      <c r="FG83" s="97"/>
      <c r="FH83" s="97"/>
      <c r="FI83" s="97"/>
      <c r="FJ83" s="97"/>
      <c r="FK83" s="97"/>
      <c r="FL83" s="97"/>
      <c r="FM83" s="97"/>
      <c r="FN83" s="97"/>
      <c r="FO83" s="97"/>
      <c r="FQ83" s="90"/>
      <c r="FR83" s="88"/>
      <c r="FS83" s="86"/>
      <c r="FT83" s="84"/>
    </row>
    <row r="84" spans="2:176" ht="15.75" hidden="1" thickBot="1" x14ac:dyDescent="0.3">
      <c r="B84" s="47" t="b">
        <f>IF(AND(P83&lt;&gt;"",OR(AND(G84&gt;='Geometry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3" t="str">
        <f t="shared" si="13"/>
        <v/>
      </c>
      <c r="D84" s="529" t="str">
        <f t="shared" si="14"/>
        <v/>
      </c>
      <c r="E84" s="530"/>
      <c r="F84" s="14" t="str">
        <f t="shared" si="12"/>
        <v/>
      </c>
      <c r="G84" s="531"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532"/>
      <c r="I84" s="143"/>
      <c r="J84" s="143"/>
      <c r="K84" s="143"/>
      <c r="L84" s="537" t="str">
        <f t="shared" si="11"/>
        <v/>
      </c>
      <c r="M84" s="537"/>
      <c r="N84" s="537"/>
      <c r="O84" s="537"/>
      <c r="P84" s="537" t="str">
        <f>IF(OR(G84=0,G84=""),"",IF(VLOOKUP(G84,'Geometry 2'!$C$4:$AI$14,1,TRUE)=VLOOKUP(G85,'Geometry 2'!$C$4:$AI$14,1,TRUE),"",IF(VLOOKUP(G84,'Geometry 2'!$C$4:$AI$14,33,TRUE)&lt;&gt;"n/a",MIN(G84,VLOOKUP(G84,'Geometry 2'!$C$4:$AI$14,1,TRUE))-VLOOKUP(G84,'Geometry 2'!$C$4:$AI$14,33,TRUE),"check")))</f>
        <v/>
      </c>
      <c r="Q84" s="537"/>
      <c r="R84" s="537"/>
      <c r="S84" s="537"/>
      <c r="T84" s="537" t="str">
        <f>IF($G84="","",VLOOKUP($G84,'Geometry 2'!$E$4:$AH$14,11,TRUE))</f>
        <v/>
      </c>
      <c r="U84" s="537"/>
      <c r="V84" s="537"/>
      <c r="W84" s="537"/>
      <c r="X84" s="538" t="str">
        <f>IF($G84="","",VLOOKUP($G84,'Geometry 2'!$E$4:$AJ$14,19,TRUE)-12*VLOOKUP($G84,'Geometry 2'!$E$4:$AJ$14,32,TRUE)*($D84-VLOOKUP($G84,'Geometry 2'!$E$5:$AH$14,1,TRUE)))</f>
        <v/>
      </c>
      <c r="Y84" s="538"/>
      <c r="Z84" s="538"/>
      <c r="AA84" s="538"/>
      <c r="AB84" s="542" t="str">
        <f>IF($G84="","",VLOOKUP($G84,'Geometry 2'!$E$4:$AJ$14,19,TRUE)-12*VLOOKUP($G84,'Geometry 2'!$E$4:$AJ$14,32,TRUE)*($G84-VLOOKUP($G84,'Geometry 2'!$E$5:$AH$14,1,TRUE)))</f>
        <v/>
      </c>
      <c r="AC84" s="543"/>
      <c r="AD84" s="543"/>
      <c r="AE84" s="544"/>
      <c r="AF84" s="538" t="str">
        <f>IF($G84="","",VLOOKUP($G84,'Geometry 2'!$E$4:$AJ$14,19,TRUE)-12*VLOOKUP($G84,'Geometry 2'!$E$4:$AJ$14,32,TRUE)*($G84-IF($P84="",0,$P84)-VLOOKUP($G84,'Geometry 2'!$E$5:$AH$14,1,TRUE)))</f>
        <v/>
      </c>
      <c r="AG84" s="538"/>
      <c r="AH84" s="538"/>
      <c r="AI84" s="538"/>
      <c r="AJ84" s="539" t="str">
        <f>IF($G84="","",VLOOKUP($G84,'Geometry 2'!$E$4:$AH$14,23,TRUE))</f>
        <v/>
      </c>
      <c r="AK84" s="549"/>
      <c r="AL84" s="549"/>
      <c r="AM84" s="550"/>
      <c r="AN84" s="537"/>
      <c r="AO84" s="537"/>
      <c r="AP84" s="537"/>
      <c r="AQ84" s="537"/>
      <c r="AR84" s="537" t="str">
        <f>IF($G84="","",VLOOKUP($G84,'Geometry 2'!$E$4:$AH$14,27,TRUE))</f>
        <v/>
      </c>
      <c r="AS84" s="537"/>
      <c r="AT84" s="537"/>
      <c r="AU84" s="539"/>
      <c r="AV84" s="564"/>
      <c r="AW84" s="538"/>
      <c r="AX84" s="538"/>
      <c r="AZ84" s="517" t="str">
        <f t="shared" si="15"/>
        <v/>
      </c>
      <c r="BA84" s="518"/>
      <c r="BB84" s="518"/>
      <c r="BC84" s="519"/>
      <c r="BD84" s="517"/>
      <c r="BE84" s="518"/>
      <c r="BF84" s="518"/>
      <c r="BG84" s="517" t="str">
        <f t="shared" ref="BG84:BG104" si="19">IF(AZ84="","","TP"&amp;ROUND(AF84,3)&amp;"x"&amp;ROUND(X84,3)&amp;"x"&amp;ROUND(AN84,4))</f>
        <v/>
      </c>
      <c r="BH84" s="518"/>
      <c r="BI84" s="518"/>
      <c r="BJ84" s="518"/>
      <c r="BK84" s="519"/>
      <c r="BL84" s="517"/>
      <c r="BM84" s="518"/>
      <c r="BN84" s="518"/>
      <c r="BO84" s="518"/>
      <c r="BP84" s="520"/>
      <c r="BQ84" s="520"/>
      <c r="BR84" s="517" t="str">
        <f>IF(BP84="","",IF(OR(AND(Rev="H",Calculations!$F$27=TRUE),AND(Rev&lt;&gt;"H",Calculations!$F$30=TRUE)),IF(BP84&lt;=1,"Pass","Fail"),IF(BP84&lt;=1.05,"Pass","Fail")))</f>
        <v/>
      </c>
      <c r="BS84" s="518"/>
      <c r="BT84" s="519"/>
      <c r="BU84" s="34"/>
      <c r="BV84" s="16"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16"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16"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16"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16"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16"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16"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16"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16"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16"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16"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16"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16"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16"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16"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16"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16"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16"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44" t="str">
        <f t="shared" si="16"/>
        <v/>
      </c>
      <c r="CO84" s="494"/>
      <c r="CP84" s="495"/>
      <c r="CQ84" s="496"/>
      <c r="CR84" s="494"/>
      <c r="CS84" s="495"/>
      <c r="CT84" s="496"/>
      <c r="CU84" s="494" t="str">
        <f t="shared" si="17"/>
        <v/>
      </c>
      <c r="CV84" s="495"/>
      <c r="CW84" s="500"/>
      <c r="CX84" s="501"/>
      <c r="CY84" s="492"/>
      <c r="CZ84" s="502"/>
      <c r="DA84" s="488"/>
      <c r="DB84" s="489"/>
      <c r="DC84" s="490"/>
      <c r="DD84" s="491" t="str">
        <f t="shared" si="18"/>
        <v/>
      </c>
      <c r="DE84" s="492"/>
      <c r="DF84" s="493"/>
      <c r="DG84" s="40"/>
      <c r="DH84" s="41"/>
      <c r="DI84" s="41"/>
      <c r="DJ84" s="41"/>
      <c r="DK84" s="41"/>
      <c r="DL84" s="41"/>
      <c r="DM84" s="41"/>
      <c r="DN84" s="41"/>
      <c r="DO84" s="41"/>
      <c r="DP84" s="41"/>
      <c r="DQ84" s="43"/>
      <c r="DR84" s="43"/>
      <c r="DS84" s="43"/>
      <c r="DT84" s="43"/>
      <c r="DU84" s="43"/>
      <c r="DV84" s="43"/>
      <c r="DW84" s="43"/>
      <c r="DX84" s="43"/>
      <c r="DY84" s="43"/>
      <c r="DZ84" s="43"/>
      <c r="EA84" s="43"/>
      <c r="EB84" s="43"/>
      <c r="EC84" s="43"/>
      <c r="ED84" s="43"/>
      <c r="EE84" s="43"/>
      <c r="EF84" s="43"/>
      <c r="EG84" s="43"/>
      <c r="EH84" s="43"/>
      <c r="EI84" s="43"/>
      <c r="EJ84" s="43"/>
      <c r="EK84" s="43"/>
      <c r="EL84" s="98"/>
      <c r="EM84" s="98"/>
      <c r="EN84" s="98"/>
      <c r="EO84" s="98"/>
      <c r="EP84" s="98"/>
      <c r="EQ84" s="98"/>
      <c r="ER84" s="98"/>
      <c r="ES84" s="98"/>
      <c r="ET84" s="98"/>
      <c r="EU84" s="98"/>
      <c r="EV84" s="98"/>
      <c r="EW84" s="98"/>
      <c r="EX84" s="98"/>
      <c r="EY84" s="98"/>
      <c r="EZ84" s="98"/>
      <c r="FA84" s="98"/>
      <c r="FB84" s="98"/>
      <c r="FC84" s="98"/>
      <c r="FD84" s="98"/>
      <c r="FE84" s="98"/>
      <c r="FF84" s="98"/>
      <c r="FG84" s="98"/>
      <c r="FH84" s="98"/>
      <c r="FI84" s="98"/>
      <c r="FJ84" s="98"/>
      <c r="FK84" s="98"/>
      <c r="FL84" s="98"/>
      <c r="FM84" s="98"/>
      <c r="FN84" s="98"/>
      <c r="FO84" s="98"/>
      <c r="FQ84" s="89"/>
      <c r="FR84" s="87"/>
      <c r="FS84" s="85"/>
      <c r="FT84" s="84"/>
    </row>
    <row r="85" spans="2:176" ht="15.75" hidden="1" thickBot="1" x14ac:dyDescent="0.3">
      <c r="B85" s="47" t="b">
        <f>IF(AND(P84&lt;&gt;"",OR(AND(G85&gt;='Geometry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3" t="str">
        <f t="shared" si="13"/>
        <v/>
      </c>
      <c r="D85" s="529" t="str">
        <f t="shared" si="14"/>
        <v/>
      </c>
      <c r="E85" s="530"/>
      <c r="F85" s="14" t="str">
        <f t="shared" si="12"/>
        <v/>
      </c>
      <c r="G85" s="531"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532"/>
      <c r="I85" s="143"/>
      <c r="J85" s="143"/>
      <c r="K85" s="143"/>
      <c r="L85" s="537" t="str">
        <f t="shared" si="11"/>
        <v/>
      </c>
      <c r="M85" s="537"/>
      <c r="N85" s="537"/>
      <c r="O85" s="537"/>
      <c r="P85" s="537" t="str">
        <f>IF(OR(G85=0,G85=""),"",IF(VLOOKUP(G85,'Geometry 2'!$C$4:$AI$14,1,TRUE)=VLOOKUP(G86,'Geometry 2'!$C$4:$AI$14,1,TRUE),"",IF(VLOOKUP(G85,'Geometry 2'!$C$4:$AI$14,33,TRUE)&lt;&gt;"n/a",MIN(G85,VLOOKUP(G85,'Geometry 2'!$C$4:$AI$14,1,TRUE))-VLOOKUP(G85,'Geometry 2'!$C$4:$AI$14,33,TRUE),"check")))</f>
        <v/>
      </c>
      <c r="Q85" s="537"/>
      <c r="R85" s="537"/>
      <c r="S85" s="537"/>
      <c r="T85" s="537" t="str">
        <f>IF($G85="","",VLOOKUP($G85,'Geometry 2'!$E$4:$AH$14,11,TRUE))</f>
        <v/>
      </c>
      <c r="U85" s="537"/>
      <c r="V85" s="537"/>
      <c r="W85" s="537"/>
      <c r="X85" s="538" t="str">
        <f>IF($G85="","",VLOOKUP($G85,'Geometry 2'!$E$4:$AJ$14,19,TRUE)-12*VLOOKUP($G85,'Geometry 2'!$E$4:$AJ$14,32,TRUE)*($D85-VLOOKUP($G85,'Geometry 2'!$E$5:$AH$14,1,TRUE)))</f>
        <v/>
      </c>
      <c r="Y85" s="538"/>
      <c r="Z85" s="538"/>
      <c r="AA85" s="538"/>
      <c r="AB85" s="542" t="str">
        <f>IF($G85="","",VLOOKUP($G85,'Geometry 2'!$E$4:$AJ$14,19,TRUE)-12*VLOOKUP($G85,'Geometry 2'!$E$4:$AJ$14,32,TRUE)*($G85-VLOOKUP($G85,'Geometry 2'!$E$5:$AH$14,1,TRUE)))</f>
        <v/>
      </c>
      <c r="AC85" s="543"/>
      <c r="AD85" s="543"/>
      <c r="AE85" s="544"/>
      <c r="AF85" s="538" t="str">
        <f>IF($G85="","",VLOOKUP($G85,'Geometry 2'!$E$4:$AJ$14,19,TRUE)-12*VLOOKUP($G85,'Geometry 2'!$E$4:$AJ$14,32,TRUE)*($G85-IF($P85="",0,$P85)-VLOOKUP($G85,'Geometry 2'!$E$5:$AH$14,1,TRUE)))</f>
        <v/>
      </c>
      <c r="AG85" s="538"/>
      <c r="AH85" s="538"/>
      <c r="AI85" s="538"/>
      <c r="AJ85" s="539" t="str">
        <f>IF($G85="","",VLOOKUP($G85,'Geometry 2'!$E$4:$AH$14,23,TRUE))</f>
        <v/>
      </c>
      <c r="AK85" s="549"/>
      <c r="AL85" s="549"/>
      <c r="AM85" s="550"/>
      <c r="AN85" s="537"/>
      <c r="AO85" s="537"/>
      <c r="AP85" s="537"/>
      <c r="AQ85" s="537"/>
      <c r="AR85" s="537" t="str">
        <f>IF($G85="","",VLOOKUP($G85,'Geometry 2'!$E$4:$AH$14,27,TRUE))</f>
        <v/>
      </c>
      <c r="AS85" s="537"/>
      <c r="AT85" s="537"/>
      <c r="AU85" s="539"/>
      <c r="AV85" s="564"/>
      <c r="AW85" s="538"/>
      <c r="AX85" s="538"/>
      <c r="AZ85" s="517" t="str">
        <f t="shared" si="15"/>
        <v/>
      </c>
      <c r="BA85" s="518"/>
      <c r="BB85" s="518"/>
      <c r="BC85" s="519"/>
      <c r="BD85" s="517"/>
      <c r="BE85" s="518"/>
      <c r="BF85" s="518"/>
      <c r="BG85" s="517" t="str">
        <f t="shared" si="19"/>
        <v/>
      </c>
      <c r="BH85" s="518"/>
      <c r="BI85" s="518"/>
      <c r="BJ85" s="518"/>
      <c r="BK85" s="519"/>
      <c r="BL85" s="517"/>
      <c r="BM85" s="518"/>
      <c r="BN85" s="518"/>
      <c r="BO85" s="518"/>
      <c r="BP85" s="520"/>
      <c r="BQ85" s="520"/>
      <c r="BR85" s="517" t="str">
        <f>IF(BP85="","",IF(OR(AND(Rev="H",Calculations!$F$27=TRUE),AND(Rev&lt;&gt;"H",Calculations!$F$30=TRUE)),IF(BP85&lt;=1,"Pass","Fail"),IF(BP85&lt;=1.05,"Pass","Fail")))</f>
        <v/>
      </c>
      <c r="BS85" s="518"/>
      <c r="BT85" s="519"/>
      <c r="BU85" s="34"/>
      <c r="BV85" s="16"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16"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16"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16"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16"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16"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16"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16"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16"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16"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16"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16"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16"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16"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16"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16"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16"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16"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45" t="str">
        <f t="shared" si="16"/>
        <v/>
      </c>
      <c r="CO85" s="497"/>
      <c r="CP85" s="498"/>
      <c r="CQ85" s="499"/>
      <c r="CR85" s="497"/>
      <c r="CS85" s="498"/>
      <c r="CT85" s="499"/>
      <c r="CU85" s="497" t="str">
        <f t="shared" si="17"/>
        <v/>
      </c>
      <c r="CV85" s="498"/>
      <c r="CW85" s="503"/>
      <c r="CX85" s="484"/>
      <c r="CY85" s="485"/>
      <c r="CZ85" s="486"/>
      <c r="DA85" s="484"/>
      <c r="DB85" s="485"/>
      <c r="DC85" s="486"/>
      <c r="DD85" s="484" t="str">
        <f t="shared" si="18"/>
        <v/>
      </c>
      <c r="DE85" s="485"/>
      <c r="DF85" s="487"/>
      <c r="DG85" s="38"/>
      <c r="DH85" s="39"/>
      <c r="DI85" s="39"/>
      <c r="DJ85" s="39"/>
      <c r="DK85" s="39"/>
      <c r="DL85" s="39"/>
      <c r="DM85" s="39"/>
      <c r="DN85" s="39"/>
      <c r="DO85" s="39"/>
      <c r="DP85" s="39"/>
      <c r="DQ85" s="42"/>
      <c r="DR85" s="42"/>
      <c r="DS85" s="42"/>
      <c r="DT85" s="42"/>
      <c r="DU85" s="42"/>
      <c r="DV85" s="42"/>
      <c r="DW85" s="42"/>
      <c r="DX85" s="42"/>
      <c r="DY85" s="42"/>
      <c r="DZ85" s="42"/>
      <c r="EA85" s="42"/>
      <c r="EB85" s="42"/>
      <c r="EC85" s="42"/>
      <c r="ED85" s="42"/>
      <c r="EE85" s="42"/>
      <c r="EF85" s="42"/>
      <c r="EG85" s="42"/>
      <c r="EH85" s="42"/>
      <c r="EI85" s="42"/>
      <c r="EJ85" s="42"/>
      <c r="EK85" s="42"/>
      <c r="EL85" s="97"/>
      <c r="EM85" s="97"/>
      <c r="EN85" s="97"/>
      <c r="EO85" s="97"/>
      <c r="EP85" s="97"/>
      <c r="EQ85" s="97"/>
      <c r="ER85" s="97"/>
      <c r="ES85" s="97"/>
      <c r="ET85" s="97"/>
      <c r="EU85" s="97"/>
      <c r="EV85" s="97"/>
      <c r="EW85" s="97"/>
      <c r="EX85" s="97"/>
      <c r="EY85" s="97"/>
      <c r="EZ85" s="97"/>
      <c r="FA85" s="97"/>
      <c r="FB85" s="97"/>
      <c r="FC85" s="97"/>
      <c r="FD85" s="97"/>
      <c r="FE85" s="97"/>
      <c r="FF85" s="97"/>
      <c r="FG85" s="97"/>
      <c r="FH85" s="97"/>
      <c r="FI85" s="97"/>
      <c r="FJ85" s="97"/>
      <c r="FK85" s="97"/>
      <c r="FL85" s="97"/>
      <c r="FM85" s="97"/>
      <c r="FN85" s="97"/>
      <c r="FO85" s="97"/>
      <c r="FQ85" s="90"/>
      <c r="FR85" s="88"/>
      <c r="FS85" s="86"/>
      <c r="FT85" s="84"/>
    </row>
    <row r="86" spans="2:176" ht="15.75" hidden="1" thickBot="1" x14ac:dyDescent="0.3">
      <c r="B86" s="47" t="b">
        <f>IF(AND(P85&lt;&gt;"",OR(AND(G86&gt;='Geometry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3" t="str">
        <f t="shared" si="13"/>
        <v/>
      </c>
      <c r="D86" s="529" t="str">
        <f t="shared" si="14"/>
        <v/>
      </c>
      <c r="E86" s="530"/>
      <c r="F86" s="14" t="str">
        <f t="shared" si="12"/>
        <v/>
      </c>
      <c r="G86" s="531"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532"/>
      <c r="I86" s="143"/>
      <c r="J86" s="143"/>
      <c r="K86" s="143"/>
      <c r="L86" s="537" t="str">
        <f t="shared" si="11"/>
        <v/>
      </c>
      <c r="M86" s="537"/>
      <c r="N86" s="537"/>
      <c r="O86" s="537"/>
      <c r="P86" s="537" t="str">
        <f>IF(OR(G86=0,G86=""),"",IF(VLOOKUP(G86,'Geometry 2'!$C$4:$AI$14,1,TRUE)=VLOOKUP(G87,'Geometry 2'!$C$4:$AI$14,1,TRUE),"",IF(VLOOKUP(G86,'Geometry 2'!$C$4:$AI$14,33,TRUE)&lt;&gt;"n/a",MIN(G86,VLOOKUP(G86,'Geometry 2'!$C$4:$AI$14,1,TRUE))-VLOOKUP(G86,'Geometry 2'!$C$4:$AI$14,33,TRUE),"check")))</f>
        <v/>
      </c>
      <c r="Q86" s="537"/>
      <c r="R86" s="537"/>
      <c r="S86" s="537"/>
      <c r="T86" s="537" t="str">
        <f>IF($G86="","",VLOOKUP($G86,'Geometry 2'!$E$4:$AH$14,11,TRUE))</f>
        <v/>
      </c>
      <c r="U86" s="537"/>
      <c r="V86" s="537"/>
      <c r="W86" s="537"/>
      <c r="X86" s="538" t="str">
        <f>IF($G86="","",VLOOKUP($G86,'Geometry 2'!$E$4:$AJ$14,19,TRUE)-12*VLOOKUP($G86,'Geometry 2'!$E$4:$AJ$14,32,TRUE)*($D86-VLOOKUP($G86,'Geometry 2'!$E$5:$AH$14,1,TRUE)))</f>
        <v/>
      </c>
      <c r="Y86" s="538"/>
      <c r="Z86" s="538"/>
      <c r="AA86" s="538"/>
      <c r="AB86" s="542" t="str">
        <f>IF($G86="","",VLOOKUP($G86,'Geometry 2'!$E$4:$AJ$14,19,TRUE)-12*VLOOKUP($G86,'Geometry 2'!$E$4:$AJ$14,32,TRUE)*($G86-VLOOKUP($G86,'Geometry 2'!$E$5:$AH$14,1,TRUE)))</f>
        <v/>
      </c>
      <c r="AC86" s="543"/>
      <c r="AD86" s="543"/>
      <c r="AE86" s="544"/>
      <c r="AF86" s="538" t="str">
        <f>IF($G86="","",VLOOKUP($G86,'Geometry 2'!$E$4:$AJ$14,19,TRUE)-12*VLOOKUP($G86,'Geometry 2'!$E$4:$AJ$14,32,TRUE)*($G86-IF($P86="",0,$P86)-VLOOKUP($G86,'Geometry 2'!$E$5:$AH$14,1,TRUE)))</f>
        <v/>
      </c>
      <c r="AG86" s="538"/>
      <c r="AH86" s="538"/>
      <c r="AI86" s="538"/>
      <c r="AJ86" s="539" t="str">
        <f>IF($G86="","",VLOOKUP($G86,'Geometry 2'!$E$4:$AH$14,23,TRUE))</f>
        <v/>
      </c>
      <c r="AK86" s="549"/>
      <c r="AL86" s="549"/>
      <c r="AM86" s="550"/>
      <c r="AN86" s="537"/>
      <c r="AO86" s="537"/>
      <c r="AP86" s="537"/>
      <c r="AQ86" s="537"/>
      <c r="AR86" s="537" t="str">
        <f>IF($G86="","",VLOOKUP($G86,'Geometry 2'!$E$4:$AH$14,27,TRUE))</f>
        <v/>
      </c>
      <c r="AS86" s="537"/>
      <c r="AT86" s="537"/>
      <c r="AU86" s="539"/>
      <c r="AV86" s="564"/>
      <c r="AW86" s="538"/>
      <c r="AX86" s="538"/>
      <c r="AZ86" s="517" t="str">
        <f t="shared" si="15"/>
        <v/>
      </c>
      <c r="BA86" s="518"/>
      <c r="BB86" s="518"/>
      <c r="BC86" s="519"/>
      <c r="BD86" s="517"/>
      <c r="BE86" s="518"/>
      <c r="BF86" s="518"/>
      <c r="BG86" s="517" t="str">
        <f t="shared" si="19"/>
        <v/>
      </c>
      <c r="BH86" s="518"/>
      <c r="BI86" s="518"/>
      <c r="BJ86" s="518"/>
      <c r="BK86" s="519"/>
      <c r="BL86" s="517"/>
      <c r="BM86" s="518"/>
      <c r="BN86" s="518"/>
      <c r="BO86" s="518"/>
      <c r="BP86" s="520"/>
      <c r="BQ86" s="520"/>
      <c r="BR86" s="517" t="str">
        <f>IF(BP86="","",IF(OR(AND(Rev="H",Calculations!$F$27=TRUE),AND(Rev&lt;&gt;"H",Calculations!$F$30=TRUE)),IF(BP86&lt;=1,"Pass","Fail"),IF(BP86&lt;=1.05,"Pass","Fail")))</f>
        <v/>
      </c>
      <c r="BS86" s="518"/>
      <c r="BT86" s="519"/>
      <c r="BU86" s="34"/>
      <c r="BV86" s="16"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16"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16"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16"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16"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16"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16"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16"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16"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16"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16"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16"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16"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16"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16"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16"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16"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16"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44" t="str">
        <f t="shared" si="16"/>
        <v/>
      </c>
      <c r="CO86" s="494"/>
      <c r="CP86" s="495"/>
      <c r="CQ86" s="496"/>
      <c r="CR86" s="494"/>
      <c r="CS86" s="495"/>
      <c r="CT86" s="496"/>
      <c r="CU86" s="494" t="str">
        <f t="shared" si="17"/>
        <v/>
      </c>
      <c r="CV86" s="495"/>
      <c r="CW86" s="500"/>
      <c r="CX86" s="501"/>
      <c r="CY86" s="492"/>
      <c r="CZ86" s="502"/>
      <c r="DA86" s="488"/>
      <c r="DB86" s="489"/>
      <c r="DC86" s="490"/>
      <c r="DD86" s="491" t="str">
        <f t="shared" si="18"/>
        <v/>
      </c>
      <c r="DE86" s="492"/>
      <c r="DF86" s="493"/>
      <c r="DG86" s="40"/>
      <c r="DH86" s="41"/>
      <c r="DI86" s="41"/>
      <c r="DJ86" s="41"/>
      <c r="DK86" s="41"/>
      <c r="DL86" s="41"/>
      <c r="DM86" s="41"/>
      <c r="DN86" s="41"/>
      <c r="DO86" s="41"/>
      <c r="DP86" s="41"/>
      <c r="DQ86" s="43"/>
      <c r="DR86" s="43"/>
      <c r="DS86" s="43"/>
      <c r="DT86" s="43"/>
      <c r="DU86" s="43"/>
      <c r="DV86" s="43"/>
      <c r="DW86" s="43"/>
      <c r="DX86" s="43"/>
      <c r="DY86" s="43"/>
      <c r="DZ86" s="43"/>
      <c r="EA86" s="43"/>
      <c r="EB86" s="43"/>
      <c r="EC86" s="43"/>
      <c r="ED86" s="43"/>
      <c r="EE86" s="43"/>
      <c r="EF86" s="43"/>
      <c r="EG86" s="43"/>
      <c r="EH86" s="43"/>
      <c r="EI86" s="43"/>
      <c r="EJ86" s="43"/>
      <c r="EK86" s="43"/>
      <c r="EL86" s="98"/>
      <c r="EM86" s="98"/>
      <c r="EN86" s="98"/>
      <c r="EO86" s="98"/>
      <c r="EP86" s="98"/>
      <c r="EQ86" s="98"/>
      <c r="ER86" s="98"/>
      <c r="ES86" s="98"/>
      <c r="ET86" s="98"/>
      <c r="EU86" s="98"/>
      <c r="EV86" s="98"/>
      <c r="EW86" s="98"/>
      <c r="EX86" s="98"/>
      <c r="EY86" s="98"/>
      <c r="EZ86" s="98"/>
      <c r="FA86" s="98"/>
      <c r="FB86" s="98"/>
      <c r="FC86" s="98"/>
      <c r="FD86" s="98"/>
      <c r="FE86" s="98"/>
      <c r="FF86" s="98"/>
      <c r="FG86" s="98"/>
      <c r="FH86" s="98"/>
      <c r="FI86" s="98"/>
      <c r="FJ86" s="98"/>
      <c r="FK86" s="98"/>
      <c r="FL86" s="98"/>
      <c r="FM86" s="98"/>
      <c r="FN86" s="98"/>
      <c r="FO86" s="98"/>
      <c r="FQ86" s="89"/>
      <c r="FR86" s="87"/>
      <c r="FS86" s="85"/>
      <c r="FT86" s="84"/>
    </row>
    <row r="87" spans="2:176" ht="15.75" hidden="1" thickBot="1" x14ac:dyDescent="0.3">
      <c r="B87" s="47" t="b">
        <f>IF(AND(P86&lt;&gt;"",OR(AND(G87&gt;='Geometry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3" t="str">
        <f t="shared" si="13"/>
        <v/>
      </c>
      <c r="D87" s="529" t="str">
        <f t="shared" si="14"/>
        <v/>
      </c>
      <c r="E87" s="530"/>
      <c r="F87" s="14" t="str">
        <f t="shared" si="12"/>
        <v/>
      </c>
      <c r="G87" s="531"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532"/>
      <c r="I87" s="143"/>
      <c r="J87" s="143"/>
      <c r="K87" s="143"/>
      <c r="L87" s="537" t="str">
        <f t="shared" si="11"/>
        <v/>
      </c>
      <c r="M87" s="537"/>
      <c r="N87" s="537"/>
      <c r="O87" s="537"/>
      <c r="P87" s="537" t="str">
        <f>IF(OR(G87=0,G87=""),"",IF(VLOOKUP(G87,'Geometry 2'!$C$4:$AI$14,1,TRUE)=VLOOKUP(G88,'Geometry 2'!$C$4:$AI$14,1,TRUE),"",IF(VLOOKUP(G87,'Geometry 2'!$C$4:$AI$14,33,TRUE)&lt;&gt;"n/a",MIN(G87,VLOOKUP(G87,'Geometry 2'!$C$4:$AI$14,1,TRUE))-VLOOKUP(G87,'Geometry 2'!$C$4:$AI$14,33,TRUE),"check")))</f>
        <v/>
      </c>
      <c r="Q87" s="537"/>
      <c r="R87" s="537"/>
      <c r="S87" s="537"/>
      <c r="T87" s="537" t="str">
        <f>IF($G87="","",VLOOKUP($G87,'Geometry 2'!$E$4:$AH$14,11,TRUE))</f>
        <v/>
      </c>
      <c r="U87" s="537"/>
      <c r="V87" s="537"/>
      <c r="W87" s="537"/>
      <c r="X87" s="538" t="str">
        <f>IF($G87="","",VLOOKUP($G87,'Geometry 2'!$E$4:$AJ$14,19,TRUE)-12*VLOOKUP($G87,'Geometry 2'!$E$4:$AJ$14,32,TRUE)*($D87-VLOOKUP($G87,'Geometry 2'!$E$5:$AH$14,1,TRUE)))</f>
        <v/>
      </c>
      <c r="Y87" s="538"/>
      <c r="Z87" s="538"/>
      <c r="AA87" s="538"/>
      <c r="AB87" s="542" t="str">
        <f>IF($G87="","",VLOOKUP($G87,'Geometry 2'!$E$4:$AJ$14,19,TRUE)-12*VLOOKUP($G87,'Geometry 2'!$E$4:$AJ$14,32,TRUE)*($G87-VLOOKUP($G87,'Geometry 2'!$E$5:$AH$14,1,TRUE)))</f>
        <v/>
      </c>
      <c r="AC87" s="543"/>
      <c r="AD87" s="543"/>
      <c r="AE87" s="544"/>
      <c r="AF87" s="538" t="str">
        <f>IF($G87="","",VLOOKUP($G87,'Geometry 2'!$E$4:$AJ$14,19,TRUE)-12*VLOOKUP($G87,'Geometry 2'!$E$4:$AJ$14,32,TRUE)*($G87-IF($P87="",0,$P87)-VLOOKUP($G87,'Geometry 2'!$E$5:$AH$14,1,TRUE)))</f>
        <v/>
      </c>
      <c r="AG87" s="538"/>
      <c r="AH87" s="538"/>
      <c r="AI87" s="538"/>
      <c r="AJ87" s="539" t="str">
        <f>IF($G87="","",VLOOKUP($G87,'Geometry 2'!$E$4:$AH$14,23,TRUE))</f>
        <v/>
      </c>
      <c r="AK87" s="549"/>
      <c r="AL87" s="549"/>
      <c r="AM87" s="550"/>
      <c r="AN87" s="537"/>
      <c r="AO87" s="537"/>
      <c r="AP87" s="537"/>
      <c r="AQ87" s="537"/>
      <c r="AR87" s="537" t="str">
        <f>IF($G87="","",VLOOKUP($G87,'Geometry 2'!$E$4:$AH$14,27,TRUE))</f>
        <v/>
      </c>
      <c r="AS87" s="537"/>
      <c r="AT87" s="537"/>
      <c r="AU87" s="539"/>
      <c r="AV87" s="564"/>
      <c r="AW87" s="538"/>
      <c r="AX87" s="538"/>
      <c r="AZ87" s="517" t="str">
        <f t="shared" si="15"/>
        <v/>
      </c>
      <c r="BA87" s="518"/>
      <c r="BB87" s="518"/>
      <c r="BC87" s="519"/>
      <c r="BD87" s="517"/>
      <c r="BE87" s="518"/>
      <c r="BF87" s="518"/>
      <c r="BG87" s="517" t="str">
        <f t="shared" si="19"/>
        <v/>
      </c>
      <c r="BH87" s="518"/>
      <c r="BI87" s="518"/>
      <c r="BJ87" s="518"/>
      <c r="BK87" s="519"/>
      <c r="BL87" s="517"/>
      <c r="BM87" s="518"/>
      <c r="BN87" s="518"/>
      <c r="BO87" s="518"/>
      <c r="BP87" s="520"/>
      <c r="BQ87" s="520"/>
      <c r="BR87" s="517" t="str">
        <f>IF(BP87="","",IF(OR(AND(Rev="H",Calculations!$F$27=TRUE),AND(Rev&lt;&gt;"H",Calculations!$F$30=TRUE)),IF(BP87&lt;=1,"Pass","Fail"),IF(BP87&lt;=1.05,"Pass","Fail")))</f>
        <v/>
      </c>
      <c r="BS87" s="518"/>
      <c r="BT87" s="519"/>
      <c r="BU87" s="34"/>
      <c r="BV87" s="16"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16"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16"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16"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16"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16"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16"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16"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16"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16"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16"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16"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16"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16"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16"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16"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16"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16"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45" t="str">
        <f t="shared" si="16"/>
        <v/>
      </c>
      <c r="CO87" s="497"/>
      <c r="CP87" s="498"/>
      <c r="CQ87" s="499"/>
      <c r="CR87" s="497"/>
      <c r="CS87" s="498"/>
      <c r="CT87" s="499"/>
      <c r="CU87" s="497" t="str">
        <f t="shared" si="17"/>
        <v/>
      </c>
      <c r="CV87" s="498"/>
      <c r="CW87" s="503"/>
      <c r="CX87" s="484"/>
      <c r="CY87" s="485"/>
      <c r="CZ87" s="486"/>
      <c r="DA87" s="484"/>
      <c r="DB87" s="485"/>
      <c r="DC87" s="486"/>
      <c r="DD87" s="484" t="str">
        <f t="shared" si="18"/>
        <v/>
      </c>
      <c r="DE87" s="485"/>
      <c r="DF87" s="487"/>
      <c r="DG87" s="38"/>
      <c r="DH87" s="39"/>
      <c r="DI87" s="39"/>
      <c r="DJ87" s="39"/>
      <c r="DK87" s="39"/>
      <c r="DL87" s="39"/>
      <c r="DM87" s="39"/>
      <c r="DN87" s="39"/>
      <c r="DO87" s="39"/>
      <c r="DP87" s="39"/>
      <c r="DQ87" s="42"/>
      <c r="DR87" s="42"/>
      <c r="DS87" s="42"/>
      <c r="DT87" s="42"/>
      <c r="DU87" s="42"/>
      <c r="DV87" s="42"/>
      <c r="DW87" s="42"/>
      <c r="DX87" s="42"/>
      <c r="DY87" s="42"/>
      <c r="DZ87" s="42"/>
      <c r="EA87" s="42"/>
      <c r="EB87" s="42"/>
      <c r="EC87" s="42"/>
      <c r="ED87" s="42"/>
      <c r="EE87" s="42"/>
      <c r="EF87" s="42"/>
      <c r="EG87" s="42"/>
      <c r="EH87" s="42"/>
      <c r="EI87" s="42"/>
      <c r="EJ87" s="42"/>
      <c r="EK87" s="42"/>
      <c r="EL87" s="97"/>
      <c r="EM87" s="97"/>
      <c r="EN87" s="97"/>
      <c r="EO87" s="97"/>
      <c r="EP87" s="97"/>
      <c r="EQ87" s="97"/>
      <c r="ER87" s="97"/>
      <c r="ES87" s="97"/>
      <c r="ET87" s="97"/>
      <c r="EU87" s="97"/>
      <c r="EV87" s="97"/>
      <c r="EW87" s="97"/>
      <c r="EX87" s="97"/>
      <c r="EY87" s="97"/>
      <c r="EZ87" s="97"/>
      <c r="FA87" s="97"/>
      <c r="FB87" s="97"/>
      <c r="FC87" s="97"/>
      <c r="FD87" s="97"/>
      <c r="FE87" s="97"/>
      <c r="FF87" s="97"/>
      <c r="FG87" s="97"/>
      <c r="FH87" s="97"/>
      <c r="FI87" s="97"/>
      <c r="FJ87" s="97"/>
      <c r="FK87" s="97"/>
      <c r="FL87" s="97"/>
      <c r="FM87" s="97"/>
      <c r="FN87" s="97"/>
      <c r="FO87" s="97"/>
      <c r="FQ87" s="90"/>
      <c r="FR87" s="88"/>
      <c r="FS87" s="86"/>
      <c r="FT87" s="84"/>
    </row>
    <row r="88" spans="2:176" ht="15.75" hidden="1" thickBot="1" x14ac:dyDescent="0.3">
      <c r="B88" s="47" t="b">
        <f>IF(AND(P87&lt;&gt;"",OR(AND(G88&gt;='Geometry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3" t="str">
        <f t="shared" si="13"/>
        <v/>
      </c>
      <c r="D88" s="529" t="str">
        <f t="shared" si="14"/>
        <v/>
      </c>
      <c r="E88" s="530"/>
      <c r="F88" s="14" t="str">
        <f t="shared" si="12"/>
        <v/>
      </c>
      <c r="G88" s="531"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532"/>
      <c r="I88" s="143"/>
      <c r="J88" s="143"/>
      <c r="K88" s="143"/>
      <c r="L88" s="537" t="str">
        <f t="shared" si="11"/>
        <v/>
      </c>
      <c r="M88" s="537"/>
      <c r="N88" s="537"/>
      <c r="O88" s="537"/>
      <c r="P88" s="537" t="str">
        <f>IF(OR(G88=0,G88=""),"",IF(VLOOKUP(G88,'Geometry 2'!$C$4:$AI$14,1,TRUE)=VLOOKUP(G89,'Geometry 2'!$C$4:$AI$14,1,TRUE),"",IF(VLOOKUP(G88,'Geometry 2'!$C$4:$AI$14,33,TRUE)&lt;&gt;"n/a",MIN(G88,VLOOKUP(G88,'Geometry 2'!$C$4:$AI$14,1,TRUE))-VLOOKUP(G88,'Geometry 2'!$C$4:$AI$14,33,TRUE),"check")))</f>
        <v/>
      </c>
      <c r="Q88" s="537"/>
      <c r="R88" s="537"/>
      <c r="S88" s="537"/>
      <c r="T88" s="537" t="str">
        <f>IF($G88="","",VLOOKUP($G88,'Geometry 2'!$E$4:$AH$14,11,TRUE))</f>
        <v/>
      </c>
      <c r="U88" s="537"/>
      <c r="V88" s="537"/>
      <c r="W88" s="537"/>
      <c r="X88" s="538" t="str">
        <f>IF($G88="","",VLOOKUP($G88,'Geometry 2'!$E$4:$AJ$14,19,TRUE)-12*VLOOKUP($G88,'Geometry 2'!$E$4:$AJ$14,32,TRUE)*($D88-VLOOKUP($G88,'Geometry 2'!$E$5:$AH$14,1,TRUE)))</f>
        <v/>
      </c>
      <c r="Y88" s="538"/>
      <c r="Z88" s="538"/>
      <c r="AA88" s="538"/>
      <c r="AB88" s="542" t="str">
        <f>IF($G88="","",VLOOKUP($G88,'Geometry 2'!$E$4:$AJ$14,19,TRUE)-12*VLOOKUP($G88,'Geometry 2'!$E$4:$AJ$14,32,TRUE)*($G88-VLOOKUP($G88,'Geometry 2'!$E$5:$AH$14,1,TRUE)))</f>
        <v/>
      </c>
      <c r="AC88" s="543"/>
      <c r="AD88" s="543"/>
      <c r="AE88" s="544"/>
      <c r="AF88" s="538" t="str">
        <f>IF($G88="","",VLOOKUP($G88,'Geometry 2'!$E$4:$AJ$14,19,TRUE)-12*VLOOKUP($G88,'Geometry 2'!$E$4:$AJ$14,32,TRUE)*($G88-IF($P88="",0,$P88)-VLOOKUP($G88,'Geometry 2'!$E$5:$AH$14,1,TRUE)))</f>
        <v/>
      </c>
      <c r="AG88" s="538"/>
      <c r="AH88" s="538"/>
      <c r="AI88" s="538"/>
      <c r="AJ88" s="539" t="str">
        <f>IF($G88="","",VLOOKUP($G88,'Geometry 2'!$E$4:$AH$14,23,TRUE))</f>
        <v/>
      </c>
      <c r="AK88" s="549"/>
      <c r="AL88" s="549"/>
      <c r="AM88" s="550"/>
      <c r="AN88" s="537"/>
      <c r="AO88" s="537"/>
      <c r="AP88" s="537"/>
      <c r="AQ88" s="537"/>
      <c r="AR88" s="537" t="str">
        <f>IF($G88="","",VLOOKUP($G88,'Geometry 2'!$E$4:$AH$14,27,TRUE))</f>
        <v/>
      </c>
      <c r="AS88" s="537"/>
      <c r="AT88" s="537"/>
      <c r="AU88" s="539"/>
      <c r="AV88" s="564"/>
      <c r="AW88" s="538"/>
      <c r="AX88" s="538"/>
      <c r="AZ88" s="517" t="str">
        <f t="shared" si="15"/>
        <v/>
      </c>
      <c r="BA88" s="518"/>
      <c r="BB88" s="518"/>
      <c r="BC88" s="519"/>
      <c r="BD88" s="517"/>
      <c r="BE88" s="518"/>
      <c r="BF88" s="518"/>
      <c r="BG88" s="517" t="str">
        <f t="shared" si="19"/>
        <v/>
      </c>
      <c r="BH88" s="518"/>
      <c r="BI88" s="518"/>
      <c r="BJ88" s="518"/>
      <c r="BK88" s="519"/>
      <c r="BL88" s="517"/>
      <c r="BM88" s="518"/>
      <c r="BN88" s="518"/>
      <c r="BO88" s="518"/>
      <c r="BP88" s="520"/>
      <c r="BQ88" s="520"/>
      <c r="BR88" s="517" t="str">
        <f>IF(BP88="","",IF(OR(AND(Rev="H",Calculations!$F$27=TRUE),AND(Rev&lt;&gt;"H",Calculations!$F$30=TRUE)),IF(BP88&lt;=1,"Pass","Fail"),IF(BP88&lt;=1.05,"Pass","Fail")))</f>
        <v/>
      </c>
      <c r="BS88" s="518"/>
      <c r="BT88" s="519"/>
      <c r="BU88" s="34"/>
      <c r="BV88" s="16"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16"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16"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16"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16"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16"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16"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16"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16"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16"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16"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16"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16"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16"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16"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16"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16"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16"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44" t="str">
        <f t="shared" si="16"/>
        <v/>
      </c>
      <c r="CO88" s="494"/>
      <c r="CP88" s="495"/>
      <c r="CQ88" s="496"/>
      <c r="CR88" s="494"/>
      <c r="CS88" s="495"/>
      <c r="CT88" s="496"/>
      <c r="CU88" s="494" t="str">
        <f t="shared" si="17"/>
        <v/>
      </c>
      <c r="CV88" s="495"/>
      <c r="CW88" s="500"/>
      <c r="CX88" s="501"/>
      <c r="CY88" s="492"/>
      <c r="CZ88" s="502"/>
      <c r="DA88" s="488"/>
      <c r="DB88" s="489"/>
      <c r="DC88" s="490"/>
      <c r="DD88" s="491" t="str">
        <f t="shared" si="18"/>
        <v/>
      </c>
      <c r="DE88" s="492"/>
      <c r="DF88" s="493"/>
      <c r="DG88" s="40"/>
      <c r="DH88" s="41"/>
      <c r="DI88" s="41"/>
      <c r="DJ88" s="41"/>
      <c r="DK88" s="41"/>
      <c r="DL88" s="41"/>
      <c r="DM88" s="41"/>
      <c r="DN88" s="41"/>
      <c r="DO88" s="41"/>
      <c r="DP88" s="41"/>
      <c r="DQ88" s="43"/>
      <c r="DR88" s="43"/>
      <c r="DS88" s="43"/>
      <c r="DT88" s="43"/>
      <c r="DU88" s="43"/>
      <c r="DV88" s="43"/>
      <c r="DW88" s="43"/>
      <c r="DX88" s="43"/>
      <c r="DY88" s="43"/>
      <c r="DZ88" s="43"/>
      <c r="EA88" s="43"/>
      <c r="EB88" s="43"/>
      <c r="EC88" s="43"/>
      <c r="ED88" s="43"/>
      <c r="EE88" s="43"/>
      <c r="EF88" s="43"/>
      <c r="EG88" s="43"/>
      <c r="EH88" s="43"/>
      <c r="EI88" s="43"/>
      <c r="EJ88" s="43"/>
      <c r="EK88" s="43"/>
      <c r="EL88" s="98"/>
      <c r="EM88" s="98"/>
      <c r="EN88" s="98"/>
      <c r="EO88" s="98"/>
      <c r="EP88" s="98"/>
      <c r="EQ88" s="98"/>
      <c r="ER88" s="98"/>
      <c r="ES88" s="98"/>
      <c r="ET88" s="98"/>
      <c r="EU88" s="98"/>
      <c r="EV88" s="98"/>
      <c r="EW88" s="98"/>
      <c r="EX88" s="98"/>
      <c r="EY88" s="98"/>
      <c r="EZ88" s="98"/>
      <c r="FA88" s="98"/>
      <c r="FB88" s="98"/>
      <c r="FC88" s="98"/>
      <c r="FD88" s="98"/>
      <c r="FE88" s="98"/>
      <c r="FF88" s="98"/>
      <c r="FG88" s="98"/>
      <c r="FH88" s="98"/>
      <c r="FI88" s="98"/>
      <c r="FJ88" s="98"/>
      <c r="FK88" s="98"/>
      <c r="FL88" s="98"/>
      <c r="FM88" s="98"/>
      <c r="FN88" s="98"/>
      <c r="FO88" s="98"/>
      <c r="FQ88" s="89"/>
      <c r="FR88" s="87"/>
      <c r="FS88" s="85"/>
      <c r="FT88" s="84"/>
    </row>
    <row r="89" spans="2:176" ht="15.75" hidden="1" thickBot="1" x14ac:dyDescent="0.3">
      <c r="B89" s="47" t="b">
        <f>IF(AND(P88&lt;&gt;"",OR(AND(G89&gt;='Geometry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3" t="str">
        <f t="shared" si="13"/>
        <v/>
      </c>
      <c r="D89" s="529" t="str">
        <f t="shared" si="14"/>
        <v/>
      </c>
      <c r="E89" s="530"/>
      <c r="F89" s="14" t="str">
        <f t="shared" si="12"/>
        <v/>
      </c>
      <c r="G89" s="531"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532"/>
      <c r="I89" s="143"/>
      <c r="J89" s="143"/>
      <c r="K89" s="143"/>
      <c r="L89" s="537" t="str">
        <f t="shared" si="11"/>
        <v/>
      </c>
      <c r="M89" s="537"/>
      <c r="N89" s="537"/>
      <c r="O89" s="537"/>
      <c r="P89" s="537" t="str">
        <f>IF(OR(G89=0,G89=""),"",IF(VLOOKUP(G89,'Geometry 2'!$C$4:$AI$14,1,TRUE)=VLOOKUP(G90,'Geometry 2'!$C$4:$AI$14,1,TRUE),"",IF(VLOOKUP(G89,'Geometry 2'!$C$4:$AI$14,33,TRUE)&lt;&gt;"n/a",MIN(G89,VLOOKUP(G89,'Geometry 2'!$C$4:$AI$14,1,TRUE))-VLOOKUP(G89,'Geometry 2'!$C$4:$AI$14,33,TRUE),"check")))</f>
        <v/>
      </c>
      <c r="Q89" s="537"/>
      <c r="R89" s="537"/>
      <c r="S89" s="537"/>
      <c r="T89" s="537" t="str">
        <f>IF($G89="","",VLOOKUP($G89,'Geometry 2'!$E$4:$AH$14,11,TRUE))</f>
        <v/>
      </c>
      <c r="U89" s="537"/>
      <c r="V89" s="537"/>
      <c r="W89" s="537"/>
      <c r="X89" s="538" t="str">
        <f>IF($G89="","",VLOOKUP($G89,'Geometry 2'!$E$4:$AJ$14,19,TRUE)-12*VLOOKUP($G89,'Geometry 2'!$E$4:$AJ$14,32,TRUE)*($D89-VLOOKUP($G89,'Geometry 2'!$E$5:$AH$14,1,TRUE)))</f>
        <v/>
      </c>
      <c r="Y89" s="538"/>
      <c r="Z89" s="538"/>
      <c r="AA89" s="538"/>
      <c r="AB89" s="542" t="str">
        <f>IF($G89="","",VLOOKUP($G89,'Geometry 2'!$E$4:$AJ$14,19,TRUE)-12*VLOOKUP($G89,'Geometry 2'!$E$4:$AJ$14,32,TRUE)*($G89-VLOOKUP($G89,'Geometry 2'!$E$5:$AH$14,1,TRUE)))</f>
        <v/>
      </c>
      <c r="AC89" s="543"/>
      <c r="AD89" s="543"/>
      <c r="AE89" s="544"/>
      <c r="AF89" s="538" t="str">
        <f>IF($G89="","",VLOOKUP($G89,'Geometry 2'!$E$4:$AJ$14,19,TRUE)-12*VLOOKUP($G89,'Geometry 2'!$E$4:$AJ$14,32,TRUE)*($G89-IF($P89="",0,$P89)-VLOOKUP($G89,'Geometry 2'!$E$5:$AH$14,1,TRUE)))</f>
        <v/>
      </c>
      <c r="AG89" s="538"/>
      <c r="AH89" s="538"/>
      <c r="AI89" s="538"/>
      <c r="AJ89" s="539" t="str">
        <f>IF($G89="","",VLOOKUP($G89,'Geometry 2'!$E$4:$AH$14,23,TRUE))</f>
        <v/>
      </c>
      <c r="AK89" s="549"/>
      <c r="AL89" s="549"/>
      <c r="AM89" s="550"/>
      <c r="AN89" s="537"/>
      <c r="AO89" s="537"/>
      <c r="AP89" s="537"/>
      <c r="AQ89" s="537"/>
      <c r="AR89" s="537" t="str">
        <f>IF($G89="","",VLOOKUP($G89,'Geometry 2'!$E$4:$AH$14,27,TRUE))</f>
        <v/>
      </c>
      <c r="AS89" s="537"/>
      <c r="AT89" s="537"/>
      <c r="AU89" s="539"/>
      <c r="AV89" s="564"/>
      <c r="AW89" s="538"/>
      <c r="AX89" s="538"/>
      <c r="AZ89" s="517" t="str">
        <f t="shared" si="15"/>
        <v/>
      </c>
      <c r="BA89" s="518"/>
      <c r="BB89" s="518"/>
      <c r="BC89" s="519"/>
      <c r="BD89" s="517"/>
      <c r="BE89" s="518"/>
      <c r="BF89" s="518"/>
      <c r="BG89" s="517" t="str">
        <f t="shared" si="19"/>
        <v/>
      </c>
      <c r="BH89" s="518"/>
      <c r="BI89" s="518"/>
      <c r="BJ89" s="518"/>
      <c r="BK89" s="519"/>
      <c r="BL89" s="517"/>
      <c r="BM89" s="518"/>
      <c r="BN89" s="518"/>
      <c r="BO89" s="518"/>
      <c r="BP89" s="520"/>
      <c r="BQ89" s="520"/>
      <c r="BR89" s="517" t="str">
        <f>IF(BP89="","",IF(OR(AND(Rev="H",Calculations!$F$27=TRUE),AND(Rev&lt;&gt;"H",Calculations!$F$30=TRUE)),IF(BP89&lt;=1,"Pass","Fail"),IF(BP89&lt;=1.05,"Pass","Fail")))</f>
        <v/>
      </c>
      <c r="BS89" s="518"/>
      <c r="BT89" s="519"/>
      <c r="BU89" s="34"/>
      <c r="BV89" s="16"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16"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16"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16"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16"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16"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16"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16"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16"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16"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16"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16"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16"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16"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16"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16"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16"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16"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45" t="str">
        <f t="shared" si="16"/>
        <v/>
      </c>
      <c r="CO89" s="497"/>
      <c r="CP89" s="498"/>
      <c r="CQ89" s="499"/>
      <c r="CR89" s="497"/>
      <c r="CS89" s="498"/>
      <c r="CT89" s="499"/>
      <c r="CU89" s="497" t="str">
        <f t="shared" si="17"/>
        <v/>
      </c>
      <c r="CV89" s="498"/>
      <c r="CW89" s="503"/>
      <c r="CX89" s="484"/>
      <c r="CY89" s="485"/>
      <c r="CZ89" s="486"/>
      <c r="DA89" s="484"/>
      <c r="DB89" s="485"/>
      <c r="DC89" s="486"/>
      <c r="DD89" s="484" t="str">
        <f t="shared" si="18"/>
        <v/>
      </c>
      <c r="DE89" s="485"/>
      <c r="DF89" s="487"/>
      <c r="DG89" s="38"/>
      <c r="DH89" s="39"/>
      <c r="DI89" s="39"/>
      <c r="DJ89" s="39"/>
      <c r="DK89" s="39"/>
      <c r="DL89" s="39"/>
      <c r="DM89" s="39"/>
      <c r="DN89" s="39"/>
      <c r="DO89" s="39"/>
      <c r="DP89" s="39"/>
      <c r="DQ89" s="42"/>
      <c r="DR89" s="42"/>
      <c r="DS89" s="42"/>
      <c r="DT89" s="42"/>
      <c r="DU89" s="42"/>
      <c r="DV89" s="42"/>
      <c r="DW89" s="42"/>
      <c r="DX89" s="42"/>
      <c r="DY89" s="42"/>
      <c r="DZ89" s="42"/>
      <c r="EA89" s="42"/>
      <c r="EB89" s="42"/>
      <c r="EC89" s="42"/>
      <c r="ED89" s="42"/>
      <c r="EE89" s="42"/>
      <c r="EF89" s="42"/>
      <c r="EG89" s="42"/>
      <c r="EH89" s="42"/>
      <c r="EI89" s="42"/>
      <c r="EJ89" s="42"/>
      <c r="EK89" s="42"/>
      <c r="EL89" s="97"/>
      <c r="EM89" s="97"/>
      <c r="EN89" s="97"/>
      <c r="EO89" s="97"/>
      <c r="EP89" s="97"/>
      <c r="EQ89" s="97"/>
      <c r="ER89" s="97"/>
      <c r="ES89" s="97"/>
      <c r="ET89" s="97"/>
      <c r="EU89" s="97"/>
      <c r="EV89" s="97"/>
      <c r="EW89" s="97"/>
      <c r="EX89" s="97"/>
      <c r="EY89" s="97"/>
      <c r="EZ89" s="97"/>
      <c r="FA89" s="97"/>
      <c r="FB89" s="97"/>
      <c r="FC89" s="97"/>
      <c r="FD89" s="97"/>
      <c r="FE89" s="97"/>
      <c r="FF89" s="97"/>
      <c r="FG89" s="97"/>
      <c r="FH89" s="97"/>
      <c r="FI89" s="97"/>
      <c r="FJ89" s="97"/>
      <c r="FK89" s="97"/>
      <c r="FL89" s="97"/>
      <c r="FM89" s="97"/>
      <c r="FN89" s="97"/>
      <c r="FO89" s="97"/>
      <c r="FQ89" s="90"/>
      <c r="FR89" s="88"/>
      <c r="FS89" s="86"/>
      <c r="FT89" s="84"/>
    </row>
    <row r="90" spans="2:176" ht="15.75" hidden="1" thickBot="1" x14ac:dyDescent="0.3">
      <c r="B90" s="47" t="b">
        <f>IF(AND(P89&lt;&gt;"",OR(AND(G90&gt;='Geometry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3" t="str">
        <f t="shared" si="13"/>
        <v/>
      </c>
      <c r="D90" s="529" t="str">
        <f t="shared" si="14"/>
        <v/>
      </c>
      <c r="E90" s="530"/>
      <c r="F90" s="14" t="str">
        <f t="shared" si="12"/>
        <v/>
      </c>
      <c r="G90" s="531"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532"/>
      <c r="I90" s="143"/>
      <c r="J90" s="143"/>
      <c r="K90" s="143"/>
      <c r="L90" s="537" t="str">
        <f t="shared" si="11"/>
        <v/>
      </c>
      <c r="M90" s="537"/>
      <c r="N90" s="537"/>
      <c r="O90" s="537"/>
      <c r="P90" s="537" t="str">
        <f>IF(OR(G90=0,G90=""),"",IF(VLOOKUP(G90,'Geometry 2'!$C$4:$AI$14,1,TRUE)=VLOOKUP(G91,'Geometry 2'!$C$4:$AI$14,1,TRUE),"",IF(VLOOKUP(G90,'Geometry 2'!$C$4:$AI$14,33,TRUE)&lt;&gt;"n/a",MIN(G90,VLOOKUP(G90,'Geometry 2'!$C$4:$AI$14,1,TRUE))-VLOOKUP(G90,'Geometry 2'!$C$4:$AI$14,33,TRUE),"check")))</f>
        <v/>
      </c>
      <c r="Q90" s="537"/>
      <c r="R90" s="537"/>
      <c r="S90" s="537"/>
      <c r="T90" s="537" t="str">
        <f>IF($G90="","",VLOOKUP($G90,'Geometry 2'!$E$4:$AH$14,11,TRUE))</f>
        <v/>
      </c>
      <c r="U90" s="537"/>
      <c r="V90" s="537"/>
      <c r="W90" s="537"/>
      <c r="X90" s="538" t="str">
        <f>IF($G90="","",VLOOKUP($G90,'Geometry 2'!$E$4:$AJ$14,19,TRUE)-12*VLOOKUP($G90,'Geometry 2'!$E$4:$AJ$14,32,TRUE)*($D90-VLOOKUP($G90,'Geometry 2'!$E$5:$AH$14,1,TRUE)))</f>
        <v/>
      </c>
      <c r="Y90" s="538"/>
      <c r="Z90" s="538"/>
      <c r="AA90" s="538"/>
      <c r="AB90" s="542" t="str">
        <f>IF($G90="","",VLOOKUP($G90,'Geometry 2'!$E$4:$AJ$14,19,TRUE)-12*VLOOKUP($G90,'Geometry 2'!$E$4:$AJ$14,32,TRUE)*($G90-VLOOKUP($G90,'Geometry 2'!$E$5:$AH$14,1,TRUE)))</f>
        <v/>
      </c>
      <c r="AC90" s="543"/>
      <c r="AD90" s="543"/>
      <c r="AE90" s="544"/>
      <c r="AF90" s="538" t="str">
        <f>IF($G90="","",VLOOKUP($G90,'Geometry 2'!$E$4:$AJ$14,19,TRUE)-12*VLOOKUP($G90,'Geometry 2'!$E$4:$AJ$14,32,TRUE)*($G90-IF($P90="",0,$P90)-VLOOKUP($G90,'Geometry 2'!$E$5:$AH$14,1,TRUE)))</f>
        <v/>
      </c>
      <c r="AG90" s="538"/>
      <c r="AH90" s="538"/>
      <c r="AI90" s="538"/>
      <c r="AJ90" s="539" t="str">
        <f>IF($G90="","",VLOOKUP($G90,'Geometry 2'!$E$4:$AH$14,23,TRUE))</f>
        <v/>
      </c>
      <c r="AK90" s="549"/>
      <c r="AL90" s="549"/>
      <c r="AM90" s="550"/>
      <c r="AN90" s="537"/>
      <c r="AO90" s="537"/>
      <c r="AP90" s="537"/>
      <c r="AQ90" s="537"/>
      <c r="AR90" s="537" t="str">
        <f>IF($G90="","",VLOOKUP($G90,'Geometry 2'!$E$4:$AH$14,27,TRUE))</f>
        <v/>
      </c>
      <c r="AS90" s="537"/>
      <c r="AT90" s="537"/>
      <c r="AU90" s="539"/>
      <c r="AV90" s="564"/>
      <c r="AW90" s="538"/>
      <c r="AX90" s="538"/>
      <c r="AZ90" s="517" t="str">
        <f t="shared" si="15"/>
        <v/>
      </c>
      <c r="BA90" s="518"/>
      <c r="BB90" s="518"/>
      <c r="BC90" s="519"/>
      <c r="BD90" s="517"/>
      <c r="BE90" s="518"/>
      <c r="BF90" s="518"/>
      <c r="BG90" s="517" t="str">
        <f t="shared" si="19"/>
        <v/>
      </c>
      <c r="BH90" s="518"/>
      <c r="BI90" s="518"/>
      <c r="BJ90" s="518"/>
      <c r="BK90" s="519"/>
      <c r="BL90" s="517"/>
      <c r="BM90" s="518"/>
      <c r="BN90" s="518"/>
      <c r="BO90" s="518"/>
      <c r="BP90" s="520"/>
      <c r="BQ90" s="520"/>
      <c r="BR90" s="517" t="str">
        <f>IF(BP90="","",IF(OR(AND(Rev="H",Calculations!$F$27=TRUE),AND(Rev&lt;&gt;"H",Calculations!$F$30=TRUE)),IF(BP90&lt;=1,"Pass","Fail"),IF(BP90&lt;=1.05,"Pass","Fail")))</f>
        <v/>
      </c>
      <c r="BS90" s="518"/>
      <c r="BT90" s="519"/>
      <c r="BU90" s="34"/>
      <c r="BV90" s="16"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16"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16"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16"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16"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16"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16"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16"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16"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16"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16"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16"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16"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16"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16"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16"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16"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16"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44" t="str">
        <f t="shared" si="16"/>
        <v/>
      </c>
      <c r="CO90" s="494"/>
      <c r="CP90" s="495"/>
      <c r="CQ90" s="496"/>
      <c r="CR90" s="494"/>
      <c r="CS90" s="495"/>
      <c r="CT90" s="496"/>
      <c r="CU90" s="494" t="str">
        <f t="shared" si="17"/>
        <v/>
      </c>
      <c r="CV90" s="495"/>
      <c r="CW90" s="500"/>
      <c r="CX90" s="501"/>
      <c r="CY90" s="492"/>
      <c r="CZ90" s="502"/>
      <c r="DA90" s="488"/>
      <c r="DB90" s="489"/>
      <c r="DC90" s="490"/>
      <c r="DD90" s="491" t="str">
        <f t="shared" si="18"/>
        <v/>
      </c>
      <c r="DE90" s="492"/>
      <c r="DF90" s="493"/>
      <c r="DG90" s="40"/>
      <c r="DH90" s="41"/>
      <c r="DI90" s="41"/>
      <c r="DJ90" s="41"/>
      <c r="DK90" s="41"/>
      <c r="DL90" s="41"/>
      <c r="DM90" s="41"/>
      <c r="DN90" s="41"/>
      <c r="DO90" s="41"/>
      <c r="DP90" s="41"/>
      <c r="DQ90" s="43"/>
      <c r="DR90" s="43"/>
      <c r="DS90" s="43"/>
      <c r="DT90" s="43"/>
      <c r="DU90" s="43"/>
      <c r="DV90" s="43"/>
      <c r="DW90" s="43"/>
      <c r="DX90" s="43"/>
      <c r="DY90" s="43"/>
      <c r="DZ90" s="43"/>
      <c r="EA90" s="43"/>
      <c r="EB90" s="43"/>
      <c r="EC90" s="43"/>
      <c r="ED90" s="43"/>
      <c r="EE90" s="43"/>
      <c r="EF90" s="43"/>
      <c r="EG90" s="43"/>
      <c r="EH90" s="43"/>
      <c r="EI90" s="43"/>
      <c r="EJ90" s="43"/>
      <c r="EK90" s="43"/>
      <c r="EL90" s="98"/>
      <c r="EM90" s="98"/>
      <c r="EN90" s="98"/>
      <c r="EO90" s="98"/>
      <c r="EP90" s="98"/>
      <c r="EQ90" s="98"/>
      <c r="ER90" s="98"/>
      <c r="ES90" s="98"/>
      <c r="ET90" s="98"/>
      <c r="EU90" s="98"/>
      <c r="EV90" s="98"/>
      <c r="EW90" s="98"/>
      <c r="EX90" s="98"/>
      <c r="EY90" s="98"/>
      <c r="EZ90" s="98"/>
      <c r="FA90" s="98"/>
      <c r="FB90" s="98"/>
      <c r="FC90" s="98"/>
      <c r="FD90" s="98"/>
      <c r="FE90" s="98"/>
      <c r="FF90" s="98"/>
      <c r="FG90" s="98"/>
      <c r="FH90" s="98"/>
      <c r="FI90" s="98"/>
      <c r="FJ90" s="98"/>
      <c r="FK90" s="98"/>
      <c r="FL90" s="98"/>
      <c r="FM90" s="98"/>
      <c r="FN90" s="98"/>
      <c r="FO90" s="98"/>
      <c r="FQ90" s="89"/>
      <c r="FR90" s="87"/>
      <c r="FS90" s="85"/>
      <c r="FT90" s="84"/>
    </row>
    <row r="91" spans="2:176" ht="15.75" hidden="1" thickBot="1" x14ac:dyDescent="0.3">
      <c r="B91" s="47" t="b">
        <f>IF(AND(P90&lt;&gt;"",OR(AND(G91&gt;='Geometry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3" t="str">
        <f t="shared" si="13"/>
        <v/>
      </c>
      <c r="D91" s="529" t="str">
        <f t="shared" si="14"/>
        <v/>
      </c>
      <c r="E91" s="530"/>
      <c r="F91" s="14" t="str">
        <f t="shared" si="12"/>
        <v/>
      </c>
      <c r="G91" s="531"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532"/>
      <c r="I91" s="143"/>
      <c r="J91" s="143"/>
      <c r="K91" s="143"/>
      <c r="L91" s="537" t="str">
        <f t="shared" si="11"/>
        <v/>
      </c>
      <c r="M91" s="537"/>
      <c r="N91" s="537"/>
      <c r="O91" s="537"/>
      <c r="P91" s="537" t="str">
        <f>IF(OR(G91=0,G91=""),"",IF(VLOOKUP(G91,'Geometry 2'!$C$4:$AI$14,1,TRUE)=VLOOKUP(G92,'Geometry 2'!$C$4:$AI$14,1,TRUE),"",IF(VLOOKUP(G91,'Geometry 2'!$C$4:$AI$14,33,TRUE)&lt;&gt;"n/a",MIN(G91,VLOOKUP(G91,'Geometry 2'!$C$4:$AI$14,1,TRUE))-VLOOKUP(G91,'Geometry 2'!$C$4:$AI$14,33,TRUE),"check")))</f>
        <v/>
      </c>
      <c r="Q91" s="537"/>
      <c r="R91" s="537"/>
      <c r="S91" s="537"/>
      <c r="T91" s="537" t="str">
        <f>IF($G91="","",VLOOKUP($G91,'Geometry 2'!$E$4:$AH$14,11,TRUE))</f>
        <v/>
      </c>
      <c r="U91" s="537"/>
      <c r="V91" s="537"/>
      <c r="W91" s="537"/>
      <c r="X91" s="538" t="str">
        <f>IF($G91="","",VLOOKUP($G91,'Geometry 2'!$E$4:$AJ$14,19,TRUE)-12*VLOOKUP($G91,'Geometry 2'!$E$4:$AJ$14,32,TRUE)*($D91-VLOOKUP($G91,'Geometry 2'!$E$5:$AH$14,1,TRUE)))</f>
        <v/>
      </c>
      <c r="Y91" s="538"/>
      <c r="Z91" s="538"/>
      <c r="AA91" s="538"/>
      <c r="AB91" s="542" t="str">
        <f>IF($G91="","",VLOOKUP($G91,'Geometry 2'!$E$4:$AJ$14,19,TRUE)-12*VLOOKUP($G91,'Geometry 2'!$E$4:$AJ$14,32,TRUE)*($G91-VLOOKUP($G91,'Geometry 2'!$E$5:$AH$14,1,TRUE)))</f>
        <v/>
      </c>
      <c r="AC91" s="543"/>
      <c r="AD91" s="543"/>
      <c r="AE91" s="544"/>
      <c r="AF91" s="538" t="str">
        <f>IF($G91="","",VLOOKUP($G91,'Geometry 2'!$E$4:$AJ$14,19,TRUE)-12*VLOOKUP($G91,'Geometry 2'!$E$4:$AJ$14,32,TRUE)*($G91-IF($P91="",0,$P91)-VLOOKUP($G91,'Geometry 2'!$E$5:$AH$14,1,TRUE)))</f>
        <v/>
      </c>
      <c r="AG91" s="538"/>
      <c r="AH91" s="538"/>
      <c r="AI91" s="538"/>
      <c r="AJ91" s="539" t="str">
        <f>IF($G91="","",VLOOKUP($G91,'Geometry 2'!$E$4:$AH$14,23,TRUE))</f>
        <v/>
      </c>
      <c r="AK91" s="549"/>
      <c r="AL91" s="549"/>
      <c r="AM91" s="550"/>
      <c r="AN91" s="537"/>
      <c r="AO91" s="537"/>
      <c r="AP91" s="537"/>
      <c r="AQ91" s="537"/>
      <c r="AR91" s="537" t="str">
        <f>IF($G91="","",VLOOKUP($G91,'Geometry 2'!$E$4:$AH$14,27,TRUE))</f>
        <v/>
      </c>
      <c r="AS91" s="537"/>
      <c r="AT91" s="537"/>
      <c r="AU91" s="539"/>
      <c r="AV91" s="564"/>
      <c r="AW91" s="538"/>
      <c r="AX91" s="538"/>
      <c r="AZ91" s="517" t="str">
        <f t="shared" si="15"/>
        <v/>
      </c>
      <c r="BA91" s="518"/>
      <c r="BB91" s="518"/>
      <c r="BC91" s="519"/>
      <c r="BD91" s="517"/>
      <c r="BE91" s="518"/>
      <c r="BF91" s="518"/>
      <c r="BG91" s="517" t="str">
        <f t="shared" si="19"/>
        <v/>
      </c>
      <c r="BH91" s="518"/>
      <c r="BI91" s="518"/>
      <c r="BJ91" s="518"/>
      <c r="BK91" s="519"/>
      <c r="BL91" s="517"/>
      <c r="BM91" s="518"/>
      <c r="BN91" s="518"/>
      <c r="BO91" s="518"/>
      <c r="BP91" s="520"/>
      <c r="BQ91" s="520"/>
      <c r="BR91" s="517" t="str">
        <f>IF(BP91="","",IF(OR(AND(Rev="H",Calculations!$F$27=TRUE),AND(Rev&lt;&gt;"H",Calculations!$F$30=TRUE)),IF(BP91&lt;=1,"Pass","Fail"),IF(BP91&lt;=1.05,"Pass","Fail")))</f>
        <v/>
      </c>
      <c r="BS91" s="518"/>
      <c r="BT91" s="519"/>
      <c r="BU91" s="34"/>
      <c r="BV91" s="16"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16"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16"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16"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16"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16"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16"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16"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16"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16"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16"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16"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16"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16"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16"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16"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16"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16"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45" t="str">
        <f t="shared" si="16"/>
        <v/>
      </c>
      <c r="CO91" s="497"/>
      <c r="CP91" s="498"/>
      <c r="CQ91" s="499"/>
      <c r="CR91" s="497"/>
      <c r="CS91" s="498"/>
      <c r="CT91" s="499"/>
      <c r="CU91" s="497" t="str">
        <f t="shared" si="17"/>
        <v/>
      </c>
      <c r="CV91" s="498"/>
      <c r="CW91" s="503"/>
      <c r="CX91" s="484"/>
      <c r="CY91" s="485"/>
      <c r="CZ91" s="486"/>
      <c r="DA91" s="484"/>
      <c r="DB91" s="485"/>
      <c r="DC91" s="486"/>
      <c r="DD91" s="484" t="str">
        <f t="shared" si="18"/>
        <v/>
      </c>
      <c r="DE91" s="485"/>
      <c r="DF91" s="487"/>
      <c r="DG91" s="38"/>
      <c r="DH91" s="39"/>
      <c r="DI91" s="39"/>
      <c r="DJ91" s="39"/>
      <c r="DK91" s="39"/>
      <c r="DL91" s="39"/>
      <c r="DM91" s="39"/>
      <c r="DN91" s="39"/>
      <c r="DO91" s="39"/>
      <c r="DP91" s="39"/>
      <c r="DQ91" s="42"/>
      <c r="DR91" s="42"/>
      <c r="DS91" s="42"/>
      <c r="DT91" s="42"/>
      <c r="DU91" s="42"/>
      <c r="DV91" s="42"/>
      <c r="DW91" s="42"/>
      <c r="DX91" s="42"/>
      <c r="DY91" s="42"/>
      <c r="DZ91" s="42"/>
      <c r="EA91" s="42"/>
      <c r="EB91" s="42"/>
      <c r="EC91" s="42"/>
      <c r="ED91" s="42"/>
      <c r="EE91" s="42"/>
      <c r="EF91" s="42"/>
      <c r="EG91" s="42"/>
      <c r="EH91" s="42"/>
      <c r="EI91" s="42"/>
      <c r="EJ91" s="42"/>
      <c r="EK91" s="42"/>
      <c r="EL91" s="97"/>
      <c r="EM91" s="97"/>
      <c r="EN91" s="97"/>
      <c r="EO91" s="97"/>
      <c r="EP91" s="97"/>
      <c r="EQ91" s="97"/>
      <c r="ER91" s="97"/>
      <c r="ES91" s="97"/>
      <c r="ET91" s="97"/>
      <c r="EU91" s="97"/>
      <c r="EV91" s="97"/>
      <c r="EW91" s="97"/>
      <c r="EX91" s="97"/>
      <c r="EY91" s="97"/>
      <c r="EZ91" s="97"/>
      <c r="FA91" s="97"/>
      <c r="FB91" s="97"/>
      <c r="FC91" s="97"/>
      <c r="FD91" s="97"/>
      <c r="FE91" s="97"/>
      <c r="FF91" s="97"/>
      <c r="FG91" s="97"/>
      <c r="FH91" s="97"/>
      <c r="FI91" s="97"/>
      <c r="FJ91" s="97"/>
      <c r="FK91" s="97"/>
      <c r="FL91" s="97"/>
      <c r="FM91" s="97"/>
      <c r="FN91" s="97"/>
      <c r="FO91" s="97"/>
      <c r="FQ91" s="90"/>
      <c r="FR91" s="88"/>
      <c r="FS91" s="86"/>
      <c r="FT91" s="84"/>
    </row>
    <row r="92" spans="2:176" ht="15.75" hidden="1" thickBot="1" x14ac:dyDescent="0.3">
      <c r="B92" s="47" t="b">
        <f>IF(AND(P91&lt;&gt;"",OR(AND(G92&gt;='Geometry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3" t="str">
        <f t="shared" si="13"/>
        <v/>
      </c>
      <c r="D92" s="529" t="str">
        <f t="shared" si="14"/>
        <v/>
      </c>
      <c r="E92" s="530"/>
      <c r="F92" s="14" t="str">
        <f t="shared" si="12"/>
        <v/>
      </c>
      <c r="G92" s="531"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532"/>
      <c r="I92" s="143"/>
      <c r="J92" s="143"/>
      <c r="K92" s="143"/>
      <c r="L92" s="537" t="str">
        <f t="shared" si="11"/>
        <v/>
      </c>
      <c r="M92" s="537"/>
      <c r="N92" s="537"/>
      <c r="O92" s="537"/>
      <c r="P92" s="537" t="str">
        <f>IF(OR(G92=0,G92=""),"",IF(VLOOKUP(G92,'Geometry 2'!$C$4:$AI$14,1,TRUE)=VLOOKUP(G93,'Geometry 2'!$C$4:$AI$14,1,TRUE),"",IF(VLOOKUP(G92,'Geometry 2'!$C$4:$AI$14,33,TRUE)&lt;&gt;"n/a",MIN(G92,VLOOKUP(G92,'Geometry 2'!$C$4:$AI$14,1,TRUE))-VLOOKUP(G92,'Geometry 2'!$C$4:$AI$14,33,TRUE),"check")))</f>
        <v/>
      </c>
      <c r="Q92" s="537"/>
      <c r="R92" s="537"/>
      <c r="S92" s="537"/>
      <c r="T92" s="537" t="str">
        <f>IF($G92="","",VLOOKUP($G92,'Geometry 2'!$E$4:$AH$14,11,TRUE))</f>
        <v/>
      </c>
      <c r="U92" s="537"/>
      <c r="V92" s="537"/>
      <c r="W92" s="537"/>
      <c r="X92" s="538" t="str">
        <f>IF($G92="","",VLOOKUP($G92,'Geometry 2'!$E$4:$AJ$14,19,TRUE)-12*VLOOKUP($G92,'Geometry 2'!$E$4:$AJ$14,32,TRUE)*($D92-VLOOKUP($G92,'Geometry 2'!$E$5:$AH$14,1,TRUE)))</f>
        <v/>
      </c>
      <c r="Y92" s="538"/>
      <c r="Z92" s="538"/>
      <c r="AA92" s="538"/>
      <c r="AB92" s="542" t="str">
        <f>IF($G92="","",VLOOKUP($G92,'Geometry 2'!$E$4:$AJ$14,19,TRUE)-12*VLOOKUP($G92,'Geometry 2'!$E$4:$AJ$14,32,TRUE)*($G92-VLOOKUP($G92,'Geometry 2'!$E$5:$AH$14,1,TRUE)))</f>
        <v/>
      </c>
      <c r="AC92" s="543"/>
      <c r="AD92" s="543"/>
      <c r="AE92" s="544"/>
      <c r="AF92" s="538" t="str">
        <f>IF($G92="","",VLOOKUP($G92,'Geometry 2'!$E$4:$AJ$14,19,TRUE)-12*VLOOKUP($G92,'Geometry 2'!$E$4:$AJ$14,32,TRUE)*($G92-IF($P92="",0,$P92)-VLOOKUP($G92,'Geometry 2'!$E$5:$AH$14,1,TRUE)))</f>
        <v/>
      </c>
      <c r="AG92" s="538"/>
      <c r="AH92" s="538"/>
      <c r="AI92" s="538"/>
      <c r="AJ92" s="539" t="str">
        <f>IF($G92="","",VLOOKUP($G92,'Geometry 2'!$E$4:$AH$14,23,TRUE))</f>
        <v/>
      </c>
      <c r="AK92" s="549"/>
      <c r="AL92" s="549"/>
      <c r="AM92" s="550"/>
      <c r="AN92" s="537"/>
      <c r="AO92" s="537"/>
      <c r="AP92" s="537"/>
      <c r="AQ92" s="537"/>
      <c r="AR92" s="537" t="str">
        <f>IF($G92="","",VLOOKUP($G92,'Geometry 2'!$E$4:$AH$14,27,TRUE))</f>
        <v/>
      </c>
      <c r="AS92" s="537"/>
      <c r="AT92" s="537"/>
      <c r="AU92" s="539"/>
      <c r="AV92" s="564"/>
      <c r="AW92" s="538"/>
      <c r="AX92" s="538"/>
      <c r="AZ92" s="517" t="str">
        <f t="shared" si="15"/>
        <v/>
      </c>
      <c r="BA92" s="518"/>
      <c r="BB92" s="518"/>
      <c r="BC92" s="519"/>
      <c r="BD92" s="517"/>
      <c r="BE92" s="518"/>
      <c r="BF92" s="518"/>
      <c r="BG92" s="517" t="str">
        <f t="shared" si="19"/>
        <v/>
      </c>
      <c r="BH92" s="518"/>
      <c r="BI92" s="518"/>
      <c r="BJ92" s="518"/>
      <c r="BK92" s="519"/>
      <c r="BL92" s="517"/>
      <c r="BM92" s="518"/>
      <c r="BN92" s="518"/>
      <c r="BO92" s="518"/>
      <c r="BP92" s="520"/>
      <c r="BQ92" s="520"/>
      <c r="BR92" s="517" t="str">
        <f>IF(BP92="","",IF(OR(AND(Rev="H",Calculations!$F$27=TRUE),AND(Rev&lt;&gt;"H",Calculations!$F$30=TRUE)),IF(BP92&lt;=1,"Pass","Fail"),IF(BP92&lt;=1.05,"Pass","Fail")))</f>
        <v/>
      </c>
      <c r="BS92" s="518"/>
      <c r="BT92" s="519"/>
      <c r="BU92" s="34"/>
      <c r="BV92" s="16"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16"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16"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16"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16"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16"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16"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16"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16"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16"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16"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16"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16"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16"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16"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16"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16"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16"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44" t="str">
        <f t="shared" si="16"/>
        <v/>
      </c>
      <c r="CO92" s="494"/>
      <c r="CP92" s="495"/>
      <c r="CQ92" s="496"/>
      <c r="CR92" s="494"/>
      <c r="CS92" s="495"/>
      <c r="CT92" s="496"/>
      <c r="CU92" s="494" t="str">
        <f t="shared" si="17"/>
        <v/>
      </c>
      <c r="CV92" s="495"/>
      <c r="CW92" s="500"/>
      <c r="CX92" s="501"/>
      <c r="CY92" s="492"/>
      <c r="CZ92" s="502"/>
      <c r="DA92" s="488"/>
      <c r="DB92" s="489"/>
      <c r="DC92" s="490"/>
      <c r="DD92" s="491" t="str">
        <f t="shared" si="18"/>
        <v/>
      </c>
      <c r="DE92" s="492"/>
      <c r="DF92" s="493"/>
      <c r="DG92" s="40"/>
      <c r="DH92" s="41"/>
      <c r="DI92" s="41"/>
      <c r="DJ92" s="41"/>
      <c r="DK92" s="41"/>
      <c r="DL92" s="41"/>
      <c r="DM92" s="41"/>
      <c r="DN92" s="41"/>
      <c r="DO92" s="41"/>
      <c r="DP92" s="41"/>
      <c r="DQ92" s="43"/>
      <c r="DR92" s="43"/>
      <c r="DS92" s="43"/>
      <c r="DT92" s="43"/>
      <c r="DU92" s="43"/>
      <c r="DV92" s="43"/>
      <c r="DW92" s="43"/>
      <c r="DX92" s="43"/>
      <c r="DY92" s="43"/>
      <c r="DZ92" s="43"/>
      <c r="EA92" s="43"/>
      <c r="EB92" s="43"/>
      <c r="EC92" s="43"/>
      <c r="ED92" s="43"/>
      <c r="EE92" s="43"/>
      <c r="EF92" s="43"/>
      <c r="EG92" s="43"/>
      <c r="EH92" s="43"/>
      <c r="EI92" s="43"/>
      <c r="EJ92" s="43"/>
      <c r="EK92" s="43"/>
      <c r="EL92" s="98"/>
      <c r="EM92" s="98"/>
      <c r="EN92" s="98"/>
      <c r="EO92" s="98"/>
      <c r="EP92" s="98"/>
      <c r="EQ92" s="98"/>
      <c r="ER92" s="98"/>
      <c r="ES92" s="98"/>
      <c r="ET92" s="98"/>
      <c r="EU92" s="98"/>
      <c r="EV92" s="98"/>
      <c r="EW92" s="98"/>
      <c r="EX92" s="98"/>
      <c r="EY92" s="98"/>
      <c r="EZ92" s="98"/>
      <c r="FA92" s="98"/>
      <c r="FB92" s="98"/>
      <c r="FC92" s="98"/>
      <c r="FD92" s="98"/>
      <c r="FE92" s="98"/>
      <c r="FF92" s="98"/>
      <c r="FG92" s="98"/>
      <c r="FH92" s="98"/>
      <c r="FI92" s="98"/>
      <c r="FJ92" s="98"/>
      <c r="FK92" s="98"/>
      <c r="FL92" s="98"/>
      <c r="FM92" s="98"/>
      <c r="FN92" s="98"/>
      <c r="FO92" s="98"/>
      <c r="FQ92" s="89"/>
      <c r="FR92" s="87"/>
      <c r="FS92" s="85"/>
      <c r="FT92" s="84"/>
    </row>
    <row r="93" spans="2:176" ht="15.75" hidden="1" thickBot="1" x14ac:dyDescent="0.3">
      <c r="B93" s="47" t="b">
        <f>IF(AND(P92&lt;&gt;"",OR(AND(G93&gt;='Geometry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3" t="str">
        <f t="shared" si="13"/>
        <v/>
      </c>
      <c r="D93" s="529" t="str">
        <f t="shared" si="14"/>
        <v/>
      </c>
      <c r="E93" s="530"/>
      <c r="F93" s="14" t="str">
        <f t="shared" si="12"/>
        <v/>
      </c>
      <c r="G93" s="531"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532"/>
      <c r="I93" s="143"/>
      <c r="J93" s="143"/>
      <c r="K93" s="143"/>
      <c r="L93" s="537" t="str">
        <f t="shared" si="11"/>
        <v/>
      </c>
      <c r="M93" s="537"/>
      <c r="N93" s="537"/>
      <c r="O93" s="537"/>
      <c r="P93" s="537" t="str">
        <f>IF(OR(G93=0,G93=""),"",IF(VLOOKUP(G93,'Geometry 2'!$C$4:$AI$14,1,TRUE)=VLOOKUP(G94,'Geometry 2'!$C$4:$AI$14,1,TRUE),"",IF(VLOOKUP(G93,'Geometry 2'!$C$4:$AI$14,33,TRUE)&lt;&gt;"n/a",MIN(G93,VLOOKUP(G93,'Geometry 2'!$C$4:$AI$14,1,TRUE))-VLOOKUP(G93,'Geometry 2'!$C$4:$AI$14,33,TRUE),"check")))</f>
        <v/>
      </c>
      <c r="Q93" s="537"/>
      <c r="R93" s="537"/>
      <c r="S93" s="537"/>
      <c r="T93" s="537" t="str">
        <f>IF($G93="","",VLOOKUP($G93,'Geometry 2'!$E$4:$AH$14,11,TRUE))</f>
        <v/>
      </c>
      <c r="U93" s="537"/>
      <c r="V93" s="537"/>
      <c r="W93" s="537"/>
      <c r="X93" s="538" t="str">
        <f>IF($G93="","",VLOOKUP($G93,'Geometry 2'!$E$4:$AJ$14,19,TRUE)-12*VLOOKUP($G93,'Geometry 2'!$E$4:$AJ$14,32,TRUE)*($D93-VLOOKUP($G93,'Geometry 2'!$E$5:$AH$14,1,TRUE)))</f>
        <v/>
      </c>
      <c r="Y93" s="538"/>
      <c r="Z93" s="538"/>
      <c r="AA93" s="538"/>
      <c r="AB93" s="542" t="str">
        <f>IF($G93="","",VLOOKUP($G93,'Geometry 2'!$E$4:$AJ$14,19,TRUE)-12*VLOOKUP($G93,'Geometry 2'!$E$4:$AJ$14,32,TRUE)*($G93-VLOOKUP($G93,'Geometry 2'!$E$5:$AH$14,1,TRUE)))</f>
        <v/>
      </c>
      <c r="AC93" s="543"/>
      <c r="AD93" s="543"/>
      <c r="AE93" s="544"/>
      <c r="AF93" s="538" t="str">
        <f>IF($G93="","",VLOOKUP($G93,'Geometry 2'!$E$4:$AJ$14,19,TRUE)-12*VLOOKUP($G93,'Geometry 2'!$E$4:$AJ$14,32,TRUE)*($G93-IF($P93="",0,$P93)-VLOOKUP($G93,'Geometry 2'!$E$5:$AH$14,1,TRUE)))</f>
        <v/>
      </c>
      <c r="AG93" s="538"/>
      <c r="AH93" s="538"/>
      <c r="AI93" s="538"/>
      <c r="AJ93" s="539" t="str">
        <f>IF($G93="","",VLOOKUP($G93,'Geometry 2'!$E$4:$AH$14,23,TRUE))</f>
        <v/>
      </c>
      <c r="AK93" s="549"/>
      <c r="AL93" s="549"/>
      <c r="AM93" s="550"/>
      <c r="AN93" s="537"/>
      <c r="AO93" s="537"/>
      <c r="AP93" s="537"/>
      <c r="AQ93" s="537"/>
      <c r="AR93" s="537" t="str">
        <f>IF($G93="","",VLOOKUP($G93,'Geometry 2'!$E$4:$AH$14,27,TRUE))</f>
        <v/>
      </c>
      <c r="AS93" s="537"/>
      <c r="AT93" s="537"/>
      <c r="AU93" s="539"/>
      <c r="AV93" s="564"/>
      <c r="AW93" s="538"/>
      <c r="AX93" s="538"/>
      <c r="AZ93" s="517" t="str">
        <f t="shared" si="15"/>
        <v/>
      </c>
      <c r="BA93" s="518"/>
      <c r="BB93" s="518"/>
      <c r="BC93" s="519"/>
      <c r="BD93" s="517"/>
      <c r="BE93" s="518"/>
      <c r="BF93" s="518"/>
      <c r="BG93" s="517" t="str">
        <f t="shared" si="19"/>
        <v/>
      </c>
      <c r="BH93" s="518"/>
      <c r="BI93" s="518"/>
      <c r="BJ93" s="518"/>
      <c r="BK93" s="519"/>
      <c r="BL93" s="517"/>
      <c r="BM93" s="518"/>
      <c r="BN93" s="518"/>
      <c r="BO93" s="518"/>
      <c r="BP93" s="520"/>
      <c r="BQ93" s="520"/>
      <c r="BR93" s="517" t="str">
        <f>IF(BP93="","",IF(OR(AND(Rev="H",Calculations!$F$27=TRUE),AND(Rev&lt;&gt;"H",Calculations!$F$30=TRUE)),IF(BP93&lt;=1,"Pass","Fail"),IF(BP93&lt;=1.05,"Pass","Fail")))</f>
        <v/>
      </c>
      <c r="BS93" s="518"/>
      <c r="BT93" s="519"/>
      <c r="BU93" s="34"/>
      <c r="BV93" s="16"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16"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16"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16"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16"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16"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16"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16"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16"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16"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16"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16"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16"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16"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16"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16"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16"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16"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45" t="str">
        <f t="shared" si="16"/>
        <v/>
      </c>
      <c r="CO93" s="497"/>
      <c r="CP93" s="498"/>
      <c r="CQ93" s="499"/>
      <c r="CR93" s="497"/>
      <c r="CS93" s="498"/>
      <c r="CT93" s="499"/>
      <c r="CU93" s="497" t="str">
        <f t="shared" si="17"/>
        <v/>
      </c>
      <c r="CV93" s="498"/>
      <c r="CW93" s="503"/>
      <c r="CX93" s="484"/>
      <c r="CY93" s="485"/>
      <c r="CZ93" s="486"/>
      <c r="DA93" s="484"/>
      <c r="DB93" s="485"/>
      <c r="DC93" s="486"/>
      <c r="DD93" s="484" t="str">
        <f t="shared" si="18"/>
        <v/>
      </c>
      <c r="DE93" s="485"/>
      <c r="DF93" s="487"/>
      <c r="DG93" s="38"/>
      <c r="DH93" s="39"/>
      <c r="DI93" s="39"/>
      <c r="DJ93" s="39"/>
      <c r="DK93" s="39"/>
      <c r="DL93" s="39"/>
      <c r="DM93" s="39"/>
      <c r="DN93" s="39"/>
      <c r="DO93" s="39"/>
      <c r="DP93" s="39"/>
      <c r="DQ93" s="42"/>
      <c r="DR93" s="42"/>
      <c r="DS93" s="42"/>
      <c r="DT93" s="42"/>
      <c r="DU93" s="42"/>
      <c r="DV93" s="42"/>
      <c r="DW93" s="42"/>
      <c r="DX93" s="42"/>
      <c r="DY93" s="42"/>
      <c r="DZ93" s="42"/>
      <c r="EA93" s="42"/>
      <c r="EB93" s="42"/>
      <c r="EC93" s="42"/>
      <c r="ED93" s="42"/>
      <c r="EE93" s="42"/>
      <c r="EF93" s="42"/>
      <c r="EG93" s="42"/>
      <c r="EH93" s="42"/>
      <c r="EI93" s="42"/>
      <c r="EJ93" s="42"/>
      <c r="EK93" s="42"/>
      <c r="EL93" s="97"/>
      <c r="EM93" s="97"/>
      <c r="EN93" s="97"/>
      <c r="EO93" s="97"/>
      <c r="EP93" s="97"/>
      <c r="EQ93" s="97"/>
      <c r="ER93" s="97"/>
      <c r="ES93" s="97"/>
      <c r="ET93" s="97"/>
      <c r="EU93" s="97"/>
      <c r="EV93" s="97"/>
      <c r="EW93" s="97"/>
      <c r="EX93" s="97"/>
      <c r="EY93" s="97"/>
      <c r="EZ93" s="97"/>
      <c r="FA93" s="97"/>
      <c r="FB93" s="97"/>
      <c r="FC93" s="97"/>
      <c r="FD93" s="97"/>
      <c r="FE93" s="97"/>
      <c r="FF93" s="97"/>
      <c r="FG93" s="97"/>
      <c r="FH93" s="97"/>
      <c r="FI93" s="97"/>
      <c r="FJ93" s="97"/>
      <c r="FK93" s="97"/>
      <c r="FL93" s="97"/>
      <c r="FM93" s="97"/>
      <c r="FN93" s="97"/>
      <c r="FO93" s="97"/>
      <c r="FQ93" s="90"/>
      <c r="FR93" s="88"/>
      <c r="FS93" s="86"/>
      <c r="FT93" s="84"/>
    </row>
    <row r="94" spans="2:176" ht="15.75" hidden="1" thickBot="1" x14ac:dyDescent="0.3">
      <c r="B94" s="47" t="b">
        <f>IF(AND(P93&lt;&gt;"",OR(AND(G94&gt;='Geometry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3" t="str">
        <f t="shared" si="13"/>
        <v/>
      </c>
      <c r="D94" s="529" t="str">
        <f t="shared" si="14"/>
        <v/>
      </c>
      <c r="E94" s="530"/>
      <c r="F94" s="14" t="str">
        <f t="shared" si="12"/>
        <v/>
      </c>
      <c r="G94" s="531"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532"/>
      <c r="I94" s="143"/>
      <c r="J94" s="143"/>
      <c r="K94" s="143"/>
      <c r="L94" s="537" t="str">
        <f t="shared" si="11"/>
        <v/>
      </c>
      <c r="M94" s="537"/>
      <c r="N94" s="537"/>
      <c r="O94" s="537"/>
      <c r="P94" s="537" t="str">
        <f>IF(OR(G94=0,G94=""),"",IF(VLOOKUP(G94,'Geometry 2'!$C$4:$AI$14,1,TRUE)=VLOOKUP(G95,'Geometry 2'!$C$4:$AI$14,1,TRUE),"",IF(VLOOKUP(G94,'Geometry 2'!$C$4:$AI$14,33,TRUE)&lt;&gt;"n/a",MIN(G94,VLOOKUP(G94,'Geometry 2'!$C$4:$AI$14,1,TRUE))-VLOOKUP(G94,'Geometry 2'!$C$4:$AI$14,33,TRUE),"check")))</f>
        <v/>
      </c>
      <c r="Q94" s="537"/>
      <c r="R94" s="537"/>
      <c r="S94" s="537"/>
      <c r="T94" s="537" t="str">
        <f>IF($G94="","",VLOOKUP($G94,'Geometry 2'!$E$4:$AH$14,11,TRUE))</f>
        <v/>
      </c>
      <c r="U94" s="537"/>
      <c r="V94" s="537"/>
      <c r="W94" s="537"/>
      <c r="X94" s="538" t="str">
        <f>IF($G94="","",VLOOKUP($G94,'Geometry 2'!$E$4:$AJ$14,19,TRUE)-12*VLOOKUP($G94,'Geometry 2'!$E$4:$AJ$14,32,TRUE)*($D94-VLOOKUP($G94,'Geometry 2'!$E$5:$AH$14,1,TRUE)))</f>
        <v/>
      </c>
      <c r="Y94" s="538"/>
      <c r="Z94" s="538"/>
      <c r="AA94" s="538"/>
      <c r="AB94" s="542" t="str">
        <f>IF($G94="","",VLOOKUP($G94,'Geometry 2'!$E$4:$AJ$14,19,TRUE)-12*VLOOKUP($G94,'Geometry 2'!$E$4:$AJ$14,32,TRUE)*($G94-VLOOKUP($G94,'Geometry 2'!$E$5:$AH$14,1,TRUE)))</f>
        <v/>
      </c>
      <c r="AC94" s="543"/>
      <c r="AD94" s="543"/>
      <c r="AE94" s="544"/>
      <c r="AF94" s="538" t="str">
        <f>IF($G94="","",VLOOKUP($G94,'Geometry 2'!$E$4:$AJ$14,19,TRUE)-12*VLOOKUP($G94,'Geometry 2'!$E$4:$AJ$14,32,TRUE)*($G94-IF($P94="",0,$P94)-VLOOKUP($G94,'Geometry 2'!$E$5:$AH$14,1,TRUE)))</f>
        <v/>
      </c>
      <c r="AG94" s="538"/>
      <c r="AH94" s="538"/>
      <c r="AI94" s="538"/>
      <c r="AJ94" s="539" t="str">
        <f>IF($G94="","",VLOOKUP($G94,'Geometry 2'!$E$4:$AH$14,23,TRUE))</f>
        <v/>
      </c>
      <c r="AK94" s="549"/>
      <c r="AL94" s="549"/>
      <c r="AM94" s="550"/>
      <c r="AN94" s="537"/>
      <c r="AO94" s="537"/>
      <c r="AP94" s="537"/>
      <c r="AQ94" s="537"/>
      <c r="AR94" s="537" t="str">
        <f>IF($G94="","",VLOOKUP($G94,'Geometry 2'!$E$4:$AH$14,27,TRUE))</f>
        <v/>
      </c>
      <c r="AS94" s="537"/>
      <c r="AT94" s="537"/>
      <c r="AU94" s="539"/>
      <c r="AV94" s="564"/>
      <c r="AW94" s="538"/>
      <c r="AX94" s="538"/>
      <c r="AZ94" s="517" t="str">
        <f t="shared" si="15"/>
        <v/>
      </c>
      <c r="BA94" s="518"/>
      <c r="BB94" s="518"/>
      <c r="BC94" s="519"/>
      <c r="BD94" s="517"/>
      <c r="BE94" s="518"/>
      <c r="BF94" s="518"/>
      <c r="BG94" s="517" t="str">
        <f t="shared" si="19"/>
        <v/>
      </c>
      <c r="BH94" s="518"/>
      <c r="BI94" s="518"/>
      <c r="BJ94" s="518"/>
      <c r="BK94" s="519"/>
      <c r="BL94" s="517"/>
      <c r="BM94" s="518"/>
      <c r="BN94" s="518"/>
      <c r="BO94" s="518"/>
      <c r="BP94" s="520"/>
      <c r="BQ94" s="520"/>
      <c r="BR94" s="517" t="str">
        <f>IF(BP94="","",IF(OR(AND(Rev="H",Calculations!$F$27=TRUE),AND(Rev&lt;&gt;"H",Calculations!$F$30=TRUE)),IF(BP94&lt;=1,"Pass","Fail"),IF(BP94&lt;=1.05,"Pass","Fail")))</f>
        <v/>
      </c>
      <c r="BS94" s="518"/>
      <c r="BT94" s="519"/>
      <c r="BU94" s="34"/>
      <c r="BV94" s="16"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16"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16"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16"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16"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16"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16"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16"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16"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16"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16"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16"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16"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16"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16"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16"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16"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16"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44" t="str">
        <f t="shared" si="16"/>
        <v/>
      </c>
      <c r="CO94" s="494"/>
      <c r="CP94" s="495"/>
      <c r="CQ94" s="496"/>
      <c r="CR94" s="494"/>
      <c r="CS94" s="495"/>
      <c r="CT94" s="496"/>
      <c r="CU94" s="494" t="str">
        <f t="shared" si="17"/>
        <v/>
      </c>
      <c r="CV94" s="495"/>
      <c r="CW94" s="500"/>
      <c r="CX94" s="501"/>
      <c r="CY94" s="492"/>
      <c r="CZ94" s="502"/>
      <c r="DA94" s="488"/>
      <c r="DB94" s="489"/>
      <c r="DC94" s="490"/>
      <c r="DD94" s="491" t="str">
        <f t="shared" si="18"/>
        <v/>
      </c>
      <c r="DE94" s="492"/>
      <c r="DF94" s="493"/>
      <c r="DG94" s="40"/>
      <c r="DH94" s="41"/>
      <c r="DI94" s="41"/>
      <c r="DJ94" s="41"/>
      <c r="DK94" s="41"/>
      <c r="DL94" s="41"/>
      <c r="DM94" s="41"/>
      <c r="DN94" s="41"/>
      <c r="DO94" s="41"/>
      <c r="DP94" s="41"/>
      <c r="DQ94" s="43"/>
      <c r="DR94" s="43"/>
      <c r="DS94" s="43"/>
      <c r="DT94" s="43"/>
      <c r="DU94" s="43"/>
      <c r="DV94" s="43"/>
      <c r="DW94" s="43"/>
      <c r="DX94" s="43"/>
      <c r="DY94" s="43"/>
      <c r="DZ94" s="43"/>
      <c r="EA94" s="43"/>
      <c r="EB94" s="43"/>
      <c r="EC94" s="43"/>
      <c r="ED94" s="43"/>
      <c r="EE94" s="43"/>
      <c r="EF94" s="43"/>
      <c r="EG94" s="43"/>
      <c r="EH94" s="43"/>
      <c r="EI94" s="43"/>
      <c r="EJ94" s="43"/>
      <c r="EK94" s="43"/>
      <c r="EL94" s="98"/>
      <c r="EM94" s="98"/>
      <c r="EN94" s="98"/>
      <c r="EO94" s="98"/>
      <c r="EP94" s="98"/>
      <c r="EQ94" s="98"/>
      <c r="ER94" s="98"/>
      <c r="ES94" s="98"/>
      <c r="ET94" s="98"/>
      <c r="EU94" s="98"/>
      <c r="EV94" s="98"/>
      <c r="EW94" s="98"/>
      <c r="EX94" s="98"/>
      <c r="EY94" s="98"/>
      <c r="EZ94" s="98"/>
      <c r="FA94" s="98"/>
      <c r="FB94" s="98"/>
      <c r="FC94" s="98"/>
      <c r="FD94" s="98"/>
      <c r="FE94" s="98"/>
      <c r="FF94" s="98"/>
      <c r="FG94" s="98"/>
      <c r="FH94" s="98"/>
      <c r="FI94" s="98"/>
      <c r="FJ94" s="98"/>
      <c r="FK94" s="98"/>
      <c r="FL94" s="98"/>
      <c r="FM94" s="98"/>
      <c r="FN94" s="98"/>
      <c r="FO94" s="98"/>
      <c r="FQ94" s="89"/>
      <c r="FR94" s="87"/>
      <c r="FS94" s="85"/>
      <c r="FT94" s="84"/>
    </row>
    <row r="95" spans="2:176" ht="15.75" hidden="1" thickBot="1" x14ac:dyDescent="0.3">
      <c r="B95" s="47" t="b">
        <f>IF(AND(P94&lt;&gt;"",OR(AND(G95&gt;='Geometry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3" t="str">
        <f t="shared" si="13"/>
        <v/>
      </c>
      <c r="D95" s="529" t="str">
        <f t="shared" si="14"/>
        <v/>
      </c>
      <c r="E95" s="530"/>
      <c r="F95" s="14" t="str">
        <f t="shared" si="12"/>
        <v/>
      </c>
      <c r="G95" s="531"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532"/>
      <c r="I95" s="143"/>
      <c r="J95" s="143"/>
      <c r="K95" s="143"/>
      <c r="L95" s="537" t="str">
        <f t="shared" si="11"/>
        <v/>
      </c>
      <c r="M95" s="537"/>
      <c r="N95" s="537"/>
      <c r="O95" s="537"/>
      <c r="P95" s="537" t="str">
        <f>IF(OR(G95=0,G95=""),"",IF(VLOOKUP(G95,'Geometry 2'!$C$4:$AI$14,1,TRUE)=VLOOKUP(G96,'Geometry 2'!$C$4:$AI$14,1,TRUE),"",IF(VLOOKUP(G95,'Geometry 2'!$C$4:$AI$14,33,TRUE)&lt;&gt;"n/a",MIN(G95,VLOOKUP(G95,'Geometry 2'!$C$4:$AI$14,1,TRUE))-VLOOKUP(G95,'Geometry 2'!$C$4:$AI$14,33,TRUE),"check")))</f>
        <v/>
      </c>
      <c r="Q95" s="537"/>
      <c r="R95" s="537"/>
      <c r="S95" s="537"/>
      <c r="T95" s="537" t="str">
        <f>IF($G95="","",VLOOKUP($G95,'Geometry 2'!$E$4:$AH$14,11,TRUE))</f>
        <v/>
      </c>
      <c r="U95" s="537"/>
      <c r="V95" s="537"/>
      <c r="W95" s="537"/>
      <c r="X95" s="538" t="str">
        <f>IF($G95="","",VLOOKUP($G95,'Geometry 2'!$E$4:$AJ$14,19,TRUE)-12*VLOOKUP($G95,'Geometry 2'!$E$4:$AJ$14,32,TRUE)*($D95-VLOOKUP($G95,'Geometry 2'!$E$5:$AH$14,1,TRUE)))</f>
        <v/>
      </c>
      <c r="Y95" s="538"/>
      <c r="Z95" s="538"/>
      <c r="AA95" s="538"/>
      <c r="AB95" s="542" t="str">
        <f>IF($G95="","",VLOOKUP($G95,'Geometry 2'!$E$4:$AJ$14,19,TRUE)-12*VLOOKUP($G95,'Geometry 2'!$E$4:$AJ$14,32,TRUE)*($G95-VLOOKUP($G95,'Geometry 2'!$E$5:$AH$14,1,TRUE)))</f>
        <v/>
      </c>
      <c r="AC95" s="543"/>
      <c r="AD95" s="543"/>
      <c r="AE95" s="544"/>
      <c r="AF95" s="538" t="str">
        <f>IF($G95="","",VLOOKUP($G95,'Geometry 2'!$E$4:$AJ$14,19,TRUE)-12*VLOOKUP($G95,'Geometry 2'!$E$4:$AJ$14,32,TRUE)*($G95-IF($P95="",0,$P95)-VLOOKUP($G95,'Geometry 2'!$E$5:$AH$14,1,TRUE)))</f>
        <v/>
      </c>
      <c r="AG95" s="538"/>
      <c r="AH95" s="538"/>
      <c r="AI95" s="538"/>
      <c r="AJ95" s="539" t="str">
        <f>IF($G95="","",VLOOKUP($G95,'Geometry 2'!$E$4:$AH$14,23,TRUE))</f>
        <v/>
      </c>
      <c r="AK95" s="549"/>
      <c r="AL95" s="549"/>
      <c r="AM95" s="550"/>
      <c r="AN95" s="537"/>
      <c r="AO95" s="537"/>
      <c r="AP95" s="537"/>
      <c r="AQ95" s="537"/>
      <c r="AR95" s="537" t="str">
        <f>IF($G95="","",VLOOKUP($G95,'Geometry 2'!$E$4:$AH$14,27,TRUE))</f>
        <v/>
      </c>
      <c r="AS95" s="537"/>
      <c r="AT95" s="537"/>
      <c r="AU95" s="539"/>
      <c r="AV95" s="564"/>
      <c r="AW95" s="538"/>
      <c r="AX95" s="538"/>
      <c r="AZ95" s="517" t="str">
        <f t="shared" si="15"/>
        <v/>
      </c>
      <c r="BA95" s="518"/>
      <c r="BB95" s="518"/>
      <c r="BC95" s="519"/>
      <c r="BD95" s="517"/>
      <c r="BE95" s="518"/>
      <c r="BF95" s="518"/>
      <c r="BG95" s="517" t="str">
        <f t="shared" si="19"/>
        <v/>
      </c>
      <c r="BH95" s="518"/>
      <c r="BI95" s="518"/>
      <c r="BJ95" s="518"/>
      <c r="BK95" s="519"/>
      <c r="BL95" s="517"/>
      <c r="BM95" s="518"/>
      <c r="BN95" s="518"/>
      <c r="BO95" s="518"/>
      <c r="BP95" s="520"/>
      <c r="BQ95" s="520"/>
      <c r="BR95" s="517" t="str">
        <f>IF(BP95="","",IF(OR(AND(Rev="H",Calculations!$F$27=TRUE),AND(Rev&lt;&gt;"H",Calculations!$F$30=TRUE)),IF(BP95&lt;=1,"Pass","Fail"),IF(BP95&lt;=1.05,"Pass","Fail")))</f>
        <v/>
      </c>
      <c r="BS95" s="518"/>
      <c r="BT95" s="519"/>
      <c r="BU95" s="34"/>
      <c r="BV95" s="16"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16"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16"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16"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16"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16"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16"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16"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16"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16"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16"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16"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16"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16"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16"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16"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16"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16"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45" t="str">
        <f t="shared" si="16"/>
        <v/>
      </c>
      <c r="CO95" s="497"/>
      <c r="CP95" s="498"/>
      <c r="CQ95" s="499"/>
      <c r="CR95" s="497"/>
      <c r="CS95" s="498"/>
      <c r="CT95" s="499"/>
      <c r="CU95" s="497" t="str">
        <f t="shared" si="17"/>
        <v/>
      </c>
      <c r="CV95" s="498"/>
      <c r="CW95" s="503"/>
      <c r="CX95" s="484"/>
      <c r="CY95" s="485"/>
      <c r="CZ95" s="486"/>
      <c r="DA95" s="484"/>
      <c r="DB95" s="485"/>
      <c r="DC95" s="486"/>
      <c r="DD95" s="484" t="str">
        <f t="shared" si="18"/>
        <v/>
      </c>
      <c r="DE95" s="485"/>
      <c r="DF95" s="487"/>
      <c r="DG95" s="38"/>
      <c r="DH95" s="39"/>
      <c r="DI95" s="39"/>
      <c r="DJ95" s="39"/>
      <c r="DK95" s="39"/>
      <c r="DL95" s="39"/>
      <c r="DM95" s="39"/>
      <c r="DN95" s="39"/>
      <c r="DO95" s="39"/>
      <c r="DP95" s="39"/>
      <c r="DQ95" s="42"/>
      <c r="DR95" s="42"/>
      <c r="DS95" s="42"/>
      <c r="DT95" s="42"/>
      <c r="DU95" s="42"/>
      <c r="DV95" s="42"/>
      <c r="DW95" s="42"/>
      <c r="DX95" s="42"/>
      <c r="DY95" s="42"/>
      <c r="DZ95" s="42"/>
      <c r="EA95" s="42"/>
      <c r="EB95" s="42"/>
      <c r="EC95" s="42"/>
      <c r="ED95" s="42"/>
      <c r="EE95" s="42"/>
      <c r="EF95" s="42"/>
      <c r="EG95" s="42"/>
      <c r="EH95" s="42"/>
      <c r="EI95" s="42"/>
      <c r="EJ95" s="42"/>
      <c r="EK95" s="42"/>
      <c r="EL95" s="97"/>
      <c r="EM95" s="97"/>
      <c r="EN95" s="97"/>
      <c r="EO95" s="97"/>
      <c r="EP95" s="97"/>
      <c r="EQ95" s="97"/>
      <c r="ER95" s="97"/>
      <c r="ES95" s="97"/>
      <c r="ET95" s="97"/>
      <c r="EU95" s="97"/>
      <c r="EV95" s="97"/>
      <c r="EW95" s="97"/>
      <c r="EX95" s="97"/>
      <c r="EY95" s="97"/>
      <c r="EZ95" s="97"/>
      <c r="FA95" s="97"/>
      <c r="FB95" s="97"/>
      <c r="FC95" s="97"/>
      <c r="FD95" s="97"/>
      <c r="FE95" s="97"/>
      <c r="FF95" s="97"/>
      <c r="FG95" s="97"/>
      <c r="FH95" s="97"/>
      <c r="FI95" s="97"/>
      <c r="FJ95" s="97"/>
      <c r="FK95" s="97"/>
      <c r="FL95" s="97"/>
      <c r="FM95" s="97"/>
      <c r="FN95" s="97"/>
      <c r="FO95" s="97"/>
      <c r="FQ95" s="90"/>
      <c r="FR95" s="88"/>
      <c r="FS95" s="86"/>
      <c r="FT95" s="84"/>
    </row>
    <row r="96" spans="2:176" ht="15.75" hidden="1" thickBot="1" x14ac:dyDescent="0.3">
      <c r="B96" s="47" t="b">
        <f>IF(AND(P95&lt;&gt;"",OR(AND(G96&gt;='Geometry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3" t="str">
        <f t="shared" si="13"/>
        <v/>
      </c>
      <c r="D96" s="529" t="str">
        <f t="shared" si="14"/>
        <v/>
      </c>
      <c r="E96" s="530"/>
      <c r="F96" s="14" t="str">
        <f t="shared" si="12"/>
        <v/>
      </c>
      <c r="G96" s="531"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532"/>
      <c r="I96" s="143"/>
      <c r="J96" s="143"/>
      <c r="K96" s="143"/>
      <c r="L96" s="537" t="str">
        <f t="shared" si="11"/>
        <v/>
      </c>
      <c r="M96" s="537"/>
      <c r="N96" s="537"/>
      <c r="O96" s="537"/>
      <c r="P96" s="537" t="str">
        <f>IF(OR(G96=0,G96=""),"",IF(VLOOKUP(G96,'Geometry 2'!$C$4:$AI$14,1,TRUE)=VLOOKUP(G97,'Geometry 2'!$C$4:$AI$14,1,TRUE),"",IF(VLOOKUP(G96,'Geometry 2'!$C$4:$AI$14,33,TRUE)&lt;&gt;"n/a",MIN(G96,VLOOKUP(G96,'Geometry 2'!$C$4:$AI$14,1,TRUE))-VLOOKUP(G96,'Geometry 2'!$C$4:$AI$14,33,TRUE),"check")))</f>
        <v/>
      </c>
      <c r="Q96" s="537"/>
      <c r="R96" s="537"/>
      <c r="S96" s="537"/>
      <c r="T96" s="537" t="str">
        <f>IF($G96="","",VLOOKUP($G96,'Geometry 2'!$E$4:$AH$14,11,TRUE))</f>
        <v/>
      </c>
      <c r="U96" s="537"/>
      <c r="V96" s="537"/>
      <c r="W96" s="537"/>
      <c r="X96" s="538" t="str">
        <f>IF($G96="","",VLOOKUP($G96,'Geometry 2'!$E$4:$AJ$14,19,TRUE)-12*VLOOKUP($G96,'Geometry 2'!$E$4:$AJ$14,32,TRUE)*($D96-VLOOKUP($G96,'Geometry 2'!$E$5:$AH$14,1,TRUE)))</f>
        <v/>
      </c>
      <c r="Y96" s="538"/>
      <c r="Z96" s="538"/>
      <c r="AA96" s="538"/>
      <c r="AB96" s="542" t="str">
        <f>IF($G96="","",VLOOKUP($G96,'Geometry 2'!$E$4:$AJ$14,19,TRUE)-12*VLOOKUP($G96,'Geometry 2'!$E$4:$AJ$14,32,TRUE)*($G96-VLOOKUP($G96,'Geometry 2'!$E$5:$AH$14,1,TRUE)))</f>
        <v/>
      </c>
      <c r="AC96" s="543"/>
      <c r="AD96" s="543"/>
      <c r="AE96" s="544"/>
      <c r="AF96" s="538" t="str">
        <f>IF($G96="","",VLOOKUP($G96,'Geometry 2'!$E$4:$AJ$14,19,TRUE)-12*VLOOKUP($G96,'Geometry 2'!$E$4:$AJ$14,32,TRUE)*($G96-IF($P96="",0,$P96)-VLOOKUP($G96,'Geometry 2'!$E$5:$AH$14,1,TRUE)))</f>
        <v/>
      </c>
      <c r="AG96" s="538"/>
      <c r="AH96" s="538"/>
      <c r="AI96" s="538"/>
      <c r="AJ96" s="539" t="str">
        <f>IF($G96="","",VLOOKUP($G96,'Geometry 2'!$E$4:$AH$14,23,TRUE))</f>
        <v/>
      </c>
      <c r="AK96" s="549"/>
      <c r="AL96" s="549"/>
      <c r="AM96" s="550"/>
      <c r="AN96" s="537"/>
      <c r="AO96" s="537"/>
      <c r="AP96" s="537"/>
      <c r="AQ96" s="537"/>
      <c r="AR96" s="537" t="str">
        <f>IF($G96="","",VLOOKUP($G96,'Geometry 2'!$E$4:$AH$14,27,TRUE))</f>
        <v/>
      </c>
      <c r="AS96" s="537"/>
      <c r="AT96" s="537"/>
      <c r="AU96" s="539"/>
      <c r="AV96" s="564"/>
      <c r="AW96" s="538"/>
      <c r="AX96" s="538"/>
      <c r="AZ96" s="517" t="str">
        <f t="shared" si="15"/>
        <v/>
      </c>
      <c r="BA96" s="518"/>
      <c r="BB96" s="518"/>
      <c r="BC96" s="519"/>
      <c r="BD96" s="517"/>
      <c r="BE96" s="518"/>
      <c r="BF96" s="518"/>
      <c r="BG96" s="517" t="str">
        <f t="shared" si="19"/>
        <v/>
      </c>
      <c r="BH96" s="518"/>
      <c r="BI96" s="518"/>
      <c r="BJ96" s="518"/>
      <c r="BK96" s="519"/>
      <c r="BL96" s="517"/>
      <c r="BM96" s="518"/>
      <c r="BN96" s="518"/>
      <c r="BO96" s="518"/>
      <c r="BP96" s="520"/>
      <c r="BQ96" s="520"/>
      <c r="BR96" s="517" t="str">
        <f>IF(BP96="","",IF(OR(AND(Rev="H",Calculations!$F$27=TRUE),AND(Rev&lt;&gt;"H",Calculations!$F$30=TRUE)),IF(BP96&lt;=1,"Pass","Fail"),IF(BP96&lt;=1.05,"Pass","Fail")))</f>
        <v/>
      </c>
      <c r="BS96" s="518"/>
      <c r="BT96" s="519"/>
      <c r="BU96" s="34"/>
      <c r="BV96" s="16"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16"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16"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16"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16"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16"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16"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16"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16"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16"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16"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16"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16"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16"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16"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16"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16"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16"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44" t="str">
        <f t="shared" si="16"/>
        <v/>
      </c>
      <c r="CO96" s="494"/>
      <c r="CP96" s="495"/>
      <c r="CQ96" s="496"/>
      <c r="CR96" s="494"/>
      <c r="CS96" s="495"/>
      <c r="CT96" s="496"/>
      <c r="CU96" s="494" t="str">
        <f t="shared" si="17"/>
        <v/>
      </c>
      <c r="CV96" s="495"/>
      <c r="CW96" s="500"/>
      <c r="CX96" s="501"/>
      <c r="CY96" s="492"/>
      <c r="CZ96" s="502"/>
      <c r="DA96" s="488"/>
      <c r="DB96" s="489"/>
      <c r="DC96" s="490"/>
      <c r="DD96" s="491" t="str">
        <f t="shared" si="18"/>
        <v/>
      </c>
      <c r="DE96" s="492"/>
      <c r="DF96" s="493"/>
      <c r="DG96" s="40"/>
      <c r="DH96" s="41"/>
      <c r="DI96" s="41"/>
      <c r="DJ96" s="41"/>
      <c r="DK96" s="41"/>
      <c r="DL96" s="41"/>
      <c r="DM96" s="41"/>
      <c r="DN96" s="41"/>
      <c r="DO96" s="41"/>
      <c r="DP96" s="41"/>
      <c r="DQ96" s="43"/>
      <c r="DR96" s="43"/>
      <c r="DS96" s="43"/>
      <c r="DT96" s="43"/>
      <c r="DU96" s="43"/>
      <c r="DV96" s="43"/>
      <c r="DW96" s="43"/>
      <c r="DX96" s="43"/>
      <c r="DY96" s="43"/>
      <c r="DZ96" s="43"/>
      <c r="EA96" s="43"/>
      <c r="EB96" s="43"/>
      <c r="EC96" s="43"/>
      <c r="ED96" s="43"/>
      <c r="EE96" s="43"/>
      <c r="EF96" s="43"/>
      <c r="EG96" s="43"/>
      <c r="EH96" s="43"/>
      <c r="EI96" s="43"/>
      <c r="EJ96" s="43"/>
      <c r="EK96" s="43"/>
      <c r="EL96" s="98"/>
      <c r="EM96" s="98"/>
      <c r="EN96" s="98"/>
      <c r="EO96" s="98"/>
      <c r="EP96" s="98"/>
      <c r="EQ96" s="98"/>
      <c r="ER96" s="98"/>
      <c r="ES96" s="98"/>
      <c r="ET96" s="98"/>
      <c r="EU96" s="98"/>
      <c r="EV96" s="98"/>
      <c r="EW96" s="98"/>
      <c r="EX96" s="98"/>
      <c r="EY96" s="98"/>
      <c r="EZ96" s="98"/>
      <c r="FA96" s="98"/>
      <c r="FB96" s="98"/>
      <c r="FC96" s="98"/>
      <c r="FD96" s="98"/>
      <c r="FE96" s="98"/>
      <c r="FF96" s="98"/>
      <c r="FG96" s="98"/>
      <c r="FH96" s="98"/>
      <c r="FI96" s="98"/>
      <c r="FJ96" s="98"/>
      <c r="FK96" s="98"/>
      <c r="FL96" s="98"/>
      <c r="FM96" s="98"/>
      <c r="FN96" s="98"/>
      <c r="FO96" s="98"/>
      <c r="FQ96" s="89"/>
      <c r="FR96" s="87"/>
      <c r="FS96" s="85"/>
      <c r="FT96" s="84"/>
    </row>
    <row r="97" spans="2:176" ht="15.75" hidden="1" thickBot="1" x14ac:dyDescent="0.3">
      <c r="B97" s="47" t="b">
        <f>IF(AND(P96&lt;&gt;"",OR(AND(G97&gt;='Geometry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3" t="str">
        <f t="shared" si="13"/>
        <v/>
      </c>
      <c r="D97" s="529" t="str">
        <f t="shared" si="14"/>
        <v/>
      </c>
      <c r="E97" s="530"/>
      <c r="F97" s="14" t="str">
        <f t="shared" si="12"/>
        <v/>
      </c>
      <c r="G97" s="531"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532"/>
      <c r="I97" s="143"/>
      <c r="J97" s="143"/>
      <c r="K97" s="143"/>
      <c r="L97" s="537" t="str">
        <f t="shared" si="11"/>
        <v/>
      </c>
      <c r="M97" s="537"/>
      <c r="N97" s="537"/>
      <c r="O97" s="537"/>
      <c r="P97" s="537" t="str">
        <f>IF(OR(G97=0,G97=""),"",IF(VLOOKUP(G97,'Geometry 2'!$C$4:$AI$14,1,TRUE)=VLOOKUP(G98,'Geometry 2'!$C$4:$AI$14,1,TRUE),"",IF(VLOOKUP(G97,'Geometry 2'!$C$4:$AI$14,33,TRUE)&lt;&gt;"n/a",MIN(G97,VLOOKUP(G97,'Geometry 2'!$C$4:$AI$14,1,TRUE))-VLOOKUP(G97,'Geometry 2'!$C$4:$AI$14,33,TRUE),"check")))</f>
        <v/>
      </c>
      <c r="Q97" s="537"/>
      <c r="R97" s="537"/>
      <c r="S97" s="537"/>
      <c r="T97" s="537" t="str">
        <f>IF($G97="","",VLOOKUP($G97,'Geometry 2'!$E$4:$AH$14,11,TRUE))</f>
        <v/>
      </c>
      <c r="U97" s="537"/>
      <c r="V97" s="537"/>
      <c r="W97" s="537"/>
      <c r="X97" s="538" t="str">
        <f>IF($G97="","",VLOOKUP($G97,'Geometry 2'!$E$4:$AJ$14,19,TRUE)-12*VLOOKUP($G97,'Geometry 2'!$E$4:$AJ$14,32,TRUE)*($D97-VLOOKUP($G97,'Geometry 2'!$E$5:$AH$14,1,TRUE)))</f>
        <v/>
      </c>
      <c r="Y97" s="538"/>
      <c r="Z97" s="538"/>
      <c r="AA97" s="538"/>
      <c r="AB97" s="542" t="str">
        <f>IF($G97="","",VLOOKUP($G97,'Geometry 2'!$E$4:$AJ$14,19,TRUE)-12*VLOOKUP($G97,'Geometry 2'!$E$4:$AJ$14,32,TRUE)*($G97-VLOOKUP($G97,'Geometry 2'!$E$5:$AH$14,1,TRUE)))</f>
        <v/>
      </c>
      <c r="AC97" s="543"/>
      <c r="AD97" s="543"/>
      <c r="AE97" s="544"/>
      <c r="AF97" s="538" t="str">
        <f>IF($G97="","",VLOOKUP($G97,'Geometry 2'!$E$4:$AJ$14,19,TRUE)-12*VLOOKUP($G97,'Geometry 2'!$E$4:$AJ$14,32,TRUE)*($G97-IF($P97="",0,$P97)-VLOOKUP($G97,'Geometry 2'!$E$5:$AH$14,1,TRUE)))</f>
        <v/>
      </c>
      <c r="AG97" s="538"/>
      <c r="AH97" s="538"/>
      <c r="AI97" s="538"/>
      <c r="AJ97" s="539" t="str">
        <f>IF($G97="","",VLOOKUP($G97,'Geometry 2'!$E$4:$AH$14,23,TRUE))</f>
        <v/>
      </c>
      <c r="AK97" s="549"/>
      <c r="AL97" s="549"/>
      <c r="AM97" s="550"/>
      <c r="AN97" s="537"/>
      <c r="AO97" s="537"/>
      <c r="AP97" s="537"/>
      <c r="AQ97" s="537"/>
      <c r="AR97" s="537" t="str">
        <f>IF($G97="","",VLOOKUP($G97,'Geometry 2'!$E$4:$AH$14,27,TRUE))</f>
        <v/>
      </c>
      <c r="AS97" s="537"/>
      <c r="AT97" s="537"/>
      <c r="AU97" s="539"/>
      <c r="AV97" s="564"/>
      <c r="AW97" s="538"/>
      <c r="AX97" s="538"/>
      <c r="AZ97" s="517" t="str">
        <f t="shared" si="15"/>
        <v/>
      </c>
      <c r="BA97" s="518"/>
      <c r="BB97" s="518"/>
      <c r="BC97" s="519"/>
      <c r="BD97" s="517"/>
      <c r="BE97" s="518"/>
      <c r="BF97" s="518"/>
      <c r="BG97" s="517" t="str">
        <f t="shared" si="19"/>
        <v/>
      </c>
      <c r="BH97" s="518"/>
      <c r="BI97" s="518"/>
      <c r="BJ97" s="518"/>
      <c r="BK97" s="519"/>
      <c r="BL97" s="517"/>
      <c r="BM97" s="518"/>
      <c r="BN97" s="518"/>
      <c r="BO97" s="518"/>
      <c r="BP97" s="520"/>
      <c r="BQ97" s="520"/>
      <c r="BR97" s="517" t="str">
        <f>IF(BP97="","",IF(OR(AND(Rev="H",Calculations!$F$27=TRUE),AND(Rev&lt;&gt;"H",Calculations!$F$30=TRUE)),IF(BP97&lt;=1,"Pass","Fail"),IF(BP97&lt;=1.05,"Pass","Fail")))</f>
        <v/>
      </c>
      <c r="BS97" s="518"/>
      <c r="BT97" s="519"/>
      <c r="BU97" s="34"/>
      <c r="BV97" s="16"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16"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16"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16"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16"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16"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16"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16"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16"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16"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16"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16"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16"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16"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16"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16"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16"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16"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45" t="str">
        <f t="shared" si="16"/>
        <v/>
      </c>
      <c r="CO97" s="497"/>
      <c r="CP97" s="498"/>
      <c r="CQ97" s="499"/>
      <c r="CR97" s="497"/>
      <c r="CS97" s="498"/>
      <c r="CT97" s="499"/>
      <c r="CU97" s="497" t="str">
        <f t="shared" si="17"/>
        <v/>
      </c>
      <c r="CV97" s="498"/>
      <c r="CW97" s="503"/>
      <c r="CX97" s="484"/>
      <c r="CY97" s="485"/>
      <c r="CZ97" s="486"/>
      <c r="DA97" s="484"/>
      <c r="DB97" s="485"/>
      <c r="DC97" s="486"/>
      <c r="DD97" s="484" t="str">
        <f t="shared" si="18"/>
        <v/>
      </c>
      <c r="DE97" s="485"/>
      <c r="DF97" s="487"/>
      <c r="DG97" s="38"/>
      <c r="DH97" s="39"/>
      <c r="DI97" s="39"/>
      <c r="DJ97" s="39"/>
      <c r="DK97" s="39"/>
      <c r="DL97" s="39"/>
      <c r="DM97" s="39"/>
      <c r="DN97" s="39"/>
      <c r="DO97" s="39"/>
      <c r="DP97" s="39"/>
      <c r="DQ97" s="42"/>
      <c r="DR97" s="42"/>
      <c r="DS97" s="42"/>
      <c r="DT97" s="42"/>
      <c r="DU97" s="42"/>
      <c r="DV97" s="42"/>
      <c r="DW97" s="42"/>
      <c r="DX97" s="42"/>
      <c r="DY97" s="42"/>
      <c r="DZ97" s="42"/>
      <c r="EA97" s="42"/>
      <c r="EB97" s="42"/>
      <c r="EC97" s="42"/>
      <c r="ED97" s="42"/>
      <c r="EE97" s="42"/>
      <c r="EF97" s="42"/>
      <c r="EG97" s="42"/>
      <c r="EH97" s="42"/>
      <c r="EI97" s="42"/>
      <c r="EJ97" s="42"/>
      <c r="EK97" s="42"/>
      <c r="EL97" s="97"/>
      <c r="EM97" s="97"/>
      <c r="EN97" s="97"/>
      <c r="EO97" s="97"/>
      <c r="EP97" s="97"/>
      <c r="EQ97" s="97"/>
      <c r="ER97" s="97"/>
      <c r="ES97" s="97"/>
      <c r="ET97" s="97"/>
      <c r="EU97" s="97"/>
      <c r="EV97" s="97"/>
      <c r="EW97" s="97"/>
      <c r="EX97" s="97"/>
      <c r="EY97" s="97"/>
      <c r="EZ97" s="97"/>
      <c r="FA97" s="97"/>
      <c r="FB97" s="97"/>
      <c r="FC97" s="97"/>
      <c r="FD97" s="97"/>
      <c r="FE97" s="97"/>
      <c r="FF97" s="97"/>
      <c r="FG97" s="97"/>
      <c r="FH97" s="97"/>
      <c r="FI97" s="97"/>
      <c r="FJ97" s="97"/>
      <c r="FK97" s="97"/>
      <c r="FL97" s="97"/>
      <c r="FM97" s="97"/>
      <c r="FN97" s="97"/>
      <c r="FO97" s="97"/>
      <c r="FQ97" s="90"/>
      <c r="FR97" s="88"/>
      <c r="FS97" s="86"/>
      <c r="FT97" s="84"/>
    </row>
    <row r="98" spans="2:176" ht="15.75" hidden="1" thickBot="1" x14ac:dyDescent="0.3">
      <c r="B98" s="47" t="b">
        <f>IF(AND(P97&lt;&gt;"",OR(AND(G98&gt;='Geometry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3" t="str">
        <f t="shared" si="13"/>
        <v/>
      </c>
      <c r="D98" s="529" t="str">
        <f t="shared" si="14"/>
        <v/>
      </c>
      <c r="E98" s="530"/>
      <c r="F98" s="14" t="str">
        <f t="shared" si="12"/>
        <v/>
      </c>
      <c r="G98" s="531"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532"/>
      <c r="I98" s="143"/>
      <c r="J98" s="143"/>
      <c r="K98" s="143"/>
      <c r="L98" s="537" t="str">
        <f t="shared" si="11"/>
        <v/>
      </c>
      <c r="M98" s="537"/>
      <c r="N98" s="537"/>
      <c r="O98" s="537"/>
      <c r="P98" s="537" t="str">
        <f>IF(OR(G98=0,G98=""),"",IF(VLOOKUP(G98,'Geometry 2'!$C$4:$AI$14,1,TRUE)=VLOOKUP(G99,'Geometry 2'!$C$4:$AI$14,1,TRUE),"",IF(VLOOKUP(G98,'Geometry 2'!$C$4:$AI$14,33,TRUE)&lt;&gt;"n/a",MIN(G98,VLOOKUP(G98,'Geometry 2'!$C$4:$AI$14,1,TRUE))-VLOOKUP(G98,'Geometry 2'!$C$4:$AI$14,33,TRUE),"check")))</f>
        <v/>
      </c>
      <c r="Q98" s="537"/>
      <c r="R98" s="537"/>
      <c r="S98" s="537"/>
      <c r="T98" s="537" t="str">
        <f>IF($G98="","",VLOOKUP($G98,'Geometry 2'!$E$4:$AH$14,11,TRUE))</f>
        <v/>
      </c>
      <c r="U98" s="537"/>
      <c r="V98" s="537"/>
      <c r="W98" s="537"/>
      <c r="X98" s="538" t="str">
        <f>IF($G98="","",VLOOKUP($G98,'Geometry 2'!$E$4:$AJ$14,19,TRUE)-12*VLOOKUP($G98,'Geometry 2'!$E$4:$AJ$14,32,TRUE)*($D98-VLOOKUP($G98,'Geometry 2'!$E$5:$AH$14,1,TRUE)))</f>
        <v/>
      </c>
      <c r="Y98" s="538"/>
      <c r="Z98" s="538"/>
      <c r="AA98" s="538"/>
      <c r="AB98" s="542" t="str">
        <f>IF($G98="","",VLOOKUP($G98,'Geometry 2'!$E$4:$AJ$14,19,TRUE)-12*VLOOKUP($G98,'Geometry 2'!$E$4:$AJ$14,32,TRUE)*($G98-VLOOKUP($G98,'Geometry 2'!$E$5:$AH$14,1,TRUE)))</f>
        <v/>
      </c>
      <c r="AC98" s="543"/>
      <c r="AD98" s="543"/>
      <c r="AE98" s="544"/>
      <c r="AF98" s="538" t="str">
        <f>IF($G98="","",VLOOKUP($G98,'Geometry 2'!$E$4:$AJ$14,19,TRUE)-12*VLOOKUP($G98,'Geometry 2'!$E$4:$AJ$14,32,TRUE)*($G98-IF($P98="",0,$P98)-VLOOKUP($G98,'Geometry 2'!$E$5:$AH$14,1,TRUE)))</f>
        <v/>
      </c>
      <c r="AG98" s="538"/>
      <c r="AH98" s="538"/>
      <c r="AI98" s="538"/>
      <c r="AJ98" s="539" t="str">
        <f>IF($G98="","",VLOOKUP($G98,'Geometry 2'!$E$4:$AH$14,23,TRUE))</f>
        <v/>
      </c>
      <c r="AK98" s="549"/>
      <c r="AL98" s="549"/>
      <c r="AM98" s="550"/>
      <c r="AN98" s="537"/>
      <c r="AO98" s="537"/>
      <c r="AP98" s="537"/>
      <c r="AQ98" s="537"/>
      <c r="AR98" s="537" t="str">
        <f>IF($G98="","",VLOOKUP($G98,'Geometry 2'!$E$4:$AH$14,27,TRUE))</f>
        <v/>
      </c>
      <c r="AS98" s="537"/>
      <c r="AT98" s="537"/>
      <c r="AU98" s="539"/>
      <c r="AV98" s="564"/>
      <c r="AW98" s="538"/>
      <c r="AX98" s="538"/>
      <c r="AZ98" s="517" t="str">
        <f t="shared" si="15"/>
        <v/>
      </c>
      <c r="BA98" s="518"/>
      <c r="BB98" s="518"/>
      <c r="BC98" s="519"/>
      <c r="BD98" s="517"/>
      <c r="BE98" s="518"/>
      <c r="BF98" s="518"/>
      <c r="BG98" s="517" t="str">
        <f t="shared" si="19"/>
        <v/>
      </c>
      <c r="BH98" s="518"/>
      <c r="BI98" s="518"/>
      <c r="BJ98" s="518"/>
      <c r="BK98" s="519"/>
      <c r="BL98" s="517"/>
      <c r="BM98" s="518"/>
      <c r="BN98" s="518"/>
      <c r="BO98" s="518"/>
      <c r="BP98" s="520"/>
      <c r="BQ98" s="520"/>
      <c r="BR98" s="517" t="str">
        <f>IF(BP98="","",IF(OR(AND(Rev="H",Calculations!$F$27=TRUE),AND(Rev&lt;&gt;"H",Calculations!$F$30=TRUE)),IF(BP98&lt;=1,"Pass","Fail"),IF(BP98&lt;=1.05,"Pass","Fail")))</f>
        <v/>
      </c>
      <c r="BS98" s="518"/>
      <c r="BT98" s="519"/>
      <c r="BU98" s="34"/>
      <c r="BV98" s="16"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16"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16"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16"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16"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16"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16"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16"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16"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16"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16"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16"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16"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16"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16"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16"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16"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16"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44" t="str">
        <f t="shared" si="16"/>
        <v/>
      </c>
      <c r="CO98" s="494"/>
      <c r="CP98" s="495"/>
      <c r="CQ98" s="496"/>
      <c r="CR98" s="494"/>
      <c r="CS98" s="495"/>
      <c r="CT98" s="496"/>
      <c r="CU98" s="494" t="str">
        <f t="shared" si="17"/>
        <v/>
      </c>
      <c r="CV98" s="495"/>
      <c r="CW98" s="500"/>
      <c r="CX98" s="501"/>
      <c r="CY98" s="492"/>
      <c r="CZ98" s="502"/>
      <c r="DA98" s="488"/>
      <c r="DB98" s="489"/>
      <c r="DC98" s="490"/>
      <c r="DD98" s="491" t="str">
        <f t="shared" si="18"/>
        <v/>
      </c>
      <c r="DE98" s="492"/>
      <c r="DF98" s="493"/>
      <c r="DG98" s="40"/>
      <c r="DH98" s="41"/>
      <c r="DI98" s="41"/>
      <c r="DJ98" s="41"/>
      <c r="DK98" s="41"/>
      <c r="DL98" s="41"/>
      <c r="DM98" s="41"/>
      <c r="DN98" s="41"/>
      <c r="DO98" s="41"/>
      <c r="DP98" s="41"/>
      <c r="DQ98" s="43"/>
      <c r="DR98" s="43"/>
      <c r="DS98" s="43"/>
      <c r="DT98" s="43"/>
      <c r="DU98" s="43"/>
      <c r="DV98" s="43"/>
      <c r="DW98" s="43"/>
      <c r="DX98" s="43"/>
      <c r="DY98" s="43"/>
      <c r="DZ98" s="43"/>
      <c r="EA98" s="43"/>
      <c r="EB98" s="43"/>
      <c r="EC98" s="43"/>
      <c r="ED98" s="43"/>
      <c r="EE98" s="43"/>
      <c r="EF98" s="43"/>
      <c r="EG98" s="43"/>
      <c r="EH98" s="43"/>
      <c r="EI98" s="43"/>
      <c r="EJ98" s="43"/>
      <c r="EK98" s="43"/>
      <c r="EL98" s="98"/>
      <c r="EM98" s="98"/>
      <c r="EN98" s="98"/>
      <c r="EO98" s="98"/>
      <c r="EP98" s="98"/>
      <c r="EQ98" s="98"/>
      <c r="ER98" s="98"/>
      <c r="ES98" s="98"/>
      <c r="ET98" s="98"/>
      <c r="EU98" s="98"/>
      <c r="EV98" s="98"/>
      <c r="EW98" s="98"/>
      <c r="EX98" s="98"/>
      <c r="EY98" s="98"/>
      <c r="EZ98" s="98"/>
      <c r="FA98" s="98"/>
      <c r="FB98" s="98"/>
      <c r="FC98" s="98"/>
      <c r="FD98" s="98"/>
      <c r="FE98" s="98"/>
      <c r="FF98" s="98"/>
      <c r="FG98" s="98"/>
      <c r="FH98" s="98"/>
      <c r="FI98" s="98"/>
      <c r="FJ98" s="98"/>
      <c r="FK98" s="98"/>
      <c r="FL98" s="98"/>
      <c r="FM98" s="98"/>
      <c r="FN98" s="98"/>
      <c r="FO98" s="98"/>
      <c r="FQ98" s="89"/>
      <c r="FR98" s="87"/>
      <c r="FS98" s="85"/>
      <c r="FT98" s="84"/>
    </row>
    <row r="99" spans="2:176" ht="15.75" hidden="1" thickBot="1" x14ac:dyDescent="0.3">
      <c r="B99" s="47" t="b">
        <f>IF(AND(P98&lt;&gt;"",OR(AND(G99&gt;='Geometry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3" t="str">
        <f t="shared" si="13"/>
        <v/>
      </c>
      <c r="D99" s="529" t="str">
        <f t="shared" si="14"/>
        <v/>
      </c>
      <c r="E99" s="530"/>
      <c r="F99" s="14" t="str">
        <f t="shared" si="12"/>
        <v/>
      </c>
      <c r="G99" s="531"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532"/>
      <c r="I99" s="143"/>
      <c r="J99" s="143"/>
      <c r="K99" s="143"/>
      <c r="L99" s="537" t="str">
        <f t="shared" si="11"/>
        <v/>
      </c>
      <c r="M99" s="537"/>
      <c r="N99" s="537"/>
      <c r="O99" s="537"/>
      <c r="P99" s="537" t="str">
        <f>IF(OR(G99=0,G99=""),"",IF(VLOOKUP(G99,'Geometry 2'!$C$4:$AI$14,1,TRUE)=VLOOKUP(G100,'Geometry 2'!$C$4:$AI$14,1,TRUE),"",IF(VLOOKUP(G99,'Geometry 2'!$C$4:$AI$14,33,TRUE)&lt;&gt;"n/a",MIN(G99,VLOOKUP(G99,'Geometry 2'!$C$4:$AI$14,1,TRUE))-VLOOKUP(G99,'Geometry 2'!$C$4:$AI$14,33,TRUE),"check")))</f>
        <v/>
      </c>
      <c r="Q99" s="537"/>
      <c r="R99" s="537"/>
      <c r="S99" s="537"/>
      <c r="T99" s="537" t="str">
        <f>IF($G99="","",VLOOKUP($G99,'Geometry 2'!$E$4:$AH$14,11,TRUE))</f>
        <v/>
      </c>
      <c r="U99" s="537"/>
      <c r="V99" s="537"/>
      <c r="W99" s="537"/>
      <c r="X99" s="538" t="str">
        <f>IF($G99="","",VLOOKUP($G99,'Geometry 2'!$E$4:$AJ$14,19,TRUE)-12*VLOOKUP($G99,'Geometry 2'!$E$4:$AJ$14,32,TRUE)*($D99-VLOOKUP($G99,'Geometry 2'!$E$5:$AH$14,1,TRUE)))</f>
        <v/>
      </c>
      <c r="Y99" s="538"/>
      <c r="Z99" s="538"/>
      <c r="AA99" s="538"/>
      <c r="AB99" s="542" t="str">
        <f>IF($G99="","",VLOOKUP($G99,'Geometry 2'!$E$4:$AJ$14,19,TRUE)-12*VLOOKUP($G99,'Geometry 2'!$E$4:$AJ$14,32,TRUE)*($G99-VLOOKUP($G99,'Geometry 2'!$E$5:$AH$14,1,TRUE)))</f>
        <v/>
      </c>
      <c r="AC99" s="543"/>
      <c r="AD99" s="543"/>
      <c r="AE99" s="544"/>
      <c r="AF99" s="538" t="str">
        <f>IF($G99="","",VLOOKUP($G99,'Geometry 2'!$E$4:$AJ$14,19,TRUE)-12*VLOOKUP($G99,'Geometry 2'!$E$4:$AJ$14,32,TRUE)*($G99-IF($P99="",0,$P99)-VLOOKUP($G99,'Geometry 2'!$E$5:$AH$14,1,TRUE)))</f>
        <v/>
      </c>
      <c r="AG99" s="538"/>
      <c r="AH99" s="538"/>
      <c r="AI99" s="538"/>
      <c r="AJ99" s="539" t="str">
        <f>IF($G99="","",VLOOKUP($G99,'Geometry 2'!$E$4:$AH$14,23,TRUE))</f>
        <v/>
      </c>
      <c r="AK99" s="549"/>
      <c r="AL99" s="549"/>
      <c r="AM99" s="550"/>
      <c r="AN99" s="537"/>
      <c r="AO99" s="537"/>
      <c r="AP99" s="537"/>
      <c r="AQ99" s="537"/>
      <c r="AR99" s="537" t="str">
        <f>IF($G99="","",VLOOKUP($G99,'Geometry 2'!$E$4:$AH$14,27,TRUE))</f>
        <v/>
      </c>
      <c r="AS99" s="537"/>
      <c r="AT99" s="537"/>
      <c r="AU99" s="539"/>
      <c r="AV99" s="564"/>
      <c r="AW99" s="538"/>
      <c r="AX99" s="538"/>
      <c r="AZ99" s="517" t="str">
        <f t="shared" si="15"/>
        <v/>
      </c>
      <c r="BA99" s="518"/>
      <c r="BB99" s="518"/>
      <c r="BC99" s="519"/>
      <c r="BD99" s="517"/>
      <c r="BE99" s="518"/>
      <c r="BF99" s="518"/>
      <c r="BG99" s="517" t="str">
        <f t="shared" si="19"/>
        <v/>
      </c>
      <c r="BH99" s="518"/>
      <c r="BI99" s="518"/>
      <c r="BJ99" s="518"/>
      <c r="BK99" s="519"/>
      <c r="BL99" s="517"/>
      <c r="BM99" s="518"/>
      <c r="BN99" s="518"/>
      <c r="BO99" s="518"/>
      <c r="BP99" s="520"/>
      <c r="BQ99" s="520"/>
      <c r="BR99" s="517" t="str">
        <f>IF(BP99="","",IF(OR(AND(Rev="H",Calculations!$F$27=TRUE),AND(Rev&lt;&gt;"H",Calculations!$F$30=TRUE)),IF(BP99&lt;=1,"Pass","Fail"),IF(BP99&lt;=1.05,"Pass","Fail")))</f>
        <v/>
      </c>
      <c r="BS99" s="518"/>
      <c r="BT99" s="519"/>
      <c r="BU99" s="34"/>
      <c r="BV99" s="16"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16"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16"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16"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16"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16"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16"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16"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16"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16"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16"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16"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16"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16"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16"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16"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16"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16"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45" t="str">
        <f t="shared" si="16"/>
        <v/>
      </c>
      <c r="CO99" s="497"/>
      <c r="CP99" s="498"/>
      <c r="CQ99" s="499"/>
      <c r="CR99" s="497"/>
      <c r="CS99" s="498"/>
      <c r="CT99" s="499"/>
      <c r="CU99" s="497" t="str">
        <f t="shared" si="17"/>
        <v/>
      </c>
      <c r="CV99" s="498"/>
      <c r="CW99" s="503"/>
      <c r="CX99" s="484"/>
      <c r="CY99" s="485"/>
      <c r="CZ99" s="486"/>
      <c r="DA99" s="484"/>
      <c r="DB99" s="485"/>
      <c r="DC99" s="486"/>
      <c r="DD99" s="484" t="str">
        <f t="shared" si="18"/>
        <v/>
      </c>
      <c r="DE99" s="485"/>
      <c r="DF99" s="487"/>
      <c r="DG99" s="38"/>
      <c r="DH99" s="39"/>
      <c r="DI99" s="39"/>
      <c r="DJ99" s="39"/>
      <c r="DK99" s="39"/>
      <c r="DL99" s="39"/>
      <c r="DM99" s="39"/>
      <c r="DN99" s="39"/>
      <c r="DO99" s="39"/>
      <c r="DP99" s="39"/>
      <c r="DQ99" s="42"/>
      <c r="DR99" s="42"/>
      <c r="DS99" s="42"/>
      <c r="DT99" s="42"/>
      <c r="DU99" s="42"/>
      <c r="DV99" s="42"/>
      <c r="DW99" s="42"/>
      <c r="DX99" s="42"/>
      <c r="DY99" s="42"/>
      <c r="DZ99" s="42"/>
      <c r="EA99" s="42"/>
      <c r="EB99" s="42"/>
      <c r="EC99" s="42"/>
      <c r="ED99" s="42"/>
      <c r="EE99" s="42"/>
      <c r="EF99" s="42"/>
      <c r="EG99" s="42"/>
      <c r="EH99" s="42"/>
      <c r="EI99" s="42"/>
      <c r="EJ99" s="42"/>
      <c r="EK99" s="42"/>
      <c r="EL99" s="97"/>
      <c r="EM99" s="97"/>
      <c r="EN99" s="97"/>
      <c r="EO99" s="97"/>
      <c r="EP99" s="97"/>
      <c r="EQ99" s="97"/>
      <c r="ER99" s="97"/>
      <c r="ES99" s="97"/>
      <c r="ET99" s="97"/>
      <c r="EU99" s="97"/>
      <c r="EV99" s="97"/>
      <c r="EW99" s="97"/>
      <c r="EX99" s="97"/>
      <c r="EY99" s="97"/>
      <c r="EZ99" s="97"/>
      <c r="FA99" s="97"/>
      <c r="FB99" s="97"/>
      <c r="FC99" s="97"/>
      <c r="FD99" s="97"/>
      <c r="FE99" s="97"/>
      <c r="FF99" s="97"/>
      <c r="FG99" s="97"/>
      <c r="FH99" s="97"/>
      <c r="FI99" s="97"/>
      <c r="FJ99" s="97"/>
      <c r="FK99" s="97"/>
      <c r="FL99" s="97"/>
      <c r="FM99" s="97"/>
      <c r="FN99" s="97"/>
      <c r="FO99" s="97"/>
      <c r="FQ99" s="90"/>
      <c r="FR99" s="88"/>
      <c r="FS99" s="86"/>
      <c r="FT99" s="84"/>
    </row>
    <row r="100" spans="2:176" ht="15.75" hidden="1" thickBot="1" x14ac:dyDescent="0.3">
      <c r="B100" s="47" t="b">
        <f>IF(AND(P99&lt;&gt;"",OR(AND(G100&gt;='Geometry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3" t="str">
        <f t="shared" si="13"/>
        <v/>
      </c>
      <c r="D100" s="529" t="str">
        <f t="shared" si="14"/>
        <v/>
      </c>
      <c r="E100" s="530"/>
      <c r="F100" s="14" t="str">
        <f t="shared" si="12"/>
        <v/>
      </c>
      <c r="G100" s="531"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532"/>
      <c r="I100" s="143"/>
      <c r="J100" s="143"/>
      <c r="K100" s="143"/>
      <c r="L100" s="537" t="str">
        <f t="shared" si="11"/>
        <v/>
      </c>
      <c r="M100" s="537"/>
      <c r="N100" s="537"/>
      <c r="O100" s="537"/>
      <c r="P100" s="537" t="str">
        <f>IF(OR(G100=0,G100=""),"",IF(VLOOKUP(G100,'Geometry 2'!$C$4:$AI$14,1,TRUE)=VLOOKUP(G101,'Geometry 2'!$C$4:$AI$14,1,TRUE),"",IF(VLOOKUP(G100,'Geometry 2'!$C$4:$AI$14,33,TRUE)&lt;&gt;"n/a",MIN(G100,VLOOKUP(G100,'Geometry 2'!$C$4:$AI$14,1,TRUE))-VLOOKUP(G100,'Geometry 2'!$C$4:$AI$14,33,TRUE),"check")))</f>
        <v/>
      </c>
      <c r="Q100" s="537"/>
      <c r="R100" s="537"/>
      <c r="S100" s="537"/>
      <c r="T100" s="537" t="str">
        <f>IF($G100="","",VLOOKUP($G100,'Geometry 2'!$E$4:$AH$14,11,TRUE))</f>
        <v/>
      </c>
      <c r="U100" s="537"/>
      <c r="V100" s="537"/>
      <c r="W100" s="537"/>
      <c r="X100" s="538" t="str">
        <f>IF($G100="","",VLOOKUP($G100,'Geometry 2'!$E$4:$AJ$14,19,TRUE)-12*VLOOKUP($G100,'Geometry 2'!$E$4:$AJ$14,32,TRUE)*($D100-VLOOKUP($G100,'Geometry 2'!$E$5:$AH$14,1,TRUE)))</f>
        <v/>
      </c>
      <c r="Y100" s="538"/>
      <c r="Z100" s="538"/>
      <c r="AA100" s="538"/>
      <c r="AB100" s="542" t="str">
        <f>IF($G100="","",VLOOKUP($G100,'Geometry 2'!$E$4:$AJ$14,19,TRUE)-12*VLOOKUP($G100,'Geometry 2'!$E$4:$AJ$14,32,TRUE)*($G100-VLOOKUP($G100,'Geometry 2'!$E$5:$AH$14,1,TRUE)))</f>
        <v/>
      </c>
      <c r="AC100" s="543"/>
      <c r="AD100" s="543"/>
      <c r="AE100" s="544"/>
      <c r="AF100" s="538" t="str">
        <f>IF($G100="","",VLOOKUP($G100,'Geometry 2'!$E$4:$AJ$14,19,TRUE)-12*VLOOKUP($G100,'Geometry 2'!$E$4:$AJ$14,32,TRUE)*($G100-IF($P100="",0,$P100)-VLOOKUP($G100,'Geometry 2'!$E$5:$AH$14,1,TRUE)))</f>
        <v/>
      </c>
      <c r="AG100" s="538"/>
      <c r="AH100" s="538"/>
      <c r="AI100" s="538"/>
      <c r="AJ100" s="539" t="str">
        <f>IF($G100="","",VLOOKUP($G100,'Geometry 2'!$E$4:$AH$14,23,TRUE))</f>
        <v/>
      </c>
      <c r="AK100" s="549"/>
      <c r="AL100" s="549"/>
      <c r="AM100" s="550"/>
      <c r="AN100" s="537"/>
      <c r="AO100" s="537"/>
      <c r="AP100" s="537"/>
      <c r="AQ100" s="537"/>
      <c r="AR100" s="537" t="str">
        <f>IF($G100="","",VLOOKUP($G100,'Geometry 2'!$E$4:$AH$14,27,TRUE))</f>
        <v/>
      </c>
      <c r="AS100" s="537"/>
      <c r="AT100" s="537"/>
      <c r="AU100" s="539"/>
      <c r="AV100" s="564"/>
      <c r="AW100" s="538"/>
      <c r="AX100" s="538"/>
      <c r="AZ100" s="517" t="str">
        <f t="shared" si="15"/>
        <v/>
      </c>
      <c r="BA100" s="518"/>
      <c r="BB100" s="518"/>
      <c r="BC100" s="519"/>
      <c r="BD100" s="517"/>
      <c r="BE100" s="518"/>
      <c r="BF100" s="518"/>
      <c r="BG100" s="517" t="str">
        <f t="shared" si="19"/>
        <v/>
      </c>
      <c r="BH100" s="518"/>
      <c r="BI100" s="518"/>
      <c r="BJ100" s="518"/>
      <c r="BK100" s="519"/>
      <c r="BL100" s="517"/>
      <c r="BM100" s="518"/>
      <c r="BN100" s="518"/>
      <c r="BO100" s="518"/>
      <c r="BP100" s="520"/>
      <c r="BQ100" s="520"/>
      <c r="BR100" s="517" t="str">
        <f>IF(BP100="","",IF(OR(AND(Rev="H",Calculations!$F$27=TRUE),AND(Rev&lt;&gt;"H",Calculations!$F$30=TRUE)),IF(BP100&lt;=1,"Pass","Fail"),IF(BP100&lt;=1.05,"Pass","Fail")))</f>
        <v/>
      </c>
      <c r="BS100" s="518"/>
      <c r="BT100" s="519"/>
      <c r="BU100" s="34"/>
      <c r="BV100" s="16"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16"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16"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16"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16"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16"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16"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16"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16"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16"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16"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16"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16"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16"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16"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16"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16"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16"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44" t="str">
        <f t="shared" si="16"/>
        <v/>
      </c>
      <c r="CO100" s="494"/>
      <c r="CP100" s="495"/>
      <c r="CQ100" s="496"/>
      <c r="CR100" s="494"/>
      <c r="CS100" s="495"/>
      <c r="CT100" s="496"/>
      <c r="CU100" s="494" t="str">
        <f t="shared" si="17"/>
        <v/>
      </c>
      <c r="CV100" s="495"/>
      <c r="CW100" s="500"/>
      <c r="CX100" s="501"/>
      <c r="CY100" s="492"/>
      <c r="CZ100" s="502"/>
      <c r="DA100" s="488"/>
      <c r="DB100" s="489"/>
      <c r="DC100" s="490"/>
      <c r="DD100" s="491" t="str">
        <f t="shared" si="18"/>
        <v/>
      </c>
      <c r="DE100" s="492"/>
      <c r="DF100" s="493"/>
      <c r="DG100" s="40"/>
      <c r="DH100" s="41"/>
      <c r="DI100" s="41"/>
      <c r="DJ100" s="41"/>
      <c r="DK100" s="41"/>
      <c r="DL100" s="41"/>
      <c r="DM100" s="41"/>
      <c r="DN100" s="41"/>
      <c r="DO100" s="41"/>
      <c r="DP100" s="41"/>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98"/>
      <c r="EM100" s="98"/>
      <c r="EN100" s="98"/>
      <c r="EO100" s="98"/>
      <c r="EP100" s="98"/>
      <c r="EQ100" s="98"/>
      <c r="ER100" s="98"/>
      <c r="ES100" s="98"/>
      <c r="ET100" s="98"/>
      <c r="EU100" s="98"/>
      <c r="EV100" s="98"/>
      <c r="EW100" s="98"/>
      <c r="EX100" s="98"/>
      <c r="EY100" s="98"/>
      <c r="EZ100" s="98"/>
      <c r="FA100" s="98"/>
      <c r="FB100" s="98"/>
      <c r="FC100" s="98"/>
      <c r="FD100" s="98"/>
      <c r="FE100" s="98"/>
      <c r="FF100" s="98"/>
      <c r="FG100" s="98"/>
      <c r="FH100" s="98"/>
      <c r="FI100" s="98"/>
      <c r="FJ100" s="98"/>
      <c r="FK100" s="98"/>
      <c r="FL100" s="98"/>
      <c r="FM100" s="98"/>
      <c r="FN100" s="98"/>
      <c r="FO100" s="98"/>
      <c r="FQ100" s="89"/>
      <c r="FR100" s="87"/>
      <c r="FS100" s="85"/>
      <c r="FT100" s="84"/>
    </row>
    <row r="101" spans="2:176" ht="15.75" hidden="1" thickBot="1" x14ac:dyDescent="0.3">
      <c r="B101" s="47" t="b">
        <f>IF(AND(P100&lt;&gt;"",OR(AND(G101&gt;='Geometry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3" t="str">
        <f t="shared" si="13"/>
        <v/>
      </c>
      <c r="D101" s="529" t="str">
        <f t="shared" si="14"/>
        <v/>
      </c>
      <c r="E101" s="530"/>
      <c r="F101" s="14" t="str">
        <f t="shared" si="12"/>
        <v/>
      </c>
      <c r="G101" s="531"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532"/>
      <c r="I101" s="143"/>
      <c r="J101" s="143"/>
      <c r="K101" s="143"/>
      <c r="L101" s="537" t="str">
        <f t="shared" si="11"/>
        <v/>
      </c>
      <c r="M101" s="537"/>
      <c r="N101" s="537"/>
      <c r="O101" s="537"/>
      <c r="P101" s="537" t="str">
        <f>IF(OR(G101=0,G101=""),"",IF(VLOOKUP(G101,'Geometry 2'!$C$4:$AI$14,1,TRUE)=VLOOKUP(G102,'Geometry 2'!$C$4:$AI$14,1,TRUE),"",IF(VLOOKUP(G101,'Geometry 2'!$C$4:$AI$14,33,TRUE)&lt;&gt;"n/a",MIN(G101,VLOOKUP(G101,'Geometry 2'!$C$4:$AI$14,1,TRUE))-VLOOKUP(G101,'Geometry 2'!$C$4:$AI$14,33,TRUE),"check")))</f>
        <v/>
      </c>
      <c r="Q101" s="537"/>
      <c r="R101" s="537"/>
      <c r="S101" s="537"/>
      <c r="T101" s="537" t="str">
        <f>IF($G101="","",VLOOKUP($G101,'Geometry 2'!$E$4:$AH$14,11,TRUE))</f>
        <v/>
      </c>
      <c r="U101" s="537"/>
      <c r="V101" s="537"/>
      <c r="W101" s="537"/>
      <c r="X101" s="538" t="str">
        <f>IF($G101="","",VLOOKUP($G101,'Geometry 2'!$E$4:$AJ$14,19,TRUE)-12*VLOOKUP($G101,'Geometry 2'!$E$4:$AJ$14,32,TRUE)*($D101-VLOOKUP($G101,'Geometry 2'!$E$5:$AH$14,1,TRUE)))</f>
        <v/>
      </c>
      <c r="Y101" s="538"/>
      <c r="Z101" s="538"/>
      <c r="AA101" s="538"/>
      <c r="AB101" s="542" t="str">
        <f>IF($G101="","",VLOOKUP($G101,'Geometry 2'!$E$4:$AJ$14,19,TRUE)-12*VLOOKUP($G101,'Geometry 2'!$E$4:$AJ$14,32,TRUE)*($G101-VLOOKUP($G101,'Geometry 2'!$E$5:$AH$14,1,TRUE)))</f>
        <v/>
      </c>
      <c r="AC101" s="543"/>
      <c r="AD101" s="543"/>
      <c r="AE101" s="544"/>
      <c r="AF101" s="538" t="str">
        <f>IF($G101="","",VLOOKUP($G101,'Geometry 2'!$E$4:$AJ$14,19,TRUE)-12*VLOOKUP($G101,'Geometry 2'!$E$4:$AJ$14,32,TRUE)*($G101-IF($P101="",0,$P101)-VLOOKUP($G101,'Geometry 2'!$E$5:$AH$14,1,TRUE)))</f>
        <v/>
      </c>
      <c r="AG101" s="538"/>
      <c r="AH101" s="538"/>
      <c r="AI101" s="538"/>
      <c r="AJ101" s="539" t="str">
        <f>IF($G101="","",VLOOKUP($G101,'Geometry 2'!$E$4:$AH$14,23,TRUE))</f>
        <v/>
      </c>
      <c r="AK101" s="549"/>
      <c r="AL101" s="549"/>
      <c r="AM101" s="550"/>
      <c r="AN101" s="537"/>
      <c r="AO101" s="537"/>
      <c r="AP101" s="537"/>
      <c r="AQ101" s="537"/>
      <c r="AR101" s="537" t="str">
        <f>IF($G101="","",VLOOKUP($G101,'Geometry 2'!$E$4:$AH$14,27,TRUE))</f>
        <v/>
      </c>
      <c r="AS101" s="537"/>
      <c r="AT101" s="537"/>
      <c r="AU101" s="539"/>
      <c r="AV101" s="564"/>
      <c r="AW101" s="538"/>
      <c r="AX101" s="538"/>
      <c r="AZ101" s="517" t="str">
        <f t="shared" si="15"/>
        <v/>
      </c>
      <c r="BA101" s="518"/>
      <c r="BB101" s="518"/>
      <c r="BC101" s="519"/>
      <c r="BD101" s="517"/>
      <c r="BE101" s="518"/>
      <c r="BF101" s="518"/>
      <c r="BG101" s="517" t="str">
        <f t="shared" si="19"/>
        <v/>
      </c>
      <c r="BH101" s="518"/>
      <c r="BI101" s="518"/>
      <c r="BJ101" s="518"/>
      <c r="BK101" s="519"/>
      <c r="BL101" s="517"/>
      <c r="BM101" s="518"/>
      <c r="BN101" s="518"/>
      <c r="BO101" s="518"/>
      <c r="BP101" s="520"/>
      <c r="BQ101" s="520"/>
      <c r="BR101" s="517" t="str">
        <f>IF(BP101="","",IF(OR(AND(Rev="H",Calculations!$F$27=TRUE),AND(Rev&lt;&gt;"H",Calculations!$F$30=TRUE)),IF(BP101&lt;=1,"Pass","Fail"),IF(BP101&lt;=1.05,"Pass","Fail")))</f>
        <v/>
      </c>
      <c r="BS101" s="518"/>
      <c r="BT101" s="519"/>
      <c r="BU101" s="34"/>
      <c r="BV101" s="16"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16"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16"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16"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16"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16"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16"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16"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16"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16"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16"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16"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16"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16"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16"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16"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16"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16"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45" t="str">
        <f t="shared" si="16"/>
        <v/>
      </c>
      <c r="CO101" s="497"/>
      <c r="CP101" s="498"/>
      <c r="CQ101" s="499"/>
      <c r="CR101" s="497"/>
      <c r="CS101" s="498"/>
      <c r="CT101" s="499"/>
      <c r="CU101" s="497" t="str">
        <f t="shared" si="17"/>
        <v/>
      </c>
      <c r="CV101" s="498"/>
      <c r="CW101" s="503"/>
      <c r="CX101" s="484"/>
      <c r="CY101" s="485"/>
      <c r="CZ101" s="486"/>
      <c r="DA101" s="484"/>
      <c r="DB101" s="485"/>
      <c r="DC101" s="486"/>
      <c r="DD101" s="484" t="str">
        <f t="shared" si="18"/>
        <v/>
      </c>
      <c r="DE101" s="485"/>
      <c r="DF101" s="487"/>
      <c r="DG101" s="38"/>
      <c r="DH101" s="39"/>
      <c r="DI101" s="39"/>
      <c r="DJ101" s="39"/>
      <c r="DK101" s="39"/>
      <c r="DL101" s="39"/>
      <c r="DM101" s="39"/>
      <c r="DN101" s="39"/>
      <c r="DO101" s="39"/>
      <c r="DP101" s="39"/>
      <c r="DQ101" s="42"/>
      <c r="DR101" s="42"/>
      <c r="DS101" s="42"/>
      <c r="DT101" s="42"/>
      <c r="DU101" s="42"/>
      <c r="DV101" s="42"/>
      <c r="DW101" s="42"/>
      <c r="DX101" s="42"/>
      <c r="DY101" s="42"/>
      <c r="DZ101" s="42"/>
      <c r="EA101" s="42"/>
      <c r="EB101" s="42"/>
      <c r="EC101" s="42"/>
      <c r="ED101" s="42"/>
      <c r="EE101" s="42"/>
      <c r="EF101" s="42"/>
      <c r="EG101" s="42"/>
      <c r="EH101" s="42"/>
      <c r="EI101" s="42"/>
      <c r="EJ101" s="42"/>
      <c r="EK101" s="42"/>
      <c r="EL101" s="97"/>
      <c r="EM101" s="97"/>
      <c r="EN101" s="97"/>
      <c r="EO101" s="97"/>
      <c r="EP101" s="97"/>
      <c r="EQ101" s="97"/>
      <c r="ER101" s="97"/>
      <c r="ES101" s="97"/>
      <c r="ET101" s="97"/>
      <c r="EU101" s="97"/>
      <c r="EV101" s="97"/>
      <c r="EW101" s="97"/>
      <c r="EX101" s="97"/>
      <c r="EY101" s="97"/>
      <c r="EZ101" s="97"/>
      <c r="FA101" s="97"/>
      <c r="FB101" s="97"/>
      <c r="FC101" s="97"/>
      <c r="FD101" s="97"/>
      <c r="FE101" s="97"/>
      <c r="FF101" s="97"/>
      <c r="FG101" s="97"/>
      <c r="FH101" s="97"/>
      <c r="FI101" s="97"/>
      <c r="FJ101" s="97"/>
      <c r="FK101" s="97"/>
      <c r="FL101" s="97"/>
      <c r="FM101" s="97"/>
      <c r="FN101" s="97"/>
      <c r="FO101" s="97"/>
      <c r="FQ101" s="90"/>
      <c r="FR101" s="88"/>
      <c r="FS101" s="86"/>
      <c r="FT101" s="84"/>
    </row>
    <row r="102" spans="2:176" ht="15.75" hidden="1" thickBot="1" x14ac:dyDescent="0.3">
      <c r="B102" s="47" t="b">
        <f>IF(AND(P101&lt;&gt;"",OR(AND(G102&gt;='Geometry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3" t="str">
        <f t="shared" si="13"/>
        <v/>
      </c>
      <c r="D102" s="529" t="str">
        <f t="shared" si="14"/>
        <v/>
      </c>
      <c r="E102" s="530"/>
      <c r="F102" s="14" t="str">
        <f t="shared" si="12"/>
        <v/>
      </c>
      <c r="G102" s="531"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532"/>
      <c r="I102" s="143"/>
      <c r="J102" s="143"/>
      <c r="K102" s="143"/>
      <c r="L102" s="537" t="str">
        <f t="shared" si="11"/>
        <v/>
      </c>
      <c r="M102" s="537"/>
      <c r="N102" s="537"/>
      <c r="O102" s="537"/>
      <c r="P102" s="537" t="str">
        <f>IF(OR(G102=0,G102=""),"",IF(VLOOKUP(G102,'Geometry 2'!$C$4:$AI$14,1,TRUE)=VLOOKUP(G103,'Geometry 2'!$C$4:$AI$14,1,TRUE),"",IF(VLOOKUP(G102,'Geometry 2'!$C$4:$AI$14,33,TRUE)&lt;&gt;"n/a",MIN(G102,VLOOKUP(G102,'Geometry 2'!$C$4:$AI$14,1,TRUE))-VLOOKUP(G102,'Geometry 2'!$C$4:$AI$14,33,TRUE),"check")))</f>
        <v/>
      </c>
      <c r="Q102" s="537"/>
      <c r="R102" s="537"/>
      <c r="S102" s="537"/>
      <c r="T102" s="537" t="str">
        <f>IF($G102="","",VLOOKUP($G102,'Geometry 2'!$E$4:$AH$14,11,TRUE))</f>
        <v/>
      </c>
      <c r="U102" s="537"/>
      <c r="V102" s="537"/>
      <c r="W102" s="537"/>
      <c r="X102" s="538" t="str">
        <f>IF($G102="","",VLOOKUP($G102,'Geometry 2'!$E$4:$AJ$14,19,TRUE)-12*VLOOKUP($G102,'Geometry 2'!$E$4:$AJ$14,32,TRUE)*($D102-VLOOKUP($G102,'Geometry 2'!$E$5:$AH$14,1,TRUE)))</f>
        <v/>
      </c>
      <c r="Y102" s="538"/>
      <c r="Z102" s="538"/>
      <c r="AA102" s="538"/>
      <c r="AB102" s="542" t="str">
        <f>IF($G102="","",VLOOKUP($G102,'Geometry 2'!$E$4:$AJ$14,19,TRUE)-12*VLOOKUP($G102,'Geometry 2'!$E$4:$AJ$14,32,TRUE)*($G102-VLOOKUP($G102,'Geometry 2'!$E$5:$AH$14,1,TRUE)))</f>
        <v/>
      </c>
      <c r="AC102" s="543"/>
      <c r="AD102" s="543"/>
      <c r="AE102" s="544"/>
      <c r="AF102" s="538" t="str">
        <f>IF($G102="","",VLOOKUP($G102,'Geometry 2'!$E$4:$AJ$14,19,TRUE)-12*VLOOKUP($G102,'Geometry 2'!$E$4:$AJ$14,32,TRUE)*($G102-IF($P102="",0,$P102)-VLOOKUP($G102,'Geometry 2'!$E$5:$AH$14,1,TRUE)))</f>
        <v/>
      </c>
      <c r="AG102" s="538"/>
      <c r="AH102" s="538"/>
      <c r="AI102" s="538"/>
      <c r="AJ102" s="539" t="str">
        <f>IF($G102="","",VLOOKUP($G102,'Geometry 2'!$E$4:$AH$14,23,TRUE))</f>
        <v/>
      </c>
      <c r="AK102" s="549"/>
      <c r="AL102" s="549"/>
      <c r="AM102" s="550"/>
      <c r="AN102" s="537"/>
      <c r="AO102" s="537"/>
      <c r="AP102" s="537"/>
      <c r="AQ102" s="537"/>
      <c r="AR102" s="537" t="str">
        <f>IF($G102="","",VLOOKUP($G102,'Geometry 2'!$E$4:$AH$14,27,TRUE))</f>
        <v/>
      </c>
      <c r="AS102" s="537"/>
      <c r="AT102" s="537"/>
      <c r="AU102" s="539"/>
      <c r="AV102" s="564"/>
      <c r="AW102" s="538"/>
      <c r="AX102" s="538"/>
      <c r="AZ102" s="517" t="str">
        <f t="shared" si="15"/>
        <v/>
      </c>
      <c r="BA102" s="518"/>
      <c r="BB102" s="518"/>
      <c r="BC102" s="519"/>
      <c r="BD102" s="517"/>
      <c r="BE102" s="518"/>
      <c r="BF102" s="518"/>
      <c r="BG102" s="517" t="str">
        <f t="shared" si="19"/>
        <v/>
      </c>
      <c r="BH102" s="518"/>
      <c r="BI102" s="518"/>
      <c r="BJ102" s="518"/>
      <c r="BK102" s="519"/>
      <c r="BL102" s="517"/>
      <c r="BM102" s="518"/>
      <c r="BN102" s="518"/>
      <c r="BO102" s="518"/>
      <c r="BP102" s="520"/>
      <c r="BQ102" s="520"/>
      <c r="BR102" s="517" t="str">
        <f>IF(BP102="","",IF(OR(AND(Rev="H",Calculations!$F$27=TRUE),AND(Rev&lt;&gt;"H",Calculations!$F$30=TRUE)),IF(BP102&lt;=1,"Pass","Fail"),IF(BP102&lt;=1.05,"Pass","Fail")))</f>
        <v/>
      </c>
      <c r="BS102" s="518"/>
      <c r="BT102" s="519"/>
      <c r="BU102" s="34"/>
      <c r="BV102" s="16"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16"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16"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16"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16"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16"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16"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16"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16"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16"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16"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16"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16"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16"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16"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16"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16"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16"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44" t="str">
        <f t="shared" si="16"/>
        <v/>
      </c>
      <c r="CO102" s="494"/>
      <c r="CP102" s="495"/>
      <c r="CQ102" s="496"/>
      <c r="CR102" s="494"/>
      <c r="CS102" s="495"/>
      <c r="CT102" s="496"/>
      <c r="CU102" s="494" t="str">
        <f t="shared" si="17"/>
        <v/>
      </c>
      <c r="CV102" s="495"/>
      <c r="CW102" s="500"/>
      <c r="CX102" s="501"/>
      <c r="CY102" s="492"/>
      <c r="CZ102" s="502"/>
      <c r="DA102" s="488"/>
      <c r="DB102" s="489"/>
      <c r="DC102" s="490"/>
      <c r="DD102" s="491" t="str">
        <f t="shared" si="18"/>
        <v/>
      </c>
      <c r="DE102" s="492"/>
      <c r="DF102" s="493"/>
      <c r="DG102" s="40"/>
      <c r="DH102" s="41"/>
      <c r="DI102" s="41"/>
      <c r="DJ102" s="41"/>
      <c r="DK102" s="41"/>
      <c r="DL102" s="41"/>
      <c r="DM102" s="41"/>
      <c r="DN102" s="41"/>
      <c r="DO102" s="41"/>
      <c r="DP102" s="41"/>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98"/>
      <c r="EM102" s="98"/>
      <c r="EN102" s="98"/>
      <c r="EO102" s="98"/>
      <c r="EP102" s="98"/>
      <c r="EQ102" s="98"/>
      <c r="ER102" s="98"/>
      <c r="ES102" s="98"/>
      <c r="ET102" s="98"/>
      <c r="EU102" s="98"/>
      <c r="EV102" s="98"/>
      <c r="EW102" s="98"/>
      <c r="EX102" s="98"/>
      <c r="EY102" s="98"/>
      <c r="EZ102" s="98"/>
      <c r="FA102" s="98"/>
      <c r="FB102" s="98"/>
      <c r="FC102" s="98"/>
      <c r="FD102" s="98"/>
      <c r="FE102" s="98"/>
      <c r="FF102" s="98"/>
      <c r="FG102" s="98"/>
      <c r="FH102" s="98"/>
      <c r="FI102" s="98"/>
      <c r="FJ102" s="98"/>
      <c r="FK102" s="98"/>
      <c r="FL102" s="98"/>
      <c r="FM102" s="98"/>
      <c r="FN102" s="98"/>
      <c r="FO102" s="98"/>
      <c r="FQ102" s="89"/>
      <c r="FR102" s="87"/>
      <c r="FS102" s="85"/>
      <c r="FT102" s="84"/>
    </row>
    <row r="103" spans="2:176" ht="15.75" hidden="1" thickBot="1" x14ac:dyDescent="0.3">
      <c r="B103" s="47" t="b">
        <f>IF(AND(P102&lt;&gt;"",OR(AND(G103&gt;='Geometry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3" t="str">
        <f t="shared" si="13"/>
        <v/>
      </c>
      <c r="D103" s="529" t="str">
        <f t="shared" si="14"/>
        <v/>
      </c>
      <c r="E103" s="530"/>
      <c r="F103" s="14" t="str">
        <f t="shared" si="12"/>
        <v/>
      </c>
      <c r="G103" s="531"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532"/>
      <c r="I103" s="143"/>
      <c r="J103" s="143"/>
      <c r="K103" s="143"/>
      <c r="L103" s="537" t="str">
        <f t="shared" si="11"/>
        <v/>
      </c>
      <c r="M103" s="537"/>
      <c r="N103" s="537"/>
      <c r="O103" s="537"/>
      <c r="P103" s="537" t="str">
        <f>IF(OR(G103=0,G103=""),"",IF(VLOOKUP(G103,'Geometry 2'!$C$4:$AI$14,1,TRUE)=VLOOKUP(G104,'Geometry 2'!$C$4:$AI$14,1,TRUE),"",IF(VLOOKUP(G103,'Geometry 2'!$C$4:$AI$14,33,TRUE)&lt;&gt;"n/a",MIN(G103,VLOOKUP(G103,'Geometry 2'!$C$4:$AI$14,1,TRUE))-VLOOKUP(G103,'Geometry 2'!$C$4:$AI$14,33,TRUE),"check")))</f>
        <v/>
      </c>
      <c r="Q103" s="537"/>
      <c r="R103" s="537"/>
      <c r="S103" s="537"/>
      <c r="T103" s="537" t="str">
        <f>IF($G103="","",VLOOKUP($G103,'Geometry 2'!$E$4:$AH$14,11,TRUE))</f>
        <v/>
      </c>
      <c r="U103" s="537"/>
      <c r="V103" s="537"/>
      <c r="W103" s="537"/>
      <c r="X103" s="538" t="str">
        <f>IF($G103="","",VLOOKUP($G103,'Geometry 2'!$E$4:$AJ$14,19,TRUE)-12*VLOOKUP($G103,'Geometry 2'!$E$4:$AJ$14,32,TRUE)*($D103-VLOOKUP($G103,'Geometry 2'!$E$5:$AH$14,1,TRUE)))</f>
        <v/>
      </c>
      <c r="Y103" s="538"/>
      <c r="Z103" s="538"/>
      <c r="AA103" s="538"/>
      <c r="AB103" s="542" t="str">
        <f>IF($G103="","",VLOOKUP($G103,'Geometry 2'!$E$4:$AJ$14,19,TRUE)-12*VLOOKUP($G103,'Geometry 2'!$E$4:$AJ$14,32,TRUE)*($G103-VLOOKUP($G103,'Geometry 2'!$E$5:$AH$14,1,TRUE)))</f>
        <v/>
      </c>
      <c r="AC103" s="543"/>
      <c r="AD103" s="543"/>
      <c r="AE103" s="544"/>
      <c r="AF103" s="538" t="str">
        <f>IF($G103="","",VLOOKUP($G103,'Geometry 2'!$E$4:$AJ$14,19,TRUE)-12*VLOOKUP($G103,'Geometry 2'!$E$4:$AJ$14,32,TRUE)*($G103-IF($P103="",0,$P103)-VLOOKUP($G103,'Geometry 2'!$E$5:$AH$14,1,TRUE)))</f>
        <v/>
      </c>
      <c r="AG103" s="538"/>
      <c r="AH103" s="538"/>
      <c r="AI103" s="538"/>
      <c r="AJ103" s="539" t="str">
        <f>IF($G103="","",VLOOKUP($G103,'Geometry 2'!$E$4:$AH$14,23,TRUE))</f>
        <v/>
      </c>
      <c r="AK103" s="549"/>
      <c r="AL103" s="549"/>
      <c r="AM103" s="550"/>
      <c r="AN103" s="537"/>
      <c r="AO103" s="537"/>
      <c r="AP103" s="537"/>
      <c r="AQ103" s="537"/>
      <c r="AR103" s="537" t="str">
        <f>IF($G103="","",VLOOKUP($G103,'Geometry 2'!$E$4:$AH$14,27,TRUE))</f>
        <v/>
      </c>
      <c r="AS103" s="537"/>
      <c r="AT103" s="537"/>
      <c r="AU103" s="539"/>
      <c r="AV103" s="564"/>
      <c r="AW103" s="538"/>
      <c r="AX103" s="538"/>
      <c r="AZ103" s="517" t="str">
        <f t="shared" si="15"/>
        <v/>
      </c>
      <c r="BA103" s="518"/>
      <c r="BB103" s="518"/>
      <c r="BC103" s="519"/>
      <c r="BD103" s="517"/>
      <c r="BE103" s="518"/>
      <c r="BF103" s="518"/>
      <c r="BG103" s="517" t="str">
        <f t="shared" si="19"/>
        <v/>
      </c>
      <c r="BH103" s="518"/>
      <c r="BI103" s="518"/>
      <c r="BJ103" s="518"/>
      <c r="BK103" s="519"/>
      <c r="BL103" s="517"/>
      <c r="BM103" s="518"/>
      <c r="BN103" s="518"/>
      <c r="BO103" s="518"/>
      <c r="BP103" s="520"/>
      <c r="BQ103" s="520"/>
      <c r="BR103" s="517" t="str">
        <f>IF(BP103="","",IF(OR(AND(Rev="H",Calculations!$F$27=TRUE),AND(Rev&lt;&gt;"H",Calculations!$F$30=TRUE)),IF(BP103&lt;=1,"Pass","Fail"),IF(BP103&lt;=1.05,"Pass","Fail")))</f>
        <v/>
      </c>
      <c r="BS103" s="518"/>
      <c r="BT103" s="519"/>
      <c r="BU103" s="34"/>
      <c r="BV103" s="16"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16"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16"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16"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16"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16"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16"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16"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16"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16"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16"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16"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16"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16"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16"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16"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16"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16"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45" t="str">
        <f t="shared" si="16"/>
        <v/>
      </c>
      <c r="CO103" s="497"/>
      <c r="CP103" s="498"/>
      <c r="CQ103" s="499"/>
      <c r="CR103" s="497"/>
      <c r="CS103" s="498"/>
      <c r="CT103" s="499"/>
      <c r="CU103" s="497" t="str">
        <f t="shared" si="17"/>
        <v/>
      </c>
      <c r="CV103" s="498"/>
      <c r="CW103" s="503"/>
      <c r="CX103" s="484"/>
      <c r="CY103" s="485"/>
      <c r="CZ103" s="486"/>
      <c r="DA103" s="484"/>
      <c r="DB103" s="485"/>
      <c r="DC103" s="486"/>
      <c r="DD103" s="484" t="str">
        <f t="shared" si="18"/>
        <v/>
      </c>
      <c r="DE103" s="485"/>
      <c r="DF103" s="487"/>
      <c r="DG103" s="38"/>
      <c r="DH103" s="39"/>
      <c r="DI103" s="39"/>
      <c r="DJ103" s="39"/>
      <c r="DK103" s="39"/>
      <c r="DL103" s="39"/>
      <c r="DM103" s="39"/>
      <c r="DN103" s="39"/>
      <c r="DO103" s="39"/>
      <c r="DP103" s="39"/>
      <c r="DQ103" s="42"/>
      <c r="DR103" s="42"/>
      <c r="DS103" s="42"/>
      <c r="DT103" s="42"/>
      <c r="DU103" s="42"/>
      <c r="DV103" s="42"/>
      <c r="DW103" s="42"/>
      <c r="DX103" s="42"/>
      <c r="DY103" s="42"/>
      <c r="DZ103" s="42"/>
      <c r="EA103" s="42"/>
      <c r="EB103" s="42"/>
      <c r="EC103" s="42"/>
      <c r="ED103" s="42"/>
      <c r="EE103" s="42"/>
      <c r="EF103" s="42"/>
      <c r="EG103" s="42"/>
      <c r="EH103" s="42"/>
      <c r="EI103" s="42"/>
      <c r="EJ103" s="42"/>
      <c r="EK103" s="42"/>
      <c r="EL103" s="97"/>
      <c r="EM103" s="97"/>
      <c r="EN103" s="97"/>
      <c r="EO103" s="97"/>
      <c r="EP103" s="97"/>
      <c r="EQ103" s="97"/>
      <c r="ER103" s="97"/>
      <c r="ES103" s="97"/>
      <c r="ET103" s="97"/>
      <c r="EU103" s="97"/>
      <c r="EV103" s="97"/>
      <c r="EW103" s="97"/>
      <c r="EX103" s="97"/>
      <c r="EY103" s="97"/>
      <c r="EZ103" s="97"/>
      <c r="FA103" s="97"/>
      <c r="FB103" s="97"/>
      <c r="FC103" s="97"/>
      <c r="FD103" s="97"/>
      <c r="FE103" s="97"/>
      <c r="FF103" s="97"/>
      <c r="FG103" s="97"/>
      <c r="FH103" s="97"/>
      <c r="FI103" s="97"/>
      <c r="FJ103" s="97"/>
      <c r="FK103" s="97"/>
      <c r="FL103" s="97"/>
      <c r="FM103" s="97"/>
      <c r="FN103" s="97"/>
      <c r="FO103" s="97"/>
      <c r="FQ103" s="90"/>
      <c r="FR103" s="88"/>
      <c r="FS103" s="86"/>
      <c r="FT103" s="84"/>
    </row>
    <row r="104" spans="2:176" ht="15.75" hidden="1" thickBot="1" x14ac:dyDescent="0.3">
      <c r="B104" s="47" t="b">
        <f>IF(AND(P103&lt;&gt;"",OR(AND(G104&gt;='Geometry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3" t="str">
        <f t="shared" si="13"/>
        <v/>
      </c>
      <c r="D104" s="525" t="str">
        <f t="shared" si="14"/>
        <v/>
      </c>
      <c r="E104" s="526"/>
      <c r="F104" s="142" t="str">
        <f t="shared" si="12"/>
        <v/>
      </c>
      <c r="G104" s="527"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528"/>
      <c r="I104" s="144"/>
      <c r="J104" s="144"/>
      <c r="K104" s="144"/>
      <c r="L104" s="540" t="str">
        <f t="shared" si="11"/>
        <v/>
      </c>
      <c r="M104" s="540"/>
      <c r="N104" s="540"/>
      <c r="O104" s="540"/>
      <c r="P104" s="540" t="str">
        <f>IF(OR(G104=0,G104=""),"",IF(VLOOKUP(G104,'Geometry 2'!$C$4:$AI$14,1,TRUE)=VLOOKUP(G106,'Geometry 2'!$C$4:$AI$14,1,TRUE),"",IF(VLOOKUP(G104,'Geometry 2'!$C$4:$AI$14,33,TRUE)&lt;&gt;"n/a",MIN(G104,VLOOKUP(G104,'Geometry 2'!$C$4:$AI$14,1,TRUE))-VLOOKUP(G104,'Geometry 2'!$C$4:$AI$14,33,TRUE),"check")))</f>
        <v/>
      </c>
      <c r="Q104" s="540"/>
      <c r="R104" s="540"/>
      <c r="S104" s="540"/>
      <c r="T104" s="540" t="str">
        <f>IF($G104="","",VLOOKUP($G104,'Geometry 2'!$E$4:$AH$14,11,TRUE))</f>
        <v/>
      </c>
      <c r="U104" s="540"/>
      <c r="V104" s="540"/>
      <c r="W104" s="540"/>
      <c r="X104" s="541" t="str">
        <f>IF($G104="","",VLOOKUP($G104,'Geometry 2'!$E$4:$AJ$14,19,TRUE)-12*VLOOKUP($G104,'Geometry 2'!$E$4:$AJ$14,32,TRUE)*($D104-VLOOKUP($G104,'Geometry 2'!$E$5:$AH$14,1,TRUE)))</f>
        <v/>
      </c>
      <c r="Y104" s="541"/>
      <c r="Z104" s="541"/>
      <c r="AA104" s="541"/>
      <c r="AB104" s="546" t="str">
        <f>IF($G104="","",VLOOKUP($G104,'Geometry 2'!$E$4:$AJ$14,19,TRUE)-12*VLOOKUP($G104,'Geometry 2'!$E$4:$AJ$14,32,TRUE)*($G104-VLOOKUP($G104,'Geometry 2'!$E$5:$AH$14,1,TRUE)))</f>
        <v/>
      </c>
      <c r="AC104" s="547"/>
      <c r="AD104" s="547"/>
      <c r="AE104" s="548"/>
      <c r="AF104" s="541" t="str">
        <f>IF($G104="","",VLOOKUP($G104,'Geometry 2'!$E$4:$AJ$14,19,TRUE)-12*VLOOKUP($G104,'Geometry 2'!$E$4:$AJ$14,32,TRUE)*($G104-IF($P104="",0,$P104)-VLOOKUP($G104,'Geometry 2'!$E$5:$AH$14,1,TRUE)))</f>
        <v/>
      </c>
      <c r="AG104" s="541"/>
      <c r="AH104" s="541"/>
      <c r="AI104" s="541"/>
      <c r="AJ104" s="545" t="str">
        <f>IF($G104="","",VLOOKUP($G104,'Geometry 2'!$E$4:$AH$14,23,TRUE))</f>
        <v/>
      </c>
      <c r="AK104" s="551"/>
      <c r="AL104" s="551"/>
      <c r="AM104" s="552"/>
      <c r="AN104" s="540"/>
      <c r="AO104" s="540"/>
      <c r="AP104" s="540"/>
      <c r="AQ104" s="540"/>
      <c r="AR104" s="540" t="str">
        <f>IF($G104="","",VLOOKUP($G104,'Geometry 2'!$E$4:$AH$14,27,TRUE))</f>
        <v/>
      </c>
      <c r="AS104" s="540"/>
      <c r="AT104" s="540"/>
      <c r="AU104" s="545"/>
      <c r="AV104" s="565"/>
      <c r="AW104" s="541"/>
      <c r="AX104" s="541"/>
      <c r="AZ104" s="517" t="str">
        <f t="shared" si="15"/>
        <v/>
      </c>
      <c r="BA104" s="518"/>
      <c r="BB104" s="518"/>
      <c r="BC104" s="519"/>
      <c r="BD104" s="517"/>
      <c r="BE104" s="518"/>
      <c r="BF104" s="518"/>
      <c r="BG104" s="517" t="str">
        <f t="shared" si="19"/>
        <v/>
      </c>
      <c r="BH104" s="518"/>
      <c r="BI104" s="518"/>
      <c r="BJ104" s="518"/>
      <c r="BK104" s="519"/>
      <c r="BL104" s="517"/>
      <c r="BM104" s="518"/>
      <c r="BN104" s="518"/>
      <c r="BO104" s="518"/>
      <c r="BP104" s="520"/>
      <c r="BQ104" s="520"/>
      <c r="BR104" s="517" t="str">
        <f>IF(BP104="","",IF(OR(AND(Rev="H",Calculations!$F$27=TRUE),AND(Rev&lt;&gt;"H",Calculations!$F$30=TRUE)),IF(BP104&lt;=1,"Pass","Fail"),IF(BP104&lt;=1.05,"Pass","Fail")))</f>
        <v/>
      </c>
      <c r="BS104" s="518"/>
      <c r="BT104" s="519"/>
      <c r="BU104" s="34"/>
      <c r="BV104" s="16"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16"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16"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16"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16"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16"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16"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16"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16"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16"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16"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16"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16"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16"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16"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16"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16"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16"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44" t="str">
        <f t="shared" si="16"/>
        <v/>
      </c>
      <c r="CO104" s="494"/>
      <c r="CP104" s="495"/>
      <c r="CQ104" s="496"/>
      <c r="CR104" s="494"/>
      <c r="CS104" s="495"/>
      <c r="CT104" s="496"/>
      <c r="CU104" s="494" t="str">
        <f t="shared" si="17"/>
        <v/>
      </c>
      <c r="CV104" s="495"/>
      <c r="CW104" s="500"/>
      <c r="CX104" s="501"/>
      <c r="CY104" s="492"/>
      <c r="CZ104" s="502"/>
      <c r="DA104" s="488"/>
      <c r="DB104" s="489"/>
      <c r="DC104" s="490"/>
      <c r="DD104" s="491" t="str">
        <f t="shared" si="18"/>
        <v/>
      </c>
      <c r="DE104" s="492"/>
      <c r="DF104" s="493"/>
      <c r="DG104" s="40"/>
      <c r="DH104" s="41"/>
      <c r="DI104" s="41"/>
      <c r="DJ104" s="41"/>
      <c r="DK104" s="41"/>
      <c r="DL104" s="41"/>
      <c r="DM104" s="41"/>
      <c r="DN104" s="41"/>
      <c r="DO104" s="41"/>
      <c r="DP104" s="41"/>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98"/>
      <c r="EM104" s="98"/>
      <c r="EN104" s="98"/>
      <c r="EO104" s="98"/>
      <c r="EP104" s="98"/>
      <c r="EQ104" s="98"/>
      <c r="ER104" s="98"/>
      <c r="ES104" s="98"/>
      <c r="ET104" s="98"/>
      <c r="EU104" s="98"/>
      <c r="EV104" s="98"/>
      <c r="EW104" s="98"/>
      <c r="EX104" s="98"/>
      <c r="EY104" s="98"/>
      <c r="EZ104" s="98"/>
      <c r="FA104" s="98"/>
      <c r="FB104" s="98"/>
      <c r="FC104" s="98"/>
      <c r="FD104" s="98"/>
      <c r="FE104" s="98"/>
      <c r="FF104" s="98"/>
      <c r="FG104" s="98"/>
      <c r="FH104" s="98"/>
      <c r="FI104" s="98"/>
      <c r="FJ104" s="98"/>
      <c r="FK104" s="98"/>
      <c r="FL104" s="98"/>
      <c r="FM104" s="98"/>
      <c r="FN104" s="98"/>
      <c r="FO104" s="98"/>
      <c r="FQ104" s="89"/>
      <c r="FR104" s="87"/>
      <c r="FS104" s="85"/>
      <c r="FT104" s="84"/>
    </row>
    <row r="105" spans="2:176" ht="13.5" thickBot="1" x14ac:dyDescent="0.25">
      <c r="C105" s="47"/>
      <c r="D105" s="47"/>
      <c r="E105" s="47"/>
      <c r="F105" s="47"/>
      <c r="G105" s="571">
        <v>10</v>
      </c>
      <c r="H105" s="571"/>
      <c r="I105" s="47"/>
      <c r="J105" s="47"/>
      <c r="K105" s="47"/>
      <c r="L105" s="47"/>
      <c r="M105" s="47"/>
      <c r="N105" s="47"/>
      <c r="O105" s="47"/>
      <c r="P105" s="47"/>
      <c r="Q105" s="47"/>
      <c r="R105" s="47"/>
      <c r="S105" s="47"/>
      <c r="T105" s="571" t="e">
        <f>IF($G105="","",VLOOKUP($G105,'Geometry 2'!$E$4:$AH$14,11,TRUE))</f>
        <v>#N/A</v>
      </c>
      <c r="U105" s="571"/>
      <c r="V105" s="571"/>
      <c r="W105" s="571"/>
      <c r="X105" s="47"/>
      <c r="Y105" s="47"/>
      <c r="Z105" s="47"/>
      <c r="AA105" s="47"/>
      <c r="AB105" s="572" t="e">
        <f>IF($G105="","",VLOOKUP($G105,'Geometry 2'!$E$4:$AJ$14,19,TRUE)-12*VLOOKUP($G105,'Geometry 2'!$E$4:$AJ$14,32,TRUE)*($G105-VLOOKUP($G105,'Geometry 2'!$E$5:$AH$14,1,TRUE)))</f>
        <v>#N/A</v>
      </c>
      <c r="AC105" s="572"/>
      <c r="AD105" s="572"/>
      <c r="AE105" s="572"/>
      <c r="AF105" s="47"/>
      <c r="AG105" s="47"/>
      <c r="AH105" s="47"/>
      <c r="AI105" s="47"/>
      <c r="AJ105" s="571" t="e">
        <f>IF($G105="","",VLOOKUP($G105,'Geometry 2'!$E$4:$AH$14,23,TRUE))</f>
        <v>#N/A</v>
      </c>
      <c r="AK105" s="571"/>
      <c r="AL105" s="571"/>
      <c r="AM105" s="571"/>
      <c r="AN105" s="47"/>
      <c r="AO105" s="47"/>
      <c r="AP105" s="47"/>
      <c r="AQ105" s="47"/>
      <c r="AR105" s="571" t="e">
        <f>IF($G105="","",VLOOKUP($G105,'Geometry 2'!$E$4:$AH$14,27,TRUE))</f>
        <v>#N/A</v>
      </c>
      <c r="AS105" s="571"/>
      <c r="AT105" s="571"/>
      <c r="AU105" s="571"/>
      <c r="AV105" s="47"/>
      <c r="AW105" s="47"/>
      <c r="AX105" s="47"/>
      <c r="AZ105" s="517"/>
      <c r="BA105" s="518"/>
      <c r="BB105" s="518"/>
      <c r="BC105" s="519"/>
      <c r="BD105" s="517"/>
      <c r="BE105" s="518"/>
      <c r="BF105" s="519"/>
      <c r="BG105" s="517"/>
      <c r="BH105" s="518"/>
      <c r="BI105" s="518"/>
      <c r="BJ105" s="518"/>
      <c r="BK105" s="519"/>
      <c r="BL105" s="517"/>
      <c r="BM105" s="518"/>
      <c r="BN105" s="518"/>
      <c r="BO105" s="518"/>
      <c r="BP105" s="520" t="s">
        <v>120</v>
      </c>
      <c r="BQ105" s="520"/>
      <c r="BR105" s="569"/>
      <c r="BS105" s="569"/>
      <c r="BT105" s="569"/>
      <c r="BV105" s="16"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16"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16"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16"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16"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16"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16"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16"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16"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16"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16"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16"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16"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16"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16"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16"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16"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16"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05" t="str">
        <f>CONCATENATE("Note: Section capacity checked ", IF('Macro References'!A37=FALSE,"assuming all reinforcements are effective and ",""), "using ", 'Macro References'!A36, " degree increments.")</f>
        <v>Note: Section capacity checked assuming all reinforcements are effective and using 5 degree increments.</v>
      </c>
    </row>
    <row r="106" spans="2:176" ht="13.5" thickBot="1" x14ac:dyDescent="0.25">
      <c r="G106" s="570"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570"/>
      <c r="AZ106" s="517"/>
      <c r="BA106" s="518"/>
      <c r="BB106" s="518"/>
      <c r="BC106" s="519"/>
      <c r="BD106" s="517"/>
      <c r="BE106" s="518"/>
      <c r="BF106" s="518"/>
      <c r="BG106" s="517"/>
      <c r="BH106" s="518"/>
      <c r="BI106" s="518"/>
      <c r="BJ106" s="518"/>
      <c r="BK106" s="519"/>
      <c r="BL106" s="517" t="s">
        <v>84</v>
      </c>
      <c r="BM106" s="518"/>
      <c r="BN106" s="518"/>
      <c r="BO106" s="518"/>
      <c r="BP106" s="520">
        <f>MAX(DG5:DG104)</f>
        <v>0</v>
      </c>
      <c r="BQ106" s="520"/>
      <c r="BR106" s="517" t="str">
        <f>IF(BP106="","",IF(OR(AND(Rev="H",Calculations!$F$27=TRUE),AND(Rev&lt;&gt;"H",Calculations!$F$30=TRUE)),IF(BP106&lt;=1,"Pass","Fail"),IF(BP106&lt;=1.05,"Pass","Fail")))</f>
        <v>Pass</v>
      </c>
      <c r="BS106" s="518"/>
      <c r="BT106" s="519"/>
      <c r="CN106" s="105" t="str">
        <f>IF(AND(Rev="H",Calculations!$F$27=TRUE),"         Rating per TIA-222-H Section 15.5.",IF(AND(Rev&lt;&gt;"H",Calculations!$F$30=TRUE),"         Ratings normalized per Load Z.",""))</f>
        <v xml:space="preserve">         Rating per TIA-222-H Section 15.5.</v>
      </c>
    </row>
    <row r="107" spans="2:176" ht="13.5" thickBot="1" x14ac:dyDescent="0.25">
      <c r="AZ107" s="517"/>
      <c r="BA107" s="518"/>
      <c r="BB107" s="518"/>
      <c r="BC107" s="519"/>
      <c r="BD107" s="517"/>
      <c r="BE107" s="518"/>
      <c r="BF107" s="518"/>
      <c r="BG107" s="517"/>
      <c r="BH107" s="518"/>
      <c r="BI107" s="518"/>
      <c r="BJ107" s="518"/>
      <c r="BK107" s="519"/>
      <c r="BL107" s="517" t="s">
        <v>47</v>
      </c>
      <c r="BM107" s="518"/>
      <c r="BN107" s="518"/>
      <c r="BO107" s="518"/>
      <c r="BP107" s="520">
        <f>MAX(DH5:EK104)</f>
        <v>0</v>
      </c>
      <c r="BQ107" s="520"/>
      <c r="BR107" s="517" t="str">
        <f>IF(BP107="","",IF(OR(AND(Rev="H",Calculations!$F$27=TRUE),AND(Rev&lt;&gt;"H",Calculations!$F$30=TRUE)),IF(BP107&lt;=1,"Pass","Fail"),IF(BP107&lt;=1.05,"Pass","Fail")))</f>
        <v>Pass</v>
      </c>
      <c r="BS107" s="518"/>
      <c r="BT107" s="519"/>
    </row>
    <row r="108" spans="2:176" ht="12.75" customHeight="1" thickBot="1" x14ac:dyDescent="0.25">
      <c r="AZ108" s="517"/>
      <c r="BA108" s="518"/>
      <c r="BB108" s="518"/>
      <c r="BC108" s="519"/>
      <c r="BD108" s="517"/>
      <c r="BE108" s="518"/>
      <c r="BF108" s="518"/>
      <c r="BG108" s="517"/>
      <c r="BH108" s="518"/>
      <c r="BI108" s="518"/>
      <c r="BJ108" s="518"/>
      <c r="BK108" s="519"/>
      <c r="BL108" s="517" t="s">
        <v>121</v>
      </c>
      <c r="BM108" s="518"/>
      <c r="BN108" s="518"/>
      <c r="BO108" s="518"/>
      <c r="BP108" s="520">
        <f>MAX(BP106:BQ107)</f>
        <v>0</v>
      </c>
      <c r="BQ108" s="520"/>
      <c r="BR108" s="517" t="str">
        <f>IF(BP108="","",IF(OR(AND(Rev="H",Calculations!$F$27=TRUE),AND(Rev&lt;&gt;"H",Calculations!$F$30=TRUE)),IF(BP108&lt;=1,"Pass","Fail"),IF(BP108&lt;=1.05,"Pass","Fail")))</f>
        <v>Pass</v>
      </c>
      <c r="BS108" s="518"/>
      <c r="BT108" s="519"/>
    </row>
    <row r="109" spans="2:176" ht="12.75" customHeight="1" x14ac:dyDescent="0.2">
      <c r="AZ109" s="105"/>
      <c r="BL109" s="105"/>
      <c r="BP109" s="105"/>
    </row>
    <row r="110" spans="2:176" ht="12.75" customHeight="1" x14ac:dyDescent="0.2"/>
    <row r="111" spans="2:176" ht="12.75" customHeight="1" x14ac:dyDescent="0.2"/>
    <row r="112" spans="2:176" ht="12.75" customHeight="1" x14ac:dyDescent="0.2"/>
    <row r="999" spans="1:1" x14ac:dyDescent="0.2">
      <c r="A999" s="49"/>
    </row>
  </sheetData>
  <sheetProtection algorithmName="SHA-512" hashValue="LEy/gS7etQ407lukqAy0qneNosGKEPZhfebxnNgH2tzMTt9XMAJ6wbRpP6+aYM9lsw5Af3RpkSzMfsWGIf0E8A==" saltValue="WvaZX251m120eZ4ybQ6zYg==" spinCount="100000" sheet="1" objects="1" scenarios="1"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showRowColHeaders="0" workbookViewId="0">
      <selection activeCell="B20" sqref="B20"/>
    </sheetView>
  </sheetViews>
  <sheetFormatPr defaultRowHeight="12.75" x14ac:dyDescent="0.2"/>
  <cols>
    <col min="2" max="2" width="19.28515625" customWidth="1"/>
    <col min="3" max="4" width="11" customWidth="1"/>
    <col min="5" max="5" width="0" hidden="1" customWidth="1"/>
    <col min="6" max="6" width="12.28515625" hidden="1" customWidth="1"/>
  </cols>
  <sheetData>
    <row r="1" spans="2:6" ht="54.95" customHeight="1" x14ac:dyDescent="0.2"/>
    <row r="2" spans="2:6" ht="39.75" customHeight="1" x14ac:dyDescent="0.2">
      <c r="B2" s="12" t="s">
        <v>122</v>
      </c>
      <c r="C2" s="12" t="s">
        <v>123</v>
      </c>
      <c r="D2" s="12" t="s">
        <v>124</v>
      </c>
      <c r="E2" s="376" t="s">
        <v>125</v>
      </c>
      <c r="F2" s="376" t="s">
        <v>126</v>
      </c>
    </row>
    <row r="3" spans="2:6" x14ac:dyDescent="0.2">
      <c r="B3" s="49" t="s">
        <v>127</v>
      </c>
      <c r="C3">
        <v>36</v>
      </c>
      <c r="D3">
        <v>58</v>
      </c>
      <c r="E3">
        <v>1</v>
      </c>
      <c r="F3" t="b">
        <f>IF(Materials[[#This Row],[Material]]="","",IF(ROW(Materials[[#This Row],[Material]])&gt;19,FALSE,TRUE))</f>
        <v>1</v>
      </c>
    </row>
    <row r="4" spans="2:6" x14ac:dyDescent="0.2">
      <c r="B4" s="49" t="s">
        <v>128</v>
      </c>
      <c r="C4">
        <v>42</v>
      </c>
      <c r="D4">
        <v>60</v>
      </c>
      <c r="E4">
        <v>2</v>
      </c>
      <c r="F4" t="b">
        <f>IF(Materials[[#This Row],[Material]]="","",IF(ROW(Materials[[#This Row],[Material]])&gt;19,FALSE,TRUE))</f>
        <v>1</v>
      </c>
    </row>
    <row r="5" spans="2:6" x14ac:dyDescent="0.2">
      <c r="B5" s="49" t="s">
        <v>129</v>
      </c>
      <c r="C5">
        <v>45</v>
      </c>
      <c r="D5">
        <v>60</v>
      </c>
      <c r="E5">
        <v>3</v>
      </c>
      <c r="F5" t="b">
        <f>IF(Materials[[#This Row],[Material]]="","",IF(ROW(Materials[[#This Row],[Material]])&gt;19,FALSE,TRUE))</f>
        <v>1</v>
      </c>
    </row>
    <row r="6" spans="2:6" x14ac:dyDescent="0.2">
      <c r="B6" s="49" t="s">
        <v>130</v>
      </c>
      <c r="C6">
        <v>50</v>
      </c>
      <c r="D6">
        <v>65</v>
      </c>
      <c r="E6">
        <v>4</v>
      </c>
      <c r="F6" t="b">
        <f>IF(Materials[[#This Row],[Material]]="","",IF(ROW(Materials[[#This Row],[Material]])&gt;19,FALSE,TRUE))</f>
        <v>1</v>
      </c>
    </row>
    <row r="7" spans="2:6" x14ac:dyDescent="0.2">
      <c r="B7" t="s">
        <v>131</v>
      </c>
      <c r="C7">
        <v>50</v>
      </c>
      <c r="D7">
        <v>62</v>
      </c>
      <c r="E7">
        <v>5</v>
      </c>
      <c r="F7" t="b">
        <f>IF(Materials[[#This Row],[Material]]="","",IF(ROW(Materials[[#This Row],[Material]])&gt;19,FALSE,TRUE))</f>
        <v>1</v>
      </c>
    </row>
    <row r="8" spans="2:6" x14ac:dyDescent="0.2">
      <c r="B8" s="49" t="s">
        <v>132</v>
      </c>
      <c r="C8">
        <v>100</v>
      </c>
      <c r="D8">
        <v>110</v>
      </c>
      <c r="E8">
        <v>6</v>
      </c>
      <c r="F8" t="b">
        <f>IF(Materials[[#This Row],[Material]]="","",IF(ROW(Materials[[#This Row],[Material]])&gt;19,FALSE,TRUE))</f>
        <v>1</v>
      </c>
    </row>
    <row r="9" spans="2:6" x14ac:dyDescent="0.2">
      <c r="B9" t="s">
        <v>133</v>
      </c>
      <c r="C9">
        <v>35</v>
      </c>
      <c r="D9">
        <v>60</v>
      </c>
      <c r="E9">
        <v>7</v>
      </c>
      <c r="F9" t="b">
        <f>IF(Materials[[#This Row],[Material]]="","",IF(ROW(Materials[[#This Row],[Material]])&gt;19,FALSE,TRUE))</f>
        <v>1</v>
      </c>
    </row>
    <row r="10" spans="2:6" x14ac:dyDescent="0.2">
      <c r="B10" s="49" t="s">
        <v>134</v>
      </c>
      <c r="C10">
        <v>42</v>
      </c>
      <c r="D10">
        <v>63</v>
      </c>
      <c r="E10">
        <v>8</v>
      </c>
      <c r="F10" t="b">
        <f>IF(Materials[[#This Row],[Material]]="","",IF(ROW(Materials[[#This Row],[Material]])&gt;19,FALSE,TRUE))</f>
        <v>1</v>
      </c>
    </row>
    <row r="11" spans="2:6" x14ac:dyDescent="0.2">
      <c r="B11" t="s">
        <v>135</v>
      </c>
      <c r="C11">
        <v>50</v>
      </c>
      <c r="D11">
        <v>65</v>
      </c>
      <c r="E11">
        <v>9</v>
      </c>
      <c r="F11" t="b">
        <f>IF(Materials[[#This Row],[Material]]="","",IF(ROW(Materials[[#This Row],[Material]])&gt;19,FALSE,TRUE))</f>
        <v>1</v>
      </c>
    </row>
    <row r="12" spans="2:6" x14ac:dyDescent="0.2">
      <c r="B12" s="49" t="s">
        <v>136</v>
      </c>
      <c r="C12">
        <v>55</v>
      </c>
      <c r="D12">
        <v>70</v>
      </c>
      <c r="E12">
        <v>10</v>
      </c>
      <c r="F12" t="b">
        <f>IF(Materials[[#This Row],[Material]]="","",IF(ROW(Materials[[#This Row],[Material]])&gt;19,FALSE,TRUE))</f>
        <v>1</v>
      </c>
    </row>
    <row r="13" spans="2:6" x14ac:dyDescent="0.2">
      <c r="B13" t="s">
        <v>137</v>
      </c>
      <c r="C13">
        <v>60</v>
      </c>
      <c r="D13">
        <v>76</v>
      </c>
      <c r="E13">
        <v>11</v>
      </c>
      <c r="F13" t="b">
        <f>IF(Materials[[#This Row],[Material]]="","",IF(ROW(Materials[[#This Row],[Material]])&gt;19,FALSE,TRUE))</f>
        <v>1</v>
      </c>
    </row>
    <row r="14" spans="2:6" x14ac:dyDescent="0.2">
      <c r="B14" s="49" t="s">
        <v>138</v>
      </c>
      <c r="C14">
        <v>65</v>
      </c>
      <c r="D14">
        <v>80</v>
      </c>
      <c r="E14">
        <v>12</v>
      </c>
      <c r="F14" t="b">
        <f>IF(Materials[[#This Row],[Material]]="","",IF(ROW(Materials[[#This Row],[Material]])&gt;19,FALSE,TRUE))</f>
        <v>1</v>
      </c>
    </row>
    <row r="15" spans="2:6" x14ac:dyDescent="0.2">
      <c r="B15" t="s">
        <v>139</v>
      </c>
      <c r="C15">
        <v>60</v>
      </c>
      <c r="D15">
        <v>75</v>
      </c>
      <c r="E15">
        <v>13</v>
      </c>
      <c r="F15" t="b">
        <f>IF(Materials[[#This Row],[Material]]="","",IF(ROW(Materials[[#This Row],[Material]])&gt;19,FALSE,TRUE))</f>
        <v>1</v>
      </c>
    </row>
    <row r="16" spans="2:6" x14ac:dyDescent="0.2">
      <c r="B16" t="s">
        <v>140</v>
      </c>
      <c r="C16">
        <v>65</v>
      </c>
      <c r="D16">
        <v>80</v>
      </c>
      <c r="E16">
        <v>14</v>
      </c>
      <c r="F16" t="b">
        <f>IF(Materials[[#This Row],[Material]]="","",IF(ROW(Materials[[#This Row],[Material]])&gt;19,FALSE,TRUE))</f>
        <v>1</v>
      </c>
    </row>
    <row r="17" spans="2:6" x14ac:dyDescent="0.2">
      <c r="B17" t="s">
        <v>141</v>
      </c>
      <c r="C17">
        <v>75</v>
      </c>
      <c r="D17">
        <v>100</v>
      </c>
      <c r="E17">
        <v>15</v>
      </c>
      <c r="F17" t="b">
        <f>IF(Materials[[#This Row],[Material]]="","",IF(ROW(Materials[[#This Row],[Material]])&gt;19,FALSE,TRUE))</f>
        <v>1</v>
      </c>
    </row>
    <row r="18" spans="2:6" x14ac:dyDescent="0.2">
      <c r="B18" t="s">
        <v>142</v>
      </c>
      <c r="C18">
        <v>60</v>
      </c>
      <c r="D18">
        <v>80</v>
      </c>
      <c r="E18">
        <v>16</v>
      </c>
      <c r="F18" t="b">
        <f>IF(Materials[[#This Row],[Material]]="","",IF(ROW(Materials[[#This Row],[Material]])&gt;19,FALSE,TRUE))</f>
        <v>1</v>
      </c>
    </row>
    <row r="19" spans="2:6" x14ac:dyDescent="0.2">
      <c r="B19" s="49" t="s">
        <v>143</v>
      </c>
      <c r="C19">
        <v>65</v>
      </c>
      <c r="D19">
        <v>80</v>
      </c>
      <c r="E19">
        <v>17</v>
      </c>
      <c r="F19" t="b">
        <f>IF(Materials[[#This Row],[Material]]="","",IF(ROW(Materials[[#This Row],[Material]])&gt;19,FALSE,TRUE))</f>
        <v>1</v>
      </c>
    </row>
    <row r="20" spans="2:6" x14ac:dyDescent="0.2">
      <c r="B20" s="50" t="s">
        <v>2603</v>
      </c>
      <c r="C20" s="50">
        <v>46</v>
      </c>
      <c r="D20" s="50">
        <v>62</v>
      </c>
      <c r="E20">
        <v>18</v>
      </c>
      <c r="F20" t="b">
        <f>IF(Materials[[#This Row],[Material]]="","",IF(ROW(Materials[[#This Row],[Material]])&gt;19,FALSE,TRUE))</f>
        <v>0</v>
      </c>
    </row>
    <row r="21" spans="2:6" x14ac:dyDescent="0.2">
      <c r="B21" s="50" t="s">
        <v>2604</v>
      </c>
      <c r="C21" s="50">
        <v>105</v>
      </c>
      <c r="D21" s="50">
        <v>125</v>
      </c>
      <c r="E21">
        <v>19</v>
      </c>
      <c r="F21" t="b">
        <f>IF(Materials[[#This Row],[Material]]="","",IF(ROW(Materials[[#This Row],[Material]])&gt;19,FALSE,TRUE))</f>
        <v>0</v>
      </c>
    </row>
    <row r="22" spans="2:6" x14ac:dyDescent="0.2">
      <c r="B22" s="50"/>
      <c r="C22" s="50"/>
      <c r="D22" s="50"/>
      <c r="E22">
        <v>20</v>
      </c>
      <c r="F22" t="str">
        <f>IF(Materials[[#This Row],[Material]]="","",IF(ROW(Materials[[#This Row],[Material]])&gt;19,FALSE,TRUE))</f>
        <v/>
      </c>
    </row>
    <row r="23" spans="2:6" x14ac:dyDescent="0.2">
      <c r="B23" s="50"/>
      <c r="C23" s="50"/>
      <c r="D23" s="50"/>
      <c r="E23">
        <v>21</v>
      </c>
      <c r="F23" t="str">
        <f>IF(Materials[[#This Row],[Material]]="","",IF(ROW(Materials[[#This Row],[Material]])&gt;19,FALSE,TRUE))</f>
        <v/>
      </c>
    </row>
    <row r="24" spans="2:6" x14ac:dyDescent="0.2">
      <c r="B24" s="50"/>
      <c r="C24" s="50"/>
      <c r="D24" s="50"/>
      <c r="E24">
        <v>22</v>
      </c>
      <c r="F24" t="str">
        <f>IF(Materials[[#This Row],[Material]]="","",IF(ROW(Materials[[#This Row],[Material]])&gt;19,FALSE,TRUE))</f>
        <v/>
      </c>
    </row>
    <row r="25" spans="2:6" x14ac:dyDescent="0.2">
      <c r="B25" s="50"/>
      <c r="C25" s="50"/>
      <c r="D25" s="50"/>
      <c r="E25">
        <v>23</v>
      </c>
      <c r="F25" t="str">
        <f>IF(Materials[[#This Row],[Material]]="","",IF(ROW(Materials[[#This Row],[Material]])&gt;19,FALSE,TRUE))</f>
        <v/>
      </c>
    </row>
    <row r="26" spans="2:6" x14ac:dyDescent="0.2">
      <c r="B26" s="50"/>
      <c r="C26" s="50"/>
      <c r="D26" s="50"/>
      <c r="E26">
        <v>24</v>
      </c>
      <c r="F26" t="str">
        <f>IF(Materials[[#This Row],[Material]]="","",IF(ROW(Materials[[#This Row],[Material]])&gt;19,FALSE,TRUE))</f>
        <v/>
      </c>
    </row>
    <row r="27" spans="2:6" x14ac:dyDescent="0.2">
      <c r="B27" s="50"/>
      <c r="C27" s="50"/>
      <c r="D27" s="50"/>
      <c r="E27">
        <v>25</v>
      </c>
      <c r="F27" t="str">
        <f>IF(Materials[[#This Row],[Material]]="","",IF(ROW(Materials[[#This Row],[Material]])&gt;19,FALSE,TRUE))</f>
        <v/>
      </c>
    </row>
    <row r="28" spans="2:6" x14ac:dyDescent="0.2">
      <c r="B28" s="50"/>
      <c r="C28" s="50"/>
      <c r="D28" s="50"/>
      <c r="E28">
        <v>26</v>
      </c>
      <c r="F28" t="str">
        <f>IF(Materials[[#This Row],[Material]]="","",IF(ROW(Materials[[#This Row],[Material]])&gt;19,FALSE,TRUE))</f>
        <v/>
      </c>
    </row>
    <row r="29" spans="2:6" x14ac:dyDescent="0.2">
      <c r="B29" s="50"/>
      <c r="C29" s="50"/>
      <c r="D29" s="50"/>
      <c r="E29">
        <v>27</v>
      </c>
      <c r="F29" t="str">
        <f>IF(Materials[[#This Row],[Material]]="","",IF(ROW(Materials[[#This Row],[Material]])&gt;19,FALSE,TRUE))</f>
        <v/>
      </c>
    </row>
    <row r="30" spans="2:6" x14ac:dyDescent="0.2">
      <c r="B30" s="50"/>
      <c r="C30" s="50"/>
      <c r="D30" s="50"/>
      <c r="E30">
        <v>28</v>
      </c>
      <c r="F30" t="str">
        <f>IF(Materials[[#This Row],[Material]]="","",IF(ROW(Materials[[#This Row],[Material]])&gt;19,FALSE,TRUE))</f>
        <v/>
      </c>
    </row>
    <row r="31" spans="2:6" x14ac:dyDescent="0.2">
      <c r="B31" s="50"/>
      <c r="C31" s="50"/>
      <c r="D31" s="50"/>
    </row>
    <row r="32" spans="2:6" x14ac:dyDescent="0.2">
      <c r="B32" s="50"/>
      <c r="C32" s="50"/>
      <c r="D32" s="50"/>
    </row>
    <row r="33" spans="2:4" x14ac:dyDescent="0.2">
      <c r="B33" s="50"/>
      <c r="C33" s="50"/>
      <c r="D33" s="50"/>
    </row>
    <row r="34" spans="2:4" x14ac:dyDescent="0.2">
      <c r="B34" s="50"/>
      <c r="C34" s="50"/>
      <c r="D34" s="50"/>
    </row>
    <row r="35" spans="2:4" x14ac:dyDescent="0.2">
      <c r="B35" s="50"/>
      <c r="C35" s="50"/>
      <c r="D35" s="50"/>
    </row>
    <row r="36" spans="2:4" x14ac:dyDescent="0.2">
      <c r="B36" s="50"/>
      <c r="C36" s="50"/>
      <c r="D36" s="50"/>
    </row>
    <row r="37" spans="2:4" x14ac:dyDescent="0.2">
      <c r="B37" s="50"/>
      <c r="C37" s="50"/>
      <c r="D37" s="50"/>
    </row>
    <row r="38" spans="2:4" x14ac:dyDescent="0.2">
      <c r="B38" s="50"/>
      <c r="C38" s="50"/>
      <c r="D38" s="50"/>
    </row>
    <row r="39" spans="2:4" x14ac:dyDescent="0.2">
      <c r="B39" s="50"/>
      <c r="C39" s="50"/>
      <c r="D39" s="50"/>
    </row>
    <row r="40" spans="2:4" x14ac:dyDescent="0.2">
      <c r="B40" s="50"/>
      <c r="C40" s="50"/>
      <c r="D40" s="50"/>
    </row>
    <row r="41" spans="2:4" x14ac:dyDescent="0.2">
      <c r="B41" s="50"/>
      <c r="C41" s="50"/>
      <c r="D41" s="50"/>
    </row>
    <row r="42" spans="2:4" x14ac:dyDescent="0.2">
      <c r="B42" s="50"/>
      <c r="C42" s="50"/>
      <c r="D42" s="50"/>
    </row>
    <row r="43" spans="2:4" x14ac:dyDescent="0.2">
      <c r="B43" s="50"/>
      <c r="C43" s="50"/>
      <c r="D43" s="50"/>
    </row>
    <row r="44" spans="2:4" x14ac:dyDescent="0.2">
      <c r="B44" s="50"/>
      <c r="C44" s="50"/>
      <c r="D44" s="50"/>
    </row>
    <row r="45" spans="2:4" x14ac:dyDescent="0.2">
      <c r="B45" s="50"/>
      <c r="C45" s="50"/>
      <c r="D45" s="50"/>
    </row>
    <row r="46" spans="2:4" x14ac:dyDescent="0.2">
      <c r="B46" s="50"/>
      <c r="C46" s="50"/>
      <c r="D46" s="50"/>
    </row>
    <row r="47" spans="2:4" x14ac:dyDescent="0.2">
      <c r="B47" s="50"/>
      <c r="C47" s="50"/>
      <c r="D47" s="50"/>
    </row>
    <row r="48" spans="2:4" x14ac:dyDescent="0.2">
      <c r="B48" s="50"/>
      <c r="C48" s="50"/>
      <c r="D48" s="50"/>
    </row>
    <row r="49" spans="2:4" x14ac:dyDescent="0.2">
      <c r="B49" s="50"/>
      <c r="C49" s="50"/>
      <c r="D49" s="50"/>
    </row>
    <row r="50" spans="2:4" x14ac:dyDescent="0.2">
      <c r="B50" s="50"/>
      <c r="C50" s="50"/>
      <c r="D50" s="50"/>
    </row>
    <row r="51" spans="2:4" x14ac:dyDescent="0.2">
      <c r="B51" s="50"/>
      <c r="C51" s="50"/>
      <c r="D51" s="50"/>
    </row>
    <row r="52" spans="2:4" x14ac:dyDescent="0.2">
      <c r="B52" s="50"/>
      <c r="C52" s="50"/>
      <c r="D52" s="50"/>
    </row>
    <row r="53" spans="2:4" x14ac:dyDescent="0.2">
      <c r="B53" s="50"/>
      <c r="C53" s="50"/>
      <c r="D53" s="50"/>
    </row>
    <row r="54" spans="2:4" x14ac:dyDescent="0.2">
      <c r="B54" s="50"/>
      <c r="C54" s="50"/>
      <c r="D54" s="50"/>
    </row>
  </sheetData>
  <sheetProtection algorithmName="SHA-512" hashValue="tDqlmrvNHYzgODwxRPLo4+QlxEi0+4d8H5xIo0yQKZAtYx98CVhYGB+HuPjmEML/eiWn/UJyQtPYZjCVw2esOA==" saltValue="56fhQxUI0WxkBNhE1ymr3g=="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B155"/>
  <sheetViews>
    <sheetView showGridLines="0" showRowColHeaders="0" zoomScale="110" zoomScaleNormal="110" workbookViewId="0">
      <pane xSplit="2" ySplit="2" topLeftCell="C48" activePane="bottomRight" state="frozen"/>
      <selection pane="topRight" activeCell="C1" sqref="C1"/>
      <selection pane="bottomLeft" activeCell="A3" sqref="A3"/>
      <selection pane="bottomRight" activeCell="C69" sqref="C69"/>
    </sheetView>
  </sheetViews>
  <sheetFormatPr defaultRowHeight="12.75" x14ac:dyDescent="0.2"/>
  <cols>
    <col min="1" max="1" width="9.140625" customWidth="1"/>
    <col min="2" max="2" width="31.5703125" customWidth="1"/>
    <col min="3" max="3" width="9.5703125" customWidth="1"/>
    <col min="4" max="5" width="8.7109375" customWidth="1"/>
    <col min="6" max="6" width="9.140625" customWidth="1"/>
    <col min="7" max="11" width="10.42578125" customWidth="1"/>
    <col min="12" max="12" width="9.7109375" customWidth="1"/>
    <col min="13" max="14" width="10" customWidth="1"/>
    <col min="15" max="15" width="14.5703125" customWidth="1"/>
    <col min="16" max="16" width="8.7109375" customWidth="1"/>
    <col min="17" max="17" width="8.7109375" hidden="1" customWidth="1"/>
    <col min="18" max="18" width="8.7109375" customWidth="1"/>
    <col min="19" max="19" width="12.140625" style="16" hidden="1" customWidth="1"/>
    <col min="20" max="20" width="12.85546875" style="16" customWidth="1"/>
    <col min="21" max="21" width="14.5703125" customWidth="1"/>
    <col min="22" max="22" width="12.140625" customWidth="1"/>
    <col min="23" max="23" width="13.140625" customWidth="1"/>
    <col min="24" max="24" width="13" hidden="1" customWidth="1"/>
    <col min="25" max="25" width="13" customWidth="1"/>
    <col min="26" max="26" width="9.5703125" customWidth="1"/>
    <col min="27" max="27" width="13" style="16" customWidth="1"/>
    <col min="28" max="28" width="11.7109375" customWidth="1"/>
    <col min="29" max="30" width="12.42578125" customWidth="1"/>
    <col min="31" max="31" width="19.28515625" customWidth="1"/>
    <col min="32" max="34" width="13" customWidth="1"/>
    <col min="35" max="35" width="18" customWidth="1"/>
    <col min="36" max="36" width="15.5703125" hidden="1" customWidth="1"/>
    <col min="37" max="39" width="13" hidden="1" customWidth="1"/>
    <col min="40" max="41" width="15.42578125" customWidth="1"/>
    <col min="42" max="46" width="13" customWidth="1"/>
    <col min="47" max="47" width="14.28515625" customWidth="1"/>
    <col min="48" max="48" width="13.28515625" customWidth="1"/>
    <col min="49" max="49" width="13" customWidth="1"/>
    <col min="50" max="50" width="18.140625" customWidth="1"/>
    <col min="51" max="51" width="15.5703125" style="16" customWidth="1"/>
    <col min="52" max="52" width="13" style="16" customWidth="1"/>
    <col min="53" max="53" width="16.85546875" customWidth="1"/>
    <col min="54" max="54" width="12.5703125" customWidth="1"/>
    <col min="55" max="56" width="12.28515625" customWidth="1"/>
    <col min="57" max="57" width="18.7109375" customWidth="1"/>
    <col min="58" max="61" width="13" customWidth="1"/>
    <col min="62" max="63" width="13" hidden="1" customWidth="1"/>
    <col min="64" max="65" width="12.140625" hidden="1" customWidth="1"/>
    <col min="66" max="70" width="12.140625" customWidth="1"/>
    <col min="71" max="71" width="13.42578125" customWidth="1"/>
    <col min="72" max="72" width="12.7109375" customWidth="1"/>
    <col min="73" max="80" width="12.140625" customWidth="1"/>
    <col min="81" max="81" width="12.140625" hidden="1" customWidth="1"/>
    <col min="82" max="82" width="11.42578125" hidden="1" customWidth="1"/>
    <col min="83" max="84" width="12.28515625" hidden="1" customWidth="1"/>
    <col min="85" max="85" width="12.7109375" hidden="1" customWidth="1"/>
    <col min="86" max="87" width="10.7109375" hidden="1" customWidth="1"/>
    <col min="88" max="88" width="8.7109375" hidden="1" customWidth="1"/>
    <col min="89" max="89" width="12.5703125" hidden="1" customWidth="1"/>
    <col min="90" max="90" width="10.42578125" style="16" hidden="1" customWidth="1"/>
    <col min="91" max="91" width="12" hidden="1" customWidth="1"/>
    <col min="92" max="92" width="11.7109375" hidden="1" customWidth="1"/>
    <col min="93" max="93" width="13.7109375" hidden="1" customWidth="1"/>
    <col min="94" max="94" width="12.7109375" hidden="1" customWidth="1"/>
    <col min="95" max="96" width="13.7109375" hidden="1" customWidth="1"/>
    <col min="97" max="97" width="12.42578125" style="84" hidden="1" customWidth="1"/>
    <col min="98" max="98" width="11.28515625" hidden="1" customWidth="1"/>
    <col min="99" max="99" width="11.85546875" hidden="1" customWidth="1"/>
    <col min="100" max="100" width="16.7109375" hidden="1" customWidth="1"/>
    <col min="101" max="101" width="16" hidden="1" customWidth="1"/>
    <col min="102" max="102" width="16.28515625" hidden="1" customWidth="1"/>
    <col min="103" max="103" width="16.140625" hidden="1" customWidth="1"/>
    <col min="104" max="104" width="16.42578125" hidden="1" customWidth="1"/>
    <col min="105" max="105" width="16.140625" hidden="1" customWidth="1"/>
    <col min="106" max="106" width="14.42578125" hidden="1" customWidth="1"/>
    <col min="107" max="107" width="13.7109375" hidden="1" customWidth="1"/>
    <col min="108" max="108" width="14.28515625" hidden="1" customWidth="1"/>
    <col min="109" max="111" width="13.7109375" hidden="1" customWidth="1"/>
    <col min="112" max="112" width="16.7109375" hidden="1" customWidth="1"/>
    <col min="113" max="115" width="17.140625" hidden="1" customWidth="1"/>
    <col min="116" max="119" width="16.85546875" hidden="1" customWidth="1"/>
    <col min="120" max="121" width="16.5703125" hidden="1" customWidth="1"/>
    <col min="122" max="122" width="15.85546875" hidden="1" customWidth="1"/>
    <col min="123" max="123" width="16.7109375" hidden="1" customWidth="1"/>
    <col min="124" max="124" width="15.28515625" hidden="1" customWidth="1"/>
    <col min="125" max="125" width="16.28515625" hidden="1" customWidth="1"/>
    <col min="126" max="126" width="17.140625" hidden="1" customWidth="1"/>
    <col min="127" max="128" width="17.28515625" hidden="1" customWidth="1"/>
    <col min="129" max="129" width="17" hidden="1" customWidth="1"/>
    <col min="130" max="185" width="16.140625" hidden="1" customWidth="1"/>
    <col min="186" max="186" width="16.7109375" hidden="1" customWidth="1"/>
    <col min="187" max="187" width="19.140625" hidden="1" customWidth="1"/>
    <col min="188" max="188" width="16.5703125" hidden="1" customWidth="1"/>
    <col min="189" max="189" width="14.85546875" hidden="1" customWidth="1"/>
    <col min="190" max="196" width="13.140625" hidden="1" customWidth="1"/>
    <col min="197" max="197" width="18" hidden="1" customWidth="1"/>
    <col min="198" max="198" width="15.5703125" hidden="1" customWidth="1"/>
    <col min="199" max="199" width="15.42578125" hidden="1" customWidth="1"/>
    <col min="200" max="200" width="16.140625" hidden="1" customWidth="1"/>
    <col min="201" max="201" width="14.5703125" hidden="1" customWidth="1"/>
    <col min="202" max="202" width="15.42578125" hidden="1" customWidth="1"/>
    <col min="203" max="203" width="15.5703125" hidden="1" customWidth="1"/>
    <col min="204" max="205" width="14.85546875" hidden="1" customWidth="1"/>
    <col min="206" max="206" width="15.28515625" hidden="1" customWidth="1"/>
    <col min="207" max="207" width="16" hidden="1" customWidth="1"/>
    <col min="208" max="208" width="15.28515625" hidden="1" customWidth="1"/>
    <col min="209" max="210" width="9.28515625" hidden="1" customWidth="1"/>
  </cols>
  <sheetData>
    <row r="1" spans="2:210" ht="79.5" customHeight="1" thickBot="1" x14ac:dyDescent="0.3">
      <c r="I1" s="581" t="s">
        <v>144</v>
      </c>
      <c r="J1" s="581"/>
      <c r="K1" s="581"/>
      <c r="O1" s="49"/>
      <c r="Q1" s="49" t="s">
        <v>145</v>
      </c>
      <c r="S1" s="16" t="s">
        <v>145</v>
      </c>
      <c r="X1" t="s">
        <v>145</v>
      </c>
      <c r="AB1" s="580" t="s">
        <v>146</v>
      </c>
      <c r="AC1" s="580"/>
      <c r="AD1" s="312"/>
      <c r="AJ1" t="s">
        <v>145</v>
      </c>
      <c r="AK1" t="s">
        <v>145</v>
      </c>
      <c r="AL1" t="s">
        <v>145</v>
      </c>
      <c r="AM1" t="s">
        <v>145</v>
      </c>
      <c r="BJ1" t="s">
        <v>145</v>
      </c>
      <c r="BK1" t="s">
        <v>145</v>
      </c>
      <c r="BL1" t="s">
        <v>145</v>
      </c>
      <c r="BM1" t="s">
        <v>145</v>
      </c>
      <c r="CC1" t="s">
        <v>145</v>
      </c>
      <c r="CD1" t="s">
        <v>145</v>
      </c>
      <c r="CE1" t="s">
        <v>145</v>
      </c>
      <c r="CF1" t="s">
        <v>145</v>
      </c>
      <c r="CG1" t="s">
        <v>145</v>
      </c>
      <c r="CH1" s="49" t="s">
        <v>145</v>
      </c>
      <c r="CI1" s="49" t="s">
        <v>145</v>
      </c>
      <c r="CJ1" s="49" t="s">
        <v>145</v>
      </c>
      <c r="CK1" s="49" t="s">
        <v>145</v>
      </c>
      <c r="CL1" s="49" t="s">
        <v>145</v>
      </c>
      <c r="CM1" s="49" t="s">
        <v>145</v>
      </c>
      <c r="CN1" s="49" t="s">
        <v>145</v>
      </c>
      <c r="CO1" s="49" t="s">
        <v>147</v>
      </c>
      <c r="CP1" s="49"/>
      <c r="CQ1" s="49"/>
      <c r="EA1" s="331" t="s">
        <v>145</v>
      </c>
      <c r="EB1" s="331" t="s">
        <v>145</v>
      </c>
      <c r="EC1" s="331" t="s">
        <v>145</v>
      </c>
      <c r="ED1" s="331" t="s">
        <v>145</v>
      </c>
      <c r="EE1" s="331" t="s">
        <v>145</v>
      </c>
      <c r="EF1" s="331" t="s">
        <v>145</v>
      </c>
      <c r="EG1" s="331" t="s">
        <v>145</v>
      </c>
      <c r="EH1" s="331" t="s">
        <v>145</v>
      </c>
      <c r="EI1" s="331" t="s">
        <v>145</v>
      </c>
      <c r="EJ1" s="331" t="s">
        <v>145</v>
      </c>
      <c r="EK1" s="331" t="s">
        <v>145</v>
      </c>
      <c r="EL1" s="331" t="s">
        <v>145</v>
      </c>
      <c r="EM1" s="331" t="s">
        <v>145</v>
      </c>
      <c r="EN1" s="331" t="s">
        <v>145</v>
      </c>
      <c r="EO1" s="331" t="s">
        <v>145</v>
      </c>
      <c r="EP1" s="331" t="s">
        <v>145</v>
      </c>
      <c r="EQ1" s="331" t="s">
        <v>145</v>
      </c>
      <c r="ER1" s="335" t="s">
        <v>148</v>
      </c>
      <c r="ES1" s="336"/>
      <c r="ET1" s="336"/>
      <c r="EU1" s="336"/>
      <c r="EV1" s="336"/>
      <c r="EW1" s="336"/>
      <c r="EX1" s="337"/>
      <c r="EY1" s="332" t="s">
        <v>149</v>
      </c>
      <c r="EZ1" s="333"/>
      <c r="FA1" s="333"/>
      <c r="FB1" s="333"/>
      <c r="FC1" s="333"/>
      <c r="FD1" s="333"/>
      <c r="FE1" s="333"/>
      <c r="FF1" s="333"/>
      <c r="FG1" s="333"/>
      <c r="FH1" s="333"/>
      <c r="FI1" s="333"/>
      <c r="FJ1" s="333"/>
      <c r="FK1" s="333"/>
      <c r="FL1" s="333"/>
      <c r="FM1" s="333"/>
      <c r="FN1" s="333"/>
      <c r="FO1" s="333"/>
      <c r="FP1" s="333"/>
      <c r="FQ1" s="333"/>
      <c r="FR1" s="333"/>
      <c r="FS1" s="333"/>
      <c r="FT1" s="333"/>
      <c r="FU1" s="333"/>
      <c r="FV1" s="333"/>
      <c r="FW1" s="333"/>
      <c r="FX1" s="333"/>
      <c r="FY1" s="333"/>
      <c r="FZ1" s="333"/>
      <c r="GA1" s="333"/>
      <c r="GB1" s="334"/>
    </row>
    <row r="2" spans="2:210" s="24" customFormat="1" ht="84.75" customHeight="1" x14ac:dyDescent="0.2">
      <c r="B2" s="31" t="s">
        <v>47</v>
      </c>
      <c r="C2" s="31" t="s">
        <v>23</v>
      </c>
      <c r="D2" s="31" t="s">
        <v>33</v>
      </c>
      <c r="E2" s="31" t="s">
        <v>34</v>
      </c>
      <c r="F2" s="31" t="s">
        <v>150</v>
      </c>
      <c r="G2" s="31" t="s">
        <v>151</v>
      </c>
      <c r="H2" s="31" t="s">
        <v>152</v>
      </c>
      <c r="I2" s="31" t="s">
        <v>153</v>
      </c>
      <c r="J2" s="31" t="s">
        <v>154</v>
      </c>
      <c r="K2" s="31" t="s">
        <v>155</v>
      </c>
      <c r="L2" s="31" t="s">
        <v>156</v>
      </c>
      <c r="M2" s="31" t="s">
        <v>36</v>
      </c>
      <c r="N2" s="31" t="s">
        <v>157</v>
      </c>
      <c r="O2" s="31" t="s">
        <v>122</v>
      </c>
      <c r="P2" s="31" t="s">
        <v>158</v>
      </c>
      <c r="Q2" s="76" t="s">
        <v>159</v>
      </c>
      <c r="R2" s="31" t="s">
        <v>160</v>
      </c>
      <c r="S2" s="76" t="s">
        <v>161</v>
      </c>
      <c r="T2" s="31" t="s">
        <v>162</v>
      </c>
      <c r="U2" s="31" t="s">
        <v>163</v>
      </c>
      <c r="V2" s="31" t="s">
        <v>164</v>
      </c>
      <c r="W2" s="31" t="s">
        <v>43</v>
      </c>
      <c r="X2" s="31" t="s">
        <v>165</v>
      </c>
      <c r="Y2" s="31" t="s">
        <v>166</v>
      </c>
      <c r="Z2" s="31" t="s">
        <v>167</v>
      </c>
      <c r="AA2" s="31" t="s">
        <v>168</v>
      </c>
      <c r="AB2" s="31" t="s">
        <v>169</v>
      </c>
      <c r="AC2" s="31" t="s">
        <v>170</v>
      </c>
      <c r="AD2" s="31" t="s">
        <v>171</v>
      </c>
      <c r="AE2" s="31" t="s">
        <v>172</v>
      </c>
      <c r="AF2" s="31" t="s">
        <v>173</v>
      </c>
      <c r="AG2" s="31" t="s">
        <v>174</v>
      </c>
      <c r="AH2" s="31" t="s">
        <v>175</v>
      </c>
      <c r="AI2" s="31" t="s">
        <v>176</v>
      </c>
      <c r="AJ2" s="31" t="s">
        <v>177</v>
      </c>
      <c r="AK2" s="31" t="s">
        <v>178</v>
      </c>
      <c r="AL2" s="31" t="s">
        <v>179</v>
      </c>
      <c r="AM2" s="31" t="s">
        <v>180</v>
      </c>
      <c r="AN2" s="31" t="s">
        <v>181</v>
      </c>
      <c r="AO2" s="31" t="s">
        <v>182</v>
      </c>
      <c r="AP2" s="31" t="s">
        <v>183</v>
      </c>
      <c r="AQ2" s="31" t="s">
        <v>184</v>
      </c>
      <c r="AR2" s="31" t="s">
        <v>185</v>
      </c>
      <c r="AS2" s="31" t="s">
        <v>186</v>
      </c>
      <c r="AT2" s="31" t="s">
        <v>187</v>
      </c>
      <c r="AU2" s="31" t="s">
        <v>188</v>
      </c>
      <c r="AV2" s="31" t="s">
        <v>189</v>
      </c>
      <c r="AW2" s="31" t="s">
        <v>190</v>
      </c>
      <c r="AX2" s="31" t="s">
        <v>191</v>
      </c>
      <c r="AY2" s="31" t="s">
        <v>192</v>
      </c>
      <c r="AZ2" s="31" t="s">
        <v>193</v>
      </c>
      <c r="BA2" s="31" t="s">
        <v>194</v>
      </c>
      <c r="BB2" s="31" t="s">
        <v>195</v>
      </c>
      <c r="BC2" s="31" t="s">
        <v>196</v>
      </c>
      <c r="BD2" s="31" t="s">
        <v>197</v>
      </c>
      <c r="BE2" s="31" t="s">
        <v>198</v>
      </c>
      <c r="BF2" s="31" t="s">
        <v>199</v>
      </c>
      <c r="BG2" s="31" t="s">
        <v>200</v>
      </c>
      <c r="BH2" s="31" t="s">
        <v>201</v>
      </c>
      <c r="BI2" s="31" t="s">
        <v>202</v>
      </c>
      <c r="BJ2" s="31" t="s">
        <v>203</v>
      </c>
      <c r="BK2" s="31" t="s">
        <v>204</v>
      </c>
      <c r="BL2" s="31" t="s">
        <v>205</v>
      </c>
      <c r="BM2" s="31" t="s">
        <v>206</v>
      </c>
      <c r="BN2" s="31" t="s">
        <v>207</v>
      </c>
      <c r="BO2" s="31" t="s">
        <v>208</v>
      </c>
      <c r="BP2" s="31" t="s">
        <v>209</v>
      </c>
      <c r="BQ2" s="31" t="s">
        <v>210</v>
      </c>
      <c r="BR2" s="31" t="s">
        <v>211</v>
      </c>
      <c r="BS2" s="31" t="s">
        <v>212</v>
      </c>
      <c r="BT2" s="31" t="s">
        <v>213</v>
      </c>
      <c r="BU2" s="31" t="s">
        <v>214</v>
      </c>
      <c r="BV2" s="31" t="s">
        <v>215</v>
      </c>
      <c r="BW2" s="31" t="s">
        <v>216</v>
      </c>
      <c r="BX2" s="31" t="s">
        <v>217</v>
      </c>
      <c r="BY2" s="31" t="s">
        <v>218</v>
      </c>
      <c r="BZ2" s="31" t="s">
        <v>219</v>
      </c>
      <c r="CA2" s="31" t="s">
        <v>220</v>
      </c>
      <c r="CB2" s="31" t="s">
        <v>221</v>
      </c>
      <c r="CC2" s="73" t="s">
        <v>222</v>
      </c>
      <c r="CD2" s="73" t="s">
        <v>223</v>
      </c>
      <c r="CE2" s="31" t="s">
        <v>224</v>
      </c>
      <c r="CF2" s="31" t="s">
        <v>225</v>
      </c>
      <c r="CG2" s="93" t="s">
        <v>226</v>
      </c>
      <c r="CH2" s="76" t="s">
        <v>227</v>
      </c>
      <c r="CI2" s="76" t="s">
        <v>228</v>
      </c>
      <c r="CJ2" s="75" t="s">
        <v>229</v>
      </c>
      <c r="CK2" s="75" t="s">
        <v>230</v>
      </c>
      <c r="CL2" s="76" t="s">
        <v>231</v>
      </c>
      <c r="CM2" s="76" t="s">
        <v>232</v>
      </c>
      <c r="CN2" s="76" t="s">
        <v>233</v>
      </c>
      <c r="CO2" s="31" t="s">
        <v>234</v>
      </c>
      <c r="CP2" s="31" t="s">
        <v>235</v>
      </c>
      <c r="CQ2" s="31" t="s">
        <v>236</v>
      </c>
      <c r="CR2" s="31" t="s">
        <v>237</v>
      </c>
      <c r="CS2" s="31" t="s">
        <v>238</v>
      </c>
      <c r="CT2" s="31" t="s">
        <v>239</v>
      </c>
      <c r="CU2" s="31" t="s">
        <v>240</v>
      </c>
      <c r="CV2" s="31" t="s">
        <v>241</v>
      </c>
      <c r="CW2" s="31" t="s">
        <v>242</v>
      </c>
      <c r="CX2" s="31" t="s">
        <v>243</v>
      </c>
      <c r="CY2" s="31" t="s">
        <v>244</v>
      </c>
      <c r="CZ2" s="31" t="s">
        <v>245</v>
      </c>
      <c r="DA2" s="31" t="s">
        <v>246</v>
      </c>
      <c r="DB2" s="31" t="s">
        <v>247</v>
      </c>
      <c r="DC2" s="31" t="s">
        <v>248</v>
      </c>
      <c r="DD2" s="31" t="s">
        <v>249</v>
      </c>
      <c r="DE2" s="31" t="s">
        <v>250</v>
      </c>
      <c r="DF2" s="31" t="s">
        <v>251</v>
      </c>
      <c r="DG2" s="31" t="s">
        <v>252</v>
      </c>
      <c r="DH2" s="31" t="s">
        <v>253</v>
      </c>
      <c r="DI2" s="31" t="s">
        <v>254</v>
      </c>
      <c r="DJ2" s="31" t="s">
        <v>255</v>
      </c>
      <c r="DK2" s="31" t="s">
        <v>256</v>
      </c>
      <c r="DL2" s="31" t="s">
        <v>257</v>
      </c>
      <c r="DM2" s="31" t="s">
        <v>258</v>
      </c>
      <c r="DN2" s="31" t="s">
        <v>259</v>
      </c>
      <c r="DO2" s="31" t="s">
        <v>260</v>
      </c>
      <c r="DP2" s="31" t="s">
        <v>261</v>
      </c>
      <c r="DQ2" s="31" t="s">
        <v>262</v>
      </c>
      <c r="DR2" s="31" t="s">
        <v>263</v>
      </c>
      <c r="DS2" s="31" t="s">
        <v>264</v>
      </c>
      <c r="DT2" s="31" t="s">
        <v>265</v>
      </c>
      <c r="DU2" s="31" t="s">
        <v>266</v>
      </c>
      <c r="DV2" s="31" t="s">
        <v>267</v>
      </c>
      <c r="DW2" s="31" t="s">
        <v>268</v>
      </c>
      <c r="DX2" s="31" t="s">
        <v>269</v>
      </c>
      <c r="DY2" s="31" t="s">
        <v>270</v>
      </c>
      <c r="DZ2" s="31" t="s">
        <v>271</v>
      </c>
      <c r="EA2" s="338" t="s">
        <v>272</v>
      </c>
      <c r="EB2" s="338" t="s">
        <v>273</v>
      </c>
      <c r="EC2" s="338" t="s">
        <v>274</v>
      </c>
      <c r="ED2" s="338" t="s">
        <v>275</v>
      </c>
      <c r="EE2" s="338" t="s">
        <v>276</v>
      </c>
      <c r="EF2" s="313" t="s">
        <v>277</v>
      </c>
      <c r="EG2" s="31" t="s">
        <v>278</v>
      </c>
      <c r="EH2" s="31" t="s">
        <v>279</v>
      </c>
      <c r="EI2" s="313" t="s">
        <v>280</v>
      </c>
      <c r="EJ2" s="31" t="s">
        <v>281</v>
      </c>
      <c r="EK2" s="31" t="s">
        <v>282</v>
      </c>
      <c r="EL2" s="31" t="s">
        <v>283</v>
      </c>
      <c r="EM2" s="31" t="s">
        <v>284</v>
      </c>
      <c r="EN2" s="31" t="s">
        <v>285</v>
      </c>
      <c r="EO2" s="31" t="s">
        <v>286</v>
      </c>
      <c r="EP2" s="31" t="s">
        <v>287</v>
      </c>
      <c r="EQ2" s="31" t="s">
        <v>288</v>
      </c>
      <c r="ER2" s="31" t="s">
        <v>289</v>
      </c>
      <c r="ES2" s="31" t="s">
        <v>290</v>
      </c>
      <c r="ET2" s="31" t="s">
        <v>291</v>
      </c>
      <c r="EU2" s="31" t="s">
        <v>292</v>
      </c>
      <c r="EV2" s="31" t="s">
        <v>293</v>
      </c>
      <c r="EW2" s="31" t="s">
        <v>294</v>
      </c>
      <c r="EX2" s="31" t="s">
        <v>295</v>
      </c>
      <c r="EY2" s="31" t="s">
        <v>296</v>
      </c>
      <c r="EZ2" s="31" t="s">
        <v>297</v>
      </c>
      <c r="FA2" s="31" t="s">
        <v>298</v>
      </c>
      <c r="FB2" s="31" t="s">
        <v>299</v>
      </c>
      <c r="FC2" s="338" t="s">
        <v>300</v>
      </c>
      <c r="FD2" s="31" t="s">
        <v>301</v>
      </c>
      <c r="FE2" s="31" t="s">
        <v>302</v>
      </c>
      <c r="FF2" s="31" t="s">
        <v>303</v>
      </c>
      <c r="FG2" s="31" t="s">
        <v>304</v>
      </c>
      <c r="FH2" s="31" t="s">
        <v>305</v>
      </c>
      <c r="FI2" s="31" t="s">
        <v>306</v>
      </c>
      <c r="FJ2" s="31" t="s">
        <v>307</v>
      </c>
      <c r="FK2" s="31" t="s">
        <v>308</v>
      </c>
      <c r="FL2" s="31" t="s">
        <v>309</v>
      </c>
      <c r="FM2" s="338" t="s">
        <v>310</v>
      </c>
      <c r="FN2" s="31" t="s">
        <v>311</v>
      </c>
      <c r="FO2" s="31" t="s">
        <v>312</v>
      </c>
      <c r="FP2" s="338" t="s">
        <v>313</v>
      </c>
      <c r="FQ2" s="31" t="s">
        <v>314</v>
      </c>
      <c r="FR2" s="31" t="s">
        <v>315</v>
      </c>
      <c r="FS2" s="31" t="s">
        <v>316</v>
      </c>
      <c r="FT2" s="31" t="s">
        <v>317</v>
      </c>
      <c r="FU2" s="31" t="s">
        <v>318</v>
      </c>
      <c r="FV2" s="31" t="s">
        <v>319</v>
      </c>
      <c r="FW2" s="31" t="s">
        <v>320</v>
      </c>
      <c r="FX2" s="31" t="s">
        <v>321</v>
      </c>
      <c r="FY2" s="31" t="s">
        <v>322</v>
      </c>
      <c r="FZ2" s="31" t="s">
        <v>323</v>
      </c>
      <c r="GA2" s="31" t="s">
        <v>324</v>
      </c>
      <c r="GB2" s="31" t="s">
        <v>325</v>
      </c>
      <c r="GC2" s="31" t="s">
        <v>326</v>
      </c>
      <c r="GD2" s="73" t="s">
        <v>327</v>
      </c>
      <c r="GE2" s="73" t="s">
        <v>328</v>
      </c>
      <c r="GF2" s="73" t="s">
        <v>329</v>
      </c>
      <c r="GG2" s="73" t="s">
        <v>330</v>
      </c>
      <c r="GH2" s="73" t="s">
        <v>331</v>
      </c>
      <c r="GI2" s="73" t="s">
        <v>332</v>
      </c>
      <c r="GJ2" s="73" t="s">
        <v>333</v>
      </c>
      <c r="GK2" s="73" t="s">
        <v>334</v>
      </c>
      <c r="GL2" s="73" t="s">
        <v>335</v>
      </c>
      <c r="GM2" s="73" t="s">
        <v>336</v>
      </c>
      <c r="GN2" s="73" t="s">
        <v>337</v>
      </c>
      <c r="GO2" s="73" t="s">
        <v>338</v>
      </c>
      <c r="GP2" s="73" t="s">
        <v>339</v>
      </c>
      <c r="GQ2" s="73" t="s">
        <v>340</v>
      </c>
      <c r="GR2" s="73" t="s">
        <v>341</v>
      </c>
      <c r="GS2" s="73" t="s">
        <v>342</v>
      </c>
      <c r="GT2" s="73" t="s">
        <v>343</v>
      </c>
      <c r="GU2" s="73" t="s">
        <v>344</v>
      </c>
      <c r="GV2" s="73" t="s">
        <v>345</v>
      </c>
      <c r="GW2" s="73" t="s">
        <v>346</v>
      </c>
      <c r="GX2" s="73" t="s">
        <v>347</v>
      </c>
      <c r="GY2" s="73" t="s">
        <v>348</v>
      </c>
      <c r="GZ2" s="73" t="s">
        <v>349</v>
      </c>
      <c r="HA2" s="377" t="s">
        <v>350</v>
      </c>
      <c r="HB2" s="338" t="s">
        <v>126</v>
      </c>
    </row>
    <row r="3" spans="2:210" x14ac:dyDescent="0.2">
      <c r="B3" s="49" t="s">
        <v>351</v>
      </c>
      <c r="C3" s="49" t="s">
        <v>352</v>
      </c>
      <c r="D3" s="6">
        <v>4</v>
      </c>
      <c r="E3" s="6">
        <v>0.75</v>
      </c>
      <c r="F3" s="6" t="str">
        <f>IF(Reinforcements[[#This Row],[Type]]="","",IF(Reinforcements[[#This Row],[Type]]="solid round","","n/a"))</f>
        <v>n/a</v>
      </c>
      <c r="G3" s="6" t="str">
        <f>IF(Reinforcements[[#This Row],[Type]]="","",IF(Reinforcements[[#This Row],[Type]]&lt;&gt;"channel","n/a",""))</f>
        <v>n/a</v>
      </c>
      <c r="H3" s="6" t="str">
        <f>IF(Reinforcements[[#This Row],[Type]]="","",IF(Reinforcements[[#This Row],[Type]]&lt;&gt;"channel","n/a",""))</f>
        <v>n/a</v>
      </c>
      <c r="I3" s="126" t="str">
        <f>IF(Reinforcements[[#This Row],[Type]]="","",IF(Reinforcements[[#This Row],[Type]]&lt;&gt;"channel","n/a",Reinforcements[[#This Row],[eo]]))</f>
        <v>n/a</v>
      </c>
      <c r="J3" s="126" t="str">
        <f>IF(Reinforcements[[#This Row],[Type]]="","",IF(Reinforcements[[#This Row],[Type]]&lt;&gt;"channel","n/a",Reinforcements[[#This Row],[J]]))</f>
        <v>n/a</v>
      </c>
      <c r="K3" s="126" t="str">
        <f>IF(Reinforcements[[#This Row],[Type]]="","",IF(Reinforcements[[#This Row],[Type]]&lt;&gt;"channel","n/a",Reinforcements[[#This Row],[Cw]]))</f>
        <v>n/a</v>
      </c>
      <c r="L3" s="6">
        <f>IFERROR(IF(Reinforcements[[#This Row],[Type]]="","",IF(Reinforcements[[#This Row],[Type]]="plate",Reinforcements[[#This Row],[B (in)]]*Reinforcements[[#This Row],[H (in)]],IF(Reinforcements[[#This Row],[Type]]="solid round",PI()/4*Reinforcements[[#This Row],[Diameter (in)]]^2,""))),"")</f>
        <v>3</v>
      </c>
      <c r="M3" s="6">
        <f>IFERROR(IF(Reinforcements[[#This Row],[Type]]="","",IF(Reinforcements[[#This Row],[Type]]="plate",Reinforcements[[#This Row],[H (in)]]/2,"")),"")</f>
        <v>0.375</v>
      </c>
      <c r="N3" s="16" t="s">
        <v>353</v>
      </c>
      <c r="O3" s="6" t="s">
        <v>132</v>
      </c>
      <c r="P3" s="123">
        <f>IFERROR(IF(Reinforcements[[#This Row],[Type]]="","",IF(Reinforcements[[#This Row],[Type]]="plate",Reinforcements[[#This Row],[B (in)]]*Reinforcements[[#This Row],[H (in)]]^3/12,IF(Reinforcements[[#This Row],[Type]]="solid round",PI()/64*Reinforcements[[#This Row],[Diameter (in)]]^4,""))),"")</f>
        <v>0.140625</v>
      </c>
      <c r="Q3" s="123">
        <f>IF(Reinforcements[[#This Row],[Reinforcement]]="","",SQRT(Reinforcements[[#This Row],[Ix]]/Reinforcements[[#This Row],[Gross Area (in2)]]))</f>
        <v>0.21650635094610965</v>
      </c>
      <c r="R3" s="123">
        <f>IFERROR(IF(Reinforcements[[#This Row],[Type]]="","",IF(Reinforcements[[#This Row],[Type]]="plate",Reinforcements[[#This Row],[B (in)]]^3*Reinforcements[[#This Row],[H (in)]]/12,IF(Reinforcements[[#This Row],[Type]]="solid round",PI()/64*Reinforcements[[#This Row],[Diameter (in)]]^4,""))),"")</f>
        <v>4</v>
      </c>
      <c r="S3" s="123">
        <f>IF(Reinforcements[[#This Row],[Reinforcement]]="","",SQRT(Reinforcements[[#This Row],[Iy]]/Reinforcements[[#This Row],[Gross Area (in2)]]))</f>
        <v>1.1547005383792515</v>
      </c>
      <c r="T3" s="6">
        <v>15</v>
      </c>
      <c r="U3" s="6">
        <v>0.8</v>
      </c>
      <c r="V3" s="6">
        <v>1</v>
      </c>
      <c r="W3" s="6">
        <v>1.1875</v>
      </c>
      <c r="X3" s="6">
        <f>IF(Reinforcements[[#This Row],[Bolt Hole Size (in)]]="","",IF(Reinforcements[[#This Row],[Bolt Hole Size (in)]]="n/a","n/a",Reinforcements[[#This Row],[Bolt Hole Size (in)]]*25.4))</f>
        <v>30.162499999999998</v>
      </c>
      <c r="Y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6">
        <f>IFERROR(IF(Reinforcements[[#This Row],[Reinforcement]]="","",IF(OR(Reinforcements[[#This Row],[Type]]="plate",Reinforcements[[#This Row],[Type]]="solid round"),1,IF(Reinforcements[[#This Row],[Type]]="arbitrary","",1-Reinforcements[[#This Row],[Pole Face to Centroid (in)]]/Reinforcements[[#This Row],[Connection Length (in) '[Channels']]]))),"")</f>
        <v>1</v>
      </c>
      <c r="AA3" s="16" t="s">
        <v>354</v>
      </c>
      <c r="AB3" s="16" t="str">
        <f>IF(Reinforcements[[#This Row],[Reinforcement]]="","",IF(Reinforcements[[#This Row],[Bottom End Connection Type]]&lt;&gt;"Capacity Input","-",""))</f>
        <v>-</v>
      </c>
      <c r="AC3" s="16" t="str">
        <f>IF(Reinforcements[[#This Row],[Reinforcement]]="","",IF(Reinforcements[[#This Row],[Bottom End Connection Type]]&lt;&gt;"Capacity Input","-",""))</f>
        <v>-</v>
      </c>
      <c r="AD3" s="16" t="str">
        <f>IF(Reinforcements[[#This Row],[Reinforcement]]="","",IF(Reinforcements[[#This Row],[Bottom End Connection Type]]&lt;&gt;"Capacity Input","-",""))</f>
        <v>-</v>
      </c>
      <c r="AE3" s="74" t="s">
        <v>355</v>
      </c>
      <c r="AF3" s="6" t="s">
        <v>356</v>
      </c>
      <c r="AG3" s="6">
        <v>6</v>
      </c>
      <c r="AH3" s="6">
        <v>3</v>
      </c>
      <c r="AI3" s="6">
        <v>2</v>
      </c>
      <c r="AJ3" s="111">
        <f>Reinforcements[[#This Row],[End Connection Edge Distance (in) (B)]]-(Reinforcements[[#This Row],[Bolt Hole Size (in)]]+1/16)/2</f>
        <v>1.375</v>
      </c>
      <c r="AK3" s="6">
        <f>Reinforcements[[#This Row],[End Connection Bolt Spacing (in) (B)]]-(Reinforcements[[#This Row],[Bolt Hole Size (in)]]+1/16)</f>
        <v>1.75</v>
      </c>
      <c r="AL3" s="6">
        <f>Reinforcements[[#This Row],[End Connection Edge Distance (in) (B)]]</f>
        <v>2</v>
      </c>
      <c r="AM3" s="6">
        <f>Reinforcements[[#This Row],[End Connection Bolt Spacing (in) (B)]]</f>
        <v>3</v>
      </c>
      <c r="AN3" s="111" t="str">
        <f>IF(Reinforcements[[#This Row],[Reinforcement]]="","",IF(OR(Reinforcements[[#This Row],[Bottom End Connection Type]]="Bolted",Reinforcements[[#This Row],[Bottom End Connection Type]]=""),"-",""))</f>
        <v>-</v>
      </c>
      <c r="AO3" s="111" t="str">
        <f>IF(Reinforcements[[#This Row],[Reinforcement]]="","",IF(OR(Reinforcements[[#This Row],[Bottom End Connection Type]]="Bolted",Reinforcements[[#This Row],[Bottom End Connection Type]]=""),"-",""))</f>
        <v>-</v>
      </c>
      <c r="AP3" s="111" t="str">
        <f>IF(Reinforcements[[#This Row],[Reinforcement]]="","",IF(OR(Reinforcements[[#This Row],[Bottom End Connection Type]]="Bolted",Reinforcements[[#This Row],[Bottom End Connection Type]]=""),"-",""))</f>
        <v>-</v>
      </c>
      <c r="AQ3" s="111" t="str">
        <f>IF(OR(Reinforcements[[#This Row],[Bottom End Connection Type]]="Bolted",Reinforcements[[#This Row],[Bottom Transverse (Horizontal) Weld]]="none"),"-","")</f>
        <v>-</v>
      </c>
      <c r="AR3"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11" t="str">
        <f>IF(OR(Reinforcements[[#This Row],[Bottom Transverse (Horizontal) Weld]]="none",Reinforcements[[#This Row],[Bottom End Connection Type]]="Bolted"),"-","")</f>
        <v>-</v>
      </c>
      <c r="AU3"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11" t="str">
        <f>IF(Reinforcements[[#This Row],[Reinforcement]]="","",IF(OR(Reinforcements[[#This Row],[Bottom End Connection Type]]="Bolted",Reinforcements[[#This Row],[Bottom End Connection Type]]=""),"-",""))</f>
        <v>-</v>
      </c>
      <c r="AW3" s="111" t="str">
        <f>IF(Reinforcements[[#This Row],[Reinforcement]]="","",IF(OR(Reinforcements[[#This Row],[Bottom End Connection Type]]&lt;&gt;"Welded",Reinforcements[[#This Row],[Bottom Longitudinal (Vertical) Weld]]="None",Reinforcements[[#This Row],[Bottom Longitudinal (Vertical) Weld]]=""),"-",""))</f>
        <v>-</v>
      </c>
      <c r="AX3" s="111" t="str">
        <f>IF(Reinforcements[[#This Row],[Reinforcement]]="","",IF(OR(Reinforcements[[#This Row],[Bottom End Connection Type]]&lt;&gt;"Welded",Reinforcements[[#This Row],[Bottom Longitudinal (Vertical) Weld]]="None",Reinforcements[[#This Row],[Bottom Longitudinal (Vertical) Weld]]=""),"-",""))</f>
        <v>-</v>
      </c>
      <c r="AY3" s="111" t="str">
        <f>IF(Reinforcements[[#This Row],[Reinforcement]]="","",IF(OR(Reinforcements[[#This Row],[Bottom End Connection Type]]&lt;&gt;"Welded",Reinforcements[[#This Row],[Bottom Longitudinal (Vertical) Weld]]="None"),"-",SQRT(2)/2*Reinforcements[[#This Row],[Bottom Longitudinal Weld Fillet Size (in)]]))</f>
        <v>-</v>
      </c>
      <c r="AZ3" s="6" t="s">
        <v>357</v>
      </c>
      <c r="BA3" s="16" t="str">
        <f>IF(Reinforcements[[#This Row],[Top End Connection Same?]]="Yes",Reinforcements[[#This Row],[Bottom End Connection Type]],"")</f>
        <v>Bolted</v>
      </c>
      <c r="BB3" s="16" t="str">
        <f>IF(Reinforcements[[#This Row],[Reinforcement]]="","",IF(Reinforcements[[#This Row],[Top End Connection Same?]]="Yes",Reinforcements[[#This Row],[Rev. F Bottom Connection Capacity (kips)]],IF(Reinforcements[[#This Row],[Reinforcement]]="","",IF(Reinforcements[[#This Row],[Top End Connection Type]]&lt;&gt;"Capacity Input","-",""))))</f>
        <v>-</v>
      </c>
      <c r="BC3" s="16" t="str">
        <f>IF(Reinforcements[[#This Row],[Reinforcement]]="","",IF(Reinforcements[[#This Row],[Top End Connection Same?]]="Yes",Reinforcements[[#This Row],[Rev. G Bottom Connection Capacity (kips)]],IF(Reinforcements[[#This Row],[Reinforcement]]="","",IF(Reinforcements[[#This Row],[Top End Connection Type]]&lt;&gt;"Capacity Input","-",""))))</f>
        <v>-</v>
      </c>
      <c r="BD3" s="16" t="str">
        <f>IF(Reinforcements[[#This Row],[Reinforcement]]="","",IF(Reinforcements[[#This Row],[Top End Connection Same?]]="Yes",Reinforcements[[#This Row],[Rev. G Bottom Connection Capacity (kips)]],IF(Reinforcements[[#This Row],[Reinforcement]]="","",IF(Reinforcements[[#This Row],[Top End Connection Type]]&lt;&gt;"Capacity Input","-",""))))</f>
        <v>-</v>
      </c>
      <c r="BE3" s="74" t="str">
        <f>IF(Reinforcements[[#This Row],[Top End Connection Same?]]="Yes",Reinforcements[[#This Row],[Bottom End Connection Bolt Type]],IF(Reinforcements[[#This Row],[Top End Connection Type]]="Welded","-",""))</f>
        <v>PC 8.8 - M20 (100)</v>
      </c>
      <c r="BF3" s="6" t="str">
        <f>IF(Reinforcements[[#This Row],[Top End Connection Same?]]="Yes",Reinforcements[[#This Row],[Threads Included (N) or Excluded (X) (Bottom)]],IF(Reinforcements[[#This Row],[Top End Connection Type]]="Welded","-",""))</f>
        <v>N</v>
      </c>
      <c r="BG3" s="6">
        <f>IF(Reinforcements[[#This Row],[Top End Connection Same?]]="Yes",Reinforcements[[#This Row],['# of End Connection Bolts          (Bottom)]],IF(Reinforcements[[#This Row],[Top End Connection Type]]="Welded","-",""))</f>
        <v>6</v>
      </c>
      <c r="BH3" s="6">
        <f>IF(Reinforcements[[#This Row],[Top End Connection Same?]]="Yes",Reinforcements[[#This Row],[End Connection Bolt Spacing (in) (B)]],IF(Reinforcements[[#This Row],[Top End Connection Type]]="Welded","-",""))</f>
        <v>3</v>
      </c>
      <c r="BI3" s="6">
        <f>IF(Reinforcements[[#This Row],[Top End Connection Same?]]="Yes",Reinforcements[[#This Row],[End Connection Edge Distance (in) (B)]],IF(Reinforcements[[#This Row],[Top End Connection Type]]="Welded","-",""))</f>
        <v>2</v>
      </c>
      <c r="BJ3" s="6">
        <f>Reinforcements[[#This Row],[End Connection Edge Distance (in) (T)]]-(Reinforcements[[#This Row],[Bolt Hole Size (in)]]+1/16)/2</f>
        <v>1.375</v>
      </c>
      <c r="BK3" s="6">
        <f>Reinforcements[[#This Row],[End Connection Bolt Spacing (in) (T)]]-(Reinforcements[[#This Row],[Bolt Hole Size (in)]]+1/16)</f>
        <v>1.75</v>
      </c>
      <c r="BL3" s="6">
        <f>Reinforcements[[#This Row],[End Connection Edge Distance (in) (T)]]</f>
        <v>2</v>
      </c>
      <c r="BM3" s="6">
        <f>Reinforcements[[#This Row],[End Connection Bolt Spacing (in) (T)]]</f>
        <v>3</v>
      </c>
      <c r="BN3" s="6" t="str">
        <f>IF(Reinforcements[[#This Row],[Reinforcement]]="","",IF(Reinforcements[[#This Row],[Top End Connection Same?]]="Yes",Reinforcements[[#This Row],[Bottom Connected to Flange/Base Plate?]],IF(Reinforcements[[#This Row],[Top End Connection Type]]="Bolted","-","")))</f>
        <v>-</v>
      </c>
      <c r="BO3" s="6" t="str">
        <f>IF(Reinforcements[[#This Row],[Reinforcement]]="","",IF(Reinforcements[[#This Row],[Top End Connection Same?]]="Yes",Reinforcements[[#This Row],[Bottom Weld Grade (ksi)]],IF(OR(Reinforcements[[#This Row],[Top End Connection Type]]&lt;&gt;"Welded",Reinforcements[[#This Row],[Top End Connection Type]]=""),"-","")))</f>
        <v>-</v>
      </c>
      <c r="BP3" s="6" t="str">
        <f>IF($AZ3="Yes",AP3,IF(Reinforcements[[#This Row],[Reinforcement]]="","",IF(OR(Reinforcements[[#This Row],[Top End Connection Type]]&lt;&gt;"Welded",Reinforcements[[#This Row],[Top End Connection Type]]=""),"-","")))</f>
        <v>-</v>
      </c>
      <c r="BQ3" s="6" t="str">
        <f>IF(Reinforcements[[#This Row],[Reinforcement]]="","",IF($AZ3="Yes",AQ3,IF(OR(Reinforcements[[#This Row],[Top End Connection Type]]&lt;&gt;"Welded",Reinforcements[[#This Row],[Top Transverse (Horizontal) Weld]]="none",Reinforcements[[#This Row],[Top Transverse (Horizontal) Weld]]=""),"-","")))</f>
        <v>-</v>
      </c>
      <c r="BR3" s="6"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6"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6" t="str">
        <f>IF(Reinforcements[[#This Row],[Reinforcement]]="","",IF($AZ3="Yes",AT3,IF(OR(Reinforcements[[#This Row],[Top Transverse (Horizontal) Weld]]="none",Reinforcements[[#This Row],[Top End Connection Type]]&lt;&gt;"Welded",Reinforcements[[#This Row],[Top Transverse (Horizontal) Weld]]=""),"-","")))</f>
        <v>-</v>
      </c>
      <c r="BU3" s="6"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6" t="str">
        <f>IF($AZ3="Yes",AV3,IF(Reinforcements[[#This Row],[Reinforcement]]="","",IF(OR(Reinforcements[[#This Row],[Top End Connection Type]]&lt;&gt;"Welded",Reinforcements[[#This Row],[Top End Connection Type]]=""),"-","")))</f>
        <v>-</v>
      </c>
      <c r="BW3" s="6"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6"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6" t="str">
        <f>IF($AZ3="Yes",AY3,IF(Reinforcements[[#This Row],[Reinforcement]]="","",IF(OR(Reinforcements[[#This Row],[Top End Connection Type]]&lt;&gt;"Welded",Reinforcements[[#This Row],[Top Longitudinal (Vertical) Weld]]="none"),"-",SQRT(2)/2*Reinforcements[[#This Row],[Top Longitudinal Weld Fillet Size (in)]])))</f>
        <v>-</v>
      </c>
      <c r="BZ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11">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11">
        <f>IF(Reinforcements[[#This Row],[Reinforcement]]="","",IF(Reinforcements[[#This Row],[Top End Connection Type]]&lt;&gt;"Bolted","n/a",(Reinforcements[[#This Row],['# of End Connection Bolts          (Top)]]-1)*Reinforcements[[#This Row],[End Connection Bolt Spacing (in) (T)]]+Reinforcements[[#This Row],[End Connection Edge Distance (in) (T)]]))</f>
        <v>17</v>
      </c>
      <c r="CC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6">
        <f>IFERROR(IF(Reinforcements[[#This Row],[Type]]="","",Reinforcements[[#This Row],[Effective B (in)]]*Reinforcements[[#This Row],[Effective H (in)]]^3/12),"")</f>
        <v>0.140625</v>
      </c>
      <c r="CF3" s="6">
        <f>IFERROR(IF(Reinforcements[[#This Row],[Type]]="","",Reinforcements[[#This Row],[Effective B (in)]]^3*Reinforcements[[#This Row],[Effective H (in)]]/12),"")</f>
        <v>4</v>
      </c>
      <c r="CG3" s="124">
        <f>SQRT(2*PI()^2*29000/VLOOKUP(Reinforcements[[#This Row],[Material]],Materials[],2,FALSE))</f>
        <v>75.659570132481107</v>
      </c>
      <c r="CH3" s="12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23">
        <f>Reinforcements[[#This Row],[Effective Length Factor Kx]]*Reinforcements[[#This Row],[Lu (in)]]/(Reinforcements[[#This Row],[rx]]*PI())*SQRT(VLOOKUP(Reinforcements[[#This Row],[Material]],Materials[],2,FALSE)/29000)</f>
        <v>1.0360047199820279</v>
      </c>
      <c r="CK3" s="123">
        <f>Reinforcements[[#This Row],[Effective Length Factor Ky]]*Reinforcements[[#This Row],[Lu (in)]]/(Reinforcements[[#This Row],[ry]]*PI())*SQRT(VLOOKUP(Reinforcements[[#This Row],[Material]],Materials[],2,FALSE)/29000)</f>
        <v>0.24281360624578782</v>
      </c>
      <c r="CL3" s="123">
        <f>IF(Reinforcements[[#This Row],[λcx]]&lt;=1.5,0.658^(Reinforcements[[#This Row],[λcx]]^2)*Reinforcements[[#This Row],[F''y]],0.877/(Reinforcements[[#This Row],[λcx]]^2)*Reinforcements[[#This Row],[F''y]])</f>
        <v>63.811771442511876</v>
      </c>
      <c r="CM3" s="123">
        <f>IF(Reinforcements[[#This Row],[λcy]]&lt;=1.5,0.658^(Reinforcements[[#This Row],[λcy]]^2)*Reinforcements[[#This Row],[F''y]],0.877/(Reinforcements[[#This Row],[λcy]]^2)*Reinforcements[[#This Row],[F''y]])</f>
        <v>97.562491128158072</v>
      </c>
      <c r="CN3" s="6">
        <f>VLOOKUP(Reinforcements[[#This Row],[Material]],Materials[],2,FALSE)</f>
        <v>100</v>
      </c>
      <c r="CO3" s="126">
        <f>IF(Reinforcements[[#This Row],[Reinforcement]]="","",Reinforcements[[#This Row],[Fax]]*Reinforcements[[#This Row],[Gross Area (in2)]])</f>
        <v>116.00134845191261</v>
      </c>
      <c r="CP3" s="126">
        <f>IF(Reinforcements[[#This Row],[Reinforcement]]="","",Reinforcements[[#This Row],[Fay]]*Reinforcements[[#This Row],[Gross Area (in2)]])</f>
        <v>170.81296640183558</v>
      </c>
      <c r="CQ3" s="126">
        <f>IF(Reinforcements[[#This Row],[Reinforcement]]="","",0.6*VLOOKUP(Reinforcements[[#This Row],[Material]],Materials[],2,FALSE)*Reinforcements[[#This Row],[Gross Area (in2)]])</f>
        <v>180</v>
      </c>
      <c r="CR3" s="126">
        <f>IF(Reinforcements[[#This Row],[Reinforcement]]="","",0.5*VLOOKUP(Reinforcements[[#This Row],[Material]],Materials[],3,FALSE)*Reinforcements[[#This Row],[Net Area (in2)]]*Reinforcements[[#This Row],[Shear Lag (U)]])</f>
        <v>113.4375</v>
      </c>
      <c r="CS3" s="126">
        <f>IF(Reinforcements[[#This Row],[Reinforcement]]="","",0.4*VLOOKUP(Reinforcements[[#This Row],[Material]],Materials[],2,FALSE)*Reinforcements[[#This Row],[Gross Area (in2)]])</f>
        <v>120</v>
      </c>
      <c r="CT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24">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24">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24">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24">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6"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6"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26">
        <f>IF(Reinforcements[[#This Row],[Reinforcement]]="","",φ_c*Reinforcements[[#This Row],[Fcr,x]]*Reinforcements[[#This Row],[Gross Area (in2)]])</f>
        <v>172.29178289478205</v>
      </c>
      <c r="DI3" s="126">
        <f>IF(Reinforcements[[#This Row],[Reinforcement]]="","",φ_c*Reinforcements[[#This Row],[Fcr,y]]*Reinforcements[[#This Row],[Gross Area (in2)]])</f>
        <v>263.41872604602679</v>
      </c>
      <c r="DJ3" s="126">
        <f>IF(Reinforcements[[#This Row],[Reinforcement]]="","",φ_t_y*VLOOKUP(Reinforcements[[#This Row],[Material]],Materials[],2,FALSE)*Reinforcements[[#This Row],[Gross Area (in2)]])</f>
        <v>270</v>
      </c>
      <c r="DK3" s="126">
        <f>IF(Reinforcements[[#This Row],[Reinforcement]]="","",φ_t_r*VLOOKUP(Reinforcements[[#This Row],[Material]],Materials[],3,FALSE)*Reinforcements[[#This Row],[Net Area (in2)]]*Reinforcements[[#This Row],[Shear Lag (U)]])</f>
        <v>170.15625</v>
      </c>
      <c r="DL3" s="126">
        <f>IF(Reinforcements[[#This Row],[Reinforcement]]="","",φ_v*0.5*Reinforcements[[#This Row],[F''y]]*Reinforcements[[#This Row],[Gross Area (in2)]])</f>
        <v>135</v>
      </c>
      <c r="DM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24">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24">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24">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24">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24">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6"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6"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111" t="str">
        <f>IF(OR(Reinforcements[[#This Row],[Type]]="plate",Reinforcements[[#This Row],[Type]]="solid round"),"N/A",Reinforcements[[#This Row],[B (in)]])</f>
        <v>N/A</v>
      </c>
      <c r="EB3" s="6" t="str">
        <f>IF(OR(Reinforcements[[#This Row],[Type]]="plate",Reinforcements[[#This Row],[Type]]="solid round"),"N/A",Reinforcements[[#This Row],[H (in)]])</f>
        <v>N/A</v>
      </c>
      <c r="EC3" s="6" t="str">
        <f>IF(OR(Reinforcements[[#This Row],[Type]]="plate",Reinforcements[[#This Row],[Type]]="solid round"),"N/A",Reinforcements[[#This Row],[B (in)]]-Reinforcements[[#This Row],['[Channel'] Flange Thickness (in)]])</f>
        <v>N/A</v>
      </c>
      <c r="ED3" s="6" t="str">
        <f>IF(OR(Reinforcements[[#This Row],[Type]]="plate",Reinforcements[[#This Row],[Type]]="solid round"),"N/A",Reinforcements[[#This Row],['[Channel']Web Thickness (in)]])</f>
        <v>N/A</v>
      </c>
      <c r="EE3" s="6" t="str">
        <f>IF(OR(Reinforcements[[#This Row],[Type]]="plate",Reinforcements[[#This Row],[Type]]="solid round"),"N/A",Reinforcements[[#This Row],['[Channel'] Flange Thickness (in)]])</f>
        <v>N/A</v>
      </c>
      <c r="EF3" s="6" t="str">
        <f>IF(Reinforcements[[#This Row],[Type]]="channel",Reinforcements[[#This Row],[Channel Flange Width, b]]/Reinforcements[[#This Row],[Channel flange thickness, tf]],"N/A")</f>
        <v>N/A</v>
      </c>
      <c r="EG3" s="6" t="str">
        <f>IF(Reinforcements[[#This Row],[Type]]="channel",Reinforcements[[#This Row],[Channel inside depth, T]]/Reinforcements[[#This Row],[Channel web thickness, tw]],"N/A")</f>
        <v>N/A</v>
      </c>
      <c r="EH3" s="6">
        <f>29000</f>
        <v>29000</v>
      </c>
      <c r="EI3" s="6" t="str">
        <f>IF(Reinforcements[[#This Row],[Type]]="channel",0.56*SQRT(Reinforcements[[#This Row],[E, (ksi)]]/Reinforcements[[#This Row],[Fy, (ksi)]]),"N/A")</f>
        <v>N/A</v>
      </c>
      <c r="EJ3" s="6" t="str">
        <f>IF(Reinforcements[[#This Row],[Type]]="channel",1.49*SQRT(Reinforcements[[#This Row],[E, (ksi)]]/Reinforcements[[#This Row],[Fy, (ksi)]]),"N/A")</f>
        <v>N/A</v>
      </c>
      <c r="EK3" s="6">
        <f>VLOOKUP(Reinforcements[[#This Row],[Material]],Materials!$B$2:$C$30,2,FALSE)</f>
        <v>100</v>
      </c>
      <c r="EL3" s="6">
        <f>Reinforcements[[#This Row],[Lu (in)]]*Reinforcements[[#This Row],[Effective Length Factor Kx]]</f>
        <v>12</v>
      </c>
      <c r="EM3" s="6">
        <f>Reinforcements[[#This Row],[Lu (in)]]*Reinforcements[[#This Row],[Effective Length Factor Ky]]</f>
        <v>15</v>
      </c>
      <c r="EN3" s="6">
        <f>Reinforcements[[#This Row],[rx]]</f>
        <v>0.21650635094610965</v>
      </c>
      <c r="EO3" s="6">
        <f>Reinforcements[[#This Row],[ry]]</f>
        <v>1.1547005383792515</v>
      </c>
      <c r="EP3" s="6">
        <f>Reinforcements[[#This Row],[Lcx (in)]]/Reinforcements[[#This Row],[rx (in)]]</f>
        <v>55.425625842204077</v>
      </c>
      <c r="EQ3" s="6">
        <f>Reinforcements[[#This Row],[Lcy (in)]]/Reinforcements[[#This Row],[ry (in)]]</f>
        <v>12.99038105676658</v>
      </c>
      <c r="ER3" s="6">
        <f>((PI()^2)*Reinforcements[[#This Row],[E, (ksi)]])/(Reinforcements[[#This Row],[Lcx/rx]]^2)</f>
        <v>93.1700936300753</v>
      </c>
      <c r="ES3" s="6">
        <f>((PI()^2)*Reinforcements[[#This Row],[E, (ksi)]])/(Reinforcements[[#This Row],[Lcy/ry]]^2)</f>
        <v>1696.1097933723934</v>
      </c>
      <c r="ET3" s="6">
        <f>4.71*(SQRT(Reinforcements[[#This Row],[E, (ksi)]]/Reinforcements[[#This Row],[Fy, (ksi)]]))</f>
        <v>80.20840978351336</v>
      </c>
      <c r="EU3" s="6">
        <f>IF(Reinforcements[[#This Row],[Lcx/rx]]&lt;=Reinforcements[[#This Row],[Fcr Limit]],(0.658^(Reinforcements[[#This Row],[Fy, (ksi)]]/Reinforcements[[#This Row],[Fex, FB (ksi)]]))*Reinforcements[[#This Row],[Fy, (ksi)]],0.877*Reinforcements[[#This Row],[Fex, FB (ksi)]])</f>
        <v>63.811771442511869</v>
      </c>
      <c r="EV3" s="6">
        <f>IF(Reinforcements[[#This Row],[Lcy/ry]]&lt;=Reinforcements[[#This Row],[Fcr Limit]],(0.658^(Reinforcements[[#This Row],[Fy, (ksi)]]/Reinforcements[[#This Row],[Fey, FB (ksi)]]))*Reinforcements[[#This Row],[Fy, (ksi)]],0.877*Reinforcements[[#This Row],[Fey, FB (ksi)]])</f>
        <v>97.562491128158072</v>
      </c>
      <c r="EW3" s="6">
        <f>Reinforcements[[#This Row],[Fcrx (ksi)]]*Reinforcements[[#This Row],[Gross Area (in2)]]</f>
        <v>191.43531432753559</v>
      </c>
      <c r="EX3" s="6">
        <f>Reinforcements[[#This Row],[Fcry (ksi)]]*Reinforcements[[#This Row],[Gross Area (in2)]]</f>
        <v>292.68747338447423</v>
      </c>
      <c r="EY3" s="6" t="str">
        <f>IF(Reinforcements[[#This Row],[Type]]="channel",0,"N/A")</f>
        <v>N/A</v>
      </c>
      <c r="EZ3" s="6" t="str">
        <f>IF(Reinforcements[[#This Row],[Type]]="channel",Reinforcements[[#This Row],[Channel Flange Width, b]]-(0.5*Reinforcements[[#This Row],[Channel web thickness, tw]]),"N/A")</f>
        <v>N/A</v>
      </c>
      <c r="FA3" s="6" t="str">
        <f>IF(Reinforcements[[#This Row],[Type]]="channel",Reinforcements[[#This Row],[Channel Height, h]]-Reinforcements[[#This Row],[Channel flange thickness, tf]],"N/A")</f>
        <v>N/A</v>
      </c>
      <c r="FB3" s="6" t="str">
        <f>IF(Reinforcements[[#This Row],[Type]]="channel",Reinforcements[[#This Row],[Channel web thickness, tw]],"N/A")</f>
        <v>N/A</v>
      </c>
      <c r="FC3" s="6" t="str">
        <f>IF(Reinforcements[[#This Row],[Type]]="channel",((3*Reinforcements[[#This Row],[b]]^2)/(Reinforcements[[#This Row],[h]]+(6*Reinforcements[[#This Row],[b]])))-Reinforcements[[#This Row],[t]]/2,"N/A")</f>
        <v>N/A</v>
      </c>
      <c r="FD3" s="6">
        <f>Reinforcements[[#This Row],[Pole Face to Centroid (in)]]</f>
        <v>0.375</v>
      </c>
      <c r="FE3" s="6" t="str">
        <f>IF(Reinforcements[[#This Row],[Type]]="channel",Reinforcements[[#This Row],[x(bar)]]+Reinforcements[[#This Row],['[Channel'] e0 (in)]],"N/A")</f>
        <v>N/A</v>
      </c>
      <c r="FF3" s="6" t="str">
        <f>IF(Reinforcements[[#This Row],[Type]]="channel",Reinforcements[[#This Row],[Ix]],"N/A")</f>
        <v>N/A</v>
      </c>
      <c r="FG3" s="6" t="str">
        <f>IF(Reinforcements[[#This Row],[Type]]="channel",Reinforcements[[#This Row],[Iy]],"N/A")</f>
        <v>N/A</v>
      </c>
      <c r="FH3" s="6" t="str">
        <f>IF(Reinforcements[[#This Row],[Type]]="channel",Reinforcements[[#This Row],[Gross Area (in2)]],"N/A")</f>
        <v>N/A</v>
      </c>
      <c r="FI3" s="6" t="str">
        <f>IF(Reinforcements[[#This Row],[Type]]="channel",(Reinforcements[[#This Row],[xo]]^2)+((Reinforcements[[#This Row],[Ix (FTB)]]+Reinforcements[[#This Row],[Iy (FTB)]])/Reinforcements[[#This Row],[Ag]]),"N/A")</f>
        <v>N/A</v>
      </c>
      <c r="FJ3" s="6" t="str">
        <f>IF(Reinforcements[[#This Row],[Type]]="channel",Reinforcements[[#This Row],[Lu (in)]],"N/A")</f>
        <v>N/A</v>
      </c>
      <c r="FK3" s="6" t="str">
        <f>IF(Reinforcements[[#This Row],[Type]]="channel",Reinforcements[[#This Row],[Effective Length Factor Kx]],"N/A")</f>
        <v>N/A</v>
      </c>
      <c r="FL3" s="6" t="str">
        <f>IF(Reinforcements[[#This Row],[Type]]="channel",Reinforcements[[#This Row],[Kz]]*Reinforcements[[#This Row],[Lz]],"N/A")</f>
        <v>N/A</v>
      </c>
      <c r="FM3" s="6" t="str">
        <f>IF(Reinforcements[[#This Row],[Type]]="channel",(((Reinforcements[[#This Row],[t]]^3)/3)*(Reinforcements[[#This Row],[h]]+(2*Reinforcements[[#This Row],[b]]))),"N/A")</f>
        <v>N/A</v>
      </c>
      <c r="FN3" s="6" t="str">
        <f>IF(Reinforcements[[#This Row],[Type]]="channel",(1-(((Reinforcements[[#This Row],[xo]]^2)+(Reinforcements[[#This Row],[yo]]^2))/Reinforcements[[#This Row],[ro^2(bar)]])),"N/A")</f>
        <v>N/A</v>
      </c>
      <c r="FO3" s="6">
        <v>11200</v>
      </c>
      <c r="FP3" s="6" t="str">
        <f>IF(Reinforcements[[#This Row],[Type]]="channel",(((Reinforcements[[#This Row],[h]]^2)*(Reinforcements[[#This Row],[b]]^3)*Reinforcements[[#This Row],[t]])/12)*(((2*Reinforcements[[#This Row],[h]])+(3*Reinforcements[[#This Row],[b]]))/(Reinforcements[[#This Row],[h]]+(6*Reinforcements[[#This Row],[b]]))),"N/A")</f>
        <v>N/A</v>
      </c>
      <c r="FQ3" s="6" t="str">
        <f>IF(Reinforcements[[#This Row],[Type]]="Channel",((((PI()^2)*Reinforcements[[#This Row],[E, (ksi)]]*Reinforcements[[#This Row],['[Channel'] CW (in6)]])/(Reinforcements[[#This Row],[Lcz]]^2))+(Reinforcements[[#This Row],[G]]*Reinforcements[[#This Row],['[Channel'] J (in4)]]))*(1/(Reinforcements[[#This Row],[Ag]]*Reinforcements[[#This Row],[ro^2(bar)]])),"N/A")</f>
        <v>N/A</v>
      </c>
      <c r="FR3" s="6" t="str">
        <f>IF(Reinforcements[[#This Row],[Type]]="channel",((PI()^2)*Reinforcements[[#This Row],[E, (ksi)]])/(Reinforcements[[#This Row],[Lcy/ry]]^2),"N/A")</f>
        <v>N/A</v>
      </c>
      <c r="FS3" s="6" t="str">
        <f>IF(Reinforcements[[#This Row],[Type]]="channel",((Reinforcements[[#This Row],[Fey]]+Reinforcements[[#This Row],[Fez]])/(2*Reinforcements[[#This Row],[H2]]))*(1-SQRT(1-((4*Reinforcements[[#This Row],[Fey]]*Reinforcements[[#This Row],[Fez]]*Reinforcements[[#This Row],[H2]])/(Reinforcements[[#This Row],[Fey]]+Reinforcements[[#This Row],[Fez]])^2))),"N/A")</f>
        <v>N/A</v>
      </c>
      <c r="FT3" s="6" t="str">
        <f>IF(Reinforcements[[#This Row],[Type]]="channel",IF(Reinforcements[[#This Row],[Lcx/rx]]&gt;(4.71*SQRT(Reinforcements[[#This Row],[E, (ksi)]]/Reinforcements[[#This Row],[Fy, (ksi)]])),0.877*Reinforcements[[#This Row],[Fe (FTB)]],0.658^(Reinforcements[[#This Row],[Fy, (ksi)]]/Reinforcements[[#This Row],[Fe (FTB)]])*Reinforcements[[#This Row],[Fy, (ksi)]]),"N/A")</f>
        <v>N/A</v>
      </c>
      <c r="FU3" s="6" t="str">
        <f>IF(Reinforcements[[#This Row],[Type]]="channel",MIN(Reinforcements[[#This Row],[Fcr(FTB)]],Reinforcements[[#This Row],[Fcry (ksi)]]),"N/A")</f>
        <v>N/A</v>
      </c>
      <c r="FV3" s="6">
        <v>0.22</v>
      </c>
      <c r="FW3" s="6">
        <v>1.49</v>
      </c>
      <c r="FX3" s="6" t="str">
        <f>IF(Reinforcements[[#This Row],[Type]]="channel",((Reinforcements[[#This Row],[c2]]*(Reinforcements[[#This Row],[λrf]]/Reinforcements[[#This Row],[λf]]))^2)*Reinforcements[[#This Row],[Fy, (ksi)]],"N/A")</f>
        <v>N/A</v>
      </c>
      <c r="FY3" s="6" t="str">
        <f>IF(Reinforcements[[#This Row],[Type]]="channel",((Reinforcements[[#This Row],[c2]]*(Reinforcements[[#This Row],[λrw]]/Reinforcements[[#This Row],[λw]]))^2)*Reinforcements[[#This Row],[Fy, (ksi)]],"N/A")</f>
        <v>N/A</v>
      </c>
      <c r="FZ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6" t="str">
        <f>IF(Reinforcements[[#This Row],[Type]]="channel",Reinforcements[[#This Row],[Fcr]]*Reinforcements[[#This Row],[Ae]],"N/A")</f>
        <v>N/A</v>
      </c>
      <c r="GD3">
        <f>IF(Reinforcements[[#This Row],[Reinforcement]]="","",φ_c*Reinforcements[[#This Row],[Pnx, FB (kip)]])</f>
        <v>172.29178289478205</v>
      </c>
      <c r="GE3">
        <f>IF(Reinforcements[[#This Row],[Reinforcement]]="","",IF(Reinforcements[[#This Row],[Type]]="channel",φ_c*Reinforcements[[#This Row],[Pn]],φ_c*Reinforcements[[#This Row],[Pny, FB (kip)]]))</f>
        <v>263.41872604602679</v>
      </c>
      <c r="GF3">
        <f>Reinforcements[[#This Row],[Rev. G Tension Yield Capacity (kips)]]</f>
        <v>270</v>
      </c>
      <c r="GG3">
        <f>Reinforcements[[#This Row],[Rev. G Tension Rupture Capacity (kips)]]</f>
        <v>170.15625</v>
      </c>
      <c r="GH3">
        <f>Reinforcements[[#This Row],[Rev. G Shear Capacity (kips)]]</f>
        <v>135</v>
      </c>
      <c r="GI3">
        <f>IFERROR((Reinforcements[[#This Row],['# of End Connection Bolts          (Bottom)]]-1)*Reinforcements[[#This Row],[End Connection Bolt Spacing (in) (B)]],"-")</f>
        <v>15</v>
      </c>
      <c r="GJ3">
        <f>IFERROR(IF(VLOOKUP(Reinforcements[[#This Row],[Bottom End Connection Bolt Type]],Bolts[],COLUMN(Bolts[[#Headers],[Rev. H Apply Connection Length Reduction Factor (Rb)?]])-1,FALSE)="Yes",(IF(Reinforcements[[#This Row],[Lb(bottom)]]&lt;=16,1,IF(Reinforcements[[#This Row],[Lb(bottom)]]&gt;38,0.75,0.9))),1),"-")</f>
        <v>1</v>
      </c>
      <c r="GK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f>IFERROR(IF(Reinforcements[[#This Row],[Top End Connection Same?]]="Yes",Reinforcements[[#This Row],[Lb(bottom)]],(Reinforcements[[#This Row],['# of End Connection Bolts          (Top)]]-1)*Reinforcements[[#This Row],[End Connection Bolt Spacing (in) (T)]]),"-")</f>
        <v>15</v>
      </c>
      <c r="GM3">
        <f>IFERROR(IF(VLOOKUP(Reinforcements[[#This Row],[Top End Connection Bolt Type]],Bolts[],COLUMN(Bolts[[#Headers],[Rev. H Apply Connection Length Reduction Factor (Rb)?]])-1,FALSE)=TRUE,(IF(Reinforcements[[#This Row],[Lb(top)]]&lt;=16,1,IF(Reinforcements[[#This Row],[Lb(top)]]&gt;38,0.75,0.9))),1),"-")</f>
        <v>1</v>
      </c>
      <c r="GN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f>Reinforcements[[#This Row],[Rev. G Bolt-Shaft Bearing Capacity (Bottom)                No Deformation          (*t*Fu kips)]]</f>
        <v>11.96220472440945</v>
      </c>
      <c r="GP3">
        <f>Reinforcements[[#This Row],[Rev. G Bolt-Shaft Bearing Capacity (Bottom)                   Deformation          (*t*Fu kips)]]</f>
        <v>14.952755905511811</v>
      </c>
      <c r="GQ3">
        <f>Reinforcements[[#This Row],[Rev. G Bolt-Shaft Bearing Capacity (Top)                    No Deformation          (*t*Fu kips)]]</f>
        <v>11.96220472440945</v>
      </c>
      <c r="GR3">
        <f>Reinforcements[[#This Row],[Rev. G Bolt-Shaft Bearing Capacity (Top)                        Deformation          (*t*Fu kips)]]</f>
        <v>14.952755905511811</v>
      </c>
      <c r="GS3">
        <f>Reinforcements[[#This Row],[Rev. G Bolt-Reinf. Bearing Capacity (Bottom)            No Deformation (kips)]]</f>
        <v>937.53779527559061</v>
      </c>
      <c r="GT3">
        <f>Reinforcements[[#This Row],[Rev. G Bolt-Reinf. Bearing Capacity (Bottom)               Deformation (kips)]]</f>
        <v>1171.9222440944882</v>
      </c>
      <c r="GU3">
        <f>Reinforcements[[#This Row],[Rev. G Bolt-Reinf. Bearing Capacity (Top)                  No Deformation (kips)]]</f>
        <v>937.53779527559061</v>
      </c>
      <c r="GV3">
        <f>Reinforcements[[#This Row],[Rev. G Bolt-Reinf. Bearing Capacity (Top)               Deformation (kips)]]</f>
        <v>1171.9222440944882</v>
      </c>
      <c r="GW3" t="str">
        <f>Reinforcements[[#This Row],[Rev. G Bottom Transverse Weld Strength]]</f>
        <v>-</v>
      </c>
      <c r="GX3" t="str">
        <f>Reinforcements[[#This Row],[Rev. G Bottom Longitudinal Weld Strength]]</f>
        <v>-</v>
      </c>
      <c r="GY3" t="str">
        <f>Reinforcements[[#This Row],[Rev. G Top Transverse Weld Strength]]</f>
        <v>-</v>
      </c>
      <c r="GZ3" t="str">
        <f>Reinforcements[[#This Row],[Rev. G Top Longitudinal Weld Strength]]</f>
        <v>-</v>
      </c>
      <c r="HA3">
        <v>1</v>
      </c>
      <c r="HB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49" t="s">
        <v>358</v>
      </c>
      <c r="C4" s="49" t="s">
        <v>352</v>
      </c>
      <c r="D4" s="6">
        <v>4</v>
      </c>
      <c r="E4" s="6">
        <v>1</v>
      </c>
      <c r="F4" s="6" t="str">
        <f>IF(Reinforcements[[#This Row],[Type]]="","",IF(Reinforcements[[#This Row],[Type]]="solid round","","n/a"))</f>
        <v>n/a</v>
      </c>
      <c r="G4" s="6" t="str">
        <f>IF(Reinforcements[[#This Row],[Type]]="","",IF(Reinforcements[[#This Row],[Type]]&lt;&gt;"channel","n/a",""))</f>
        <v>n/a</v>
      </c>
      <c r="H4" s="6" t="str">
        <f>IF(Reinforcements[[#This Row],[Type]]="","",IF(Reinforcements[[#This Row],[Type]]&lt;&gt;"channel","n/a",""))</f>
        <v>n/a</v>
      </c>
      <c r="I4" s="126" t="str">
        <f>IF(Reinforcements[[#This Row],[Type]]="","",IF(Reinforcements[[#This Row],[Type]]&lt;&gt;"channel","n/a",Reinforcements[[#This Row],[eo]]))</f>
        <v>n/a</v>
      </c>
      <c r="J4" s="126" t="str">
        <f>IF(Reinforcements[[#This Row],[Type]]="","",IF(Reinforcements[[#This Row],[Type]]&lt;&gt;"channel","n/a",Reinforcements[[#This Row],[J]]))</f>
        <v>n/a</v>
      </c>
      <c r="K4" s="126" t="str">
        <f>IF(Reinforcements[[#This Row],[Type]]="","",IF(Reinforcements[[#This Row],[Type]]&lt;&gt;"channel","n/a",Reinforcements[[#This Row],[Cw]]))</f>
        <v>n/a</v>
      </c>
      <c r="L4" s="6">
        <f>IFERROR(IF(Reinforcements[[#This Row],[Type]]="","",IF(Reinforcements[[#This Row],[Type]]="plate",Reinforcements[[#This Row],[B (in)]]*Reinforcements[[#This Row],[H (in)]],IF(Reinforcements[[#This Row],[Type]]="solid round",PI()/4*Reinforcements[[#This Row],[Diameter (in)]]^2,""))),"")</f>
        <v>4</v>
      </c>
      <c r="M4" s="6">
        <f>IFERROR(IF(Reinforcements[[#This Row],[Type]]="","",IF(Reinforcements[[#This Row],[Type]]="plate",Reinforcements[[#This Row],[H (in)]]/2,"")),"")</f>
        <v>0.5</v>
      </c>
      <c r="N4" s="16" t="s">
        <v>353</v>
      </c>
      <c r="O4" s="6" t="s">
        <v>132</v>
      </c>
      <c r="P4" s="123">
        <f>IFERROR(IF(Reinforcements[[#This Row],[Type]]="","",IF(Reinforcements[[#This Row],[Type]]="plate",Reinforcements[[#This Row],[B (in)]]*Reinforcements[[#This Row],[H (in)]]^3/12,IF(Reinforcements[[#This Row],[Type]]="solid round",PI()/64*Reinforcements[[#This Row],[Diameter (in)]]^4,""))),"")</f>
        <v>0.33333333333333331</v>
      </c>
      <c r="Q4" s="123">
        <f>IF(Reinforcements[[#This Row],[Reinforcement]]="","",SQRT(Reinforcements[[#This Row],[Ix]]/Reinforcements[[#This Row],[Gross Area (in2)]]))</f>
        <v>0.28867513459481287</v>
      </c>
      <c r="R4" s="123">
        <f>IFERROR(IF(Reinforcements[[#This Row],[Type]]="","",IF(Reinforcements[[#This Row],[Type]]="plate",Reinforcements[[#This Row],[B (in)]]^3*Reinforcements[[#This Row],[H (in)]]/12,IF(Reinforcements[[#This Row],[Type]]="solid round",PI()/64*Reinforcements[[#This Row],[Diameter (in)]]^4,""))),"")</f>
        <v>5.333333333333333</v>
      </c>
      <c r="S4" s="123">
        <f>IF(Reinforcements[[#This Row],[Reinforcement]]="","",SQRT(Reinforcements[[#This Row],[Iy]]/Reinforcements[[#This Row],[Gross Area (in2)]]))</f>
        <v>1.1547005383792515</v>
      </c>
      <c r="T4" s="6">
        <v>20</v>
      </c>
      <c r="U4" s="6">
        <v>0.8</v>
      </c>
      <c r="V4" s="6">
        <v>1</v>
      </c>
      <c r="W4" s="6">
        <v>1.1875</v>
      </c>
      <c r="X4" s="6">
        <f>IF(Reinforcements[[#This Row],[Bolt Hole Size (in)]]="","",IF(Reinforcements[[#This Row],[Bolt Hole Size (in)]]="n/a","n/a",Reinforcements[[#This Row],[Bolt Hole Size (in)]]*25.4))</f>
        <v>30.162499999999998</v>
      </c>
      <c r="Y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6">
        <f>IFERROR(IF(Reinforcements[[#This Row],[Reinforcement]]="","",IF(OR(Reinforcements[[#This Row],[Type]]="plate",Reinforcements[[#This Row],[Type]]="solid round"),1,IF(Reinforcements[[#This Row],[Type]]="arbitrary","",1-Reinforcements[[#This Row],[Pole Face to Centroid (in)]]/Reinforcements[[#This Row],[Connection Length (in) '[Channels']]]))),"")</f>
        <v>1</v>
      </c>
      <c r="AA4" s="16" t="s">
        <v>354</v>
      </c>
      <c r="AB4" s="16" t="str">
        <f>IF(Reinforcements[[#This Row],[Reinforcement]]="","",IF(Reinforcements[[#This Row],[Bottom End Connection Type]]&lt;&gt;"Capacity Input","-",""))</f>
        <v>-</v>
      </c>
      <c r="AC4" s="16" t="str">
        <f>IF(Reinforcements[[#This Row],[Reinforcement]]="","",IF(Reinforcements[[#This Row],[Bottom End Connection Type]]&lt;&gt;"Capacity Input","-",""))</f>
        <v>-</v>
      </c>
      <c r="AD4" s="16" t="str">
        <f>IF(Reinforcements[[#This Row],[Reinforcement]]="","",IF(Reinforcements[[#This Row],[Bottom End Connection Type]]&lt;&gt;"Capacity Input","-",""))</f>
        <v>-</v>
      </c>
      <c r="AE4" s="74" t="s">
        <v>355</v>
      </c>
      <c r="AF4" s="6" t="s">
        <v>356</v>
      </c>
      <c r="AG4" s="6">
        <v>7</v>
      </c>
      <c r="AH4" s="6">
        <v>3</v>
      </c>
      <c r="AI4" s="6">
        <v>2</v>
      </c>
      <c r="AJ4" s="6">
        <f>Reinforcements[[#This Row],[End Connection Edge Distance (in) (B)]]-(Reinforcements[[#This Row],[Bolt Hole Size (in)]]+1/16)/2</f>
        <v>1.375</v>
      </c>
      <c r="AK4" s="6">
        <f>Reinforcements[[#This Row],[End Connection Bolt Spacing (in) (B)]]-(Reinforcements[[#This Row],[Bolt Hole Size (in)]]+1/16)</f>
        <v>1.75</v>
      </c>
      <c r="AL4" s="6">
        <f>Reinforcements[[#This Row],[End Connection Edge Distance (in) (B)]]</f>
        <v>2</v>
      </c>
      <c r="AM4" s="6">
        <f>Reinforcements[[#This Row],[End Connection Bolt Spacing (in) (B)]]</f>
        <v>3</v>
      </c>
      <c r="AN4" s="111" t="str">
        <f>IF(Reinforcements[[#This Row],[Reinforcement]]="","",IF(OR(Reinforcements[[#This Row],[Bottom End Connection Type]]="Bolted",Reinforcements[[#This Row],[Bottom End Connection Type]]=""),"-",""))</f>
        <v>-</v>
      </c>
      <c r="AO4" s="111" t="str">
        <f>IF(Reinforcements[[#This Row],[Reinforcement]]="","",IF(OR(Reinforcements[[#This Row],[Bottom End Connection Type]]="Bolted",Reinforcements[[#This Row],[Bottom End Connection Type]]=""),"-",""))</f>
        <v>-</v>
      </c>
      <c r="AP4" s="111" t="str">
        <f>IF(Reinforcements[[#This Row],[Reinforcement]]="","",IF(OR(Reinforcements[[#This Row],[Bottom End Connection Type]]="Bolted",Reinforcements[[#This Row],[Bottom End Connection Type]]=""),"-",""))</f>
        <v>-</v>
      </c>
      <c r="AQ4" s="111" t="str">
        <f>IF(OR(Reinforcements[[#This Row],[Bottom End Connection Type]]="Bolted",Reinforcements[[#This Row],[Bottom Transverse (Horizontal) Weld]]="none"),"-","")</f>
        <v>-</v>
      </c>
      <c r="AR4"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11" t="str">
        <f>IF(OR(Reinforcements[[#This Row],[Bottom Transverse (Horizontal) Weld]]="none",Reinforcements[[#This Row],[Bottom End Connection Type]]="Bolted"),"-","")</f>
        <v>-</v>
      </c>
      <c r="AU4"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11" t="str">
        <f>IF(Reinforcements[[#This Row],[Reinforcement]]="","",IF(OR(Reinforcements[[#This Row],[Bottom End Connection Type]]="Bolted",Reinforcements[[#This Row],[Bottom End Connection Type]]=""),"-",""))</f>
        <v>-</v>
      </c>
      <c r="AW4" s="111" t="str">
        <f>IF(Reinforcements[[#This Row],[Reinforcement]]="","",IF(OR(Reinforcements[[#This Row],[Bottom End Connection Type]]&lt;&gt;"Welded",Reinforcements[[#This Row],[Bottom Longitudinal (Vertical) Weld]]="None",Reinforcements[[#This Row],[Bottom Longitudinal (Vertical) Weld]]=""),"-",""))</f>
        <v>-</v>
      </c>
      <c r="AX4" s="111" t="str">
        <f>IF(Reinforcements[[#This Row],[Reinforcement]]="","",IF(OR(Reinforcements[[#This Row],[Bottom End Connection Type]]&lt;&gt;"Welded",Reinforcements[[#This Row],[Bottom Longitudinal (Vertical) Weld]]="None",Reinforcements[[#This Row],[Bottom Longitudinal (Vertical) Weld]]=""),"-",""))</f>
        <v>-</v>
      </c>
      <c r="AY4" s="111" t="str">
        <f>IF(Reinforcements[[#This Row],[Reinforcement]]="","",IF(OR(Reinforcements[[#This Row],[Bottom End Connection Type]]&lt;&gt;"Welded",Reinforcements[[#This Row],[Bottom Longitudinal (Vertical) Weld]]="None"),"-",SQRT(2)/2*Reinforcements[[#This Row],[Bottom Longitudinal Weld Fillet Size (in)]]))</f>
        <v>-</v>
      </c>
      <c r="AZ4" s="6" t="s">
        <v>357</v>
      </c>
      <c r="BA4" s="16" t="str">
        <f>IF(Reinforcements[[#This Row],[Top End Connection Same?]]="Yes",Reinforcements[[#This Row],[Bottom End Connection Type]],"")</f>
        <v>Bolted</v>
      </c>
      <c r="BB4" s="16" t="str">
        <f>IF(Reinforcements[[#This Row],[Reinforcement]]="","",IF(Reinforcements[[#This Row],[Top End Connection Same?]]="Yes",Reinforcements[[#This Row],[Rev. F Bottom Connection Capacity (kips)]],IF(Reinforcements[[#This Row],[Reinforcement]]="","",IF(Reinforcements[[#This Row],[Top End Connection Type]]&lt;&gt;"Capacity Input","-",""))))</f>
        <v>-</v>
      </c>
      <c r="BC4" s="16" t="str">
        <f>IF(Reinforcements[[#This Row],[Reinforcement]]="","",IF(Reinforcements[[#This Row],[Top End Connection Same?]]="Yes",Reinforcements[[#This Row],[Rev. G Bottom Connection Capacity (kips)]],IF(Reinforcements[[#This Row],[Reinforcement]]="","",IF(Reinforcements[[#This Row],[Top End Connection Type]]&lt;&gt;"Capacity Input","-",""))))</f>
        <v>-</v>
      </c>
      <c r="BD4" s="16" t="str">
        <f>IF(Reinforcements[[#This Row],[Reinforcement]]="","",IF(Reinforcements[[#This Row],[Top End Connection Same?]]="Yes",Reinforcements[[#This Row],[Rev. G Bottom Connection Capacity (kips)]],IF(Reinforcements[[#This Row],[Reinforcement]]="","",IF(Reinforcements[[#This Row],[Top End Connection Type]]&lt;&gt;"Capacity Input","-",""))))</f>
        <v>-</v>
      </c>
      <c r="BE4" s="74" t="str">
        <f>IF(Reinforcements[[#This Row],[Top End Connection Same?]]="Yes",Reinforcements[[#This Row],[Bottom End Connection Bolt Type]],IF(Reinforcements[[#This Row],[Top End Connection Type]]="Welded","-",""))</f>
        <v>PC 8.8 - M20 (100)</v>
      </c>
      <c r="BF4" s="6" t="str">
        <f>IF(Reinforcements[[#This Row],[Top End Connection Same?]]="Yes",Reinforcements[[#This Row],[Threads Included (N) or Excluded (X) (Bottom)]],IF(Reinforcements[[#This Row],[Top End Connection Type]]="Welded","-",""))</f>
        <v>N</v>
      </c>
      <c r="BG4" s="6">
        <f>IF(Reinforcements[[#This Row],[Top End Connection Same?]]="Yes",Reinforcements[[#This Row],['# of End Connection Bolts          (Bottom)]],IF(Reinforcements[[#This Row],[Top End Connection Type]]="Welded","-",""))</f>
        <v>7</v>
      </c>
      <c r="BH4" s="6">
        <f>IF(Reinforcements[[#This Row],[Top End Connection Same?]]="Yes",Reinforcements[[#This Row],[End Connection Bolt Spacing (in) (B)]],IF(Reinforcements[[#This Row],[Top End Connection Type]]="Welded","-",""))</f>
        <v>3</v>
      </c>
      <c r="BI4" s="6">
        <f>IF(Reinforcements[[#This Row],[Top End Connection Same?]]="Yes",Reinforcements[[#This Row],[End Connection Edge Distance (in) (B)]],IF(Reinforcements[[#This Row],[Top End Connection Type]]="Welded","-",""))</f>
        <v>2</v>
      </c>
      <c r="BJ4" s="6">
        <f>Reinforcements[[#This Row],[End Connection Edge Distance (in) (T)]]-(Reinforcements[[#This Row],[Bolt Hole Size (in)]]+1/16)/2</f>
        <v>1.375</v>
      </c>
      <c r="BK4" s="6">
        <f>Reinforcements[[#This Row],[End Connection Bolt Spacing (in) (T)]]-(Reinforcements[[#This Row],[Bolt Hole Size (in)]]+1/16)</f>
        <v>1.75</v>
      </c>
      <c r="BL4" s="6">
        <f>Reinforcements[[#This Row],[End Connection Edge Distance (in) (T)]]</f>
        <v>2</v>
      </c>
      <c r="BM4" s="6">
        <f>Reinforcements[[#This Row],[End Connection Bolt Spacing (in) (T)]]</f>
        <v>3</v>
      </c>
      <c r="BN4" s="6" t="str">
        <f>IF(Reinforcements[[#This Row],[Reinforcement]]="","",IF(Reinforcements[[#This Row],[Top End Connection Same?]]="Yes",Reinforcements[[#This Row],[Bottom Connected to Flange/Base Plate?]],IF(Reinforcements[[#This Row],[Top End Connection Type]]="Bolted","-","")))</f>
        <v>-</v>
      </c>
      <c r="BO4" s="6" t="str">
        <f>IF(Reinforcements[[#This Row],[Reinforcement]]="","",IF(Reinforcements[[#This Row],[Top End Connection Same?]]="Yes",Reinforcements[[#This Row],[Bottom Weld Grade (ksi)]],IF(OR(Reinforcements[[#This Row],[Top End Connection Type]]&lt;&gt;"Welded",Reinforcements[[#This Row],[Top End Connection Type]]=""),"-","")))</f>
        <v>-</v>
      </c>
      <c r="BP4" s="6" t="str">
        <f>IF($AZ4="Yes",AP4,IF(Reinforcements[[#This Row],[Reinforcement]]="","",IF(OR(Reinforcements[[#This Row],[Top End Connection Type]]&lt;&gt;"Welded",Reinforcements[[#This Row],[Top End Connection Type]]=""),"-","")))</f>
        <v>-</v>
      </c>
      <c r="BQ4" s="6" t="str">
        <f>IF(Reinforcements[[#This Row],[Reinforcement]]="","",IF($AZ4="Yes",AQ4,IF(OR(Reinforcements[[#This Row],[Top End Connection Type]]&lt;&gt;"Welded",Reinforcements[[#This Row],[Top Transverse (Horizontal) Weld]]="none",Reinforcements[[#This Row],[Top Transverse (Horizontal) Weld]]=""),"-","")))</f>
        <v>-</v>
      </c>
      <c r="BR4" s="6"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6"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6" t="str">
        <f>IF(Reinforcements[[#This Row],[Reinforcement]]="","",IF($AZ4="Yes",AT4,IF(OR(Reinforcements[[#This Row],[Top Transverse (Horizontal) Weld]]="none",Reinforcements[[#This Row],[Top End Connection Type]]&lt;&gt;"Welded",Reinforcements[[#This Row],[Top Transverse (Horizontal) Weld]]=""),"-","")))</f>
        <v>-</v>
      </c>
      <c r="BU4" s="6"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6" t="str">
        <f>IF($AZ4="Yes",AV4,IF(Reinforcements[[#This Row],[Reinforcement]]="","",IF(OR(Reinforcements[[#This Row],[Top End Connection Type]]&lt;&gt;"Welded",Reinforcements[[#This Row],[Top End Connection Type]]=""),"-","")))</f>
        <v>-</v>
      </c>
      <c r="BW4" s="6"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6"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6" t="str">
        <f>IF($AZ4="Yes",AY4,IF(Reinforcements[[#This Row],[Reinforcement]]="","",IF(OR(Reinforcements[[#This Row],[Top End Connection Type]]&lt;&gt;"Welded",Reinforcements[[#This Row],[Top Longitudinal (Vertical) Weld]]="none"),"-",SQRT(2)/2*Reinforcements[[#This Row],[Top Longitudinal Weld Fillet Size (in)]])))</f>
        <v>-</v>
      </c>
      <c r="BZ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11">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11">
        <f>IF(Reinforcements[[#This Row],[Reinforcement]]="","",IF(Reinforcements[[#This Row],[Top End Connection Type]]&lt;&gt;"Bolted","n/a",(Reinforcements[[#This Row],['# of End Connection Bolts          (Top)]]-1)*Reinforcements[[#This Row],[End Connection Bolt Spacing (in) (T)]]+Reinforcements[[#This Row],[End Connection Edge Distance (in) (T)]]))</f>
        <v>20</v>
      </c>
      <c r="CC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6">
        <f>IFERROR(IF(Reinforcements[[#This Row],[Type]]="","",Reinforcements[[#This Row],[Effective B (in)]]*Reinforcements[[#This Row],[Effective H (in)]]^3/12),"")</f>
        <v>0.33333333333333331</v>
      </c>
      <c r="CF4" s="6">
        <f>IFERROR(IF(Reinforcements[[#This Row],[Type]]="","",Reinforcements[[#This Row],[Effective B (in)]]^3*Reinforcements[[#This Row],[Effective H (in)]]/12),"")</f>
        <v>5.333333333333333</v>
      </c>
      <c r="CG4" s="126">
        <f>SQRT(2*PI()^2*29000/VLOOKUP(Reinforcements[[#This Row],[Material]],Materials[],2,FALSE))</f>
        <v>75.659570132481107</v>
      </c>
      <c r="CH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23">
        <f>Reinforcements[[#This Row],[Effective Length Factor Kx]]*Reinforcements[[#This Row],[Lu (in)]]/(Reinforcements[[#This Row],[rx]]*PI())*SQRT(VLOOKUP(Reinforcements[[#This Row],[Material]],Materials[],2,FALSE)/29000)</f>
        <v>1.0360047199820279</v>
      </c>
      <c r="CK4" s="123">
        <f>Reinforcements[[#This Row],[Effective Length Factor Ky]]*Reinforcements[[#This Row],[Lu (in)]]/(Reinforcements[[#This Row],[ry]]*PI())*SQRT(VLOOKUP(Reinforcements[[#This Row],[Material]],Materials[],2,FALSE)/29000)</f>
        <v>0.32375147499438373</v>
      </c>
      <c r="CL4" s="123">
        <f>IF(Reinforcements[[#This Row],[λcx]]&lt;=1.5,0.658^(Reinforcements[[#This Row],[λcx]]^2)*Reinforcements[[#This Row],[F''y]],0.877/(Reinforcements[[#This Row],[λcx]]^2)*Reinforcements[[#This Row],[F''y]])</f>
        <v>63.811771442511876</v>
      </c>
      <c r="CM4" s="123">
        <f>IF(Reinforcements[[#This Row],[λcy]]&lt;=1.5,0.658^(Reinforcements[[#This Row],[λcy]]^2)*Reinforcements[[#This Row],[F''y]],0.877/(Reinforcements[[#This Row],[λcy]]^2)*Reinforcements[[#This Row],[F''y]])</f>
        <v>95.707802307370343</v>
      </c>
      <c r="CN4" s="6">
        <f>VLOOKUP(Reinforcements[[#This Row],[Material]],Materials[],2,FALSE)</f>
        <v>100</v>
      </c>
      <c r="CO4" s="126">
        <f>IF(Reinforcements[[#This Row],[Reinforcement]]="","",Reinforcements[[#This Row],[Fax]]*Reinforcements[[#This Row],[Gross Area (in2)]])</f>
        <v>154.66846460255013</v>
      </c>
      <c r="CP4" s="126">
        <f>IF(Reinforcements[[#This Row],[Reinforcement]]="","",Reinforcements[[#This Row],[Fay]]*Reinforcements[[#This Row],[Gross Area (in2)]])</f>
        <v>222.45303285344971</v>
      </c>
      <c r="CQ4" s="126">
        <f>IF(Reinforcements[[#This Row],[Reinforcement]]="","",0.6*VLOOKUP(Reinforcements[[#This Row],[Material]],Materials[],2,FALSE)*Reinforcements[[#This Row],[Gross Area (in2)]])</f>
        <v>240</v>
      </c>
      <c r="CR4" s="126">
        <f>IF(Reinforcements[[#This Row],[Reinforcement]]="","",0.5*VLOOKUP(Reinforcements[[#This Row],[Material]],Materials[],3,FALSE)*Reinforcements[[#This Row],[Net Area (in2)]]*Reinforcements[[#This Row],[Shear Lag (U)]])</f>
        <v>151.25</v>
      </c>
      <c r="CS4" s="126">
        <f>IF(Reinforcements[[#This Row],[Reinforcement]]="","",0.4*VLOOKUP(Reinforcements[[#This Row],[Material]],Materials[],2,FALSE)*Reinforcements[[#This Row],[Gross Area (in2)]])</f>
        <v>160</v>
      </c>
      <c r="CT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6"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6"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26">
        <f>IF(Reinforcements[[#This Row],[Reinforcement]]="","",φ_c*Reinforcements[[#This Row],[Fcr,x]]*Reinforcements[[#This Row],[Gross Area (in2)]])</f>
        <v>229.72237719304275</v>
      </c>
      <c r="DI4" s="126">
        <f>IF(Reinforcements[[#This Row],[Reinforcement]]="","",φ_c*Reinforcements[[#This Row],[Fcr,y]]*Reinforcements[[#This Row],[Gross Area (in2)]])</f>
        <v>344.54808830653326</v>
      </c>
      <c r="DJ4" s="126">
        <f>IF(Reinforcements[[#This Row],[Reinforcement]]="","",φ_t_y*VLOOKUP(Reinforcements[[#This Row],[Material]],Materials[],2,FALSE)*Reinforcements[[#This Row],[Gross Area (in2)]])</f>
        <v>360</v>
      </c>
      <c r="DK4" s="126">
        <f>IF(Reinforcements[[#This Row],[Reinforcement]]="","",φ_t_r*VLOOKUP(Reinforcements[[#This Row],[Material]],Materials[],3,FALSE)*Reinforcements[[#This Row],[Net Area (in2)]]*Reinforcements[[#This Row],[Shear Lag (U)]])</f>
        <v>226.875</v>
      </c>
      <c r="DL4" s="126">
        <f>IF(Reinforcements[[#This Row],[Reinforcement]]="","",φ_v*0.5*Reinforcements[[#This Row],[F''y]]*Reinforcements[[#This Row],[Gross Area (in2)]])</f>
        <v>180</v>
      </c>
      <c r="DM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6"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6"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111" t="str">
        <f>IF(OR(Reinforcements[[#This Row],[Type]]="plate",Reinforcements[[#This Row],[Type]]="solid round"),"N/A",Reinforcements[[#This Row],[B (in)]])</f>
        <v>N/A</v>
      </c>
      <c r="EB4" s="6" t="str">
        <f>IF(OR(Reinforcements[[#This Row],[Type]]="plate",Reinforcements[[#This Row],[Type]]="solid round"),"N/A",Reinforcements[[#This Row],[H (in)]])</f>
        <v>N/A</v>
      </c>
      <c r="EC4" s="6" t="str">
        <f>IF(OR(Reinforcements[[#This Row],[Type]]="plate",Reinforcements[[#This Row],[Type]]="solid round"),"N/A",Reinforcements[[#This Row],[B (in)]]-Reinforcements[[#This Row],['[Channel'] Flange Thickness (in)]])</f>
        <v>N/A</v>
      </c>
      <c r="ED4" s="6" t="str">
        <f>IF(OR(Reinforcements[[#This Row],[Type]]="plate",Reinforcements[[#This Row],[Type]]="solid round"),"N/A",Reinforcements[[#This Row],['[Channel']Web Thickness (in)]])</f>
        <v>N/A</v>
      </c>
      <c r="EE4" s="6" t="str">
        <f>IF(OR(Reinforcements[[#This Row],[Type]]="plate",Reinforcements[[#This Row],[Type]]="solid round"),"N/A",Reinforcements[[#This Row],['[Channel'] Flange Thickness (in)]])</f>
        <v>N/A</v>
      </c>
      <c r="EF4" s="6" t="str">
        <f>IF(Reinforcements[[#This Row],[Type]]="channel",Reinforcements[[#This Row],[Channel Flange Width, b]]/Reinforcements[[#This Row],[Channel flange thickness, tf]],"N/A")</f>
        <v>N/A</v>
      </c>
      <c r="EG4" s="6" t="str">
        <f>IF(Reinforcements[[#This Row],[Type]]="channel",Reinforcements[[#This Row],[Channel inside depth, T]]/Reinforcements[[#This Row],[Channel web thickness, tw]],"N/A")</f>
        <v>N/A</v>
      </c>
      <c r="EH4" s="6">
        <f>29000</f>
        <v>29000</v>
      </c>
      <c r="EI4" s="6" t="str">
        <f>IF(Reinforcements[[#This Row],[Type]]="channel",0.56*SQRT(Reinforcements[[#This Row],[E, (ksi)]]/Reinforcements[[#This Row],[Fy, (ksi)]]),"N/A")</f>
        <v>N/A</v>
      </c>
      <c r="EJ4" s="6" t="str">
        <f>IF(Reinforcements[[#This Row],[Type]]="channel",1.49*SQRT(Reinforcements[[#This Row],[E, (ksi)]]/Reinforcements[[#This Row],[Fy, (ksi)]]),"N/A")</f>
        <v>N/A</v>
      </c>
      <c r="EK4" s="6">
        <f>VLOOKUP(Reinforcements[[#This Row],[Material]],Materials!$B$2:$C$30,2,FALSE)</f>
        <v>100</v>
      </c>
      <c r="EL4" s="6">
        <f>Reinforcements[[#This Row],[Lu (in)]]*Reinforcements[[#This Row],[Effective Length Factor Kx]]</f>
        <v>16</v>
      </c>
      <c r="EM4" s="6">
        <f>Reinforcements[[#This Row],[Lu (in)]]*Reinforcements[[#This Row],[Effective Length Factor Ky]]</f>
        <v>20</v>
      </c>
      <c r="EN4" s="6">
        <f>Reinforcements[[#This Row],[rx]]</f>
        <v>0.28867513459481287</v>
      </c>
      <c r="EO4" s="6">
        <f>Reinforcements[[#This Row],[ry]]</f>
        <v>1.1547005383792515</v>
      </c>
      <c r="EP4" s="6">
        <f>Reinforcements[[#This Row],[Lcx (in)]]/Reinforcements[[#This Row],[rx (in)]]</f>
        <v>55.425625842204077</v>
      </c>
      <c r="EQ4" s="6">
        <f>Reinforcements[[#This Row],[Lcy (in)]]/Reinforcements[[#This Row],[ry (in)]]</f>
        <v>17.320508075688775</v>
      </c>
      <c r="ER4" s="6">
        <f>((PI()^2)*Reinforcements[[#This Row],[E, (ksi)]])/(Reinforcements[[#This Row],[Lcx/rx]]^2)</f>
        <v>93.1700936300753</v>
      </c>
      <c r="ES4" s="6">
        <f>((PI()^2)*Reinforcements[[#This Row],[E, (ksi)]])/(Reinforcements[[#This Row],[Lcy/ry]]^2)</f>
        <v>954.06175877197109</v>
      </c>
      <c r="ET4" s="6">
        <f>4.71*(SQRT(Reinforcements[[#This Row],[E, (ksi)]]/Reinforcements[[#This Row],[Fy, (ksi)]]))</f>
        <v>80.20840978351336</v>
      </c>
      <c r="EU4" s="6">
        <f>IF(Reinforcements[[#This Row],[Lcx/rx]]&lt;=Reinforcements[[#This Row],[Fcr Limit]],(0.658^(Reinforcements[[#This Row],[Fy, (ksi)]]/Reinforcements[[#This Row],[Fex, FB (ksi)]]))*Reinforcements[[#This Row],[Fy, (ksi)]],0.877*Reinforcements[[#This Row],[Fex, FB (ksi)]])</f>
        <v>63.811771442511869</v>
      </c>
      <c r="EV4" s="6">
        <f>IF(Reinforcements[[#This Row],[Lcy/ry]]&lt;=Reinforcements[[#This Row],[Fcr Limit]],(0.658^(Reinforcements[[#This Row],[Fy, (ksi)]]/Reinforcements[[#This Row],[Fey, FB (ksi)]]))*Reinforcements[[#This Row],[Fy, (ksi)]],0.877*Reinforcements[[#This Row],[Fey, FB (ksi)]])</f>
        <v>95.707802307370343</v>
      </c>
      <c r="EW4" s="6">
        <f>Reinforcements[[#This Row],[Fcrx (ksi)]]*Reinforcements[[#This Row],[Gross Area (in2)]]</f>
        <v>255.24708577004748</v>
      </c>
      <c r="EX4" s="6">
        <f>Reinforcements[[#This Row],[Fcry (ksi)]]*Reinforcements[[#This Row],[Gross Area (in2)]]</f>
        <v>382.83120922948137</v>
      </c>
      <c r="EY4" s="6" t="str">
        <f>IF(Reinforcements[[#This Row],[Type]]="channel",0,"N/A")</f>
        <v>N/A</v>
      </c>
      <c r="EZ4" s="6" t="str">
        <f>IF(Reinforcements[[#This Row],[Type]]="channel",Reinforcements[[#This Row],[Channel Flange Width, b]]-(0.5*Reinforcements[[#This Row],[Channel web thickness, tw]]),"N/A")</f>
        <v>N/A</v>
      </c>
      <c r="FA4" s="6" t="str">
        <f>IF(Reinforcements[[#This Row],[Type]]="channel",Reinforcements[[#This Row],[Channel Height, h]]-Reinforcements[[#This Row],[Channel flange thickness, tf]],"N/A")</f>
        <v>N/A</v>
      </c>
      <c r="FB4" s="6" t="str">
        <f>IF(Reinforcements[[#This Row],[Type]]="channel",Reinforcements[[#This Row],[Channel web thickness, tw]],"N/A")</f>
        <v>N/A</v>
      </c>
      <c r="FC4" s="6" t="str">
        <f>IF(Reinforcements[[#This Row],[Type]]="channel",((3*Reinforcements[[#This Row],[b]]^2)/(Reinforcements[[#This Row],[h]]+(6*Reinforcements[[#This Row],[b]])))-Reinforcements[[#This Row],[t]]/2,"N/A")</f>
        <v>N/A</v>
      </c>
      <c r="FD4" s="6">
        <f>Reinforcements[[#This Row],[Pole Face to Centroid (in)]]</f>
        <v>0.5</v>
      </c>
      <c r="FE4" s="6" t="str">
        <f>IF(Reinforcements[[#This Row],[Type]]="channel",Reinforcements[[#This Row],[x(bar)]]+Reinforcements[[#This Row],['[Channel'] e0 (in)]],"N/A")</f>
        <v>N/A</v>
      </c>
      <c r="FF4" s="6" t="str">
        <f>IF(Reinforcements[[#This Row],[Type]]="channel",Reinforcements[[#This Row],[Ix]],"N/A")</f>
        <v>N/A</v>
      </c>
      <c r="FG4" s="6" t="str">
        <f>IF(Reinforcements[[#This Row],[Type]]="channel",Reinforcements[[#This Row],[Iy]],"N/A")</f>
        <v>N/A</v>
      </c>
      <c r="FH4" s="6" t="str">
        <f>IF(Reinforcements[[#This Row],[Type]]="channel",Reinforcements[[#This Row],[Gross Area (in2)]],"N/A")</f>
        <v>N/A</v>
      </c>
      <c r="FI4" s="6" t="str">
        <f>IF(Reinforcements[[#This Row],[Type]]="channel",(Reinforcements[[#This Row],[xo]]^2)+((Reinforcements[[#This Row],[Ix (FTB)]]+Reinforcements[[#This Row],[Iy (FTB)]])/Reinforcements[[#This Row],[Ag]]),"N/A")</f>
        <v>N/A</v>
      </c>
      <c r="FJ4" s="6" t="str">
        <f>IF(Reinforcements[[#This Row],[Type]]="channel",Reinforcements[[#This Row],[Lu (in)]],"N/A")</f>
        <v>N/A</v>
      </c>
      <c r="FK4" s="6" t="str">
        <f>IF(Reinforcements[[#This Row],[Type]]="channel",Reinforcements[[#This Row],[Effective Length Factor Kx]],"N/A")</f>
        <v>N/A</v>
      </c>
      <c r="FL4" s="6" t="str">
        <f>IF(Reinforcements[[#This Row],[Type]]="channel",Reinforcements[[#This Row],[Kz]]*Reinforcements[[#This Row],[Lz]],"N/A")</f>
        <v>N/A</v>
      </c>
      <c r="FM4" s="6" t="str">
        <f>IF(Reinforcements[[#This Row],[Type]]="channel",(((Reinforcements[[#This Row],[t]]^3)/3)*(Reinforcements[[#This Row],[h]]+(2*Reinforcements[[#This Row],[b]]))),"N/A")</f>
        <v>N/A</v>
      </c>
      <c r="FN4" s="6" t="str">
        <f>IF(Reinforcements[[#This Row],[Type]]="channel",(1-(((Reinforcements[[#This Row],[xo]]^2)+(Reinforcements[[#This Row],[yo]]^2))/Reinforcements[[#This Row],[ro^2(bar)]])),"N/A")</f>
        <v>N/A</v>
      </c>
      <c r="FO4" s="6">
        <v>11200</v>
      </c>
      <c r="FP4" s="6" t="str">
        <f>IF(Reinforcements[[#This Row],[Type]]="channel",(((Reinforcements[[#This Row],[h]]^2)*(Reinforcements[[#This Row],[b]]^3)*Reinforcements[[#This Row],[t]])/12)*(((2*Reinforcements[[#This Row],[h]])+(3*Reinforcements[[#This Row],[b]]))/(Reinforcements[[#This Row],[h]]+(6*Reinforcements[[#This Row],[b]]))),"N/A")</f>
        <v>N/A</v>
      </c>
      <c r="FQ4" s="6" t="str">
        <f>IF(Reinforcements[[#This Row],[Type]]="Channel",((((PI()^2)*Reinforcements[[#This Row],[E, (ksi)]]*Reinforcements[[#This Row],['[Channel'] CW (in6)]])/(Reinforcements[[#This Row],[Lcz]]^2))+(Reinforcements[[#This Row],[G]]*Reinforcements[[#This Row],['[Channel'] J (in4)]]))*(1/(Reinforcements[[#This Row],[Ag]]*Reinforcements[[#This Row],[ro^2(bar)]])),"N/A")</f>
        <v>N/A</v>
      </c>
      <c r="FR4" s="6" t="str">
        <f>IF(Reinforcements[[#This Row],[Type]]="channel",((PI()^2)*Reinforcements[[#This Row],[E, (ksi)]])/(Reinforcements[[#This Row],[Lcy/ry]]^2),"N/A")</f>
        <v>N/A</v>
      </c>
      <c r="FS4" s="6" t="str">
        <f>IF(Reinforcements[[#This Row],[Type]]="channel",((Reinforcements[[#This Row],[Fey]]+Reinforcements[[#This Row],[Fez]])/(2*Reinforcements[[#This Row],[H2]]))*(1-SQRT(1-((4*Reinforcements[[#This Row],[Fey]]*Reinforcements[[#This Row],[Fez]]*Reinforcements[[#This Row],[H2]])/(Reinforcements[[#This Row],[Fey]]+Reinforcements[[#This Row],[Fez]])^2))),"N/A")</f>
        <v>N/A</v>
      </c>
      <c r="FT4" s="6" t="str">
        <f>IF(Reinforcements[[#This Row],[Type]]="channel",IF(Reinforcements[[#This Row],[Lcx/rx]]&gt;(4.71*SQRT(Reinforcements[[#This Row],[E, (ksi)]]/Reinforcements[[#This Row],[Fy, (ksi)]])),0.877*Reinforcements[[#This Row],[Fe (FTB)]],0.658^(Reinforcements[[#This Row],[Fy, (ksi)]]/Reinforcements[[#This Row],[Fe (FTB)]])*Reinforcements[[#This Row],[Fy, (ksi)]]),"N/A")</f>
        <v>N/A</v>
      </c>
      <c r="FU4" s="6" t="str">
        <f>IF(Reinforcements[[#This Row],[Type]]="channel",MIN(Reinforcements[[#This Row],[Fcr(FTB)]],Reinforcements[[#This Row],[Fcry (ksi)]]),"N/A")</f>
        <v>N/A</v>
      </c>
      <c r="FV4" s="6">
        <v>0.22</v>
      </c>
      <c r="FW4" s="6">
        <v>1.49</v>
      </c>
      <c r="FX4" s="6" t="str">
        <f>IF(Reinforcements[[#This Row],[Type]]="channel",((Reinforcements[[#This Row],[c2]]*(Reinforcements[[#This Row],[λrf]]/Reinforcements[[#This Row],[λf]]))^2)*Reinforcements[[#This Row],[Fy, (ksi)]],"N/A")</f>
        <v>N/A</v>
      </c>
      <c r="FY4" s="6" t="str">
        <f>IF(Reinforcements[[#This Row],[Type]]="channel",((Reinforcements[[#This Row],[c2]]*(Reinforcements[[#This Row],[λrw]]/Reinforcements[[#This Row],[λw]]))^2)*Reinforcements[[#This Row],[Fy, (ksi)]],"N/A")</f>
        <v>N/A</v>
      </c>
      <c r="FZ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6" t="str">
        <f>IF(Reinforcements[[#This Row],[Type]]="channel",Reinforcements[[#This Row],[Fcr]]*Reinforcements[[#This Row],[Ae]],"N/A")</f>
        <v>N/A</v>
      </c>
      <c r="GD4">
        <f>IF(Reinforcements[[#This Row],[Reinforcement]]="","",φ_c*Reinforcements[[#This Row],[Pnx, FB (kip)]])</f>
        <v>229.72237719304275</v>
      </c>
      <c r="GE4">
        <f>IF(Reinforcements[[#This Row],[Reinforcement]]="","",IF(Reinforcements[[#This Row],[Type]]="channel",φ_c*Reinforcements[[#This Row],[Pn]],φ_c*Reinforcements[[#This Row],[Pny, FB (kip)]]))</f>
        <v>344.54808830653326</v>
      </c>
      <c r="GF4">
        <f>Reinforcements[[#This Row],[Rev. G Tension Yield Capacity (kips)]]</f>
        <v>360</v>
      </c>
      <c r="GG4">
        <f>Reinforcements[[#This Row],[Rev. G Tension Rupture Capacity (kips)]]</f>
        <v>226.875</v>
      </c>
      <c r="GH4">
        <f>Reinforcements[[#This Row],[Rev. G Shear Capacity (kips)]]</f>
        <v>180</v>
      </c>
      <c r="GI4">
        <f>IFERROR((Reinforcements[[#This Row],['# of End Connection Bolts          (Bottom)]]-1)*Reinforcements[[#This Row],[End Connection Bolt Spacing (in) (B)]],"-")</f>
        <v>18</v>
      </c>
      <c r="GJ4">
        <f>IFERROR(IF(VLOOKUP(Reinforcements[[#This Row],[Bottom End Connection Bolt Type]],Bolts[],COLUMN(Bolts[[#Headers],[Rev. H Apply Connection Length Reduction Factor (Rb)?]])-1,FALSE)="Yes",(IF(Reinforcements[[#This Row],[Lb(bottom)]]&lt;=16,1,IF(Reinforcements[[#This Row],[Lb(bottom)]]&gt;38,0.75,0.9))),1),"-")</f>
        <v>1</v>
      </c>
      <c r="GK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f>IFERROR(IF(Reinforcements[[#This Row],[Top End Connection Same?]]="Yes",Reinforcements[[#This Row],[Lb(bottom)]],(Reinforcements[[#This Row],['# of End Connection Bolts          (Top)]]-1)*Reinforcements[[#This Row],[End Connection Bolt Spacing (in) (T)]]),"-")</f>
        <v>18</v>
      </c>
      <c r="GM4">
        <f>IFERROR(IF(VLOOKUP(Reinforcements[[#This Row],[Top End Connection Bolt Type]],Bolts[],COLUMN(Bolts[[#Headers],[Rev. H Apply Connection Length Reduction Factor (Rb)?]])-1,FALSE)=TRUE,(IF(Reinforcements[[#This Row],[Lb(top)]]&lt;=16,1,IF(Reinforcements[[#This Row],[Lb(top)]]&gt;38,0.75,0.9))),1),"-")</f>
        <v>0.9</v>
      </c>
      <c r="GN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f>Reinforcements[[#This Row],[Rev. G Bolt-Shaft Bearing Capacity (Bottom)                No Deformation          (*t*Fu kips)]]</f>
        <v>13.916220472440944</v>
      </c>
      <c r="GP4">
        <f>Reinforcements[[#This Row],[Rev. G Bolt-Shaft Bearing Capacity (Bottom)                   Deformation          (*t*Fu kips)]]</f>
        <v>17.395275590551179</v>
      </c>
      <c r="GQ4">
        <f>Reinforcements[[#This Row],[Rev. G Bolt-Shaft Bearing Capacity (Top)                    No Deformation          (*t*Fu kips)]]</f>
        <v>13.916220472440944</v>
      </c>
      <c r="GR4">
        <f>Reinforcements[[#This Row],[Rev. G Bolt-Shaft Bearing Capacity (Top)                        Deformation          (*t*Fu kips)]]</f>
        <v>17.395275590551179</v>
      </c>
      <c r="GS4">
        <f>Reinforcements[[#This Row],[Rev. G Bolt-Reinf. Bearing Capacity (Bottom)            No Deformation (kips)]]</f>
        <v>1464.992125984252</v>
      </c>
      <c r="GT4">
        <f>Reinforcements[[#This Row],[Rev. G Bolt-Reinf. Bearing Capacity (Bottom)               Deformation (kips)]]</f>
        <v>1831.240157480315</v>
      </c>
      <c r="GU4">
        <f>Reinforcements[[#This Row],[Rev. G Bolt-Reinf. Bearing Capacity (Top)                  No Deformation (kips)]]</f>
        <v>1464.992125984252</v>
      </c>
      <c r="GV4">
        <f>Reinforcements[[#This Row],[Rev. G Bolt-Reinf. Bearing Capacity (Top)               Deformation (kips)]]</f>
        <v>1831.240157480315</v>
      </c>
      <c r="GW4" t="str">
        <f>Reinforcements[[#This Row],[Rev. G Bottom Transverse Weld Strength]]</f>
        <v>-</v>
      </c>
      <c r="GX4" t="str">
        <f>Reinforcements[[#This Row],[Rev. G Bottom Longitudinal Weld Strength]]</f>
        <v>-</v>
      </c>
      <c r="GY4" t="str">
        <f>Reinforcements[[#This Row],[Rev. G Top Transverse Weld Strength]]</f>
        <v>-</v>
      </c>
      <c r="GZ4" t="str">
        <f>Reinforcements[[#This Row],[Rev. G Top Longitudinal Weld Strength]]</f>
        <v>-</v>
      </c>
      <c r="HA4">
        <v>2</v>
      </c>
      <c r="HB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49" t="s">
        <v>359</v>
      </c>
      <c r="C5" s="49" t="s">
        <v>352</v>
      </c>
      <c r="D5" s="6">
        <v>5</v>
      </c>
      <c r="E5" s="6">
        <v>1</v>
      </c>
      <c r="F5" s="6" t="str">
        <f>IF(Reinforcements[[#This Row],[Type]]="","",IF(Reinforcements[[#This Row],[Type]]="solid round","","n/a"))</f>
        <v>n/a</v>
      </c>
      <c r="G5" s="6" t="str">
        <f>IF(Reinforcements[[#This Row],[Type]]="","",IF(Reinforcements[[#This Row],[Type]]&lt;&gt;"channel","n/a",""))</f>
        <v>n/a</v>
      </c>
      <c r="H5" s="6" t="str">
        <f>IF(Reinforcements[[#This Row],[Type]]="","",IF(Reinforcements[[#This Row],[Type]]&lt;&gt;"channel","n/a",""))</f>
        <v>n/a</v>
      </c>
      <c r="I5" s="126" t="str">
        <f>IF(Reinforcements[[#This Row],[Type]]="","",IF(Reinforcements[[#This Row],[Type]]&lt;&gt;"channel","n/a",Reinforcements[[#This Row],[eo]]))</f>
        <v>n/a</v>
      </c>
      <c r="J5" s="126" t="str">
        <f>IF(Reinforcements[[#This Row],[Type]]="","",IF(Reinforcements[[#This Row],[Type]]&lt;&gt;"channel","n/a",Reinforcements[[#This Row],[J]]))</f>
        <v>n/a</v>
      </c>
      <c r="K5" s="126" t="str">
        <f>IF(Reinforcements[[#This Row],[Type]]="","",IF(Reinforcements[[#This Row],[Type]]&lt;&gt;"channel","n/a",Reinforcements[[#This Row],[Cw]]))</f>
        <v>n/a</v>
      </c>
      <c r="L5" s="6">
        <f>IFERROR(IF(Reinforcements[[#This Row],[Type]]="","",IF(Reinforcements[[#This Row],[Type]]="plate",Reinforcements[[#This Row],[B (in)]]*Reinforcements[[#This Row],[H (in)]],IF(Reinforcements[[#This Row],[Type]]="solid round",PI()/4*Reinforcements[[#This Row],[Diameter (in)]]^2,""))),"")</f>
        <v>5</v>
      </c>
      <c r="M5" s="6">
        <f>IFERROR(IF(Reinforcements[[#This Row],[Type]]="","",IF(Reinforcements[[#This Row],[Type]]="plate",Reinforcements[[#This Row],[H (in)]]/2,"")),"")</f>
        <v>0.5</v>
      </c>
      <c r="N5" s="16" t="s">
        <v>353</v>
      </c>
      <c r="O5" s="6" t="s">
        <v>132</v>
      </c>
      <c r="P5" s="123">
        <f>IFERROR(IF(Reinforcements[[#This Row],[Type]]="","",IF(Reinforcements[[#This Row],[Type]]="plate",Reinforcements[[#This Row],[B (in)]]*Reinforcements[[#This Row],[H (in)]]^3/12,IF(Reinforcements[[#This Row],[Type]]="solid round",PI()/64*Reinforcements[[#This Row],[Diameter (in)]]^4,""))),"")</f>
        <v>0.41666666666666669</v>
      </c>
      <c r="Q5" s="123">
        <f>IF(Reinforcements[[#This Row],[Reinforcement]]="","",SQRT(Reinforcements[[#This Row],[Ix]]/Reinforcements[[#This Row],[Gross Area (in2)]]))</f>
        <v>0.28867513459481292</v>
      </c>
      <c r="R5" s="123">
        <f>IFERROR(IF(Reinforcements[[#This Row],[Type]]="","",IF(Reinforcements[[#This Row],[Type]]="plate",Reinforcements[[#This Row],[B (in)]]^3*Reinforcements[[#This Row],[H (in)]]/12,IF(Reinforcements[[#This Row],[Type]]="solid round",PI()/64*Reinforcements[[#This Row],[Diameter (in)]]^4,""))),"")</f>
        <v>10.416666666666666</v>
      </c>
      <c r="S5" s="123">
        <f>IF(Reinforcements[[#This Row],[Reinforcement]]="","",SQRT(Reinforcements[[#This Row],[Iy]]/Reinforcements[[#This Row],[Gross Area (in2)]]))</f>
        <v>1.4433756729740643</v>
      </c>
      <c r="T5" s="6">
        <v>18</v>
      </c>
      <c r="U5" s="6">
        <v>0.8</v>
      </c>
      <c r="V5" s="6">
        <v>1</v>
      </c>
      <c r="W5" s="6">
        <v>1.1875</v>
      </c>
      <c r="X5" s="6">
        <f>IF(Reinforcements[[#This Row],[Bolt Hole Size (in)]]="","",IF(Reinforcements[[#This Row],[Bolt Hole Size (in)]]="n/a","n/a",Reinforcements[[#This Row],[Bolt Hole Size (in)]]*25.4))</f>
        <v>30.162499999999998</v>
      </c>
      <c r="Y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6">
        <f>IFERROR(IF(Reinforcements[[#This Row],[Reinforcement]]="","",IF(OR(Reinforcements[[#This Row],[Type]]="plate",Reinforcements[[#This Row],[Type]]="solid round"),1,IF(Reinforcements[[#This Row],[Type]]="arbitrary","",1-Reinforcements[[#This Row],[Pole Face to Centroid (in)]]/Reinforcements[[#This Row],[Connection Length (in) '[Channels']]]))),"")</f>
        <v>1</v>
      </c>
      <c r="AA5" s="16" t="s">
        <v>354</v>
      </c>
      <c r="AB5" s="16" t="str">
        <f>IF(Reinforcements[[#This Row],[Reinforcement]]="","",IF(Reinforcements[[#This Row],[Bottom End Connection Type]]&lt;&gt;"Capacity Input","-",""))</f>
        <v>-</v>
      </c>
      <c r="AC5" s="16" t="str">
        <f>IF(Reinforcements[[#This Row],[Reinforcement]]="","",IF(Reinforcements[[#This Row],[Bottom End Connection Type]]&lt;&gt;"Capacity Input","-",""))</f>
        <v>-</v>
      </c>
      <c r="AD5" s="16" t="str">
        <f>IF(Reinforcements[[#This Row],[Reinforcement]]="","",IF(Reinforcements[[#This Row],[Bottom End Connection Type]]&lt;&gt;"Capacity Input","-",""))</f>
        <v>-</v>
      </c>
      <c r="AE5" s="74" t="s">
        <v>355</v>
      </c>
      <c r="AF5" s="6" t="s">
        <v>356</v>
      </c>
      <c r="AG5" s="6">
        <v>10</v>
      </c>
      <c r="AH5" s="6">
        <v>3</v>
      </c>
      <c r="AI5" s="6">
        <v>2</v>
      </c>
      <c r="AJ5" s="6">
        <f>Reinforcements[[#This Row],[End Connection Edge Distance (in) (B)]]-(Reinforcements[[#This Row],[Bolt Hole Size (in)]]+1/16)/2</f>
        <v>1.375</v>
      </c>
      <c r="AK5" s="6">
        <f>Reinforcements[[#This Row],[End Connection Bolt Spacing (in) (B)]]-(Reinforcements[[#This Row],[Bolt Hole Size (in)]]+1/16)</f>
        <v>1.75</v>
      </c>
      <c r="AL5" s="6">
        <f>Reinforcements[[#This Row],[End Connection Edge Distance (in) (B)]]</f>
        <v>2</v>
      </c>
      <c r="AM5" s="6">
        <f>Reinforcements[[#This Row],[End Connection Bolt Spacing (in) (B)]]</f>
        <v>3</v>
      </c>
      <c r="AN5" s="111" t="str">
        <f>IF(Reinforcements[[#This Row],[Reinforcement]]="","",IF(OR(Reinforcements[[#This Row],[Bottom End Connection Type]]="Bolted",Reinforcements[[#This Row],[Bottom End Connection Type]]=""),"-",""))</f>
        <v>-</v>
      </c>
      <c r="AO5" s="111" t="str">
        <f>IF(Reinforcements[[#This Row],[Reinforcement]]="","",IF(OR(Reinforcements[[#This Row],[Bottom End Connection Type]]="Bolted",Reinforcements[[#This Row],[Bottom End Connection Type]]=""),"-",""))</f>
        <v>-</v>
      </c>
      <c r="AP5" s="111" t="str">
        <f>IF(Reinforcements[[#This Row],[Reinforcement]]="","",IF(OR(Reinforcements[[#This Row],[Bottom End Connection Type]]="Bolted",Reinforcements[[#This Row],[Bottom End Connection Type]]=""),"-",""))</f>
        <v>-</v>
      </c>
      <c r="AQ5" s="111" t="str">
        <f>IF(OR(Reinforcements[[#This Row],[Bottom End Connection Type]]="Bolted",Reinforcements[[#This Row],[Bottom Transverse (Horizontal) Weld]]="none"),"-","")</f>
        <v>-</v>
      </c>
      <c r="AR5"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11" t="str">
        <f>IF(OR(Reinforcements[[#This Row],[Bottom Transverse (Horizontal) Weld]]="none",Reinforcements[[#This Row],[Bottom End Connection Type]]="Bolted"),"-","")</f>
        <v>-</v>
      </c>
      <c r="AU5"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11" t="str">
        <f>IF(Reinforcements[[#This Row],[Reinforcement]]="","",IF(OR(Reinforcements[[#This Row],[Bottom End Connection Type]]="Bolted",Reinforcements[[#This Row],[Bottom End Connection Type]]=""),"-",""))</f>
        <v>-</v>
      </c>
      <c r="AW5" s="111" t="str">
        <f>IF(Reinforcements[[#This Row],[Reinforcement]]="","",IF(OR(Reinforcements[[#This Row],[Bottom End Connection Type]]&lt;&gt;"Welded",Reinforcements[[#This Row],[Bottom Longitudinal (Vertical) Weld]]="None",Reinforcements[[#This Row],[Bottom Longitudinal (Vertical) Weld]]=""),"-",""))</f>
        <v>-</v>
      </c>
      <c r="AX5" s="111" t="str">
        <f>IF(Reinforcements[[#This Row],[Reinforcement]]="","",IF(OR(Reinforcements[[#This Row],[Bottom End Connection Type]]&lt;&gt;"Welded",Reinforcements[[#This Row],[Bottom Longitudinal (Vertical) Weld]]="None",Reinforcements[[#This Row],[Bottom Longitudinal (Vertical) Weld]]=""),"-",""))</f>
        <v>-</v>
      </c>
      <c r="AY5" s="111" t="str">
        <f>IF(Reinforcements[[#This Row],[Reinforcement]]="","",IF(OR(Reinforcements[[#This Row],[Bottom End Connection Type]]&lt;&gt;"Welded",Reinforcements[[#This Row],[Bottom Longitudinal (Vertical) Weld]]="None"),"-",SQRT(2)/2*Reinforcements[[#This Row],[Bottom Longitudinal Weld Fillet Size (in)]]))</f>
        <v>-</v>
      </c>
      <c r="AZ5" s="6" t="s">
        <v>357</v>
      </c>
      <c r="BA5" s="16" t="str">
        <f>IF(Reinforcements[[#This Row],[Top End Connection Same?]]="Yes",Reinforcements[[#This Row],[Bottom End Connection Type]],"")</f>
        <v>Bolted</v>
      </c>
      <c r="BB5" s="16" t="str">
        <f>IF(Reinforcements[[#This Row],[Reinforcement]]="","",IF(Reinforcements[[#This Row],[Top End Connection Same?]]="Yes",Reinforcements[[#This Row],[Rev. F Bottom Connection Capacity (kips)]],IF(Reinforcements[[#This Row],[Reinforcement]]="","",IF(Reinforcements[[#This Row],[Top End Connection Type]]&lt;&gt;"Capacity Input","-",""))))</f>
        <v>-</v>
      </c>
      <c r="BC5" s="16" t="str">
        <f>IF(Reinforcements[[#This Row],[Reinforcement]]="","",IF(Reinforcements[[#This Row],[Top End Connection Same?]]="Yes",Reinforcements[[#This Row],[Rev. G Bottom Connection Capacity (kips)]],IF(Reinforcements[[#This Row],[Reinforcement]]="","",IF(Reinforcements[[#This Row],[Top End Connection Type]]&lt;&gt;"Capacity Input","-",""))))</f>
        <v>-</v>
      </c>
      <c r="BD5" s="16" t="str">
        <f>IF(Reinforcements[[#This Row],[Reinforcement]]="","",IF(Reinforcements[[#This Row],[Top End Connection Same?]]="Yes",Reinforcements[[#This Row],[Rev. G Bottom Connection Capacity (kips)]],IF(Reinforcements[[#This Row],[Reinforcement]]="","",IF(Reinforcements[[#This Row],[Top End Connection Type]]&lt;&gt;"Capacity Input","-",""))))</f>
        <v>-</v>
      </c>
      <c r="BE5" s="74" t="str">
        <f>IF(Reinforcements[[#This Row],[Top End Connection Same?]]="Yes",Reinforcements[[#This Row],[Bottom End Connection Bolt Type]],IF(Reinforcements[[#This Row],[Top End Connection Type]]="Welded","-",""))</f>
        <v>PC 8.8 - M20 (100)</v>
      </c>
      <c r="BF5" s="6" t="str">
        <f>IF(Reinforcements[[#This Row],[Top End Connection Same?]]="Yes",Reinforcements[[#This Row],[Threads Included (N) or Excluded (X) (Bottom)]],IF(Reinforcements[[#This Row],[Top End Connection Type]]="Welded","-",""))</f>
        <v>N</v>
      </c>
      <c r="BG5" s="6">
        <f>IF(Reinforcements[[#This Row],[Top End Connection Same?]]="Yes",Reinforcements[[#This Row],['# of End Connection Bolts          (Bottom)]],IF(Reinforcements[[#This Row],[Top End Connection Type]]="Welded","-",""))</f>
        <v>10</v>
      </c>
      <c r="BH5" s="6">
        <f>IF(Reinforcements[[#This Row],[Top End Connection Same?]]="Yes",Reinforcements[[#This Row],[End Connection Bolt Spacing (in) (B)]],IF(Reinforcements[[#This Row],[Top End Connection Type]]="Welded","-",""))</f>
        <v>3</v>
      </c>
      <c r="BI5" s="6">
        <f>IF(Reinforcements[[#This Row],[Top End Connection Same?]]="Yes",Reinforcements[[#This Row],[End Connection Edge Distance (in) (B)]],IF(Reinforcements[[#This Row],[Top End Connection Type]]="Welded","-",""))</f>
        <v>2</v>
      </c>
      <c r="BJ5" s="6">
        <f>Reinforcements[[#This Row],[End Connection Edge Distance (in) (T)]]-(Reinforcements[[#This Row],[Bolt Hole Size (in)]]+1/16)/2</f>
        <v>1.375</v>
      </c>
      <c r="BK5" s="6">
        <f>Reinforcements[[#This Row],[End Connection Bolt Spacing (in) (T)]]-(Reinforcements[[#This Row],[Bolt Hole Size (in)]]+1/16)</f>
        <v>1.75</v>
      </c>
      <c r="BL5" s="6">
        <f>Reinforcements[[#This Row],[End Connection Edge Distance (in) (T)]]</f>
        <v>2</v>
      </c>
      <c r="BM5" s="6">
        <f>Reinforcements[[#This Row],[End Connection Bolt Spacing (in) (T)]]</f>
        <v>3</v>
      </c>
      <c r="BN5" s="6" t="str">
        <f>IF(Reinforcements[[#This Row],[Reinforcement]]="","",IF(Reinforcements[[#This Row],[Top End Connection Same?]]="Yes",Reinforcements[[#This Row],[Bottom Connected to Flange/Base Plate?]],IF(Reinforcements[[#This Row],[Top End Connection Type]]="Bolted","-","")))</f>
        <v>-</v>
      </c>
      <c r="BO5" s="6" t="str">
        <f>IF(Reinforcements[[#This Row],[Reinforcement]]="","",IF(Reinforcements[[#This Row],[Top End Connection Same?]]="Yes",Reinforcements[[#This Row],[Bottom Weld Grade (ksi)]],IF(OR(Reinforcements[[#This Row],[Top End Connection Type]]&lt;&gt;"Welded",Reinforcements[[#This Row],[Top End Connection Type]]=""),"-","")))</f>
        <v>-</v>
      </c>
      <c r="BP5" s="6" t="str">
        <f>IF($AZ5="Yes",AP5,IF(Reinforcements[[#This Row],[Reinforcement]]="","",IF(OR(Reinforcements[[#This Row],[Top End Connection Type]]&lt;&gt;"Welded",Reinforcements[[#This Row],[Top End Connection Type]]=""),"-","")))</f>
        <v>-</v>
      </c>
      <c r="BQ5" s="6" t="str">
        <f>IF(Reinforcements[[#This Row],[Reinforcement]]="","",IF($AZ5="Yes",AQ5,IF(OR(Reinforcements[[#This Row],[Top End Connection Type]]&lt;&gt;"Welded",Reinforcements[[#This Row],[Top Transverse (Horizontal) Weld]]="none",Reinforcements[[#This Row],[Top Transverse (Horizontal) Weld]]=""),"-","")))</f>
        <v>-</v>
      </c>
      <c r="BR5" s="6"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6"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6" t="str">
        <f>IF(Reinforcements[[#This Row],[Reinforcement]]="","",IF($AZ5="Yes",AT5,IF(OR(Reinforcements[[#This Row],[Top Transverse (Horizontal) Weld]]="none",Reinforcements[[#This Row],[Top End Connection Type]]&lt;&gt;"Welded",Reinforcements[[#This Row],[Top Transverse (Horizontal) Weld]]=""),"-","")))</f>
        <v>-</v>
      </c>
      <c r="BU5" s="6"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6" t="str">
        <f>IF($AZ5="Yes",AV5,IF(Reinforcements[[#This Row],[Reinforcement]]="","",IF(OR(Reinforcements[[#This Row],[Top End Connection Type]]&lt;&gt;"Welded",Reinforcements[[#This Row],[Top End Connection Type]]=""),"-","")))</f>
        <v>-</v>
      </c>
      <c r="BW5" s="6"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6"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6" t="str">
        <f>IF($AZ5="Yes",AY5,IF(Reinforcements[[#This Row],[Reinforcement]]="","",IF(OR(Reinforcements[[#This Row],[Top End Connection Type]]&lt;&gt;"Welded",Reinforcements[[#This Row],[Top Longitudinal (Vertical) Weld]]="none"),"-",SQRT(2)/2*Reinforcements[[#This Row],[Top Longitudinal Weld Fillet Size (in)]])))</f>
        <v>-</v>
      </c>
      <c r="BZ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11">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11">
        <f>IF(Reinforcements[[#This Row],[Reinforcement]]="","",IF(Reinforcements[[#This Row],[Top End Connection Type]]&lt;&gt;"Bolted","n/a",(Reinforcements[[#This Row],['# of End Connection Bolts          (Top)]]-1)*Reinforcements[[#This Row],[End Connection Bolt Spacing (in) (T)]]+Reinforcements[[#This Row],[End Connection Edge Distance (in) (T)]]))</f>
        <v>29</v>
      </c>
      <c r="CC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6">
        <f>IFERROR(IF(Reinforcements[[#This Row],[Type]]="","",Reinforcements[[#This Row],[Effective B (in)]]*Reinforcements[[#This Row],[Effective H (in)]]^3/12),"")</f>
        <v>0.41666666666666669</v>
      </c>
      <c r="CF5" s="6">
        <f>IFERROR(IF(Reinforcements[[#This Row],[Type]]="","",Reinforcements[[#This Row],[Effective B (in)]]^3*Reinforcements[[#This Row],[Effective H (in)]]/12),"")</f>
        <v>10.416666666666666</v>
      </c>
      <c r="CG5" s="126">
        <f>SQRT(2*PI()^2*29000/VLOOKUP(Reinforcements[[#This Row],[Material]],Materials[],2,FALSE))</f>
        <v>75.659570132481107</v>
      </c>
      <c r="CH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23">
        <f>Reinforcements[[#This Row],[Effective Length Factor Kx]]*Reinforcements[[#This Row],[Lu (in)]]/(Reinforcements[[#This Row],[rx]]*PI())*SQRT(VLOOKUP(Reinforcements[[#This Row],[Material]],Materials[],2,FALSE)/29000)</f>
        <v>0.93240424798382504</v>
      </c>
      <c r="CK5" s="123">
        <f>Reinforcements[[#This Row],[Effective Length Factor Ky]]*Reinforcements[[#This Row],[Lu (in)]]/(Reinforcements[[#This Row],[ry]]*PI())*SQRT(VLOOKUP(Reinforcements[[#This Row],[Material]],Materials[],2,FALSE)/29000)</f>
        <v>0.23310106199595629</v>
      </c>
      <c r="CL5" s="123">
        <f>IF(Reinforcements[[#This Row],[λcx]]&lt;=1.5,0.658^(Reinforcements[[#This Row],[λcx]]^2)*Reinforcements[[#This Row],[F''y]],0.877/(Reinforcements[[#This Row],[λcx]]^2)*Reinforcements[[#This Row],[F''y]])</f>
        <v>69.497574667055517</v>
      </c>
      <c r="CM5" s="123">
        <f>IF(Reinforcements[[#This Row],[λcy]]&lt;=1.5,0.658^(Reinforcements[[#This Row],[λcy]]^2)*Reinforcements[[#This Row],[F''y]],0.877/(Reinforcements[[#This Row],[λcy]]^2)*Reinforcements[[#This Row],[F''y]])</f>
        <v>97.751426323780308</v>
      </c>
      <c r="CN5" s="6">
        <f>VLOOKUP(Reinforcements[[#This Row],[Material]],Materials[],2,FALSE)</f>
        <v>100</v>
      </c>
      <c r="CO5" s="126">
        <f>IF(Reinforcements[[#This Row],[Reinforcement]]="","",Reinforcements[[#This Row],[Fax]]*Reinforcements[[#This Row],[Gross Area (in2)]])</f>
        <v>208.36550430885165</v>
      </c>
      <c r="CP5" s="126">
        <f>IF(Reinforcements[[#This Row],[Reinforcement]]="","",Reinforcements[[#This Row],[Fay]]*Reinforcements[[#This Row],[Gross Area (in2)]])</f>
        <v>285.43497155941765</v>
      </c>
      <c r="CQ5" s="126">
        <f>IF(Reinforcements[[#This Row],[Reinforcement]]="","",0.6*VLOOKUP(Reinforcements[[#This Row],[Material]],Materials[],2,FALSE)*Reinforcements[[#This Row],[Gross Area (in2)]])</f>
        <v>300</v>
      </c>
      <c r="CR5" s="126">
        <f>IF(Reinforcements[[#This Row],[Reinforcement]]="","",0.5*VLOOKUP(Reinforcements[[#This Row],[Material]],Materials[],3,FALSE)*Reinforcements[[#This Row],[Net Area (in2)]]*Reinforcements[[#This Row],[Shear Lag (U)]])</f>
        <v>206.25</v>
      </c>
      <c r="CS5" s="126">
        <f>IF(Reinforcements[[#This Row],[Reinforcement]]="","",0.4*VLOOKUP(Reinforcements[[#This Row],[Material]],Materials[],2,FALSE)*Reinforcements[[#This Row],[Gross Area (in2)]])</f>
        <v>200</v>
      </c>
      <c r="CT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6"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6"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26">
        <f>IF(Reinforcements[[#This Row],[Reinforcement]]="","",φ_c*Reinforcements[[#This Row],[Fcr,x]]*Reinforcements[[#This Row],[Gross Area (in2)]])</f>
        <v>312.73908600174985</v>
      </c>
      <c r="DI5" s="126">
        <f>IF(Reinforcements[[#This Row],[Reinforcement]]="","",φ_c*Reinforcements[[#This Row],[Fcr,y]]*Reinforcements[[#This Row],[Gross Area (in2)]])</f>
        <v>439.88141845701136</v>
      </c>
      <c r="DJ5" s="126">
        <f>IF(Reinforcements[[#This Row],[Reinforcement]]="","",φ_t_y*VLOOKUP(Reinforcements[[#This Row],[Material]],Materials[],2,FALSE)*Reinforcements[[#This Row],[Gross Area (in2)]])</f>
        <v>450</v>
      </c>
      <c r="DK5" s="126">
        <f>IF(Reinforcements[[#This Row],[Reinforcement]]="","",φ_t_r*VLOOKUP(Reinforcements[[#This Row],[Material]],Materials[],3,FALSE)*Reinforcements[[#This Row],[Net Area (in2)]]*Reinforcements[[#This Row],[Shear Lag (U)]])</f>
        <v>309.375</v>
      </c>
      <c r="DL5" s="126">
        <f>IF(Reinforcements[[#This Row],[Reinforcement]]="","",φ_v*0.5*Reinforcements[[#This Row],[F''y]]*Reinforcements[[#This Row],[Gross Area (in2)]])</f>
        <v>225</v>
      </c>
      <c r="DM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6"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6"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111" t="str">
        <f>IF(OR(Reinforcements[[#This Row],[Type]]="plate",Reinforcements[[#This Row],[Type]]="solid round"),"N/A",Reinforcements[[#This Row],[B (in)]])</f>
        <v>N/A</v>
      </c>
      <c r="EB5" s="6" t="str">
        <f>IF(OR(Reinforcements[[#This Row],[Type]]="plate",Reinforcements[[#This Row],[Type]]="solid round"),"N/A",Reinforcements[[#This Row],[H (in)]])</f>
        <v>N/A</v>
      </c>
      <c r="EC5" s="6" t="str">
        <f>IF(OR(Reinforcements[[#This Row],[Type]]="plate",Reinforcements[[#This Row],[Type]]="solid round"),"N/A",Reinforcements[[#This Row],[B (in)]]-Reinforcements[[#This Row],['[Channel'] Flange Thickness (in)]])</f>
        <v>N/A</v>
      </c>
      <c r="ED5" s="6" t="str">
        <f>IF(OR(Reinforcements[[#This Row],[Type]]="plate",Reinforcements[[#This Row],[Type]]="solid round"),"N/A",Reinforcements[[#This Row],['[Channel']Web Thickness (in)]])</f>
        <v>N/A</v>
      </c>
      <c r="EE5" s="6" t="str">
        <f>IF(OR(Reinforcements[[#This Row],[Type]]="plate",Reinforcements[[#This Row],[Type]]="solid round"),"N/A",Reinforcements[[#This Row],['[Channel'] Flange Thickness (in)]])</f>
        <v>N/A</v>
      </c>
      <c r="EF5" s="6" t="str">
        <f>IF(Reinforcements[[#This Row],[Type]]="channel",Reinforcements[[#This Row],[Channel Flange Width, b]]/Reinforcements[[#This Row],[Channel flange thickness, tf]],"N/A")</f>
        <v>N/A</v>
      </c>
      <c r="EG5" s="6" t="str">
        <f>IF(Reinforcements[[#This Row],[Type]]="channel",Reinforcements[[#This Row],[Channel inside depth, T]]/Reinforcements[[#This Row],[Channel web thickness, tw]],"N/A")</f>
        <v>N/A</v>
      </c>
      <c r="EH5" s="6">
        <f>29000</f>
        <v>29000</v>
      </c>
      <c r="EI5" s="6" t="str">
        <f>IF(Reinforcements[[#This Row],[Type]]="channel",0.56*SQRT(Reinforcements[[#This Row],[E, (ksi)]]/Reinforcements[[#This Row],[Fy, (ksi)]]),"N/A")</f>
        <v>N/A</v>
      </c>
      <c r="EJ5" s="6" t="str">
        <f>IF(Reinforcements[[#This Row],[Type]]="channel",1.49*SQRT(Reinforcements[[#This Row],[E, (ksi)]]/Reinforcements[[#This Row],[Fy, (ksi)]]),"N/A")</f>
        <v>N/A</v>
      </c>
      <c r="EK5" s="6">
        <f>VLOOKUP(Reinforcements[[#This Row],[Material]],Materials!$B$2:$C$30,2,FALSE)</f>
        <v>100</v>
      </c>
      <c r="EL5" s="6">
        <f>Reinforcements[[#This Row],[Lu (in)]]*Reinforcements[[#This Row],[Effective Length Factor Kx]]</f>
        <v>14.4</v>
      </c>
      <c r="EM5" s="6">
        <f>Reinforcements[[#This Row],[Lu (in)]]*Reinforcements[[#This Row],[Effective Length Factor Ky]]</f>
        <v>18</v>
      </c>
      <c r="EN5" s="6">
        <f>Reinforcements[[#This Row],[rx]]</f>
        <v>0.28867513459481292</v>
      </c>
      <c r="EO5" s="6">
        <f>Reinforcements[[#This Row],[ry]]</f>
        <v>1.4433756729740643</v>
      </c>
      <c r="EP5" s="6">
        <f>Reinforcements[[#This Row],[Lcx (in)]]/Reinforcements[[#This Row],[rx (in)]]</f>
        <v>49.883063257983657</v>
      </c>
      <c r="EQ5" s="6">
        <f>Reinforcements[[#This Row],[Lcy (in)]]/Reinforcements[[#This Row],[ry (in)]]</f>
        <v>12.470765814495918</v>
      </c>
      <c r="ER5" s="6">
        <f>((PI()^2)*Reinforcements[[#This Row],[E, (ksi)]])/(Reinforcements[[#This Row],[Lcx/rx]]^2)</f>
        <v>115.0248069507103</v>
      </c>
      <c r="ES5" s="6">
        <f>((PI()^2)*Reinforcements[[#This Row],[E, (ksi)]])/(Reinforcements[[#This Row],[Lcy/ry]]^2)</f>
        <v>1840.3969112113639</v>
      </c>
      <c r="ET5" s="6">
        <f>4.71*(SQRT(Reinforcements[[#This Row],[E, (ksi)]]/Reinforcements[[#This Row],[Fy, (ksi)]]))</f>
        <v>80.20840978351336</v>
      </c>
      <c r="EU5" s="6">
        <f>IF(Reinforcements[[#This Row],[Lcx/rx]]&lt;=Reinforcements[[#This Row],[Fcr Limit]],(0.658^(Reinforcements[[#This Row],[Fy, (ksi)]]/Reinforcements[[#This Row],[Fex, FB (ksi)]]))*Reinforcements[[#This Row],[Fy, (ksi)]],0.877*Reinforcements[[#This Row],[Fex, FB (ksi)]])</f>
        <v>69.497574667055517</v>
      </c>
      <c r="EV5" s="6">
        <f>IF(Reinforcements[[#This Row],[Lcy/ry]]&lt;=Reinforcements[[#This Row],[Fcr Limit]],(0.658^(Reinforcements[[#This Row],[Fy, (ksi)]]/Reinforcements[[#This Row],[Fey, FB (ksi)]]))*Reinforcements[[#This Row],[Fy, (ksi)]],0.877*Reinforcements[[#This Row],[Fey, FB (ksi)]])</f>
        <v>97.751426323780308</v>
      </c>
      <c r="EW5" s="6">
        <f>Reinforcements[[#This Row],[Fcrx (ksi)]]*Reinforcements[[#This Row],[Gross Area (in2)]]</f>
        <v>347.48787333527758</v>
      </c>
      <c r="EX5" s="6">
        <f>Reinforcements[[#This Row],[Fcry (ksi)]]*Reinforcements[[#This Row],[Gross Area (in2)]]</f>
        <v>488.75713161890155</v>
      </c>
      <c r="EY5" s="6" t="str">
        <f>IF(Reinforcements[[#This Row],[Type]]="channel",0,"N/A")</f>
        <v>N/A</v>
      </c>
      <c r="EZ5" s="6" t="str">
        <f>IF(Reinforcements[[#This Row],[Type]]="channel",Reinforcements[[#This Row],[Channel Flange Width, b]]-(0.5*Reinforcements[[#This Row],[Channel web thickness, tw]]),"N/A")</f>
        <v>N/A</v>
      </c>
      <c r="FA5" s="6" t="str">
        <f>IF(Reinforcements[[#This Row],[Type]]="channel",Reinforcements[[#This Row],[Channel Height, h]]-Reinforcements[[#This Row],[Channel flange thickness, tf]],"N/A")</f>
        <v>N/A</v>
      </c>
      <c r="FB5" s="6" t="str">
        <f>IF(Reinforcements[[#This Row],[Type]]="channel",Reinforcements[[#This Row],[Channel web thickness, tw]],"N/A")</f>
        <v>N/A</v>
      </c>
      <c r="FC5" s="6" t="str">
        <f>IF(Reinforcements[[#This Row],[Type]]="channel",((3*Reinforcements[[#This Row],[b]]^2)/(Reinforcements[[#This Row],[h]]+(6*Reinforcements[[#This Row],[b]])))-Reinforcements[[#This Row],[t]]/2,"N/A")</f>
        <v>N/A</v>
      </c>
      <c r="FD5" s="6">
        <f>Reinforcements[[#This Row],[Pole Face to Centroid (in)]]</f>
        <v>0.5</v>
      </c>
      <c r="FE5" s="6" t="str">
        <f>IF(Reinforcements[[#This Row],[Type]]="channel",Reinforcements[[#This Row],[x(bar)]]+Reinforcements[[#This Row],['[Channel'] e0 (in)]],"N/A")</f>
        <v>N/A</v>
      </c>
      <c r="FF5" s="6" t="str">
        <f>IF(Reinforcements[[#This Row],[Type]]="channel",Reinforcements[[#This Row],[Ix]],"N/A")</f>
        <v>N/A</v>
      </c>
      <c r="FG5" s="6" t="str">
        <f>IF(Reinforcements[[#This Row],[Type]]="channel",Reinforcements[[#This Row],[Iy]],"N/A")</f>
        <v>N/A</v>
      </c>
      <c r="FH5" s="6" t="str">
        <f>IF(Reinforcements[[#This Row],[Type]]="channel",Reinforcements[[#This Row],[Gross Area (in2)]],"N/A")</f>
        <v>N/A</v>
      </c>
      <c r="FI5" s="6" t="str">
        <f>IF(Reinforcements[[#This Row],[Type]]="channel",(Reinforcements[[#This Row],[xo]]^2)+((Reinforcements[[#This Row],[Ix (FTB)]]+Reinforcements[[#This Row],[Iy (FTB)]])/Reinforcements[[#This Row],[Ag]]),"N/A")</f>
        <v>N/A</v>
      </c>
      <c r="FJ5" s="6" t="str">
        <f>IF(Reinforcements[[#This Row],[Type]]="channel",Reinforcements[[#This Row],[Lu (in)]],"N/A")</f>
        <v>N/A</v>
      </c>
      <c r="FK5" s="6" t="str">
        <f>IF(Reinforcements[[#This Row],[Type]]="channel",Reinforcements[[#This Row],[Effective Length Factor Kx]],"N/A")</f>
        <v>N/A</v>
      </c>
      <c r="FL5" s="6" t="str">
        <f>IF(Reinforcements[[#This Row],[Type]]="channel",Reinforcements[[#This Row],[Kz]]*Reinforcements[[#This Row],[Lz]],"N/A")</f>
        <v>N/A</v>
      </c>
      <c r="FM5" s="6" t="str">
        <f>IF(Reinforcements[[#This Row],[Type]]="channel",(((Reinforcements[[#This Row],[t]]^3)/3)*(Reinforcements[[#This Row],[h]]+(2*Reinforcements[[#This Row],[b]]))),"N/A")</f>
        <v>N/A</v>
      </c>
      <c r="FN5" s="6" t="str">
        <f>IF(Reinforcements[[#This Row],[Type]]="channel",(1-(((Reinforcements[[#This Row],[xo]]^2)+(Reinforcements[[#This Row],[yo]]^2))/Reinforcements[[#This Row],[ro^2(bar)]])),"N/A")</f>
        <v>N/A</v>
      </c>
      <c r="FO5" s="6">
        <v>11200</v>
      </c>
      <c r="FP5" s="6" t="str">
        <f>IF(Reinforcements[[#This Row],[Type]]="channel",(((Reinforcements[[#This Row],[h]]^2)*(Reinforcements[[#This Row],[b]]^3)*Reinforcements[[#This Row],[t]])/12)*(((2*Reinforcements[[#This Row],[h]])+(3*Reinforcements[[#This Row],[b]]))/(Reinforcements[[#This Row],[h]]+(6*Reinforcements[[#This Row],[b]]))),"N/A")</f>
        <v>N/A</v>
      </c>
      <c r="FQ5" s="6" t="str">
        <f>IF(Reinforcements[[#This Row],[Type]]="Channel",((((PI()^2)*Reinforcements[[#This Row],[E, (ksi)]]*Reinforcements[[#This Row],['[Channel'] CW (in6)]])/(Reinforcements[[#This Row],[Lcz]]^2))+(Reinforcements[[#This Row],[G]]*Reinforcements[[#This Row],['[Channel'] J (in4)]]))*(1/(Reinforcements[[#This Row],[Ag]]*Reinforcements[[#This Row],[ro^2(bar)]])),"N/A")</f>
        <v>N/A</v>
      </c>
      <c r="FR5" s="6" t="str">
        <f>IF(Reinforcements[[#This Row],[Type]]="channel",((PI()^2)*Reinforcements[[#This Row],[E, (ksi)]])/(Reinforcements[[#This Row],[Lcy/ry]]^2),"N/A")</f>
        <v>N/A</v>
      </c>
      <c r="FS5" s="6" t="str">
        <f>IF(Reinforcements[[#This Row],[Type]]="channel",((Reinforcements[[#This Row],[Fey]]+Reinforcements[[#This Row],[Fez]])/(2*Reinforcements[[#This Row],[H2]]))*(1-SQRT(1-((4*Reinforcements[[#This Row],[Fey]]*Reinforcements[[#This Row],[Fez]]*Reinforcements[[#This Row],[H2]])/(Reinforcements[[#This Row],[Fey]]+Reinforcements[[#This Row],[Fez]])^2))),"N/A")</f>
        <v>N/A</v>
      </c>
      <c r="FT5" s="6" t="str">
        <f>IF(Reinforcements[[#This Row],[Type]]="channel",IF(Reinforcements[[#This Row],[Lcx/rx]]&gt;(4.71*SQRT(Reinforcements[[#This Row],[E, (ksi)]]/Reinforcements[[#This Row],[Fy, (ksi)]])),0.877*Reinforcements[[#This Row],[Fe (FTB)]],0.658^(Reinforcements[[#This Row],[Fy, (ksi)]]/Reinforcements[[#This Row],[Fe (FTB)]])*Reinforcements[[#This Row],[Fy, (ksi)]]),"N/A")</f>
        <v>N/A</v>
      </c>
      <c r="FU5" s="6" t="str">
        <f>IF(Reinforcements[[#This Row],[Type]]="channel",MIN(Reinforcements[[#This Row],[Fcr(FTB)]],Reinforcements[[#This Row],[Fcry (ksi)]]),"N/A")</f>
        <v>N/A</v>
      </c>
      <c r="FV5" s="6">
        <v>0.22</v>
      </c>
      <c r="FW5" s="6">
        <v>1.49</v>
      </c>
      <c r="FX5" s="6" t="str">
        <f>IF(Reinforcements[[#This Row],[Type]]="channel",((Reinforcements[[#This Row],[c2]]*(Reinforcements[[#This Row],[λrf]]/Reinforcements[[#This Row],[λf]]))^2)*Reinforcements[[#This Row],[Fy, (ksi)]],"N/A")</f>
        <v>N/A</v>
      </c>
      <c r="FY5" s="6" t="str">
        <f>IF(Reinforcements[[#This Row],[Type]]="channel",((Reinforcements[[#This Row],[c2]]*(Reinforcements[[#This Row],[λrw]]/Reinforcements[[#This Row],[λw]]))^2)*Reinforcements[[#This Row],[Fy, (ksi)]],"N/A")</f>
        <v>N/A</v>
      </c>
      <c r="FZ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6" t="str">
        <f>IF(Reinforcements[[#This Row],[Type]]="channel",Reinforcements[[#This Row],[Fcr]]*Reinforcements[[#This Row],[Ae]],"N/A")</f>
        <v>N/A</v>
      </c>
      <c r="GD5">
        <f>IF(Reinforcements[[#This Row],[Reinforcement]]="","",φ_c*Reinforcements[[#This Row],[Pnx, FB (kip)]])</f>
        <v>312.73908600174985</v>
      </c>
      <c r="GE5">
        <f>IF(Reinforcements[[#This Row],[Reinforcement]]="","",IF(Reinforcements[[#This Row],[Type]]="channel",φ_c*Reinforcements[[#This Row],[Pn]],φ_c*Reinforcements[[#This Row],[Pny, FB (kip)]]))</f>
        <v>439.88141845701142</v>
      </c>
      <c r="GF5">
        <f>Reinforcements[[#This Row],[Rev. G Tension Yield Capacity (kips)]]</f>
        <v>450</v>
      </c>
      <c r="GG5">
        <f>Reinforcements[[#This Row],[Rev. G Tension Rupture Capacity (kips)]]</f>
        <v>309.375</v>
      </c>
      <c r="GH5">
        <f>Reinforcements[[#This Row],[Rev. G Shear Capacity (kips)]]</f>
        <v>225</v>
      </c>
      <c r="GI5">
        <f>IFERROR((Reinforcements[[#This Row],['# of End Connection Bolts          (Bottom)]]-1)*Reinforcements[[#This Row],[End Connection Bolt Spacing (in) (B)]],"-")</f>
        <v>27</v>
      </c>
      <c r="GJ5">
        <f>IFERROR(IF(VLOOKUP(Reinforcements[[#This Row],[Bottom End Connection Bolt Type]],Bolts[],COLUMN(Bolts[[#Headers],[Rev. H Apply Connection Length Reduction Factor (Rb)?]])-1,FALSE)="Yes",(IF(Reinforcements[[#This Row],[Lb(bottom)]]&lt;=16,1,IF(Reinforcements[[#This Row],[Lb(bottom)]]&gt;38,0.75,0.9))),1),"-")</f>
        <v>1</v>
      </c>
      <c r="GK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f>IFERROR(IF(Reinforcements[[#This Row],[Top End Connection Same?]]="Yes",Reinforcements[[#This Row],[Lb(bottom)]],(Reinforcements[[#This Row],['# of End Connection Bolts          (Top)]]-1)*Reinforcements[[#This Row],[End Connection Bolt Spacing (in) (T)]]),"-")</f>
        <v>27</v>
      </c>
      <c r="GM5">
        <f>IFERROR(IF(VLOOKUP(Reinforcements[[#This Row],[Top End Connection Bolt Type]],Bolts[],COLUMN(Bolts[[#Headers],[Rev. H Apply Connection Length Reduction Factor (Rb)?]])-1,FALSE)=TRUE,(IF(Reinforcements[[#This Row],[Lb(top)]]&lt;=16,1,IF(Reinforcements[[#This Row],[Lb(top)]]&gt;38,0.75,0.9))),1),"-")</f>
        <v>0.9</v>
      </c>
      <c r="GN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f>Reinforcements[[#This Row],[Rev. G Bolt-Shaft Bearing Capacity (Bottom)                No Deformation          (*t*Fu kips)]]</f>
        <v>19.778267716535435</v>
      </c>
      <c r="GP5">
        <f>Reinforcements[[#This Row],[Rev. G Bolt-Shaft Bearing Capacity (Bottom)                   Deformation          (*t*Fu kips)]]</f>
        <v>24.722834645669291</v>
      </c>
      <c r="GQ5">
        <f>Reinforcements[[#This Row],[Rev. G Bolt-Shaft Bearing Capacity (Top)                    No Deformation          (*t*Fu kips)]]</f>
        <v>19.778267716535435</v>
      </c>
      <c r="GR5">
        <f>Reinforcements[[#This Row],[Rev. G Bolt-Shaft Bearing Capacity (Top)                        Deformation          (*t*Fu kips)]]</f>
        <v>24.722834645669291</v>
      </c>
      <c r="GS5">
        <f>Reinforcements[[#This Row],[Rev. G Bolt-Reinf. Bearing Capacity (Bottom)            No Deformation (kips)]]</f>
        <v>2109.8173228346454</v>
      </c>
      <c r="GT5">
        <f>Reinforcements[[#This Row],[Rev. G Bolt-Reinf. Bearing Capacity (Bottom)               Deformation (kips)]]</f>
        <v>2637.2716535433069</v>
      </c>
      <c r="GU5">
        <f>Reinforcements[[#This Row],[Rev. G Bolt-Reinf. Bearing Capacity (Top)                  No Deformation (kips)]]</f>
        <v>2109.8173228346454</v>
      </c>
      <c r="GV5">
        <f>Reinforcements[[#This Row],[Rev. G Bolt-Reinf. Bearing Capacity (Top)               Deformation (kips)]]</f>
        <v>2637.2716535433069</v>
      </c>
      <c r="GW5" t="str">
        <f>Reinforcements[[#This Row],[Rev. G Bottom Transverse Weld Strength]]</f>
        <v>-</v>
      </c>
      <c r="GX5" t="str">
        <f>Reinforcements[[#This Row],[Rev. G Bottom Longitudinal Weld Strength]]</f>
        <v>-</v>
      </c>
      <c r="GY5" t="str">
        <f>Reinforcements[[#This Row],[Rev. G Top Transverse Weld Strength]]</f>
        <v>-</v>
      </c>
      <c r="GZ5" t="str">
        <f>Reinforcements[[#This Row],[Rev. G Top Longitudinal Weld Strength]]</f>
        <v>-</v>
      </c>
      <c r="HA5">
        <v>3</v>
      </c>
      <c r="HB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49" t="s">
        <v>360</v>
      </c>
      <c r="C6" s="49" t="s">
        <v>352</v>
      </c>
      <c r="D6" s="6">
        <v>6</v>
      </c>
      <c r="E6" s="6">
        <v>1</v>
      </c>
      <c r="F6" s="6" t="str">
        <f>IF(Reinforcements[[#This Row],[Type]]="","",IF(Reinforcements[[#This Row],[Type]]="solid round","","n/a"))</f>
        <v>n/a</v>
      </c>
      <c r="G6" s="6" t="str">
        <f>IF(Reinforcements[[#This Row],[Type]]="","",IF(Reinforcements[[#This Row],[Type]]&lt;&gt;"channel","n/a",""))</f>
        <v>n/a</v>
      </c>
      <c r="H6" s="6" t="str">
        <f>IF(Reinforcements[[#This Row],[Type]]="","",IF(Reinforcements[[#This Row],[Type]]&lt;&gt;"channel","n/a",""))</f>
        <v>n/a</v>
      </c>
      <c r="I6" s="126" t="str">
        <f>IF(Reinforcements[[#This Row],[Type]]="","",IF(Reinforcements[[#This Row],[Type]]&lt;&gt;"channel","n/a",Reinforcements[[#This Row],[eo]]))</f>
        <v>n/a</v>
      </c>
      <c r="J6" s="126" t="str">
        <f>IF(Reinforcements[[#This Row],[Type]]="","",IF(Reinforcements[[#This Row],[Type]]&lt;&gt;"channel","n/a",Reinforcements[[#This Row],[J]]))</f>
        <v>n/a</v>
      </c>
      <c r="K6" s="126" t="str">
        <f>IF(Reinforcements[[#This Row],[Type]]="","",IF(Reinforcements[[#This Row],[Type]]&lt;&gt;"channel","n/a",Reinforcements[[#This Row],[Cw]]))</f>
        <v>n/a</v>
      </c>
      <c r="L6" s="6">
        <f>IFERROR(IF(Reinforcements[[#This Row],[Type]]="","",IF(Reinforcements[[#This Row],[Type]]="plate",Reinforcements[[#This Row],[B (in)]]*Reinforcements[[#This Row],[H (in)]],IF(Reinforcements[[#This Row],[Type]]="solid round",PI()/4*Reinforcements[[#This Row],[Diameter (in)]]^2,""))),"")</f>
        <v>6</v>
      </c>
      <c r="M6" s="6">
        <f>IFERROR(IF(Reinforcements[[#This Row],[Type]]="","",IF(Reinforcements[[#This Row],[Type]]="plate",Reinforcements[[#This Row],[H (in)]]/2,"")),"")</f>
        <v>0.5</v>
      </c>
      <c r="N6" s="16" t="s">
        <v>353</v>
      </c>
      <c r="O6" s="6" t="s">
        <v>132</v>
      </c>
      <c r="P6" s="123">
        <f>IFERROR(IF(Reinforcements[[#This Row],[Type]]="","",IF(Reinforcements[[#This Row],[Type]]="plate",Reinforcements[[#This Row],[B (in)]]*Reinforcements[[#This Row],[H (in)]]^3/12,IF(Reinforcements[[#This Row],[Type]]="solid round",PI()/64*Reinforcements[[#This Row],[Diameter (in)]]^4,""))),"")</f>
        <v>0.5</v>
      </c>
      <c r="Q6" s="123">
        <f>IF(Reinforcements[[#This Row],[Reinforcement]]="","",SQRT(Reinforcements[[#This Row],[Ix]]/Reinforcements[[#This Row],[Gross Area (in2)]]))</f>
        <v>0.28867513459481287</v>
      </c>
      <c r="R6" s="123">
        <f>IFERROR(IF(Reinforcements[[#This Row],[Type]]="","",IF(Reinforcements[[#This Row],[Type]]="plate",Reinforcements[[#This Row],[B (in)]]^3*Reinforcements[[#This Row],[H (in)]]/12,IF(Reinforcements[[#This Row],[Type]]="solid round",PI()/64*Reinforcements[[#This Row],[Diameter (in)]]^4,""))),"")</f>
        <v>18</v>
      </c>
      <c r="S6" s="123">
        <f>IF(Reinforcements[[#This Row],[Reinforcement]]="","",SQRT(Reinforcements[[#This Row],[Iy]]/Reinforcements[[#This Row],[Gross Area (in2)]]))</f>
        <v>1.7320508075688772</v>
      </c>
      <c r="T6" s="6">
        <v>17</v>
      </c>
      <c r="U6" s="6">
        <v>0.8</v>
      </c>
      <c r="V6" s="6">
        <v>1</v>
      </c>
      <c r="W6" s="6">
        <v>1.1875</v>
      </c>
      <c r="X6" s="6">
        <f>IF(Reinforcements[[#This Row],[Bolt Hole Size (in)]]="","",IF(Reinforcements[[#This Row],[Bolt Hole Size (in)]]="n/a","n/a",Reinforcements[[#This Row],[Bolt Hole Size (in)]]*25.4))</f>
        <v>30.162499999999998</v>
      </c>
      <c r="Y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6">
        <f>IFERROR(IF(Reinforcements[[#This Row],[Reinforcement]]="","",IF(OR(Reinforcements[[#This Row],[Type]]="plate",Reinforcements[[#This Row],[Type]]="solid round"),1,IF(Reinforcements[[#This Row],[Type]]="arbitrary","",1-Reinforcements[[#This Row],[Pole Face to Centroid (in)]]/Reinforcements[[#This Row],[Connection Length (in) '[Channels']]]))),"")</f>
        <v>1</v>
      </c>
      <c r="AA6" s="16" t="s">
        <v>354</v>
      </c>
      <c r="AB6" s="16" t="str">
        <f>IF(Reinforcements[[#This Row],[Reinforcement]]="","",IF(Reinforcements[[#This Row],[Bottom End Connection Type]]&lt;&gt;"Capacity Input","-",""))</f>
        <v>-</v>
      </c>
      <c r="AC6" s="16" t="str">
        <f>IF(Reinforcements[[#This Row],[Reinforcement]]="","",IF(Reinforcements[[#This Row],[Bottom End Connection Type]]&lt;&gt;"Capacity Input","-",""))</f>
        <v>-</v>
      </c>
      <c r="AD6" s="16" t="str">
        <f>IF(Reinforcements[[#This Row],[Reinforcement]]="","",IF(Reinforcements[[#This Row],[Bottom End Connection Type]]&lt;&gt;"Capacity Input","-",""))</f>
        <v>-</v>
      </c>
      <c r="AE6" s="74" t="s">
        <v>355</v>
      </c>
      <c r="AF6" s="6" t="s">
        <v>356</v>
      </c>
      <c r="AG6" s="6">
        <v>12</v>
      </c>
      <c r="AH6" s="6">
        <v>3</v>
      </c>
      <c r="AI6" s="6">
        <v>2</v>
      </c>
      <c r="AJ6" s="6">
        <f>Reinforcements[[#This Row],[End Connection Edge Distance (in) (B)]]-(Reinforcements[[#This Row],[Bolt Hole Size (in)]]+1/16)/2</f>
        <v>1.375</v>
      </c>
      <c r="AK6" s="6">
        <f>Reinforcements[[#This Row],[End Connection Bolt Spacing (in) (B)]]-(Reinforcements[[#This Row],[Bolt Hole Size (in)]]+1/16)</f>
        <v>1.75</v>
      </c>
      <c r="AL6" s="6">
        <f>Reinforcements[[#This Row],[End Connection Edge Distance (in) (B)]]</f>
        <v>2</v>
      </c>
      <c r="AM6" s="6">
        <f>Reinforcements[[#This Row],[End Connection Bolt Spacing (in) (B)]]</f>
        <v>3</v>
      </c>
      <c r="AN6" s="6" t="str">
        <f>IF(Reinforcements[[#This Row],[Reinforcement]]="","",IF(OR(Reinforcements[[#This Row],[Bottom End Connection Type]]="Bolted",Reinforcements[[#This Row],[Bottom End Connection Type]]=""),"-",""))</f>
        <v>-</v>
      </c>
      <c r="AO6" s="111" t="str">
        <f>IF(Reinforcements[[#This Row],[Reinforcement]]="","",IF(OR(Reinforcements[[#This Row],[Bottom End Connection Type]]="Bolted",Reinforcements[[#This Row],[Bottom End Connection Type]]=""),"-",""))</f>
        <v>-</v>
      </c>
      <c r="AP6" s="111" t="str">
        <f>IF(Reinforcements[[#This Row],[Reinforcement]]="","",IF(OR(Reinforcements[[#This Row],[Bottom End Connection Type]]="Bolted",Reinforcements[[#This Row],[Bottom End Connection Type]]=""),"-",""))</f>
        <v>-</v>
      </c>
      <c r="AQ6" s="111" t="str">
        <f>IF(OR(Reinforcements[[#This Row],[Bottom End Connection Type]]="Bolted",Reinforcements[[#This Row],[Bottom Transverse (Horizontal) Weld]]="none"),"-","")</f>
        <v>-</v>
      </c>
      <c r="AR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11" t="str">
        <f>IF(OR(Reinforcements[[#This Row],[Bottom Transverse (Horizontal) Weld]]="none",Reinforcements[[#This Row],[Bottom End Connection Type]]="Bolted"),"-","")</f>
        <v>-</v>
      </c>
      <c r="AU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11" t="str">
        <f>IF(Reinforcements[[#This Row],[Reinforcement]]="","",IF(OR(Reinforcements[[#This Row],[Bottom End Connection Type]]="Bolted",Reinforcements[[#This Row],[Bottom End Connection Type]]=""),"-",""))</f>
        <v>-</v>
      </c>
      <c r="AW6" s="111" t="str">
        <f>IF(Reinforcements[[#This Row],[Reinforcement]]="","",IF(OR(Reinforcements[[#This Row],[Bottom End Connection Type]]&lt;&gt;"Welded",Reinforcements[[#This Row],[Bottom Longitudinal (Vertical) Weld]]="None",Reinforcements[[#This Row],[Bottom Longitudinal (Vertical) Weld]]=""),"-",""))</f>
        <v>-</v>
      </c>
      <c r="AX6" s="111" t="str">
        <f>IF(Reinforcements[[#This Row],[Reinforcement]]="","",IF(OR(Reinforcements[[#This Row],[Bottom End Connection Type]]&lt;&gt;"Welded",Reinforcements[[#This Row],[Bottom Longitudinal (Vertical) Weld]]="None",Reinforcements[[#This Row],[Bottom Longitudinal (Vertical) Weld]]=""),"-",""))</f>
        <v>-</v>
      </c>
      <c r="AY6" s="6" t="str">
        <f>IF(Reinforcements[[#This Row],[Reinforcement]]="","",IF(OR(Reinforcements[[#This Row],[Bottom End Connection Type]]&lt;&gt;"Welded",Reinforcements[[#This Row],[Bottom Longitudinal (Vertical) Weld]]="None"),"-",SQRT(2)/2*Reinforcements[[#This Row],[Bottom Longitudinal Weld Fillet Size (in)]]))</f>
        <v>-</v>
      </c>
      <c r="AZ6" s="6" t="s">
        <v>357</v>
      </c>
      <c r="BA6" s="16" t="str">
        <f>IF(Reinforcements[[#This Row],[Top End Connection Same?]]="Yes",Reinforcements[[#This Row],[Bottom End Connection Type]],"")</f>
        <v>Bolted</v>
      </c>
      <c r="BB6" s="16" t="str">
        <f>IF(Reinforcements[[#This Row],[Reinforcement]]="","",IF(Reinforcements[[#This Row],[Top End Connection Same?]]="Yes",Reinforcements[[#This Row],[Rev. F Bottom Connection Capacity (kips)]],IF(Reinforcements[[#This Row],[Reinforcement]]="","",IF(Reinforcements[[#This Row],[Top End Connection Type]]&lt;&gt;"Capacity Input","-",""))))</f>
        <v>-</v>
      </c>
      <c r="BC6" s="16" t="str">
        <f>IF(Reinforcements[[#This Row],[Reinforcement]]="","",IF(Reinforcements[[#This Row],[Top End Connection Same?]]="Yes",Reinforcements[[#This Row],[Rev. G Bottom Connection Capacity (kips)]],IF(Reinforcements[[#This Row],[Reinforcement]]="","",IF(Reinforcements[[#This Row],[Top End Connection Type]]&lt;&gt;"Capacity Input","-",""))))</f>
        <v>-</v>
      </c>
      <c r="BD6" s="16" t="str">
        <f>IF(Reinforcements[[#This Row],[Reinforcement]]="","",IF(Reinforcements[[#This Row],[Top End Connection Same?]]="Yes",Reinforcements[[#This Row],[Rev. G Bottom Connection Capacity (kips)]],IF(Reinforcements[[#This Row],[Reinforcement]]="","",IF(Reinforcements[[#This Row],[Top End Connection Type]]&lt;&gt;"Capacity Input","-",""))))</f>
        <v>-</v>
      </c>
      <c r="BE6" s="74" t="str">
        <f>IF(Reinforcements[[#This Row],[Top End Connection Same?]]="Yes",Reinforcements[[#This Row],[Bottom End Connection Bolt Type]],IF(Reinforcements[[#This Row],[Top End Connection Type]]="Welded","-",""))</f>
        <v>PC 8.8 - M20 (100)</v>
      </c>
      <c r="BF6" s="6" t="str">
        <f>IF(Reinforcements[[#This Row],[Top End Connection Same?]]="Yes",Reinforcements[[#This Row],[Threads Included (N) or Excluded (X) (Bottom)]],IF(Reinforcements[[#This Row],[Top End Connection Type]]="Welded","-",""))</f>
        <v>N</v>
      </c>
      <c r="BG6" s="6">
        <f>IF(Reinforcements[[#This Row],[Top End Connection Same?]]="Yes",Reinforcements[[#This Row],['# of End Connection Bolts          (Bottom)]],IF(Reinforcements[[#This Row],[Top End Connection Type]]="Welded","-",""))</f>
        <v>12</v>
      </c>
      <c r="BH6" s="6">
        <f>IF(Reinforcements[[#This Row],[Top End Connection Same?]]="Yes",Reinforcements[[#This Row],[End Connection Bolt Spacing (in) (B)]],IF(Reinforcements[[#This Row],[Top End Connection Type]]="Welded","-",""))</f>
        <v>3</v>
      </c>
      <c r="BI6" s="6">
        <f>IF(Reinforcements[[#This Row],[Top End Connection Same?]]="Yes",Reinforcements[[#This Row],[End Connection Edge Distance (in) (B)]],IF(Reinforcements[[#This Row],[Top End Connection Type]]="Welded","-",""))</f>
        <v>2</v>
      </c>
      <c r="BJ6" s="6">
        <f>Reinforcements[[#This Row],[End Connection Edge Distance (in) (T)]]-(Reinforcements[[#This Row],[Bolt Hole Size (in)]]+1/16)/2</f>
        <v>1.375</v>
      </c>
      <c r="BK6" s="6">
        <f>Reinforcements[[#This Row],[End Connection Bolt Spacing (in) (T)]]-(Reinforcements[[#This Row],[Bolt Hole Size (in)]]+1/16)</f>
        <v>1.75</v>
      </c>
      <c r="BL6" s="6">
        <f>Reinforcements[[#This Row],[End Connection Edge Distance (in) (T)]]</f>
        <v>2</v>
      </c>
      <c r="BM6" s="6">
        <f>Reinforcements[[#This Row],[End Connection Bolt Spacing (in) (T)]]</f>
        <v>3</v>
      </c>
      <c r="BN6" s="6" t="str">
        <f>IF(Reinforcements[[#This Row],[Reinforcement]]="","",IF(Reinforcements[[#This Row],[Top End Connection Same?]]="Yes",Reinforcements[[#This Row],[Bottom Connected to Flange/Base Plate?]],IF(Reinforcements[[#This Row],[Top End Connection Type]]="Bolted","-","")))</f>
        <v>-</v>
      </c>
      <c r="BO6" s="6" t="str">
        <f>IF(Reinforcements[[#This Row],[Reinforcement]]="","",IF(Reinforcements[[#This Row],[Top End Connection Same?]]="Yes",Reinforcements[[#This Row],[Bottom Weld Grade (ksi)]],IF(OR(Reinforcements[[#This Row],[Top End Connection Type]]&lt;&gt;"Welded",Reinforcements[[#This Row],[Top End Connection Type]]=""),"-","")))</f>
        <v>-</v>
      </c>
      <c r="BP6" s="6" t="str">
        <f>IF($AZ6="Yes",AP6,IF(Reinforcements[[#This Row],[Reinforcement]]="","",IF(OR(Reinforcements[[#This Row],[Top End Connection Type]]&lt;&gt;"Welded",Reinforcements[[#This Row],[Top End Connection Type]]=""),"-","")))</f>
        <v>-</v>
      </c>
      <c r="BQ6" s="6" t="str">
        <f>IF(Reinforcements[[#This Row],[Reinforcement]]="","",IF($AZ6="Yes",AQ6,IF(OR(Reinforcements[[#This Row],[Top End Connection Type]]&lt;&gt;"Welded",Reinforcements[[#This Row],[Top Transverse (Horizontal) Weld]]="none",Reinforcements[[#This Row],[Top Transverse (Horizontal) Weld]]=""),"-","")))</f>
        <v>-</v>
      </c>
      <c r="BR6" s="6"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6"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6" t="str">
        <f>IF(Reinforcements[[#This Row],[Reinforcement]]="","",IF($AZ6="Yes",AT6,IF(OR(Reinforcements[[#This Row],[Top Transverse (Horizontal) Weld]]="none",Reinforcements[[#This Row],[Top End Connection Type]]&lt;&gt;"Welded",Reinforcements[[#This Row],[Top Transverse (Horizontal) Weld]]=""),"-","")))</f>
        <v>-</v>
      </c>
      <c r="BU6" s="6"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6" t="str">
        <f>IF($AZ6="Yes",AV6,IF(Reinforcements[[#This Row],[Reinforcement]]="","",IF(OR(Reinforcements[[#This Row],[Top End Connection Type]]&lt;&gt;"Welded",Reinforcements[[#This Row],[Top End Connection Type]]=""),"-","")))</f>
        <v>-</v>
      </c>
      <c r="BW6" s="6"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6"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6" t="str">
        <f>IF($AZ6="Yes",AY6,IF(Reinforcements[[#This Row],[Reinforcement]]="","",IF(OR(Reinforcements[[#This Row],[Top End Connection Type]]&lt;&gt;"Welded",Reinforcements[[#This Row],[Top Longitudinal (Vertical) Weld]]="none"),"-",SQRT(2)/2*Reinforcements[[#This Row],[Top Longitudinal Weld Fillet Size (in)]])))</f>
        <v>-</v>
      </c>
      <c r="BZ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11">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11">
        <f>IF(Reinforcements[[#This Row],[Reinforcement]]="","",IF(Reinforcements[[#This Row],[Top End Connection Type]]&lt;&gt;"Bolted","n/a",(Reinforcements[[#This Row],['# of End Connection Bolts          (Top)]]-1)*Reinforcements[[#This Row],[End Connection Bolt Spacing (in) (T)]]+Reinforcements[[#This Row],[End Connection Edge Distance (in) (T)]]))</f>
        <v>35</v>
      </c>
      <c r="CC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6">
        <f>IFERROR(IF(Reinforcements[[#This Row],[Type]]="","",Reinforcements[[#This Row],[Effective B (in)]]*Reinforcements[[#This Row],[Effective H (in)]]^3/12),"")</f>
        <v>0.5</v>
      </c>
      <c r="CF6" s="6">
        <f>IFERROR(IF(Reinforcements[[#This Row],[Type]]="","",Reinforcements[[#This Row],[Effective B (in)]]^3*Reinforcements[[#This Row],[Effective H (in)]]/12),"")</f>
        <v>18</v>
      </c>
      <c r="CG6" s="126">
        <f>SQRT(2*PI()^2*29000/VLOOKUP(Reinforcements[[#This Row],[Material]],Materials[],2,FALSE))</f>
        <v>75.659570132481107</v>
      </c>
      <c r="CH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23">
        <f>Reinforcements[[#This Row],[Effective Length Factor Kx]]*Reinforcements[[#This Row],[Lu (in)]]/(Reinforcements[[#This Row],[rx]]*PI())*SQRT(VLOOKUP(Reinforcements[[#This Row],[Material]],Materials[],2,FALSE)/29000)</f>
        <v>0.88060401198472382</v>
      </c>
      <c r="CK6" s="123">
        <f>Reinforcements[[#This Row],[Effective Length Factor Ky]]*Reinforcements[[#This Row],[Lu (in)]]/(Reinforcements[[#This Row],[ry]]*PI())*SQRT(VLOOKUP(Reinforcements[[#This Row],[Material]],Materials[],2,FALSE)/29000)</f>
        <v>0.18345916916348412</v>
      </c>
      <c r="CL6" s="123">
        <f>IF(Reinforcements[[#This Row],[λcx]]&lt;=1.5,0.658^(Reinforcements[[#This Row],[λcx]]^2)*Reinforcements[[#This Row],[F''y]],0.877/(Reinforcements[[#This Row],[λcx]]^2)*Reinforcements[[#This Row],[F''y]])</f>
        <v>72.283775553953305</v>
      </c>
      <c r="CM6" s="123">
        <f>IF(Reinforcements[[#This Row],[λcy]]&lt;=1.5,0.658^(Reinforcements[[#This Row],[λcy]]^2)*Reinforcements[[#This Row],[F''y]],0.877/(Reinforcements[[#This Row],[λcy]]^2)*Reinforcements[[#This Row],[F''y]])</f>
        <v>98.601150045559365</v>
      </c>
      <c r="CN6" s="6">
        <f>VLOOKUP(Reinforcements[[#This Row],[Material]],Materials[],2,FALSE)</f>
        <v>100</v>
      </c>
      <c r="CO6" s="126">
        <f>IF(Reinforcements[[#This Row],[Reinforcement]]="","",Reinforcements[[#This Row],[Fax]]*Reinforcements[[#This Row],[Gross Area (in2)]])</f>
        <v>258.65364598082954</v>
      </c>
      <c r="CP6" s="126">
        <f>IF(Reinforcements[[#This Row],[Reinforcement]]="","",Reinforcements[[#This Row],[Fay]]*Reinforcements[[#This Row],[Gross Area (in2)]])</f>
        <v>346.90220287697747</v>
      </c>
      <c r="CQ6" s="126">
        <f>IF(Reinforcements[[#This Row],[Reinforcement]]="","",0.6*VLOOKUP(Reinforcements[[#This Row],[Material]],Materials[],2,FALSE)*Reinforcements[[#This Row],[Gross Area (in2)]])</f>
        <v>360</v>
      </c>
      <c r="CR6" s="126">
        <f>IF(Reinforcements[[#This Row],[Reinforcement]]="","",0.5*VLOOKUP(Reinforcements[[#This Row],[Material]],Materials[],3,FALSE)*Reinforcements[[#This Row],[Net Area (in2)]]*Reinforcements[[#This Row],[Shear Lag (U)]])</f>
        <v>261.25</v>
      </c>
      <c r="CS6" s="126">
        <f>IF(Reinforcements[[#This Row],[Reinforcement]]="","",0.4*VLOOKUP(Reinforcements[[#This Row],[Material]],Materials[],2,FALSE)*Reinforcements[[#This Row],[Gross Area (in2)]])</f>
        <v>240</v>
      </c>
      <c r="CT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6"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6"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26">
        <f>IF(Reinforcements[[#This Row],[Reinforcement]]="","",φ_c*Reinforcements[[#This Row],[Fcr,x]]*Reinforcements[[#This Row],[Gross Area (in2)]])</f>
        <v>390.3323879913479</v>
      </c>
      <c r="DI6" s="126">
        <f>IF(Reinforcements[[#This Row],[Reinforcement]]="","",φ_c*Reinforcements[[#This Row],[Fcr,y]]*Reinforcements[[#This Row],[Gross Area (in2)]])</f>
        <v>532.44621024602054</v>
      </c>
      <c r="DJ6" s="126">
        <f>IF(Reinforcements[[#This Row],[Reinforcement]]="","",φ_t_y*VLOOKUP(Reinforcements[[#This Row],[Material]],Materials[],2,FALSE)*Reinforcements[[#This Row],[Gross Area (in2)]])</f>
        <v>540</v>
      </c>
      <c r="DK6" s="126">
        <f>IF(Reinforcements[[#This Row],[Reinforcement]]="","",φ_t_r*VLOOKUP(Reinforcements[[#This Row],[Material]],Materials[],3,FALSE)*Reinforcements[[#This Row],[Net Area (in2)]]*Reinforcements[[#This Row],[Shear Lag (U)]])</f>
        <v>391.875</v>
      </c>
      <c r="DL6" s="126">
        <f>IF(Reinforcements[[#This Row],[Reinforcement]]="","",φ_v*0.5*Reinforcements[[#This Row],[F''y]]*Reinforcements[[#This Row],[Gross Area (in2)]])</f>
        <v>270</v>
      </c>
      <c r="DM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6"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6"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111" t="str">
        <f>IF(OR(Reinforcements[[#This Row],[Type]]="plate",Reinforcements[[#This Row],[Type]]="solid round"),"N/A",Reinforcements[[#This Row],[B (in)]])</f>
        <v>N/A</v>
      </c>
      <c r="EB6" s="6" t="str">
        <f>IF(OR(Reinforcements[[#This Row],[Type]]="plate",Reinforcements[[#This Row],[Type]]="solid round"),"N/A",Reinforcements[[#This Row],[H (in)]])</f>
        <v>N/A</v>
      </c>
      <c r="EC6" s="6" t="str">
        <f>IF(OR(Reinforcements[[#This Row],[Type]]="plate",Reinforcements[[#This Row],[Type]]="solid round"),"N/A",Reinforcements[[#This Row],[B (in)]]-Reinforcements[[#This Row],['[Channel'] Flange Thickness (in)]])</f>
        <v>N/A</v>
      </c>
      <c r="ED6" s="6" t="str">
        <f>IF(OR(Reinforcements[[#This Row],[Type]]="plate",Reinforcements[[#This Row],[Type]]="solid round"),"N/A",Reinforcements[[#This Row],['[Channel']Web Thickness (in)]])</f>
        <v>N/A</v>
      </c>
      <c r="EE6" s="6" t="str">
        <f>IF(OR(Reinforcements[[#This Row],[Type]]="plate",Reinforcements[[#This Row],[Type]]="solid round"),"N/A",Reinforcements[[#This Row],['[Channel'] Flange Thickness (in)]])</f>
        <v>N/A</v>
      </c>
      <c r="EF6" s="6" t="str">
        <f>IF(Reinforcements[[#This Row],[Type]]="channel",Reinforcements[[#This Row],[Channel Flange Width, b]]/Reinforcements[[#This Row],[Channel flange thickness, tf]],"N/A")</f>
        <v>N/A</v>
      </c>
      <c r="EG6" s="6" t="str">
        <f>IF(Reinforcements[[#This Row],[Type]]="channel",Reinforcements[[#This Row],[Channel inside depth, T]]/Reinforcements[[#This Row],[Channel web thickness, tw]],"N/A")</f>
        <v>N/A</v>
      </c>
      <c r="EH6" s="6">
        <f>29000</f>
        <v>29000</v>
      </c>
      <c r="EI6" s="6" t="str">
        <f>IF(Reinforcements[[#This Row],[Type]]="channel",0.56*SQRT(Reinforcements[[#This Row],[E, (ksi)]]/Reinforcements[[#This Row],[Fy, (ksi)]]),"N/A")</f>
        <v>N/A</v>
      </c>
      <c r="EJ6" s="6" t="str">
        <f>IF(Reinforcements[[#This Row],[Type]]="channel",1.49*SQRT(Reinforcements[[#This Row],[E, (ksi)]]/Reinforcements[[#This Row],[Fy, (ksi)]]),"N/A")</f>
        <v>N/A</v>
      </c>
      <c r="EK6" s="6">
        <f>VLOOKUP(Reinforcements[[#This Row],[Material]],Materials!$B$2:$C$30,2,FALSE)</f>
        <v>100</v>
      </c>
      <c r="EL6" s="6">
        <f>Reinforcements[[#This Row],[Lu (in)]]*Reinforcements[[#This Row],[Effective Length Factor Kx]]</f>
        <v>13.600000000000001</v>
      </c>
      <c r="EM6" s="6">
        <f>Reinforcements[[#This Row],[Lu (in)]]*Reinforcements[[#This Row],[Effective Length Factor Ky]]</f>
        <v>17</v>
      </c>
      <c r="EN6" s="6">
        <f>Reinforcements[[#This Row],[rx]]</f>
        <v>0.28867513459481287</v>
      </c>
      <c r="EO6" s="6">
        <f>Reinforcements[[#This Row],[ry]]</f>
        <v>1.7320508075688772</v>
      </c>
      <c r="EP6" s="6">
        <f>Reinforcements[[#This Row],[Lcx (in)]]/Reinforcements[[#This Row],[rx (in)]]</f>
        <v>47.111781965873469</v>
      </c>
      <c r="EQ6" s="6">
        <f>Reinforcements[[#This Row],[Lcy (in)]]/Reinforcements[[#This Row],[ry (in)]]</f>
        <v>9.8149545762236379</v>
      </c>
      <c r="ER6" s="6">
        <f>((PI()^2)*Reinforcements[[#This Row],[E, (ksi)]])/(Reinforcements[[#This Row],[Lcx/rx]]^2)</f>
        <v>128.95514689283777</v>
      </c>
      <c r="ES6" s="6">
        <f>((PI()^2)*Reinforcements[[#This Row],[E, (ksi)]])/(Reinforcements[[#This Row],[Lcy/ry]]^2)</f>
        <v>2971.126584410983</v>
      </c>
      <c r="ET6" s="6">
        <f>4.71*(SQRT(Reinforcements[[#This Row],[E, (ksi)]]/Reinforcements[[#This Row],[Fy, (ksi)]]))</f>
        <v>80.20840978351336</v>
      </c>
      <c r="EU6" s="6">
        <f>IF(Reinforcements[[#This Row],[Lcx/rx]]&lt;=Reinforcements[[#This Row],[Fcr Limit]],(0.658^(Reinforcements[[#This Row],[Fy, (ksi)]]/Reinforcements[[#This Row],[Fex, FB (ksi)]]))*Reinforcements[[#This Row],[Fy, (ksi)]],0.877*Reinforcements[[#This Row],[Fex, FB (ksi)]])</f>
        <v>72.283775553953305</v>
      </c>
      <c r="EV6" s="6">
        <f>IF(Reinforcements[[#This Row],[Lcy/ry]]&lt;=Reinforcements[[#This Row],[Fcr Limit]],(0.658^(Reinforcements[[#This Row],[Fy, (ksi)]]/Reinforcements[[#This Row],[Fey, FB (ksi)]]))*Reinforcements[[#This Row],[Fy, (ksi)]],0.877*Reinforcements[[#This Row],[Fey, FB (ksi)]])</f>
        <v>98.601150045559365</v>
      </c>
      <c r="EW6" s="6">
        <f>Reinforcements[[#This Row],[Fcrx (ksi)]]*Reinforcements[[#This Row],[Gross Area (in2)]]</f>
        <v>433.7026533237198</v>
      </c>
      <c r="EX6" s="6">
        <f>Reinforcements[[#This Row],[Fcry (ksi)]]*Reinforcements[[#This Row],[Gross Area (in2)]]</f>
        <v>591.60690027335613</v>
      </c>
      <c r="EY6" s="6" t="str">
        <f>IF(Reinforcements[[#This Row],[Type]]="channel",0,"N/A")</f>
        <v>N/A</v>
      </c>
      <c r="EZ6" s="6" t="str">
        <f>IF(Reinforcements[[#This Row],[Type]]="channel",Reinforcements[[#This Row],[Channel Flange Width, b]]-(0.5*Reinforcements[[#This Row],[Channel web thickness, tw]]),"N/A")</f>
        <v>N/A</v>
      </c>
      <c r="FA6" s="6" t="str">
        <f>IF(Reinforcements[[#This Row],[Type]]="channel",Reinforcements[[#This Row],[Channel Height, h]]-Reinforcements[[#This Row],[Channel flange thickness, tf]],"N/A")</f>
        <v>N/A</v>
      </c>
      <c r="FB6" s="6" t="str">
        <f>IF(Reinforcements[[#This Row],[Type]]="channel",Reinforcements[[#This Row],[Channel web thickness, tw]],"N/A")</f>
        <v>N/A</v>
      </c>
      <c r="FC6" s="6" t="str">
        <f>IF(Reinforcements[[#This Row],[Type]]="channel",((3*Reinforcements[[#This Row],[b]]^2)/(Reinforcements[[#This Row],[h]]+(6*Reinforcements[[#This Row],[b]])))-Reinforcements[[#This Row],[t]]/2,"N/A")</f>
        <v>N/A</v>
      </c>
      <c r="FD6" s="6">
        <f>Reinforcements[[#This Row],[Pole Face to Centroid (in)]]</f>
        <v>0.5</v>
      </c>
      <c r="FE6" s="6" t="str">
        <f>IF(Reinforcements[[#This Row],[Type]]="channel",Reinforcements[[#This Row],[x(bar)]]+Reinforcements[[#This Row],['[Channel'] e0 (in)]],"N/A")</f>
        <v>N/A</v>
      </c>
      <c r="FF6" s="6" t="str">
        <f>IF(Reinforcements[[#This Row],[Type]]="channel",Reinforcements[[#This Row],[Ix]],"N/A")</f>
        <v>N/A</v>
      </c>
      <c r="FG6" s="6" t="str">
        <f>IF(Reinforcements[[#This Row],[Type]]="channel",Reinforcements[[#This Row],[Iy]],"N/A")</f>
        <v>N/A</v>
      </c>
      <c r="FH6" s="6" t="str">
        <f>IF(Reinforcements[[#This Row],[Type]]="channel",Reinforcements[[#This Row],[Gross Area (in2)]],"N/A")</f>
        <v>N/A</v>
      </c>
      <c r="FI6" s="6" t="str">
        <f>IF(Reinforcements[[#This Row],[Type]]="channel",(Reinforcements[[#This Row],[xo]]^2)+((Reinforcements[[#This Row],[Ix (FTB)]]+Reinforcements[[#This Row],[Iy (FTB)]])/Reinforcements[[#This Row],[Ag]]),"N/A")</f>
        <v>N/A</v>
      </c>
      <c r="FJ6" s="6" t="str">
        <f>IF(Reinforcements[[#This Row],[Type]]="channel",Reinforcements[[#This Row],[Lu (in)]],"N/A")</f>
        <v>N/A</v>
      </c>
      <c r="FK6" s="6" t="str">
        <f>IF(Reinforcements[[#This Row],[Type]]="channel",Reinforcements[[#This Row],[Effective Length Factor Kx]],"N/A")</f>
        <v>N/A</v>
      </c>
      <c r="FL6" s="6" t="str">
        <f>IF(Reinforcements[[#This Row],[Type]]="channel",Reinforcements[[#This Row],[Kz]]*Reinforcements[[#This Row],[Lz]],"N/A")</f>
        <v>N/A</v>
      </c>
      <c r="FM6" s="6" t="str">
        <f>IF(Reinforcements[[#This Row],[Type]]="channel",(((Reinforcements[[#This Row],[t]]^3)/3)*(Reinforcements[[#This Row],[h]]+(2*Reinforcements[[#This Row],[b]]))),"N/A")</f>
        <v>N/A</v>
      </c>
      <c r="FN6" s="6" t="str">
        <f>IF(Reinforcements[[#This Row],[Type]]="channel",(1-(((Reinforcements[[#This Row],[xo]]^2)+(Reinforcements[[#This Row],[yo]]^2))/Reinforcements[[#This Row],[ro^2(bar)]])),"N/A")</f>
        <v>N/A</v>
      </c>
      <c r="FO6" s="6">
        <v>11200</v>
      </c>
      <c r="FP6" s="6" t="str">
        <f>IF(Reinforcements[[#This Row],[Type]]="channel",(((Reinforcements[[#This Row],[h]]^2)*(Reinforcements[[#This Row],[b]]^3)*Reinforcements[[#This Row],[t]])/12)*(((2*Reinforcements[[#This Row],[h]])+(3*Reinforcements[[#This Row],[b]]))/(Reinforcements[[#This Row],[h]]+(6*Reinforcements[[#This Row],[b]]))),"N/A")</f>
        <v>N/A</v>
      </c>
      <c r="FQ6" s="6" t="str">
        <f>IF(Reinforcements[[#This Row],[Type]]="Channel",((((PI()^2)*Reinforcements[[#This Row],[E, (ksi)]]*Reinforcements[[#This Row],['[Channel'] CW (in6)]])/(Reinforcements[[#This Row],[Lcz]]^2))+(Reinforcements[[#This Row],[G]]*Reinforcements[[#This Row],['[Channel'] J (in4)]]))*(1/(Reinforcements[[#This Row],[Ag]]*Reinforcements[[#This Row],[ro^2(bar)]])),"N/A")</f>
        <v>N/A</v>
      </c>
      <c r="FR6" s="6" t="str">
        <f>IF(Reinforcements[[#This Row],[Type]]="channel",((PI()^2)*Reinforcements[[#This Row],[E, (ksi)]])/(Reinforcements[[#This Row],[Lcy/ry]]^2),"N/A")</f>
        <v>N/A</v>
      </c>
      <c r="FS6" s="6" t="str">
        <f>IF(Reinforcements[[#This Row],[Type]]="channel",((Reinforcements[[#This Row],[Fey]]+Reinforcements[[#This Row],[Fez]])/(2*Reinforcements[[#This Row],[H2]]))*(1-SQRT(1-((4*Reinforcements[[#This Row],[Fey]]*Reinforcements[[#This Row],[Fez]]*Reinforcements[[#This Row],[H2]])/(Reinforcements[[#This Row],[Fey]]+Reinforcements[[#This Row],[Fez]])^2))),"N/A")</f>
        <v>N/A</v>
      </c>
      <c r="FT6" s="6" t="str">
        <f>IF(Reinforcements[[#This Row],[Type]]="channel",IF(Reinforcements[[#This Row],[Lcx/rx]]&gt;(4.71*SQRT(Reinforcements[[#This Row],[E, (ksi)]]/Reinforcements[[#This Row],[Fy, (ksi)]])),0.877*Reinforcements[[#This Row],[Fe (FTB)]],0.658^(Reinforcements[[#This Row],[Fy, (ksi)]]/Reinforcements[[#This Row],[Fe (FTB)]])*Reinforcements[[#This Row],[Fy, (ksi)]]),"N/A")</f>
        <v>N/A</v>
      </c>
      <c r="FU6" s="6" t="str">
        <f>IF(Reinforcements[[#This Row],[Type]]="channel",MIN(Reinforcements[[#This Row],[Fcr(FTB)]],Reinforcements[[#This Row],[Fcry (ksi)]]),"N/A")</f>
        <v>N/A</v>
      </c>
      <c r="FV6" s="6">
        <v>0.22</v>
      </c>
      <c r="FW6" s="6">
        <v>1.49</v>
      </c>
      <c r="FX6" s="6" t="str">
        <f>IF(Reinforcements[[#This Row],[Type]]="channel",((Reinforcements[[#This Row],[c2]]*(Reinforcements[[#This Row],[λrf]]/Reinforcements[[#This Row],[λf]]))^2)*Reinforcements[[#This Row],[Fy, (ksi)]],"N/A")</f>
        <v>N/A</v>
      </c>
      <c r="FY6" s="6" t="str">
        <f>IF(Reinforcements[[#This Row],[Type]]="channel",((Reinforcements[[#This Row],[c2]]*(Reinforcements[[#This Row],[λrw]]/Reinforcements[[#This Row],[λw]]))^2)*Reinforcements[[#This Row],[Fy, (ksi)]],"N/A")</f>
        <v>N/A</v>
      </c>
      <c r="FZ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6" t="str">
        <f>IF(Reinforcements[[#This Row],[Type]]="channel",Reinforcements[[#This Row],[Fcr]]*Reinforcements[[#This Row],[Ae]],"N/A")</f>
        <v>N/A</v>
      </c>
      <c r="GD6">
        <f>IF(Reinforcements[[#This Row],[Reinforcement]]="","",φ_c*Reinforcements[[#This Row],[Pnx, FB (kip)]])</f>
        <v>390.33238799134784</v>
      </c>
      <c r="GE6">
        <f>IF(Reinforcements[[#This Row],[Reinforcement]]="","",IF(Reinforcements[[#This Row],[Type]]="channel",φ_c*Reinforcements[[#This Row],[Pn]],φ_c*Reinforcements[[#This Row],[Pny, FB (kip)]]))</f>
        <v>532.44621024602054</v>
      </c>
      <c r="GF6">
        <f>Reinforcements[[#This Row],[Rev. G Tension Yield Capacity (kips)]]</f>
        <v>540</v>
      </c>
      <c r="GG6">
        <f>Reinforcements[[#This Row],[Rev. G Tension Rupture Capacity (kips)]]</f>
        <v>391.875</v>
      </c>
      <c r="GH6">
        <f>Reinforcements[[#This Row],[Rev. G Shear Capacity (kips)]]</f>
        <v>270</v>
      </c>
      <c r="GI6">
        <f>IFERROR((Reinforcements[[#This Row],['# of End Connection Bolts          (Bottom)]]-1)*Reinforcements[[#This Row],[End Connection Bolt Spacing (in) (B)]],"-")</f>
        <v>33</v>
      </c>
      <c r="GJ6">
        <f>IFERROR(IF(VLOOKUP(Reinforcements[[#This Row],[Bottom End Connection Bolt Type]],Bolts[],COLUMN(Bolts[[#Headers],[Rev. H Apply Connection Length Reduction Factor (Rb)?]])-1,FALSE)="Yes",(IF(Reinforcements[[#This Row],[Lb(bottom)]]&lt;=16,1,IF(Reinforcements[[#This Row],[Lb(bottom)]]&gt;38,0.75,0.9))),1),"-")</f>
        <v>1</v>
      </c>
      <c r="GK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f>IFERROR(IF(Reinforcements[[#This Row],[Top End Connection Same?]]="Yes",Reinforcements[[#This Row],[Lb(bottom)]],(Reinforcements[[#This Row],['# of End Connection Bolts          (Top)]]-1)*Reinforcements[[#This Row],[End Connection Bolt Spacing (in) (T)]]),"-")</f>
        <v>33</v>
      </c>
      <c r="GM6">
        <f>IFERROR(IF(VLOOKUP(Reinforcements[[#This Row],[Top End Connection Bolt Type]],Bolts[],COLUMN(Bolts[[#Headers],[Rev. H Apply Connection Length Reduction Factor (Rb)?]])-1,FALSE)=TRUE,(IF(Reinforcements[[#This Row],[Lb(top)]]&lt;=16,1,IF(Reinforcements[[#This Row],[Lb(top)]]&gt;38,0.75,0.9))),1),"-")</f>
        <v>0.9</v>
      </c>
      <c r="GN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f>Reinforcements[[#This Row],[Rev. G Bolt-Shaft Bearing Capacity (Bottom)                No Deformation          (*t*Fu kips)]]</f>
        <v>23.686299212598424</v>
      </c>
      <c r="GP6">
        <f>Reinforcements[[#This Row],[Rev. G Bolt-Shaft Bearing Capacity (Bottom)                   Deformation          (*t*Fu kips)]]</f>
        <v>29.607874015748038</v>
      </c>
      <c r="GQ6">
        <f>Reinforcements[[#This Row],[Rev. G Bolt-Shaft Bearing Capacity (Top)                    No Deformation          (*t*Fu kips)]]</f>
        <v>23.686299212598424</v>
      </c>
      <c r="GR6">
        <f>Reinforcements[[#This Row],[Rev. G Bolt-Shaft Bearing Capacity (Top)                        Deformation          (*t*Fu kips)]]</f>
        <v>29.607874015748038</v>
      </c>
      <c r="GS6">
        <f>Reinforcements[[#This Row],[Rev. G Bolt-Reinf. Bearing Capacity (Bottom)            No Deformation (kips)]]</f>
        <v>2539.7007874015749</v>
      </c>
      <c r="GT6">
        <f>Reinforcements[[#This Row],[Rev. G Bolt-Reinf. Bearing Capacity (Bottom)               Deformation (kips)]]</f>
        <v>3174.6259842519685</v>
      </c>
      <c r="GU6">
        <f>Reinforcements[[#This Row],[Rev. G Bolt-Reinf. Bearing Capacity (Top)                  No Deformation (kips)]]</f>
        <v>2539.7007874015749</v>
      </c>
      <c r="GV6">
        <f>Reinforcements[[#This Row],[Rev. G Bolt-Reinf. Bearing Capacity (Top)               Deformation (kips)]]</f>
        <v>3174.6259842519685</v>
      </c>
      <c r="GW6" t="str">
        <f>Reinforcements[[#This Row],[Rev. G Bottom Transverse Weld Strength]]</f>
        <v>-</v>
      </c>
      <c r="GX6" t="str">
        <f>Reinforcements[[#This Row],[Rev. G Bottom Longitudinal Weld Strength]]</f>
        <v>-</v>
      </c>
      <c r="GY6" t="str">
        <f>Reinforcements[[#This Row],[Rev. G Top Transverse Weld Strength]]</f>
        <v>-</v>
      </c>
      <c r="GZ6" t="str">
        <f>Reinforcements[[#This Row],[Rev. G Top Longitudinal Weld Strength]]</f>
        <v>-</v>
      </c>
      <c r="HA6">
        <v>4</v>
      </c>
      <c r="HB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49" t="s">
        <v>361</v>
      </c>
      <c r="C7" s="49" t="s">
        <v>352</v>
      </c>
      <c r="D7" s="6">
        <v>7</v>
      </c>
      <c r="E7" s="6">
        <v>1</v>
      </c>
      <c r="F7" s="6" t="str">
        <f>IF(Reinforcements[[#This Row],[Type]]="","",IF(Reinforcements[[#This Row],[Type]]="solid round","","n/a"))</f>
        <v>n/a</v>
      </c>
      <c r="G7" s="6" t="str">
        <f>IF(Reinforcements[[#This Row],[Type]]="","",IF(Reinforcements[[#This Row],[Type]]&lt;&gt;"channel","n/a",""))</f>
        <v>n/a</v>
      </c>
      <c r="H7" s="6" t="str">
        <f>IF(Reinforcements[[#This Row],[Type]]="","",IF(Reinforcements[[#This Row],[Type]]&lt;&gt;"channel","n/a",""))</f>
        <v>n/a</v>
      </c>
      <c r="I7" s="126" t="str">
        <f>IF(Reinforcements[[#This Row],[Type]]="","",IF(Reinforcements[[#This Row],[Type]]&lt;&gt;"channel","n/a",Reinforcements[[#This Row],[eo]]))</f>
        <v>n/a</v>
      </c>
      <c r="J7" s="126" t="str">
        <f>IF(Reinforcements[[#This Row],[Type]]="","",IF(Reinforcements[[#This Row],[Type]]&lt;&gt;"channel","n/a",Reinforcements[[#This Row],[J]]))</f>
        <v>n/a</v>
      </c>
      <c r="K7" s="126" t="str">
        <f>IF(Reinforcements[[#This Row],[Type]]="","",IF(Reinforcements[[#This Row],[Type]]&lt;&gt;"channel","n/a",Reinforcements[[#This Row],[Cw]]))</f>
        <v>n/a</v>
      </c>
      <c r="L7" s="6">
        <f>IFERROR(IF(Reinforcements[[#This Row],[Type]]="","",IF(Reinforcements[[#This Row],[Type]]="plate",Reinforcements[[#This Row],[B (in)]]*Reinforcements[[#This Row],[H (in)]],IF(Reinforcements[[#This Row],[Type]]="solid round",PI()/4*Reinforcements[[#This Row],[Diameter (in)]]^2,""))),"")</f>
        <v>7</v>
      </c>
      <c r="M7" s="6">
        <f>IFERROR(IF(Reinforcements[[#This Row],[Type]]="","",IF(Reinforcements[[#This Row],[Type]]="plate",Reinforcements[[#This Row],[H (in)]]/2,"")),"")</f>
        <v>0.5</v>
      </c>
      <c r="N7" s="16" t="s">
        <v>353</v>
      </c>
      <c r="O7" s="6" t="s">
        <v>132</v>
      </c>
      <c r="P7" s="123">
        <f>IFERROR(IF(Reinforcements[[#This Row],[Type]]="","",IF(Reinforcements[[#This Row],[Type]]="plate",Reinforcements[[#This Row],[B (in)]]*Reinforcements[[#This Row],[H (in)]]^3/12,IF(Reinforcements[[#This Row],[Type]]="solid round",PI()/64*Reinforcements[[#This Row],[Diameter (in)]]^4,""))),"")</f>
        <v>0.58333333333333337</v>
      </c>
      <c r="Q7" s="123">
        <f>IF(Reinforcements[[#This Row],[Reinforcement]]="","",SQRT(Reinforcements[[#This Row],[Ix]]/Reinforcements[[#This Row],[Gross Area (in2)]]))</f>
        <v>0.28867513459481292</v>
      </c>
      <c r="R7" s="123">
        <f>IFERROR(IF(Reinforcements[[#This Row],[Type]]="","",IF(Reinforcements[[#This Row],[Type]]="plate",Reinforcements[[#This Row],[B (in)]]^3*Reinforcements[[#This Row],[H (in)]]/12,IF(Reinforcements[[#This Row],[Type]]="solid round",PI()/64*Reinforcements[[#This Row],[Diameter (in)]]^4,""))),"")</f>
        <v>28.583333333333332</v>
      </c>
      <c r="S7" s="123">
        <f>IF(Reinforcements[[#This Row],[Reinforcement]]="","",SQRT(Reinforcements[[#This Row],[Iy]]/Reinforcements[[#This Row],[Gross Area (in2)]]))</f>
        <v>2.0207259421636903</v>
      </c>
      <c r="T7" s="6">
        <v>16</v>
      </c>
      <c r="U7" s="6">
        <v>0.8</v>
      </c>
      <c r="V7" s="6">
        <v>1</v>
      </c>
      <c r="W7" s="6">
        <v>1.1875</v>
      </c>
      <c r="X7" s="6">
        <f>IF(Reinforcements[[#This Row],[Bolt Hole Size (in)]]="","",IF(Reinforcements[[#This Row],[Bolt Hole Size (in)]]="n/a","n/a",Reinforcements[[#This Row],[Bolt Hole Size (in)]]*25.4))</f>
        <v>30.162499999999998</v>
      </c>
      <c r="Y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6">
        <f>IFERROR(IF(Reinforcements[[#This Row],[Reinforcement]]="","",IF(OR(Reinforcements[[#This Row],[Type]]="plate",Reinforcements[[#This Row],[Type]]="solid round"),1,IF(Reinforcements[[#This Row],[Type]]="arbitrary","",1-Reinforcements[[#This Row],[Pole Face to Centroid (in)]]/Reinforcements[[#This Row],[Connection Length (in) '[Channels']]]))),"")</f>
        <v>1</v>
      </c>
      <c r="AA7" s="16" t="s">
        <v>354</v>
      </c>
      <c r="AB7" s="16" t="str">
        <f>IF(Reinforcements[[#This Row],[Reinforcement]]="","",IF(Reinforcements[[#This Row],[Bottom End Connection Type]]&lt;&gt;"Capacity Input","-",""))</f>
        <v>-</v>
      </c>
      <c r="AC7" s="16" t="str">
        <f>IF(Reinforcements[[#This Row],[Reinforcement]]="","",IF(Reinforcements[[#This Row],[Bottom End Connection Type]]&lt;&gt;"Capacity Input","-",""))</f>
        <v>-</v>
      </c>
      <c r="AD7" s="16" t="str">
        <f>IF(Reinforcements[[#This Row],[Reinforcement]]="","",IF(Reinforcements[[#This Row],[Bottom End Connection Type]]&lt;&gt;"Capacity Input","-",""))</f>
        <v>-</v>
      </c>
      <c r="AE7" s="74" t="s">
        <v>355</v>
      </c>
      <c r="AF7" s="6" t="s">
        <v>356</v>
      </c>
      <c r="AG7" s="6">
        <v>14</v>
      </c>
      <c r="AH7" s="6">
        <v>3</v>
      </c>
      <c r="AI7" s="6">
        <v>2</v>
      </c>
      <c r="AJ7" s="6">
        <f>Reinforcements[[#This Row],[End Connection Edge Distance (in) (B)]]-(Reinforcements[[#This Row],[Bolt Hole Size (in)]]+1/16)/2</f>
        <v>1.375</v>
      </c>
      <c r="AK7" s="6">
        <f>Reinforcements[[#This Row],[End Connection Bolt Spacing (in) (B)]]-(Reinforcements[[#This Row],[Bolt Hole Size (in)]]+1/16)</f>
        <v>1.75</v>
      </c>
      <c r="AL7" s="6">
        <f>Reinforcements[[#This Row],[End Connection Edge Distance (in) (B)]]</f>
        <v>2</v>
      </c>
      <c r="AM7" s="6">
        <f>Reinforcements[[#This Row],[End Connection Bolt Spacing (in) (B)]]</f>
        <v>3</v>
      </c>
      <c r="AN7" s="6" t="str">
        <f>IF(Reinforcements[[#This Row],[Reinforcement]]="","",IF(OR(Reinforcements[[#This Row],[Bottom End Connection Type]]="Bolted",Reinforcements[[#This Row],[Bottom End Connection Type]]=""),"-",""))</f>
        <v>-</v>
      </c>
      <c r="AO7" s="111" t="str">
        <f>IF(Reinforcements[[#This Row],[Reinforcement]]="","",IF(OR(Reinforcements[[#This Row],[Bottom End Connection Type]]="Bolted",Reinforcements[[#This Row],[Bottom End Connection Type]]=""),"-",""))</f>
        <v>-</v>
      </c>
      <c r="AP7" s="111" t="str">
        <f>IF(Reinforcements[[#This Row],[Reinforcement]]="","",IF(OR(Reinforcements[[#This Row],[Bottom End Connection Type]]="Bolted",Reinforcements[[#This Row],[Bottom End Connection Type]]=""),"-",""))</f>
        <v>-</v>
      </c>
      <c r="AQ7" s="111" t="str">
        <f>IF(OR(Reinforcements[[#This Row],[Bottom End Connection Type]]="Bolted",Reinforcements[[#This Row],[Bottom Transverse (Horizontal) Weld]]="none"),"-","")</f>
        <v>-</v>
      </c>
      <c r="AR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11" t="str">
        <f>IF(OR(Reinforcements[[#This Row],[Bottom Transverse (Horizontal) Weld]]="none",Reinforcements[[#This Row],[Bottom End Connection Type]]="Bolted"),"-","")</f>
        <v>-</v>
      </c>
      <c r="AU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11" t="str">
        <f>IF(Reinforcements[[#This Row],[Reinforcement]]="","",IF(OR(Reinforcements[[#This Row],[Bottom End Connection Type]]="Bolted",Reinforcements[[#This Row],[Bottom End Connection Type]]=""),"-",""))</f>
        <v>-</v>
      </c>
      <c r="AW7" s="111" t="str">
        <f>IF(Reinforcements[[#This Row],[Reinforcement]]="","",IF(OR(Reinforcements[[#This Row],[Bottom End Connection Type]]&lt;&gt;"Welded",Reinforcements[[#This Row],[Bottom Longitudinal (Vertical) Weld]]="None",Reinforcements[[#This Row],[Bottom Longitudinal (Vertical) Weld]]=""),"-",""))</f>
        <v>-</v>
      </c>
      <c r="AX7" s="111" t="str">
        <f>IF(Reinforcements[[#This Row],[Reinforcement]]="","",IF(OR(Reinforcements[[#This Row],[Bottom End Connection Type]]&lt;&gt;"Welded",Reinforcements[[#This Row],[Bottom Longitudinal (Vertical) Weld]]="None",Reinforcements[[#This Row],[Bottom Longitudinal (Vertical) Weld]]=""),"-",""))</f>
        <v>-</v>
      </c>
      <c r="AY7" s="6" t="str">
        <f>IF(Reinforcements[[#This Row],[Reinforcement]]="","",IF(OR(Reinforcements[[#This Row],[Bottom End Connection Type]]&lt;&gt;"Welded",Reinforcements[[#This Row],[Bottom Longitudinal (Vertical) Weld]]="None"),"-",SQRT(2)/2*Reinforcements[[#This Row],[Bottom Longitudinal Weld Fillet Size (in)]]))</f>
        <v>-</v>
      </c>
      <c r="AZ7" s="6" t="s">
        <v>357</v>
      </c>
      <c r="BA7" s="16" t="str">
        <f>IF(Reinforcements[[#This Row],[Top End Connection Same?]]="Yes",Reinforcements[[#This Row],[Bottom End Connection Type]],"")</f>
        <v>Bolted</v>
      </c>
      <c r="BB7" s="16" t="str">
        <f>IF(Reinforcements[[#This Row],[Reinforcement]]="","",IF(Reinforcements[[#This Row],[Top End Connection Same?]]="Yes",Reinforcements[[#This Row],[Rev. F Bottom Connection Capacity (kips)]],IF(Reinforcements[[#This Row],[Reinforcement]]="","",IF(Reinforcements[[#This Row],[Top End Connection Type]]&lt;&gt;"Capacity Input","-",""))))</f>
        <v>-</v>
      </c>
      <c r="BC7" s="16" t="str">
        <f>IF(Reinforcements[[#This Row],[Reinforcement]]="","",IF(Reinforcements[[#This Row],[Top End Connection Same?]]="Yes",Reinforcements[[#This Row],[Rev. G Bottom Connection Capacity (kips)]],IF(Reinforcements[[#This Row],[Reinforcement]]="","",IF(Reinforcements[[#This Row],[Top End Connection Type]]&lt;&gt;"Capacity Input","-",""))))</f>
        <v>-</v>
      </c>
      <c r="BD7" s="16" t="str">
        <f>IF(Reinforcements[[#This Row],[Reinforcement]]="","",IF(Reinforcements[[#This Row],[Top End Connection Same?]]="Yes",Reinforcements[[#This Row],[Rev. G Bottom Connection Capacity (kips)]],IF(Reinforcements[[#This Row],[Reinforcement]]="","",IF(Reinforcements[[#This Row],[Top End Connection Type]]&lt;&gt;"Capacity Input","-",""))))</f>
        <v>-</v>
      </c>
      <c r="BE7" s="74" t="str">
        <f>IF(Reinforcements[[#This Row],[Top End Connection Same?]]="Yes",Reinforcements[[#This Row],[Bottom End Connection Bolt Type]],IF(Reinforcements[[#This Row],[Top End Connection Type]]="Welded","-",""))</f>
        <v>PC 8.8 - M20 (100)</v>
      </c>
      <c r="BF7" s="6" t="str">
        <f>IF(Reinforcements[[#This Row],[Top End Connection Same?]]="Yes",Reinforcements[[#This Row],[Threads Included (N) or Excluded (X) (Bottom)]],IF(Reinforcements[[#This Row],[Top End Connection Type]]="Welded","-",""))</f>
        <v>N</v>
      </c>
      <c r="BG7" s="6">
        <f>IF(Reinforcements[[#This Row],[Top End Connection Same?]]="Yes",Reinforcements[[#This Row],['# of End Connection Bolts          (Bottom)]],IF(Reinforcements[[#This Row],[Top End Connection Type]]="Welded","-",""))</f>
        <v>14</v>
      </c>
      <c r="BH7" s="6">
        <f>IF(Reinforcements[[#This Row],[Top End Connection Same?]]="Yes",Reinforcements[[#This Row],[End Connection Bolt Spacing (in) (B)]],IF(Reinforcements[[#This Row],[Top End Connection Type]]="Welded","-",""))</f>
        <v>3</v>
      </c>
      <c r="BI7" s="6">
        <f>IF(Reinforcements[[#This Row],[Top End Connection Same?]]="Yes",Reinforcements[[#This Row],[End Connection Edge Distance (in) (B)]],IF(Reinforcements[[#This Row],[Top End Connection Type]]="Welded","-",""))</f>
        <v>2</v>
      </c>
      <c r="BJ7" s="6">
        <f>Reinforcements[[#This Row],[End Connection Edge Distance (in) (T)]]-(Reinforcements[[#This Row],[Bolt Hole Size (in)]]+1/16)/2</f>
        <v>1.375</v>
      </c>
      <c r="BK7" s="6">
        <f>Reinforcements[[#This Row],[End Connection Bolt Spacing (in) (T)]]-(Reinforcements[[#This Row],[Bolt Hole Size (in)]]+1/16)</f>
        <v>1.75</v>
      </c>
      <c r="BL7" s="6">
        <f>Reinforcements[[#This Row],[End Connection Edge Distance (in) (T)]]</f>
        <v>2</v>
      </c>
      <c r="BM7" s="6">
        <f>Reinforcements[[#This Row],[End Connection Bolt Spacing (in) (T)]]</f>
        <v>3</v>
      </c>
      <c r="BN7" s="6" t="str">
        <f>IF(Reinforcements[[#This Row],[Reinforcement]]="","",IF(Reinforcements[[#This Row],[Top End Connection Same?]]="Yes",Reinforcements[[#This Row],[Bottom Connected to Flange/Base Plate?]],IF(Reinforcements[[#This Row],[Top End Connection Type]]="Bolted","-","")))</f>
        <v>-</v>
      </c>
      <c r="BO7" s="6" t="str">
        <f>IF(Reinforcements[[#This Row],[Reinforcement]]="","",IF(Reinforcements[[#This Row],[Top End Connection Same?]]="Yes",Reinforcements[[#This Row],[Bottom Weld Grade (ksi)]],IF(OR(Reinforcements[[#This Row],[Top End Connection Type]]&lt;&gt;"Welded",Reinforcements[[#This Row],[Top End Connection Type]]=""),"-","")))</f>
        <v>-</v>
      </c>
      <c r="BP7" s="6" t="str">
        <f>IF($AZ7="Yes",AP7,IF(Reinforcements[[#This Row],[Reinforcement]]="","",IF(OR(Reinforcements[[#This Row],[Top End Connection Type]]&lt;&gt;"Welded",Reinforcements[[#This Row],[Top End Connection Type]]=""),"-","")))</f>
        <v>-</v>
      </c>
      <c r="BQ7" s="6" t="str">
        <f>IF(Reinforcements[[#This Row],[Reinforcement]]="","",IF($AZ7="Yes",AQ7,IF(OR(Reinforcements[[#This Row],[Top End Connection Type]]&lt;&gt;"Welded",Reinforcements[[#This Row],[Top Transverse (Horizontal) Weld]]="none",Reinforcements[[#This Row],[Top Transverse (Horizontal) Weld]]=""),"-","")))</f>
        <v>-</v>
      </c>
      <c r="BR7" s="6"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6"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6" t="str">
        <f>IF(Reinforcements[[#This Row],[Reinforcement]]="","",IF($AZ7="Yes",AT7,IF(OR(Reinforcements[[#This Row],[Top Transverse (Horizontal) Weld]]="none",Reinforcements[[#This Row],[Top End Connection Type]]&lt;&gt;"Welded",Reinforcements[[#This Row],[Top Transverse (Horizontal) Weld]]=""),"-","")))</f>
        <v>-</v>
      </c>
      <c r="BU7" s="6"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6" t="str">
        <f>IF($AZ7="Yes",AV7,IF(Reinforcements[[#This Row],[Reinforcement]]="","",IF(OR(Reinforcements[[#This Row],[Top End Connection Type]]&lt;&gt;"Welded",Reinforcements[[#This Row],[Top End Connection Type]]=""),"-","")))</f>
        <v>-</v>
      </c>
      <c r="BW7" s="6"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6"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6" t="str">
        <f>IF($AZ7="Yes",AY7,IF(Reinforcements[[#This Row],[Reinforcement]]="","",IF(OR(Reinforcements[[#This Row],[Top End Connection Type]]&lt;&gt;"Welded",Reinforcements[[#This Row],[Top Longitudinal (Vertical) Weld]]="none"),"-",SQRT(2)/2*Reinforcements[[#This Row],[Top Longitudinal Weld Fillet Size (in)]])))</f>
        <v>-</v>
      </c>
      <c r="BZ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11">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11">
        <f>IF(Reinforcements[[#This Row],[Reinforcement]]="","",IF(Reinforcements[[#This Row],[Top End Connection Type]]&lt;&gt;"Bolted","n/a",(Reinforcements[[#This Row],['# of End Connection Bolts          (Top)]]-1)*Reinforcements[[#This Row],[End Connection Bolt Spacing (in) (T)]]+Reinforcements[[#This Row],[End Connection Edge Distance (in) (T)]]))</f>
        <v>41</v>
      </c>
      <c r="CC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6">
        <f>IFERROR(IF(Reinforcements[[#This Row],[Type]]="","",Reinforcements[[#This Row],[Effective B (in)]]*Reinforcements[[#This Row],[Effective H (in)]]^3/12),"")</f>
        <v>0.58333333333333337</v>
      </c>
      <c r="CF7" s="6">
        <f>IFERROR(IF(Reinforcements[[#This Row],[Type]]="","",Reinforcements[[#This Row],[Effective B (in)]]^3*Reinforcements[[#This Row],[Effective H (in)]]/12),"")</f>
        <v>28.583333333333332</v>
      </c>
      <c r="CG7" s="126">
        <f>SQRT(2*PI()^2*29000/VLOOKUP(Reinforcements[[#This Row],[Material]],Materials[],2,FALSE))</f>
        <v>75.659570132481107</v>
      </c>
      <c r="CH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23">
        <f>Reinforcements[[#This Row],[Effective Length Factor Kx]]*Reinforcements[[#This Row],[Lu (in)]]/(Reinforcements[[#This Row],[rx]]*PI())*SQRT(VLOOKUP(Reinforcements[[#This Row],[Material]],Materials[],2,FALSE)/29000)</f>
        <v>0.82880377598562227</v>
      </c>
      <c r="CK7" s="123">
        <f>Reinforcements[[#This Row],[Effective Length Factor Ky]]*Reinforcements[[#This Row],[Lu (in)]]/(Reinforcements[[#This Row],[ry]]*PI())*SQRT(VLOOKUP(Reinforcements[[#This Row],[Material]],Materials[],2,FALSE)/29000)</f>
        <v>0.14800067428314684</v>
      </c>
      <c r="CL7" s="123">
        <f>IF(Reinforcements[[#This Row],[λcx]]&lt;=1.5,0.658^(Reinforcements[[#This Row],[λcx]]^2)*Reinforcements[[#This Row],[F''y]],0.877/(Reinforcements[[#This Row],[λcx]]^2)*Reinforcements[[#This Row],[F''y]])</f>
        <v>75.012996209946792</v>
      </c>
      <c r="CM7" s="123">
        <f>IF(Reinforcements[[#This Row],[λcy]]&lt;=1.5,0.658^(Reinforcements[[#This Row],[λcy]]^2)*Reinforcements[[#This Row],[F''y]],0.877/(Reinforcements[[#This Row],[λcy]]^2)*Reinforcements[[#This Row],[F''y]])</f>
        <v>99.087388771569621</v>
      </c>
      <c r="CN7" s="6">
        <f>VLOOKUP(Reinforcements[[#This Row],[Material]],Materials[],2,FALSE)</f>
        <v>100</v>
      </c>
      <c r="CO7" s="126">
        <f>IF(Reinforcements[[#This Row],[Reinforcement]]="","",Reinforcements[[#This Row],[Fax]]*Reinforcements[[#This Row],[Gross Area (in2)]])</f>
        <v>311.50124056441564</v>
      </c>
      <c r="CP7" s="126">
        <f>IF(Reinforcements[[#This Row],[Reinforcement]]="","",Reinforcements[[#This Row],[Fay]]*Reinforcements[[#This Row],[Gross Area (in2)]])</f>
        <v>408.12511692265718</v>
      </c>
      <c r="CQ7" s="126">
        <f>IF(Reinforcements[[#This Row],[Reinforcement]]="","",0.6*VLOOKUP(Reinforcements[[#This Row],[Material]],Materials[],2,FALSE)*Reinforcements[[#This Row],[Gross Area (in2)]])</f>
        <v>420</v>
      </c>
      <c r="CR7" s="126">
        <f>IF(Reinforcements[[#This Row],[Reinforcement]]="","",0.5*VLOOKUP(Reinforcements[[#This Row],[Material]],Materials[],3,FALSE)*Reinforcements[[#This Row],[Net Area (in2)]]*Reinforcements[[#This Row],[Shear Lag (U)]])</f>
        <v>316.25</v>
      </c>
      <c r="CS7" s="126">
        <f>IF(Reinforcements[[#This Row],[Reinforcement]]="","",0.4*VLOOKUP(Reinforcements[[#This Row],[Material]],Materials[],2,FALSE)*Reinforcements[[#This Row],[Gross Area (in2)]])</f>
        <v>280</v>
      </c>
      <c r="CT7"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6"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6"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26">
        <f>IF(Reinforcements[[#This Row],[Reinforcement]]="","",φ_c*Reinforcements[[#This Row],[Fcr,x]]*Reinforcements[[#This Row],[Gross Area (in2)]])</f>
        <v>472.58187612266482</v>
      </c>
      <c r="DI7" s="126">
        <f>IF(Reinforcements[[#This Row],[Reinforcement]]="","",φ_c*Reinforcements[[#This Row],[Fcr,y]]*Reinforcements[[#This Row],[Gross Area (in2)]])</f>
        <v>624.25054926088865</v>
      </c>
      <c r="DJ7" s="126">
        <f>IF(Reinforcements[[#This Row],[Reinforcement]]="","",φ_t_y*VLOOKUP(Reinforcements[[#This Row],[Material]],Materials[],2,FALSE)*Reinforcements[[#This Row],[Gross Area (in2)]])</f>
        <v>630</v>
      </c>
      <c r="DK7" s="126">
        <f>IF(Reinforcements[[#This Row],[Reinforcement]]="","",φ_t_r*VLOOKUP(Reinforcements[[#This Row],[Material]],Materials[],3,FALSE)*Reinforcements[[#This Row],[Net Area (in2)]]*Reinforcements[[#This Row],[Shear Lag (U)]])</f>
        <v>474.375</v>
      </c>
      <c r="DL7" s="126">
        <f>IF(Reinforcements[[#This Row],[Reinforcement]]="","",φ_v*0.5*Reinforcements[[#This Row],[F''y]]*Reinforcements[[#This Row],[Gross Area (in2)]])</f>
        <v>315</v>
      </c>
      <c r="DM7"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6"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6"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111" t="str">
        <f>IF(OR(Reinforcements[[#This Row],[Type]]="plate",Reinforcements[[#This Row],[Type]]="solid round"),"N/A",Reinforcements[[#This Row],[B (in)]])</f>
        <v>N/A</v>
      </c>
      <c r="EB7" s="6" t="str">
        <f>IF(OR(Reinforcements[[#This Row],[Type]]="plate",Reinforcements[[#This Row],[Type]]="solid round"),"N/A",Reinforcements[[#This Row],[H (in)]])</f>
        <v>N/A</v>
      </c>
      <c r="EC7" s="6" t="str">
        <f>IF(OR(Reinforcements[[#This Row],[Type]]="plate",Reinforcements[[#This Row],[Type]]="solid round"),"N/A",Reinforcements[[#This Row],[B (in)]]-Reinforcements[[#This Row],['[Channel'] Flange Thickness (in)]])</f>
        <v>N/A</v>
      </c>
      <c r="ED7" s="6" t="str">
        <f>IF(OR(Reinforcements[[#This Row],[Type]]="plate",Reinforcements[[#This Row],[Type]]="solid round"),"N/A",Reinforcements[[#This Row],['[Channel']Web Thickness (in)]])</f>
        <v>N/A</v>
      </c>
      <c r="EE7" s="6" t="str">
        <f>IF(OR(Reinforcements[[#This Row],[Type]]="plate",Reinforcements[[#This Row],[Type]]="solid round"),"N/A",Reinforcements[[#This Row],['[Channel'] Flange Thickness (in)]])</f>
        <v>N/A</v>
      </c>
      <c r="EF7" s="6" t="str">
        <f>IF(Reinforcements[[#This Row],[Type]]="channel",Reinforcements[[#This Row],[Channel Flange Width, b]]/Reinforcements[[#This Row],[Channel flange thickness, tf]],"N/A")</f>
        <v>N/A</v>
      </c>
      <c r="EG7" s="6" t="str">
        <f>IF(Reinforcements[[#This Row],[Type]]="channel",Reinforcements[[#This Row],[Channel inside depth, T]]/Reinforcements[[#This Row],[Channel web thickness, tw]],"N/A")</f>
        <v>N/A</v>
      </c>
      <c r="EH7" s="6">
        <f>29000</f>
        <v>29000</v>
      </c>
      <c r="EI7" s="6" t="str">
        <f>IF(Reinforcements[[#This Row],[Type]]="channel",0.56*SQRT(Reinforcements[[#This Row],[E, (ksi)]]/Reinforcements[[#This Row],[Fy, (ksi)]]),"N/A")</f>
        <v>N/A</v>
      </c>
      <c r="EJ7" s="6" t="str">
        <f>IF(Reinforcements[[#This Row],[Type]]="channel",1.49*SQRT(Reinforcements[[#This Row],[E, (ksi)]]/Reinforcements[[#This Row],[Fy, (ksi)]]),"N/A")</f>
        <v>N/A</v>
      </c>
      <c r="EK7" s="6">
        <f>VLOOKUP(Reinforcements[[#This Row],[Material]],Materials!$B$2:$C$30,2,FALSE)</f>
        <v>100</v>
      </c>
      <c r="EL7" s="6">
        <f>Reinforcements[[#This Row],[Lu (in)]]*Reinforcements[[#This Row],[Effective Length Factor Kx]]</f>
        <v>12.8</v>
      </c>
      <c r="EM7" s="6">
        <f>Reinforcements[[#This Row],[Lu (in)]]*Reinforcements[[#This Row],[Effective Length Factor Ky]]</f>
        <v>16</v>
      </c>
      <c r="EN7" s="6">
        <f>Reinforcements[[#This Row],[rx]]</f>
        <v>0.28867513459481292</v>
      </c>
      <c r="EO7" s="6">
        <f>Reinforcements[[#This Row],[ry]]</f>
        <v>2.0207259421636903</v>
      </c>
      <c r="EP7" s="6">
        <f>Reinforcements[[#This Row],[Lcx (in)]]/Reinforcements[[#This Row],[rx (in)]]</f>
        <v>44.340500673763252</v>
      </c>
      <c r="EQ7" s="6">
        <f>Reinforcements[[#This Row],[Lcy (in)]]/Reinforcements[[#This Row],[ry (in)]]</f>
        <v>7.9179465488862961</v>
      </c>
      <c r="ER7" s="6">
        <f>((PI()^2)*Reinforcements[[#This Row],[E, (ksi)]])/(Reinforcements[[#This Row],[Lcx/rx]]^2)</f>
        <v>145.57827129699271</v>
      </c>
      <c r="ES7" s="6">
        <f>((PI()^2)*Reinforcements[[#This Row],[E, (ksi)]])/(Reinforcements[[#This Row],[Lcy/ry]]^2)</f>
        <v>4565.3345878736909</v>
      </c>
      <c r="ET7" s="6">
        <f>4.71*(SQRT(Reinforcements[[#This Row],[E, (ksi)]]/Reinforcements[[#This Row],[Fy, (ksi)]]))</f>
        <v>80.20840978351336</v>
      </c>
      <c r="EU7" s="6">
        <f>IF(Reinforcements[[#This Row],[Lcx/rx]]&lt;=Reinforcements[[#This Row],[Fcr Limit]],(0.658^(Reinforcements[[#This Row],[Fy, (ksi)]]/Reinforcements[[#This Row],[Fex, FB (ksi)]]))*Reinforcements[[#This Row],[Fy, (ksi)]],0.877*Reinforcements[[#This Row],[Fex, FB (ksi)]])</f>
        <v>75.012996209946778</v>
      </c>
      <c r="EV7" s="6">
        <f>IF(Reinforcements[[#This Row],[Lcy/ry]]&lt;=Reinforcements[[#This Row],[Fcr Limit]],(0.658^(Reinforcements[[#This Row],[Fy, (ksi)]]/Reinforcements[[#This Row],[Fey, FB (ksi)]]))*Reinforcements[[#This Row],[Fy, (ksi)]],0.877*Reinforcements[[#This Row],[Fey, FB (ksi)]])</f>
        <v>99.087388771569621</v>
      </c>
      <c r="EW7" s="6">
        <f>Reinforcements[[#This Row],[Fcrx (ksi)]]*Reinforcements[[#This Row],[Gross Area (in2)]]</f>
        <v>525.09097346962744</v>
      </c>
      <c r="EX7" s="6">
        <f>Reinforcements[[#This Row],[Fcry (ksi)]]*Reinforcements[[#This Row],[Gross Area (in2)]]</f>
        <v>693.61172140098734</v>
      </c>
      <c r="EY7" s="6" t="str">
        <f>IF(Reinforcements[[#This Row],[Type]]="channel",0,"N/A")</f>
        <v>N/A</v>
      </c>
      <c r="EZ7" s="6" t="str">
        <f>IF(Reinforcements[[#This Row],[Type]]="channel",Reinforcements[[#This Row],[Channel Flange Width, b]]-(0.5*Reinforcements[[#This Row],[Channel web thickness, tw]]),"N/A")</f>
        <v>N/A</v>
      </c>
      <c r="FA7" s="6" t="str">
        <f>IF(Reinforcements[[#This Row],[Type]]="channel",Reinforcements[[#This Row],[Channel Height, h]]-Reinforcements[[#This Row],[Channel flange thickness, tf]],"N/A")</f>
        <v>N/A</v>
      </c>
      <c r="FB7" s="6" t="str">
        <f>IF(Reinforcements[[#This Row],[Type]]="channel",Reinforcements[[#This Row],[Channel web thickness, tw]],"N/A")</f>
        <v>N/A</v>
      </c>
      <c r="FC7" s="6" t="str">
        <f>IF(Reinforcements[[#This Row],[Type]]="channel",((3*Reinforcements[[#This Row],[b]]^2)/(Reinforcements[[#This Row],[h]]+(6*Reinforcements[[#This Row],[b]])))-Reinforcements[[#This Row],[t]]/2,"N/A")</f>
        <v>N/A</v>
      </c>
      <c r="FD7" s="6">
        <f>Reinforcements[[#This Row],[Pole Face to Centroid (in)]]</f>
        <v>0.5</v>
      </c>
      <c r="FE7" s="6" t="str">
        <f>IF(Reinforcements[[#This Row],[Type]]="channel",Reinforcements[[#This Row],[x(bar)]]+Reinforcements[[#This Row],['[Channel'] e0 (in)]],"N/A")</f>
        <v>N/A</v>
      </c>
      <c r="FF7" s="6" t="str">
        <f>IF(Reinforcements[[#This Row],[Type]]="channel",Reinforcements[[#This Row],[Ix]],"N/A")</f>
        <v>N/A</v>
      </c>
      <c r="FG7" s="6" t="str">
        <f>IF(Reinforcements[[#This Row],[Type]]="channel",Reinforcements[[#This Row],[Iy]],"N/A")</f>
        <v>N/A</v>
      </c>
      <c r="FH7" s="6" t="str">
        <f>IF(Reinforcements[[#This Row],[Type]]="channel",Reinforcements[[#This Row],[Gross Area (in2)]],"N/A")</f>
        <v>N/A</v>
      </c>
      <c r="FI7" s="6" t="str">
        <f>IF(Reinforcements[[#This Row],[Type]]="channel",(Reinforcements[[#This Row],[xo]]^2)+((Reinforcements[[#This Row],[Ix (FTB)]]+Reinforcements[[#This Row],[Iy (FTB)]])/Reinforcements[[#This Row],[Ag]]),"N/A")</f>
        <v>N/A</v>
      </c>
      <c r="FJ7" s="6" t="str">
        <f>IF(Reinforcements[[#This Row],[Type]]="channel",Reinforcements[[#This Row],[Lu (in)]],"N/A")</f>
        <v>N/A</v>
      </c>
      <c r="FK7" s="6" t="str">
        <f>IF(Reinforcements[[#This Row],[Type]]="channel",Reinforcements[[#This Row],[Effective Length Factor Kx]],"N/A")</f>
        <v>N/A</v>
      </c>
      <c r="FL7" s="6" t="str">
        <f>IF(Reinforcements[[#This Row],[Type]]="channel",Reinforcements[[#This Row],[Kz]]*Reinforcements[[#This Row],[Lz]],"N/A")</f>
        <v>N/A</v>
      </c>
      <c r="FM7" s="6" t="str">
        <f>IF(Reinforcements[[#This Row],[Type]]="channel",(((Reinforcements[[#This Row],[t]]^3)/3)*(Reinforcements[[#This Row],[h]]+(2*Reinforcements[[#This Row],[b]]))),"N/A")</f>
        <v>N/A</v>
      </c>
      <c r="FN7" s="6" t="str">
        <f>IF(Reinforcements[[#This Row],[Type]]="channel",(1-(((Reinforcements[[#This Row],[xo]]^2)+(Reinforcements[[#This Row],[yo]]^2))/Reinforcements[[#This Row],[ro^2(bar)]])),"N/A")</f>
        <v>N/A</v>
      </c>
      <c r="FO7" s="6">
        <v>11200</v>
      </c>
      <c r="FP7" s="6" t="str">
        <f>IF(Reinforcements[[#This Row],[Type]]="channel",(((Reinforcements[[#This Row],[h]]^2)*(Reinforcements[[#This Row],[b]]^3)*Reinforcements[[#This Row],[t]])/12)*(((2*Reinforcements[[#This Row],[h]])+(3*Reinforcements[[#This Row],[b]]))/(Reinforcements[[#This Row],[h]]+(6*Reinforcements[[#This Row],[b]]))),"N/A")</f>
        <v>N/A</v>
      </c>
      <c r="FQ7" s="6" t="str">
        <f>IF(Reinforcements[[#This Row],[Type]]="Channel",((((PI()^2)*Reinforcements[[#This Row],[E, (ksi)]]*Reinforcements[[#This Row],['[Channel'] CW (in6)]])/(Reinforcements[[#This Row],[Lcz]]^2))+(Reinforcements[[#This Row],[G]]*Reinforcements[[#This Row],['[Channel'] J (in4)]]))*(1/(Reinforcements[[#This Row],[Ag]]*Reinforcements[[#This Row],[ro^2(bar)]])),"N/A")</f>
        <v>N/A</v>
      </c>
      <c r="FR7" s="6" t="str">
        <f>IF(Reinforcements[[#This Row],[Type]]="channel",((PI()^2)*Reinforcements[[#This Row],[E, (ksi)]])/(Reinforcements[[#This Row],[Lcy/ry]]^2),"N/A")</f>
        <v>N/A</v>
      </c>
      <c r="FS7" s="6" t="str">
        <f>IF(Reinforcements[[#This Row],[Type]]="channel",((Reinforcements[[#This Row],[Fey]]+Reinforcements[[#This Row],[Fez]])/(2*Reinforcements[[#This Row],[H2]]))*(1-SQRT(1-((4*Reinforcements[[#This Row],[Fey]]*Reinforcements[[#This Row],[Fez]]*Reinforcements[[#This Row],[H2]])/(Reinforcements[[#This Row],[Fey]]+Reinforcements[[#This Row],[Fez]])^2))),"N/A")</f>
        <v>N/A</v>
      </c>
      <c r="FT7" s="6" t="str">
        <f>IF(Reinforcements[[#This Row],[Type]]="channel",IF(Reinforcements[[#This Row],[Lcx/rx]]&gt;(4.71*SQRT(Reinforcements[[#This Row],[E, (ksi)]]/Reinforcements[[#This Row],[Fy, (ksi)]])),0.877*Reinforcements[[#This Row],[Fe (FTB)]],0.658^(Reinforcements[[#This Row],[Fy, (ksi)]]/Reinforcements[[#This Row],[Fe (FTB)]])*Reinforcements[[#This Row],[Fy, (ksi)]]),"N/A")</f>
        <v>N/A</v>
      </c>
      <c r="FU7" s="6" t="str">
        <f>IF(Reinforcements[[#This Row],[Type]]="channel",MIN(Reinforcements[[#This Row],[Fcr(FTB)]],Reinforcements[[#This Row],[Fcry (ksi)]]),"N/A")</f>
        <v>N/A</v>
      </c>
      <c r="FV7" s="6">
        <v>0.22</v>
      </c>
      <c r="FW7" s="6">
        <v>1.49</v>
      </c>
      <c r="FX7" s="6" t="str">
        <f>IF(Reinforcements[[#This Row],[Type]]="channel",((Reinforcements[[#This Row],[c2]]*(Reinforcements[[#This Row],[λrf]]/Reinforcements[[#This Row],[λf]]))^2)*Reinforcements[[#This Row],[Fy, (ksi)]],"N/A")</f>
        <v>N/A</v>
      </c>
      <c r="FY7" s="6" t="str">
        <f>IF(Reinforcements[[#This Row],[Type]]="channel",((Reinforcements[[#This Row],[c2]]*(Reinforcements[[#This Row],[λrw]]/Reinforcements[[#This Row],[λw]]))^2)*Reinforcements[[#This Row],[Fy, (ksi)]],"N/A")</f>
        <v>N/A</v>
      </c>
      <c r="FZ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6" t="str">
        <f>IF(Reinforcements[[#This Row],[Type]]="channel",Reinforcements[[#This Row],[Fcr]]*Reinforcements[[#This Row],[Ae]],"N/A")</f>
        <v>N/A</v>
      </c>
      <c r="GD7">
        <f>IF(Reinforcements[[#This Row],[Reinforcement]]="","",φ_c*Reinforcements[[#This Row],[Pnx, FB (kip)]])</f>
        <v>472.58187612266471</v>
      </c>
      <c r="GE7">
        <f>IF(Reinforcements[[#This Row],[Reinforcement]]="","",IF(Reinforcements[[#This Row],[Type]]="channel",φ_c*Reinforcements[[#This Row],[Pn]],φ_c*Reinforcements[[#This Row],[Pny, FB (kip)]]))</f>
        <v>624.25054926088865</v>
      </c>
      <c r="GF7">
        <f>Reinforcements[[#This Row],[Rev. G Tension Yield Capacity (kips)]]</f>
        <v>630</v>
      </c>
      <c r="GG7">
        <f>Reinforcements[[#This Row],[Rev. G Tension Rupture Capacity (kips)]]</f>
        <v>474.375</v>
      </c>
      <c r="GH7">
        <f>Reinforcements[[#This Row],[Rev. G Shear Capacity (kips)]]</f>
        <v>315</v>
      </c>
      <c r="GI7">
        <f>IFERROR((Reinforcements[[#This Row],['# of End Connection Bolts          (Bottom)]]-1)*Reinforcements[[#This Row],[End Connection Bolt Spacing (in) (B)]],"-")</f>
        <v>39</v>
      </c>
      <c r="GJ7">
        <f>IFERROR(IF(VLOOKUP(Reinforcements[[#This Row],[Bottom End Connection Bolt Type]],Bolts[],COLUMN(Bolts[[#Headers],[Rev. H Apply Connection Length Reduction Factor (Rb)?]])-1,FALSE)="Yes",(IF(Reinforcements[[#This Row],[Lb(bottom)]]&lt;=16,1,IF(Reinforcements[[#This Row],[Lb(bottom)]]&gt;38,0.75,0.9))),1),"-")</f>
        <v>1</v>
      </c>
      <c r="GK7">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f>IFERROR(IF(Reinforcements[[#This Row],[Top End Connection Same?]]="Yes",Reinforcements[[#This Row],[Lb(bottom)]],(Reinforcements[[#This Row],['# of End Connection Bolts          (Top)]]-1)*Reinforcements[[#This Row],[End Connection Bolt Spacing (in) (T)]]),"-")</f>
        <v>39</v>
      </c>
      <c r="GM7">
        <f>IFERROR(IF(VLOOKUP(Reinforcements[[#This Row],[Top End Connection Bolt Type]],Bolts[],COLUMN(Bolts[[#Headers],[Rev. H Apply Connection Length Reduction Factor (Rb)?]])-1,FALSE)=TRUE,(IF(Reinforcements[[#This Row],[Lb(top)]]&lt;=16,1,IF(Reinforcements[[#This Row],[Lb(top)]]&gt;38,0.75,0.9))),1),"-")</f>
        <v>0.75</v>
      </c>
      <c r="GN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f>Reinforcements[[#This Row],[Rev. G Bolt-Shaft Bearing Capacity (Bottom)                No Deformation          (*t*Fu kips)]]</f>
        <v>27.59433070866142</v>
      </c>
      <c r="GP7">
        <f>Reinforcements[[#This Row],[Rev. G Bolt-Shaft Bearing Capacity (Bottom)                   Deformation          (*t*Fu kips)]]</f>
        <v>34.492913385826775</v>
      </c>
      <c r="GQ7">
        <f>Reinforcements[[#This Row],[Rev. G Bolt-Shaft Bearing Capacity (Top)                    No Deformation          (*t*Fu kips)]]</f>
        <v>27.59433070866142</v>
      </c>
      <c r="GR7">
        <f>Reinforcements[[#This Row],[Rev. G Bolt-Shaft Bearing Capacity (Top)                        Deformation          (*t*Fu kips)]]</f>
        <v>34.492913385826775</v>
      </c>
      <c r="GS7">
        <f>Reinforcements[[#This Row],[Rev. G Bolt-Reinf. Bearing Capacity (Bottom)            No Deformation (kips)]]</f>
        <v>2969.5842519685043</v>
      </c>
      <c r="GT7">
        <f>Reinforcements[[#This Row],[Rev. G Bolt-Reinf. Bearing Capacity (Bottom)               Deformation (kips)]]</f>
        <v>3711.98031496063</v>
      </c>
      <c r="GU7">
        <f>Reinforcements[[#This Row],[Rev. G Bolt-Reinf. Bearing Capacity (Top)                  No Deformation (kips)]]</f>
        <v>2969.5842519685043</v>
      </c>
      <c r="GV7">
        <f>Reinforcements[[#This Row],[Rev. G Bolt-Reinf. Bearing Capacity (Top)               Deformation (kips)]]</f>
        <v>3711.98031496063</v>
      </c>
      <c r="GW7" t="str">
        <f>Reinforcements[[#This Row],[Rev. G Bottom Transverse Weld Strength]]</f>
        <v>-</v>
      </c>
      <c r="GX7" t="str">
        <f>Reinforcements[[#This Row],[Rev. G Bottom Longitudinal Weld Strength]]</f>
        <v>-</v>
      </c>
      <c r="GY7" t="str">
        <f>Reinforcements[[#This Row],[Rev. G Top Transverse Weld Strength]]</f>
        <v>-</v>
      </c>
      <c r="GZ7" t="str">
        <f>Reinforcements[[#This Row],[Rev. G Top Longitudinal Weld Strength]]</f>
        <v>-</v>
      </c>
      <c r="HA7">
        <v>5</v>
      </c>
      <c r="HB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49" t="s">
        <v>362</v>
      </c>
      <c r="C8" s="49" t="s">
        <v>352</v>
      </c>
      <c r="D8" s="6">
        <v>7</v>
      </c>
      <c r="E8" s="6">
        <v>1.5</v>
      </c>
      <c r="F8" s="6" t="str">
        <f>IF(Reinforcements[[#This Row],[Type]]="","",IF(Reinforcements[[#This Row],[Type]]="solid round","","n/a"))</f>
        <v>n/a</v>
      </c>
      <c r="G8" s="6" t="str">
        <f>IF(Reinforcements[[#This Row],[Type]]="","",IF(Reinforcements[[#This Row],[Type]]&lt;&gt;"channel","n/a",""))</f>
        <v>n/a</v>
      </c>
      <c r="H8" s="6" t="str">
        <f>IF(Reinforcements[[#This Row],[Type]]="","",IF(Reinforcements[[#This Row],[Type]]&lt;&gt;"channel","n/a",""))</f>
        <v>n/a</v>
      </c>
      <c r="I8" s="126" t="str">
        <f>IF(Reinforcements[[#This Row],[Type]]="","",IF(Reinforcements[[#This Row],[Type]]&lt;&gt;"channel","n/a",Reinforcements[[#This Row],[eo]]))</f>
        <v>n/a</v>
      </c>
      <c r="J8" s="126" t="str">
        <f>IF(Reinforcements[[#This Row],[Type]]="","",IF(Reinforcements[[#This Row],[Type]]&lt;&gt;"channel","n/a",Reinforcements[[#This Row],[J]]))</f>
        <v>n/a</v>
      </c>
      <c r="K8" s="126" t="str">
        <f>IF(Reinforcements[[#This Row],[Type]]="","",IF(Reinforcements[[#This Row],[Type]]&lt;&gt;"channel","n/a",Reinforcements[[#This Row],[Cw]]))</f>
        <v>n/a</v>
      </c>
      <c r="L8" s="6">
        <f>IFERROR(IF(Reinforcements[[#This Row],[Type]]="","",IF(Reinforcements[[#This Row],[Type]]="plate",Reinforcements[[#This Row],[B (in)]]*Reinforcements[[#This Row],[H (in)]],IF(Reinforcements[[#This Row],[Type]]="solid round",PI()/4*Reinforcements[[#This Row],[Diameter (in)]]^2,""))),"")</f>
        <v>10.5</v>
      </c>
      <c r="M8" s="6">
        <f>IFERROR(IF(Reinforcements[[#This Row],[Type]]="","",IF(Reinforcements[[#This Row],[Type]]="plate",Reinforcements[[#This Row],[H (in)]]/2,"")),"")</f>
        <v>0.75</v>
      </c>
      <c r="N8" s="16" t="s">
        <v>353</v>
      </c>
      <c r="O8" s="6" t="s">
        <v>132</v>
      </c>
      <c r="P8" s="123">
        <f>IFERROR(IF(Reinforcements[[#This Row],[Type]]="","",IF(Reinforcements[[#This Row],[Type]]="plate",Reinforcements[[#This Row],[B (in)]]*Reinforcements[[#This Row],[H (in)]]^3/12,IF(Reinforcements[[#This Row],[Type]]="solid round",PI()/64*Reinforcements[[#This Row],[Diameter (in)]]^4,""))),"")</f>
        <v>1.96875</v>
      </c>
      <c r="Q8" s="123">
        <f>IF(Reinforcements[[#This Row],[Reinforcement]]="","",SQRT(Reinforcements[[#This Row],[Ix]]/Reinforcements[[#This Row],[Gross Area (in2)]]))</f>
        <v>0.4330127018922193</v>
      </c>
      <c r="R8" s="123">
        <f>IFERROR(IF(Reinforcements[[#This Row],[Type]]="","",IF(Reinforcements[[#This Row],[Type]]="plate",Reinforcements[[#This Row],[B (in)]]^3*Reinforcements[[#This Row],[H (in)]]/12,IF(Reinforcements[[#This Row],[Type]]="solid round",PI()/64*Reinforcements[[#This Row],[Diameter (in)]]^4,""))),"")</f>
        <v>42.875</v>
      </c>
      <c r="S8" s="123">
        <f>IF(Reinforcements[[#This Row],[Reinforcement]]="","",SQRT(Reinforcements[[#This Row],[Iy]]/Reinforcements[[#This Row],[Gross Area (in2)]]))</f>
        <v>2.0207259421636903</v>
      </c>
      <c r="T8" s="6">
        <v>16</v>
      </c>
      <c r="U8" s="6">
        <v>0.8</v>
      </c>
      <c r="V8" s="6">
        <v>1</v>
      </c>
      <c r="W8" s="6">
        <v>1.1875</v>
      </c>
      <c r="X8" s="6">
        <f>IF(Reinforcements[[#This Row],[Bolt Hole Size (in)]]="","",IF(Reinforcements[[#This Row],[Bolt Hole Size (in)]]="n/a","n/a",Reinforcements[[#This Row],[Bolt Hole Size (in)]]*25.4))</f>
        <v>30.162499999999998</v>
      </c>
      <c r="Y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6">
        <f>IFERROR(IF(Reinforcements[[#This Row],[Reinforcement]]="","",IF(OR(Reinforcements[[#This Row],[Type]]="plate",Reinforcements[[#This Row],[Type]]="solid round"),1,IF(Reinforcements[[#This Row],[Type]]="arbitrary","",1-Reinforcements[[#This Row],[Pole Face to Centroid (in)]]/Reinforcements[[#This Row],[Connection Length (in) '[Channels']]]))),"")</f>
        <v>1</v>
      </c>
      <c r="AA8" s="16" t="s">
        <v>354</v>
      </c>
      <c r="AB8" s="16" t="str">
        <f>IF(Reinforcements[[#This Row],[Reinforcement]]="","",IF(Reinforcements[[#This Row],[Bottom End Connection Type]]&lt;&gt;"Capacity Input","-",""))</f>
        <v>-</v>
      </c>
      <c r="AC8" s="16" t="str">
        <f>IF(Reinforcements[[#This Row],[Reinforcement]]="","",IF(Reinforcements[[#This Row],[Bottom End Connection Type]]&lt;&gt;"Capacity Input","-",""))</f>
        <v>-</v>
      </c>
      <c r="AD8" s="16" t="str">
        <f>IF(Reinforcements[[#This Row],[Reinforcement]]="","",IF(Reinforcements[[#This Row],[Bottom End Connection Type]]&lt;&gt;"Capacity Input","-",""))</f>
        <v>-</v>
      </c>
      <c r="AE8" s="74" t="s">
        <v>355</v>
      </c>
      <c r="AF8" s="6" t="s">
        <v>356</v>
      </c>
      <c r="AG8" s="6">
        <v>14</v>
      </c>
      <c r="AH8" s="6">
        <v>3</v>
      </c>
      <c r="AI8" s="6">
        <v>2</v>
      </c>
      <c r="AJ8" s="6">
        <f>Reinforcements[[#This Row],[End Connection Edge Distance (in) (B)]]-(Reinforcements[[#This Row],[Bolt Hole Size (in)]]+1/16)/2</f>
        <v>1.375</v>
      </c>
      <c r="AK8" s="6">
        <f>Reinforcements[[#This Row],[End Connection Bolt Spacing (in) (B)]]-(Reinforcements[[#This Row],[Bolt Hole Size (in)]]+1/16)</f>
        <v>1.75</v>
      </c>
      <c r="AL8" s="6">
        <f>Reinforcements[[#This Row],[End Connection Edge Distance (in) (B)]]</f>
        <v>2</v>
      </c>
      <c r="AM8" s="6">
        <f>Reinforcements[[#This Row],[End Connection Bolt Spacing (in) (B)]]</f>
        <v>3</v>
      </c>
      <c r="AN8" s="6" t="str">
        <f>IF(Reinforcements[[#This Row],[Reinforcement]]="","",IF(OR(Reinforcements[[#This Row],[Bottom End Connection Type]]="Bolted",Reinforcements[[#This Row],[Bottom End Connection Type]]=""),"-",""))</f>
        <v>-</v>
      </c>
      <c r="AO8" s="111" t="str">
        <f>IF(Reinforcements[[#This Row],[Reinforcement]]="","",IF(OR(Reinforcements[[#This Row],[Bottom End Connection Type]]="Bolted",Reinforcements[[#This Row],[Bottom End Connection Type]]=""),"-",""))</f>
        <v>-</v>
      </c>
      <c r="AP8" s="111" t="str">
        <f>IF(Reinforcements[[#This Row],[Reinforcement]]="","",IF(OR(Reinforcements[[#This Row],[Bottom End Connection Type]]="Bolted",Reinforcements[[#This Row],[Bottom End Connection Type]]=""),"-",""))</f>
        <v>-</v>
      </c>
      <c r="AQ8" s="111" t="str">
        <f>IF(OR(Reinforcements[[#This Row],[Bottom End Connection Type]]="Bolted",Reinforcements[[#This Row],[Bottom Transverse (Horizontal) Weld]]="none"),"-","")</f>
        <v>-</v>
      </c>
      <c r="AR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11" t="str">
        <f>IF(OR(Reinforcements[[#This Row],[Bottom Transverse (Horizontal) Weld]]="none",Reinforcements[[#This Row],[Bottom End Connection Type]]="Bolted"),"-","")</f>
        <v>-</v>
      </c>
      <c r="AU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11" t="str">
        <f>IF(Reinforcements[[#This Row],[Reinforcement]]="","",IF(OR(Reinforcements[[#This Row],[Bottom End Connection Type]]="Bolted",Reinforcements[[#This Row],[Bottom End Connection Type]]=""),"-",""))</f>
        <v>-</v>
      </c>
      <c r="AW8" s="111" t="str">
        <f>IF(Reinforcements[[#This Row],[Reinforcement]]="","",IF(OR(Reinforcements[[#This Row],[Bottom End Connection Type]]&lt;&gt;"Welded",Reinforcements[[#This Row],[Bottom Longitudinal (Vertical) Weld]]="None",Reinforcements[[#This Row],[Bottom Longitudinal (Vertical) Weld]]=""),"-",""))</f>
        <v>-</v>
      </c>
      <c r="AX8" s="111" t="str">
        <f>IF(Reinforcements[[#This Row],[Reinforcement]]="","",IF(OR(Reinforcements[[#This Row],[Bottom End Connection Type]]&lt;&gt;"Welded",Reinforcements[[#This Row],[Bottom Longitudinal (Vertical) Weld]]="None",Reinforcements[[#This Row],[Bottom Longitudinal (Vertical) Weld]]=""),"-",""))</f>
        <v>-</v>
      </c>
      <c r="AY8" s="6" t="str">
        <f>IF(Reinforcements[[#This Row],[Reinforcement]]="","",IF(OR(Reinforcements[[#This Row],[Bottom End Connection Type]]&lt;&gt;"Welded",Reinforcements[[#This Row],[Bottom Longitudinal (Vertical) Weld]]="None"),"-",SQRT(2)/2*Reinforcements[[#This Row],[Bottom Longitudinal Weld Fillet Size (in)]]))</f>
        <v>-</v>
      </c>
      <c r="AZ8" s="6" t="s">
        <v>357</v>
      </c>
      <c r="BA8" s="16" t="str">
        <f>IF(Reinforcements[[#This Row],[Top End Connection Same?]]="Yes",Reinforcements[[#This Row],[Bottom End Connection Type]],"")</f>
        <v>Bolted</v>
      </c>
      <c r="BB8" s="16" t="str">
        <f>IF(Reinforcements[[#This Row],[Reinforcement]]="","",IF(Reinforcements[[#This Row],[Top End Connection Same?]]="Yes",Reinforcements[[#This Row],[Rev. F Bottom Connection Capacity (kips)]],IF(Reinforcements[[#This Row],[Reinforcement]]="","",IF(Reinforcements[[#This Row],[Top End Connection Type]]&lt;&gt;"Capacity Input","-",""))))</f>
        <v>-</v>
      </c>
      <c r="BC8" s="16" t="str">
        <f>IF(Reinforcements[[#This Row],[Reinforcement]]="","",IF(Reinforcements[[#This Row],[Top End Connection Same?]]="Yes",Reinforcements[[#This Row],[Rev. G Bottom Connection Capacity (kips)]],IF(Reinforcements[[#This Row],[Reinforcement]]="","",IF(Reinforcements[[#This Row],[Top End Connection Type]]&lt;&gt;"Capacity Input","-",""))))</f>
        <v>-</v>
      </c>
      <c r="BD8" s="16" t="str">
        <f>IF(Reinforcements[[#This Row],[Reinforcement]]="","",IF(Reinforcements[[#This Row],[Top End Connection Same?]]="Yes",Reinforcements[[#This Row],[Rev. G Bottom Connection Capacity (kips)]],IF(Reinforcements[[#This Row],[Reinforcement]]="","",IF(Reinforcements[[#This Row],[Top End Connection Type]]&lt;&gt;"Capacity Input","-",""))))</f>
        <v>-</v>
      </c>
      <c r="BE8" s="74" t="str">
        <f>IF(Reinforcements[[#This Row],[Top End Connection Same?]]="Yes",Reinforcements[[#This Row],[Bottom End Connection Bolt Type]],IF(Reinforcements[[#This Row],[Top End Connection Type]]="Welded","-",""))</f>
        <v>PC 8.8 - M20 (100)</v>
      </c>
      <c r="BF8" s="6" t="str">
        <f>IF(Reinforcements[[#This Row],[Top End Connection Same?]]="Yes",Reinforcements[[#This Row],[Threads Included (N) or Excluded (X) (Bottom)]],IF(Reinforcements[[#This Row],[Top End Connection Type]]="Welded","-",""))</f>
        <v>N</v>
      </c>
      <c r="BG8" s="6">
        <f>IF(Reinforcements[[#This Row],[Top End Connection Same?]]="Yes",Reinforcements[[#This Row],['# of End Connection Bolts          (Bottom)]],IF(Reinforcements[[#This Row],[Top End Connection Type]]="Welded","-",""))</f>
        <v>14</v>
      </c>
      <c r="BH8" s="6">
        <f>IF(Reinforcements[[#This Row],[Top End Connection Same?]]="Yes",Reinforcements[[#This Row],[End Connection Bolt Spacing (in) (B)]],IF(Reinforcements[[#This Row],[Top End Connection Type]]="Welded","-",""))</f>
        <v>3</v>
      </c>
      <c r="BI8" s="6">
        <f>IF(Reinforcements[[#This Row],[Top End Connection Same?]]="Yes",Reinforcements[[#This Row],[End Connection Edge Distance (in) (B)]],IF(Reinforcements[[#This Row],[Top End Connection Type]]="Welded","-",""))</f>
        <v>2</v>
      </c>
      <c r="BJ8" s="6">
        <f>Reinforcements[[#This Row],[End Connection Edge Distance (in) (T)]]-(Reinforcements[[#This Row],[Bolt Hole Size (in)]]+1/16)/2</f>
        <v>1.375</v>
      </c>
      <c r="BK8" s="6">
        <f>Reinforcements[[#This Row],[End Connection Bolt Spacing (in) (T)]]-(Reinforcements[[#This Row],[Bolt Hole Size (in)]]+1/16)</f>
        <v>1.75</v>
      </c>
      <c r="BL8" s="6">
        <f>Reinforcements[[#This Row],[End Connection Edge Distance (in) (T)]]</f>
        <v>2</v>
      </c>
      <c r="BM8" s="6">
        <f>Reinforcements[[#This Row],[End Connection Bolt Spacing (in) (T)]]</f>
        <v>3</v>
      </c>
      <c r="BN8" s="6" t="str">
        <f>IF(Reinforcements[[#This Row],[Reinforcement]]="","",IF(Reinforcements[[#This Row],[Top End Connection Same?]]="Yes",Reinforcements[[#This Row],[Bottom Connected to Flange/Base Plate?]],IF(Reinforcements[[#This Row],[Top End Connection Type]]="Bolted","-","")))</f>
        <v>-</v>
      </c>
      <c r="BO8" s="6" t="str">
        <f>IF(Reinforcements[[#This Row],[Reinforcement]]="","",IF(Reinforcements[[#This Row],[Top End Connection Same?]]="Yes",Reinforcements[[#This Row],[Bottom Weld Grade (ksi)]],IF(OR(Reinforcements[[#This Row],[Top End Connection Type]]&lt;&gt;"Welded",Reinforcements[[#This Row],[Top End Connection Type]]=""),"-","")))</f>
        <v>-</v>
      </c>
      <c r="BP8" s="6" t="str">
        <f>IF($AZ8="Yes",AP8,IF(Reinforcements[[#This Row],[Reinforcement]]="","",IF(OR(Reinforcements[[#This Row],[Top End Connection Type]]&lt;&gt;"Welded",Reinforcements[[#This Row],[Top End Connection Type]]=""),"-","")))</f>
        <v>-</v>
      </c>
      <c r="BQ8" s="6" t="str">
        <f>IF(Reinforcements[[#This Row],[Reinforcement]]="","",IF($AZ8="Yes",AQ8,IF(OR(Reinforcements[[#This Row],[Top End Connection Type]]&lt;&gt;"Welded",Reinforcements[[#This Row],[Top Transverse (Horizontal) Weld]]="none",Reinforcements[[#This Row],[Top Transverse (Horizontal) Weld]]=""),"-","")))</f>
        <v>-</v>
      </c>
      <c r="BR8" s="6"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6"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6" t="str">
        <f>IF(Reinforcements[[#This Row],[Reinforcement]]="","",IF($AZ8="Yes",AT8,IF(OR(Reinforcements[[#This Row],[Top Transverse (Horizontal) Weld]]="none",Reinforcements[[#This Row],[Top End Connection Type]]&lt;&gt;"Welded",Reinforcements[[#This Row],[Top Transverse (Horizontal) Weld]]=""),"-","")))</f>
        <v>-</v>
      </c>
      <c r="BU8" s="6"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6" t="str">
        <f>IF($AZ8="Yes",AV8,IF(Reinforcements[[#This Row],[Reinforcement]]="","",IF(OR(Reinforcements[[#This Row],[Top End Connection Type]]&lt;&gt;"Welded",Reinforcements[[#This Row],[Top End Connection Type]]=""),"-","")))</f>
        <v>-</v>
      </c>
      <c r="BW8" s="6"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6"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6" t="str">
        <f>IF($AZ8="Yes",AY8,IF(Reinforcements[[#This Row],[Reinforcement]]="","",IF(OR(Reinforcements[[#This Row],[Top End Connection Type]]&lt;&gt;"Welded",Reinforcements[[#This Row],[Top Longitudinal (Vertical) Weld]]="none"),"-",SQRT(2)/2*Reinforcements[[#This Row],[Top Longitudinal Weld Fillet Size (in)]])))</f>
        <v>-</v>
      </c>
      <c r="BZ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11">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11">
        <f>IF(Reinforcements[[#This Row],[Reinforcement]]="","",IF(Reinforcements[[#This Row],[Top End Connection Type]]&lt;&gt;"Bolted","n/a",(Reinforcements[[#This Row],['# of End Connection Bolts          (Top)]]-1)*Reinforcements[[#This Row],[End Connection Bolt Spacing (in) (T)]]+Reinforcements[[#This Row],[End Connection Edge Distance (in) (T)]]))</f>
        <v>41</v>
      </c>
      <c r="CC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6">
        <f>IFERROR(IF(Reinforcements[[#This Row],[Type]]="","",Reinforcements[[#This Row],[Effective B (in)]]*Reinforcements[[#This Row],[Effective H (in)]]^3/12),"")</f>
        <v>1.96875</v>
      </c>
      <c r="CF8" s="6">
        <f>IFERROR(IF(Reinforcements[[#This Row],[Type]]="","",Reinforcements[[#This Row],[Effective B (in)]]^3*Reinforcements[[#This Row],[Effective H (in)]]/12),"")</f>
        <v>42.875</v>
      </c>
      <c r="CG8" s="126">
        <f>SQRT(2*PI()^2*29000/VLOOKUP(Reinforcements[[#This Row],[Material]],Materials[],2,FALSE))</f>
        <v>75.659570132481107</v>
      </c>
      <c r="CH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23">
        <f>Reinforcements[[#This Row],[Effective Length Factor Kx]]*Reinforcements[[#This Row],[Lu (in)]]/(Reinforcements[[#This Row],[rx]]*PI())*SQRT(VLOOKUP(Reinforcements[[#This Row],[Material]],Materials[],2,FALSE)/29000)</f>
        <v>0.55253585065708166</v>
      </c>
      <c r="CK8" s="123">
        <f>Reinforcements[[#This Row],[Effective Length Factor Ky]]*Reinforcements[[#This Row],[Lu (in)]]/(Reinforcements[[#This Row],[ry]]*PI())*SQRT(VLOOKUP(Reinforcements[[#This Row],[Material]],Materials[],2,FALSE)/29000)</f>
        <v>0.14800067428314684</v>
      </c>
      <c r="CL8" s="123">
        <f>IF(Reinforcements[[#This Row],[λcx]]&lt;=1.5,0.658^(Reinforcements[[#This Row],[λcx]]^2)*Reinforcements[[#This Row],[F''y]],0.877/(Reinforcements[[#This Row],[λcx]]^2)*Reinforcements[[#This Row],[F''y]])</f>
        <v>88.004548005745491</v>
      </c>
      <c r="CM8" s="123">
        <f>IF(Reinforcements[[#This Row],[λcy]]&lt;=1.5,0.658^(Reinforcements[[#This Row],[λcy]]^2)*Reinforcements[[#This Row],[F''y]],0.877/(Reinforcements[[#This Row],[λcy]]^2)*Reinforcements[[#This Row],[F''y]])</f>
        <v>99.087388771569621</v>
      </c>
      <c r="CN8" s="6">
        <f>VLOOKUP(Reinforcements[[#This Row],[Material]],Materials[],2,FALSE)</f>
        <v>100</v>
      </c>
      <c r="CO8" s="126">
        <f>IF(Reinforcements[[#This Row],[Reinforcement]]="","",Reinforcements[[#This Row],[Fax]]*Reinforcements[[#This Row],[Gross Area (in2)]])</f>
        <v>537.10276994421361</v>
      </c>
      <c r="CP8" s="126">
        <f>IF(Reinforcements[[#This Row],[Reinforcement]]="","",Reinforcements[[#This Row],[Fay]]*Reinforcements[[#This Row],[Gross Area (in2)]])</f>
        <v>612.18767538398583</v>
      </c>
      <c r="CQ8" s="126">
        <f>IF(Reinforcements[[#This Row],[Reinforcement]]="","",0.6*VLOOKUP(Reinforcements[[#This Row],[Material]],Materials[],2,FALSE)*Reinforcements[[#This Row],[Gross Area (in2)]])</f>
        <v>630</v>
      </c>
      <c r="CR8" s="126">
        <f>IF(Reinforcements[[#This Row],[Reinforcement]]="","",0.5*VLOOKUP(Reinforcements[[#This Row],[Material]],Materials[],3,FALSE)*Reinforcements[[#This Row],[Net Area (in2)]]*Reinforcements[[#This Row],[Shear Lag (U)]])</f>
        <v>474.375</v>
      </c>
      <c r="CS8" s="126">
        <f>IF(Reinforcements[[#This Row],[Reinforcement]]="","",0.4*VLOOKUP(Reinforcements[[#This Row],[Material]],Materials[],2,FALSE)*Reinforcements[[#This Row],[Gross Area (in2)]])</f>
        <v>420</v>
      </c>
      <c r="CT8"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6"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6"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26">
        <f>IF(Reinforcements[[#This Row],[Reinforcement]]="","",φ_c*Reinforcements[[#This Row],[Fcr,x]]*Reinforcements[[#This Row],[Gross Area (in2)]])</f>
        <v>831.64297865429501</v>
      </c>
      <c r="DI8" s="126">
        <f>IF(Reinforcements[[#This Row],[Reinforcement]]="","",φ_c*Reinforcements[[#This Row],[Fcr,y]]*Reinforcements[[#This Row],[Gross Area (in2)]])</f>
        <v>936.37582389133286</v>
      </c>
      <c r="DJ8" s="126">
        <f>IF(Reinforcements[[#This Row],[Reinforcement]]="","",φ_t_y*VLOOKUP(Reinforcements[[#This Row],[Material]],Materials[],2,FALSE)*Reinforcements[[#This Row],[Gross Area (in2)]])</f>
        <v>945</v>
      </c>
      <c r="DK8" s="126">
        <f>IF(Reinforcements[[#This Row],[Reinforcement]]="","",φ_t_r*VLOOKUP(Reinforcements[[#This Row],[Material]],Materials[],3,FALSE)*Reinforcements[[#This Row],[Net Area (in2)]]*Reinforcements[[#This Row],[Shear Lag (U)]])</f>
        <v>711.5625</v>
      </c>
      <c r="DL8" s="126">
        <f>IF(Reinforcements[[#This Row],[Reinforcement]]="","",φ_v*0.5*Reinforcements[[#This Row],[F''y]]*Reinforcements[[#This Row],[Gross Area (in2)]])</f>
        <v>472.5</v>
      </c>
      <c r="DM8"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6"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6"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111" t="str">
        <f>IF(OR(Reinforcements[[#This Row],[Type]]="plate",Reinforcements[[#This Row],[Type]]="solid round"),"N/A",Reinforcements[[#This Row],[B (in)]])</f>
        <v>N/A</v>
      </c>
      <c r="EB8" s="6" t="str">
        <f>IF(OR(Reinforcements[[#This Row],[Type]]="plate",Reinforcements[[#This Row],[Type]]="solid round"),"N/A",Reinforcements[[#This Row],[H (in)]])</f>
        <v>N/A</v>
      </c>
      <c r="EC8" s="6" t="str">
        <f>IF(OR(Reinforcements[[#This Row],[Type]]="plate",Reinforcements[[#This Row],[Type]]="solid round"),"N/A",Reinforcements[[#This Row],[B (in)]]-Reinforcements[[#This Row],['[Channel'] Flange Thickness (in)]])</f>
        <v>N/A</v>
      </c>
      <c r="ED8" s="6" t="str">
        <f>IF(OR(Reinforcements[[#This Row],[Type]]="plate",Reinforcements[[#This Row],[Type]]="solid round"),"N/A",Reinforcements[[#This Row],['[Channel']Web Thickness (in)]])</f>
        <v>N/A</v>
      </c>
      <c r="EE8" s="6" t="str">
        <f>IF(OR(Reinforcements[[#This Row],[Type]]="plate",Reinforcements[[#This Row],[Type]]="solid round"),"N/A",Reinforcements[[#This Row],['[Channel'] Flange Thickness (in)]])</f>
        <v>N/A</v>
      </c>
      <c r="EF8" s="6" t="str">
        <f>IF(Reinforcements[[#This Row],[Type]]="channel",Reinforcements[[#This Row],[Channel Flange Width, b]]/Reinforcements[[#This Row],[Channel flange thickness, tf]],"N/A")</f>
        <v>N/A</v>
      </c>
      <c r="EG8" s="6" t="str">
        <f>IF(Reinforcements[[#This Row],[Type]]="channel",Reinforcements[[#This Row],[Channel inside depth, T]]/Reinforcements[[#This Row],[Channel web thickness, tw]],"N/A")</f>
        <v>N/A</v>
      </c>
      <c r="EH8" s="6">
        <f>29000</f>
        <v>29000</v>
      </c>
      <c r="EI8" s="6" t="str">
        <f>IF(Reinforcements[[#This Row],[Type]]="channel",0.56*SQRT(Reinforcements[[#This Row],[E, (ksi)]]/Reinforcements[[#This Row],[Fy, (ksi)]]),"N/A")</f>
        <v>N/A</v>
      </c>
      <c r="EJ8" s="6" t="str">
        <f>IF(Reinforcements[[#This Row],[Type]]="channel",1.49*SQRT(Reinforcements[[#This Row],[E, (ksi)]]/Reinforcements[[#This Row],[Fy, (ksi)]]),"N/A")</f>
        <v>N/A</v>
      </c>
      <c r="EK8" s="6">
        <f>VLOOKUP(Reinforcements[[#This Row],[Material]],Materials!$B$2:$C$30,2,FALSE)</f>
        <v>100</v>
      </c>
      <c r="EL8" s="6">
        <f>Reinforcements[[#This Row],[Lu (in)]]*Reinforcements[[#This Row],[Effective Length Factor Kx]]</f>
        <v>12.8</v>
      </c>
      <c r="EM8" s="6">
        <f>Reinforcements[[#This Row],[Lu (in)]]*Reinforcements[[#This Row],[Effective Length Factor Ky]]</f>
        <v>16</v>
      </c>
      <c r="EN8" s="6">
        <f>Reinforcements[[#This Row],[rx]]</f>
        <v>0.4330127018922193</v>
      </c>
      <c r="EO8" s="6">
        <f>Reinforcements[[#This Row],[ry]]</f>
        <v>2.0207259421636903</v>
      </c>
      <c r="EP8" s="6">
        <f>Reinforcements[[#This Row],[Lcx (in)]]/Reinforcements[[#This Row],[rx (in)]]</f>
        <v>29.560333782508842</v>
      </c>
      <c r="EQ8" s="6">
        <f>Reinforcements[[#This Row],[Lcy (in)]]/Reinforcements[[#This Row],[ry (in)]]</f>
        <v>7.9179465488862961</v>
      </c>
      <c r="ER8" s="6">
        <f>((PI()^2)*Reinforcements[[#This Row],[E, (ksi)]])/(Reinforcements[[#This Row],[Lcx/rx]]^2)</f>
        <v>327.55111041823346</v>
      </c>
      <c r="ES8" s="6">
        <f>((PI()^2)*Reinforcements[[#This Row],[E, (ksi)]])/(Reinforcements[[#This Row],[Lcy/ry]]^2)</f>
        <v>4565.3345878736909</v>
      </c>
      <c r="ET8" s="6">
        <f>4.71*(SQRT(Reinforcements[[#This Row],[E, (ksi)]]/Reinforcements[[#This Row],[Fy, (ksi)]]))</f>
        <v>80.20840978351336</v>
      </c>
      <c r="EU8" s="6">
        <f>IF(Reinforcements[[#This Row],[Lcx/rx]]&lt;=Reinforcements[[#This Row],[Fcr Limit]],(0.658^(Reinforcements[[#This Row],[Fy, (ksi)]]/Reinforcements[[#This Row],[Fex, FB (ksi)]]))*Reinforcements[[#This Row],[Fy, (ksi)]],0.877*Reinforcements[[#This Row],[Fex, FB (ksi)]])</f>
        <v>88.004548005745491</v>
      </c>
      <c r="EV8" s="6">
        <f>IF(Reinforcements[[#This Row],[Lcy/ry]]&lt;=Reinforcements[[#This Row],[Fcr Limit]],(0.658^(Reinforcements[[#This Row],[Fy, (ksi)]]/Reinforcements[[#This Row],[Fey, FB (ksi)]]))*Reinforcements[[#This Row],[Fy, (ksi)]],0.877*Reinforcements[[#This Row],[Fey, FB (ksi)]])</f>
        <v>99.087388771569621</v>
      </c>
      <c r="EW8" s="6">
        <f>Reinforcements[[#This Row],[Fcrx (ksi)]]*Reinforcements[[#This Row],[Gross Area (in2)]]</f>
        <v>924.04775406032763</v>
      </c>
      <c r="EX8" s="6">
        <f>Reinforcements[[#This Row],[Fcry (ksi)]]*Reinforcements[[#This Row],[Gross Area (in2)]]</f>
        <v>1040.417582101481</v>
      </c>
      <c r="EY8" s="6" t="str">
        <f>IF(Reinforcements[[#This Row],[Type]]="channel",0,"N/A")</f>
        <v>N/A</v>
      </c>
      <c r="EZ8" s="6" t="str">
        <f>IF(Reinforcements[[#This Row],[Type]]="channel",Reinforcements[[#This Row],[Channel Flange Width, b]]-(0.5*Reinforcements[[#This Row],[Channel web thickness, tw]]),"N/A")</f>
        <v>N/A</v>
      </c>
      <c r="FA8" s="6" t="str">
        <f>IF(Reinforcements[[#This Row],[Type]]="channel",Reinforcements[[#This Row],[Channel Height, h]]-Reinforcements[[#This Row],[Channel flange thickness, tf]],"N/A")</f>
        <v>N/A</v>
      </c>
      <c r="FB8" s="6" t="str">
        <f>IF(Reinforcements[[#This Row],[Type]]="channel",Reinforcements[[#This Row],[Channel web thickness, tw]],"N/A")</f>
        <v>N/A</v>
      </c>
      <c r="FC8" s="6" t="str">
        <f>IF(Reinforcements[[#This Row],[Type]]="channel",((3*Reinforcements[[#This Row],[b]]^2)/(Reinforcements[[#This Row],[h]]+(6*Reinforcements[[#This Row],[b]])))-Reinforcements[[#This Row],[t]]/2,"N/A")</f>
        <v>N/A</v>
      </c>
      <c r="FD8" s="6">
        <f>Reinforcements[[#This Row],[Pole Face to Centroid (in)]]</f>
        <v>0.75</v>
      </c>
      <c r="FE8" s="6" t="str">
        <f>IF(Reinforcements[[#This Row],[Type]]="channel",Reinforcements[[#This Row],[x(bar)]]+Reinforcements[[#This Row],['[Channel'] e0 (in)]],"N/A")</f>
        <v>N/A</v>
      </c>
      <c r="FF8" s="6" t="str">
        <f>IF(Reinforcements[[#This Row],[Type]]="channel",Reinforcements[[#This Row],[Ix]],"N/A")</f>
        <v>N/A</v>
      </c>
      <c r="FG8" s="6" t="str">
        <f>IF(Reinforcements[[#This Row],[Type]]="channel",Reinforcements[[#This Row],[Iy]],"N/A")</f>
        <v>N/A</v>
      </c>
      <c r="FH8" s="6" t="str">
        <f>IF(Reinforcements[[#This Row],[Type]]="channel",Reinforcements[[#This Row],[Gross Area (in2)]],"N/A")</f>
        <v>N/A</v>
      </c>
      <c r="FI8" s="6" t="str">
        <f>IF(Reinforcements[[#This Row],[Type]]="channel",(Reinforcements[[#This Row],[xo]]^2)+((Reinforcements[[#This Row],[Ix (FTB)]]+Reinforcements[[#This Row],[Iy (FTB)]])/Reinforcements[[#This Row],[Ag]]),"N/A")</f>
        <v>N/A</v>
      </c>
      <c r="FJ8" s="6" t="str">
        <f>IF(Reinforcements[[#This Row],[Type]]="channel",Reinforcements[[#This Row],[Lu (in)]],"N/A")</f>
        <v>N/A</v>
      </c>
      <c r="FK8" s="6" t="str">
        <f>IF(Reinforcements[[#This Row],[Type]]="channel",Reinforcements[[#This Row],[Effective Length Factor Kx]],"N/A")</f>
        <v>N/A</v>
      </c>
      <c r="FL8" s="6" t="str">
        <f>IF(Reinforcements[[#This Row],[Type]]="channel",Reinforcements[[#This Row],[Kz]]*Reinforcements[[#This Row],[Lz]],"N/A")</f>
        <v>N/A</v>
      </c>
      <c r="FM8" s="6" t="str">
        <f>IF(Reinforcements[[#This Row],[Type]]="channel",(((Reinforcements[[#This Row],[t]]^3)/3)*(Reinforcements[[#This Row],[h]]+(2*Reinforcements[[#This Row],[b]]))),"N/A")</f>
        <v>N/A</v>
      </c>
      <c r="FN8" s="6" t="str">
        <f>IF(Reinforcements[[#This Row],[Type]]="channel",(1-(((Reinforcements[[#This Row],[xo]]^2)+(Reinforcements[[#This Row],[yo]]^2))/Reinforcements[[#This Row],[ro^2(bar)]])),"N/A")</f>
        <v>N/A</v>
      </c>
      <c r="FO8" s="6">
        <v>11200</v>
      </c>
      <c r="FP8" s="6" t="str">
        <f>IF(Reinforcements[[#This Row],[Type]]="channel",(((Reinforcements[[#This Row],[h]]^2)*(Reinforcements[[#This Row],[b]]^3)*Reinforcements[[#This Row],[t]])/12)*(((2*Reinforcements[[#This Row],[h]])+(3*Reinforcements[[#This Row],[b]]))/(Reinforcements[[#This Row],[h]]+(6*Reinforcements[[#This Row],[b]]))),"N/A")</f>
        <v>N/A</v>
      </c>
      <c r="FQ8" s="6" t="str">
        <f>IF(Reinforcements[[#This Row],[Type]]="Channel",((((PI()^2)*Reinforcements[[#This Row],[E, (ksi)]]*Reinforcements[[#This Row],['[Channel'] CW (in6)]])/(Reinforcements[[#This Row],[Lcz]]^2))+(Reinforcements[[#This Row],[G]]*Reinforcements[[#This Row],['[Channel'] J (in4)]]))*(1/(Reinforcements[[#This Row],[Ag]]*Reinforcements[[#This Row],[ro^2(bar)]])),"N/A")</f>
        <v>N/A</v>
      </c>
      <c r="FR8" s="6" t="str">
        <f>IF(Reinforcements[[#This Row],[Type]]="channel",((PI()^2)*Reinforcements[[#This Row],[E, (ksi)]])/(Reinforcements[[#This Row],[Lcy/ry]]^2),"N/A")</f>
        <v>N/A</v>
      </c>
      <c r="FS8" s="6" t="str">
        <f>IF(Reinforcements[[#This Row],[Type]]="channel",((Reinforcements[[#This Row],[Fey]]+Reinforcements[[#This Row],[Fez]])/(2*Reinforcements[[#This Row],[H2]]))*(1-SQRT(1-((4*Reinforcements[[#This Row],[Fey]]*Reinforcements[[#This Row],[Fez]]*Reinforcements[[#This Row],[H2]])/(Reinforcements[[#This Row],[Fey]]+Reinforcements[[#This Row],[Fez]])^2))),"N/A")</f>
        <v>N/A</v>
      </c>
      <c r="FT8" s="6" t="str">
        <f>IF(Reinforcements[[#This Row],[Type]]="channel",IF(Reinforcements[[#This Row],[Lcx/rx]]&gt;(4.71*SQRT(Reinforcements[[#This Row],[E, (ksi)]]/Reinforcements[[#This Row],[Fy, (ksi)]])),0.877*Reinforcements[[#This Row],[Fe (FTB)]],0.658^(Reinforcements[[#This Row],[Fy, (ksi)]]/Reinforcements[[#This Row],[Fe (FTB)]])*Reinforcements[[#This Row],[Fy, (ksi)]]),"N/A")</f>
        <v>N/A</v>
      </c>
      <c r="FU8" s="6" t="str">
        <f>IF(Reinforcements[[#This Row],[Type]]="channel",MIN(Reinforcements[[#This Row],[Fcr(FTB)]],Reinforcements[[#This Row],[Fcry (ksi)]]),"N/A")</f>
        <v>N/A</v>
      </c>
      <c r="FV8" s="6">
        <v>0.22</v>
      </c>
      <c r="FW8" s="6">
        <v>1.49</v>
      </c>
      <c r="FX8" s="6" t="str">
        <f>IF(Reinforcements[[#This Row],[Type]]="channel",((Reinforcements[[#This Row],[c2]]*(Reinforcements[[#This Row],[λrf]]/Reinforcements[[#This Row],[λf]]))^2)*Reinforcements[[#This Row],[Fy, (ksi)]],"N/A")</f>
        <v>N/A</v>
      </c>
      <c r="FY8" s="6" t="str">
        <f>IF(Reinforcements[[#This Row],[Type]]="channel",((Reinforcements[[#This Row],[c2]]*(Reinforcements[[#This Row],[λrw]]/Reinforcements[[#This Row],[λw]]))^2)*Reinforcements[[#This Row],[Fy, (ksi)]],"N/A")</f>
        <v>N/A</v>
      </c>
      <c r="FZ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6" t="str">
        <f>IF(Reinforcements[[#This Row],[Type]]="channel",Reinforcements[[#This Row],[Fcr]]*Reinforcements[[#This Row],[Ae]],"N/A")</f>
        <v>N/A</v>
      </c>
      <c r="GD8">
        <f>IF(Reinforcements[[#This Row],[Reinforcement]]="","",φ_c*Reinforcements[[#This Row],[Pnx, FB (kip)]])</f>
        <v>831.64297865429489</v>
      </c>
      <c r="GE8">
        <f>IF(Reinforcements[[#This Row],[Reinforcement]]="","",IF(Reinforcements[[#This Row],[Type]]="channel",φ_c*Reinforcements[[#This Row],[Pn]],φ_c*Reinforcements[[#This Row],[Pny, FB (kip)]]))</f>
        <v>936.37582389133297</v>
      </c>
      <c r="GF8">
        <f>Reinforcements[[#This Row],[Rev. G Tension Yield Capacity (kips)]]</f>
        <v>945</v>
      </c>
      <c r="GG8">
        <f>Reinforcements[[#This Row],[Rev. G Tension Rupture Capacity (kips)]]</f>
        <v>711.5625</v>
      </c>
      <c r="GH8">
        <f>Reinforcements[[#This Row],[Rev. G Shear Capacity (kips)]]</f>
        <v>472.5</v>
      </c>
      <c r="GI8">
        <f>IFERROR((Reinforcements[[#This Row],['# of End Connection Bolts          (Bottom)]]-1)*Reinforcements[[#This Row],[End Connection Bolt Spacing (in) (B)]],"-")</f>
        <v>39</v>
      </c>
      <c r="GJ8">
        <f>IFERROR(IF(VLOOKUP(Reinforcements[[#This Row],[Bottom End Connection Bolt Type]],Bolts[],COLUMN(Bolts[[#Headers],[Rev. H Apply Connection Length Reduction Factor (Rb)?]])-1,FALSE)="Yes",(IF(Reinforcements[[#This Row],[Lb(bottom)]]&lt;=16,1,IF(Reinforcements[[#This Row],[Lb(bottom)]]&gt;38,0.75,0.9))),1),"-")</f>
        <v>1</v>
      </c>
      <c r="GK8">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f>IFERROR(IF(Reinforcements[[#This Row],[Top End Connection Same?]]="Yes",Reinforcements[[#This Row],[Lb(bottom)]],(Reinforcements[[#This Row],['# of End Connection Bolts          (Top)]]-1)*Reinforcements[[#This Row],[End Connection Bolt Spacing (in) (T)]]),"-")</f>
        <v>39</v>
      </c>
      <c r="GM8">
        <f>IFERROR(IF(VLOOKUP(Reinforcements[[#This Row],[Top End Connection Bolt Type]],Bolts[],COLUMN(Bolts[[#Headers],[Rev. H Apply Connection Length Reduction Factor (Rb)?]])-1,FALSE)=TRUE,(IF(Reinforcements[[#This Row],[Lb(top)]]&lt;=16,1,IF(Reinforcements[[#This Row],[Lb(top)]]&gt;38,0.75,0.9))),1),"-")</f>
        <v>0.75</v>
      </c>
      <c r="GN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f>Reinforcements[[#This Row],[Rev. G Bolt-Shaft Bearing Capacity (Bottom)                No Deformation          (*t*Fu kips)]]</f>
        <v>27.59433070866142</v>
      </c>
      <c r="GP8">
        <f>Reinforcements[[#This Row],[Rev. G Bolt-Shaft Bearing Capacity (Bottom)                   Deformation          (*t*Fu kips)]]</f>
        <v>34.492913385826775</v>
      </c>
      <c r="GQ8">
        <f>Reinforcements[[#This Row],[Rev. G Bolt-Shaft Bearing Capacity (Top)                    No Deformation          (*t*Fu kips)]]</f>
        <v>27.59433070866142</v>
      </c>
      <c r="GR8">
        <f>Reinforcements[[#This Row],[Rev. G Bolt-Shaft Bearing Capacity (Top)                        Deformation          (*t*Fu kips)]]</f>
        <v>34.492913385826775</v>
      </c>
      <c r="GS8">
        <f>Reinforcements[[#This Row],[Rev. G Bolt-Reinf. Bearing Capacity (Bottom)            No Deformation (kips)]]</f>
        <v>4454.3763779527553</v>
      </c>
      <c r="GT8">
        <f>Reinforcements[[#This Row],[Rev. G Bolt-Reinf. Bearing Capacity (Bottom)               Deformation (kips)]]</f>
        <v>5567.9704724409448</v>
      </c>
      <c r="GU8">
        <f>Reinforcements[[#This Row],[Rev. G Bolt-Reinf. Bearing Capacity (Top)                  No Deformation (kips)]]</f>
        <v>4454.3763779527553</v>
      </c>
      <c r="GV8">
        <f>Reinforcements[[#This Row],[Rev. G Bolt-Reinf. Bearing Capacity (Top)               Deformation (kips)]]</f>
        <v>5567.9704724409448</v>
      </c>
      <c r="GW8" t="str">
        <f>Reinforcements[[#This Row],[Rev. G Bottom Transverse Weld Strength]]</f>
        <v>-</v>
      </c>
      <c r="GX8" t="str">
        <f>Reinforcements[[#This Row],[Rev. G Bottom Longitudinal Weld Strength]]</f>
        <v>-</v>
      </c>
      <c r="GY8" t="str">
        <f>Reinforcements[[#This Row],[Rev. G Top Transverse Weld Strength]]</f>
        <v>-</v>
      </c>
      <c r="GZ8" t="str">
        <f>Reinforcements[[#This Row],[Rev. G Top Longitudinal Weld Strength]]</f>
        <v>-</v>
      </c>
      <c r="HA8">
        <v>6</v>
      </c>
      <c r="HB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49" t="s">
        <v>363</v>
      </c>
      <c r="C9" s="49" t="s">
        <v>352</v>
      </c>
      <c r="D9" s="6">
        <v>8</v>
      </c>
      <c r="E9" s="6">
        <v>1</v>
      </c>
      <c r="F9" s="6" t="str">
        <f>IF(Reinforcements[[#This Row],[Type]]="","",IF(Reinforcements[[#This Row],[Type]]="solid round","","n/a"))</f>
        <v>n/a</v>
      </c>
      <c r="G9" s="6" t="str">
        <f>IF(Reinforcements[[#This Row],[Type]]="","",IF(Reinforcements[[#This Row],[Type]]&lt;&gt;"channel","n/a",""))</f>
        <v>n/a</v>
      </c>
      <c r="H9" s="6" t="str">
        <f>IF(Reinforcements[[#This Row],[Type]]="","",IF(Reinforcements[[#This Row],[Type]]&lt;&gt;"channel","n/a",""))</f>
        <v>n/a</v>
      </c>
      <c r="I9" s="126" t="str">
        <f>IF(Reinforcements[[#This Row],[Type]]="","",IF(Reinforcements[[#This Row],[Type]]&lt;&gt;"channel","n/a",Reinforcements[[#This Row],[eo]]))</f>
        <v>n/a</v>
      </c>
      <c r="J9" s="126" t="str">
        <f>IF(Reinforcements[[#This Row],[Type]]="","",IF(Reinforcements[[#This Row],[Type]]&lt;&gt;"channel","n/a",Reinforcements[[#This Row],[J]]))</f>
        <v>n/a</v>
      </c>
      <c r="K9" s="126" t="str">
        <f>IF(Reinforcements[[#This Row],[Type]]="","",IF(Reinforcements[[#This Row],[Type]]&lt;&gt;"channel","n/a",Reinforcements[[#This Row],[Cw]]))</f>
        <v>n/a</v>
      </c>
      <c r="L9" s="6">
        <f>IFERROR(IF(Reinforcements[[#This Row],[Type]]="","",IF(Reinforcements[[#This Row],[Type]]="plate",Reinforcements[[#This Row],[B (in)]]*Reinforcements[[#This Row],[H (in)]],IF(Reinforcements[[#This Row],[Type]]="solid round",PI()/4*Reinforcements[[#This Row],[Diameter (in)]]^2,""))),"")</f>
        <v>8</v>
      </c>
      <c r="M9" s="6">
        <f>IFERROR(IF(Reinforcements[[#This Row],[Type]]="","",IF(Reinforcements[[#This Row],[Type]]="plate",Reinforcements[[#This Row],[H (in)]]/2,"")),"")</f>
        <v>0.5</v>
      </c>
      <c r="N9" s="16" t="s">
        <v>353</v>
      </c>
      <c r="O9" s="6" t="s">
        <v>132</v>
      </c>
      <c r="P9" s="123">
        <f>IFERROR(IF(Reinforcements[[#This Row],[Type]]="","",IF(Reinforcements[[#This Row],[Type]]="plate",Reinforcements[[#This Row],[B (in)]]*Reinforcements[[#This Row],[H (in)]]^3/12,IF(Reinforcements[[#This Row],[Type]]="solid round",PI()/64*Reinforcements[[#This Row],[Diameter (in)]]^4,""))),"")</f>
        <v>0.66666666666666663</v>
      </c>
      <c r="Q9" s="123">
        <f>IF(Reinforcements[[#This Row],[Reinforcement]]="","",SQRT(Reinforcements[[#This Row],[Ix]]/Reinforcements[[#This Row],[Gross Area (in2)]]))</f>
        <v>0.28867513459481287</v>
      </c>
      <c r="R9" s="123">
        <f>IFERROR(IF(Reinforcements[[#This Row],[Type]]="","",IF(Reinforcements[[#This Row],[Type]]="plate",Reinforcements[[#This Row],[B (in)]]^3*Reinforcements[[#This Row],[H (in)]]/12,IF(Reinforcements[[#This Row],[Type]]="solid round",PI()/64*Reinforcements[[#This Row],[Diameter (in)]]^4,""))),"")</f>
        <v>42.666666666666664</v>
      </c>
      <c r="S9" s="123">
        <f>IF(Reinforcements[[#This Row],[Reinforcement]]="","",SQRT(Reinforcements[[#This Row],[Iy]]/Reinforcements[[#This Row],[Gross Area (in2)]]))</f>
        <v>2.3094010767585029</v>
      </c>
      <c r="T9" s="6">
        <v>24</v>
      </c>
      <c r="U9" s="6">
        <v>0.8</v>
      </c>
      <c r="V9" s="6">
        <v>1</v>
      </c>
      <c r="W9" s="6">
        <v>1.1875</v>
      </c>
      <c r="X9" s="6">
        <f>IF(Reinforcements[[#This Row],[Bolt Hole Size (in)]]="","",IF(Reinforcements[[#This Row],[Bolt Hole Size (in)]]="n/a","n/a",Reinforcements[[#This Row],[Bolt Hole Size (in)]]*25.4))</f>
        <v>30.162499999999998</v>
      </c>
      <c r="Y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6">
        <f>IFERROR(IF(Reinforcements[[#This Row],[Reinforcement]]="","",IF(OR(Reinforcements[[#This Row],[Type]]="plate",Reinforcements[[#This Row],[Type]]="solid round"),1,IF(Reinforcements[[#This Row],[Type]]="arbitrary","",1-Reinforcements[[#This Row],[Pole Face to Centroid (in)]]/Reinforcements[[#This Row],[Connection Length (in) '[Channels']]]))),"")</f>
        <v>1</v>
      </c>
      <c r="AA9" s="16" t="s">
        <v>354</v>
      </c>
      <c r="AB9" s="16" t="str">
        <f>IF(Reinforcements[[#This Row],[Reinforcement]]="","",IF(Reinforcements[[#This Row],[Bottom End Connection Type]]&lt;&gt;"Capacity Input","-",""))</f>
        <v>-</v>
      </c>
      <c r="AC9" s="16" t="str">
        <f>IF(Reinforcements[[#This Row],[Reinforcement]]="","",IF(Reinforcements[[#This Row],[Bottom End Connection Type]]&lt;&gt;"Capacity Input","-",""))</f>
        <v>-</v>
      </c>
      <c r="AD9" s="16" t="str">
        <f>IF(Reinforcements[[#This Row],[Reinforcement]]="","",IF(Reinforcements[[#This Row],[Bottom End Connection Type]]&lt;&gt;"Capacity Input","-",""))</f>
        <v>-</v>
      </c>
      <c r="AE9" s="74" t="s">
        <v>355</v>
      </c>
      <c r="AF9" s="6" t="s">
        <v>356</v>
      </c>
      <c r="AG9" s="6">
        <v>21</v>
      </c>
      <c r="AH9" s="6">
        <v>3</v>
      </c>
      <c r="AI9" s="6">
        <v>2</v>
      </c>
      <c r="AJ9" s="6">
        <f>Reinforcements[[#This Row],[End Connection Edge Distance (in) (B)]]-(Reinforcements[[#This Row],[Bolt Hole Size (in)]]+1/16)/2</f>
        <v>1.375</v>
      </c>
      <c r="AK9" s="6">
        <f>Reinforcements[[#This Row],[End Connection Bolt Spacing (in) (B)]]-(Reinforcements[[#This Row],[Bolt Hole Size (in)]]+1/16)</f>
        <v>1.75</v>
      </c>
      <c r="AL9" s="6">
        <f>Reinforcements[[#This Row],[End Connection Edge Distance (in) (B)]]</f>
        <v>2</v>
      </c>
      <c r="AM9" s="6">
        <f>Reinforcements[[#This Row],[End Connection Bolt Spacing (in) (B)]]</f>
        <v>3</v>
      </c>
      <c r="AN9" s="6" t="str">
        <f>IF(Reinforcements[[#This Row],[Reinforcement]]="","",IF(OR(Reinforcements[[#This Row],[Bottom End Connection Type]]="Bolted",Reinforcements[[#This Row],[Bottom End Connection Type]]=""),"-",""))</f>
        <v>-</v>
      </c>
      <c r="AO9" s="111" t="str">
        <f>IF(Reinforcements[[#This Row],[Reinforcement]]="","",IF(OR(Reinforcements[[#This Row],[Bottom End Connection Type]]="Bolted",Reinforcements[[#This Row],[Bottom End Connection Type]]=""),"-",""))</f>
        <v>-</v>
      </c>
      <c r="AP9" s="111" t="str">
        <f>IF(Reinforcements[[#This Row],[Reinforcement]]="","",IF(OR(Reinforcements[[#This Row],[Bottom End Connection Type]]="Bolted",Reinforcements[[#This Row],[Bottom End Connection Type]]=""),"-",""))</f>
        <v>-</v>
      </c>
      <c r="AQ9" s="111" t="str">
        <f>IF(OR(Reinforcements[[#This Row],[Bottom End Connection Type]]="Bolted",Reinforcements[[#This Row],[Bottom Transverse (Horizontal) Weld]]="none"),"-","")</f>
        <v>-</v>
      </c>
      <c r="AR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11" t="str">
        <f>IF(OR(Reinforcements[[#This Row],[Bottom Transverse (Horizontal) Weld]]="none",Reinforcements[[#This Row],[Bottom End Connection Type]]="Bolted"),"-","")</f>
        <v>-</v>
      </c>
      <c r="AU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11" t="str">
        <f>IF(Reinforcements[[#This Row],[Reinforcement]]="","",IF(OR(Reinforcements[[#This Row],[Bottom End Connection Type]]="Bolted",Reinforcements[[#This Row],[Bottom End Connection Type]]=""),"-",""))</f>
        <v>-</v>
      </c>
      <c r="AW9" s="111" t="str">
        <f>IF(Reinforcements[[#This Row],[Reinforcement]]="","",IF(OR(Reinforcements[[#This Row],[Bottom End Connection Type]]&lt;&gt;"Welded",Reinforcements[[#This Row],[Bottom Longitudinal (Vertical) Weld]]="None",Reinforcements[[#This Row],[Bottom Longitudinal (Vertical) Weld]]=""),"-",""))</f>
        <v>-</v>
      </c>
      <c r="AX9" s="111" t="str">
        <f>IF(Reinforcements[[#This Row],[Reinforcement]]="","",IF(OR(Reinforcements[[#This Row],[Bottom End Connection Type]]&lt;&gt;"Welded",Reinforcements[[#This Row],[Bottom Longitudinal (Vertical) Weld]]="None",Reinforcements[[#This Row],[Bottom Longitudinal (Vertical) Weld]]=""),"-",""))</f>
        <v>-</v>
      </c>
      <c r="AY9" s="6" t="str">
        <f>IF(Reinforcements[[#This Row],[Reinforcement]]="","",IF(OR(Reinforcements[[#This Row],[Bottom End Connection Type]]&lt;&gt;"Welded",Reinforcements[[#This Row],[Bottom Longitudinal (Vertical) Weld]]="None"),"-",SQRT(2)/2*Reinforcements[[#This Row],[Bottom Longitudinal Weld Fillet Size (in)]]))</f>
        <v>-</v>
      </c>
      <c r="AZ9" s="6" t="s">
        <v>357</v>
      </c>
      <c r="BA9" s="16" t="str">
        <f>IF(Reinforcements[[#This Row],[Top End Connection Same?]]="Yes",Reinforcements[[#This Row],[Bottom End Connection Type]],"")</f>
        <v>Bolted</v>
      </c>
      <c r="BB9" s="16" t="str">
        <f>IF(Reinforcements[[#This Row],[Reinforcement]]="","",IF(Reinforcements[[#This Row],[Top End Connection Same?]]="Yes",Reinforcements[[#This Row],[Rev. F Bottom Connection Capacity (kips)]],IF(Reinforcements[[#This Row],[Reinforcement]]="","",IF(Reinforcements[[#This Row],[Top End Connection Type]]&lt;&gt;"Capacity Input","-",""))))</f>
        <v>-</v>
      </c>
      <c r="BC9" s="16" t="str">
        <f>IF(Reinforcements[[#This Row],[Reinforcement]]="","",IF(Reinforcements[[#This Row],[Top End Connection Same?]]="Yes",Reinforcements[[#This Row],[Rev. G Bottom Connection Capacity (kips)]],IF(Reinforcements[[#This Row],[Reinforcement]]="","",IF(Reinforcements[[#This Row],[Top End Connection Type]]&lt;&gt;"Capacity Input","-",""))))</f>
        <v>-</v>
      </c>
      <c r="BD9" s="16" t="str">
        <f>IF(Reinforcements[[#This Row],[Reinforcement]]="","",IF(Reinforcements[[#This Row],[Top End Connection Same?]]="Yes",Reinforcements[[#This Row],[Rev. G Bottom Connection Capacity (kips)]],IF(Reinforcements[[#This Row],[Reinforcement]]="","",IF(Reinforcements[[#This Row],[Top End Connection Type]]&lt;&gt;"Capacity Input","-",""))))</f>
        <v>-</v>
      </c>
      <c r="BE9" s="74" t="str">
        <f>IF(Reinforcements[[#This Row],[Top End Connection Same?]]="Yes",Reinforcements[[#This Row],[Bottom End Connection Bolt Type]],IF(Reinforcements[[#This Row],[Top End Connection Type]]="Welded","-",""))</f>
        <v>PC 8.8 - M20 (100)</v>
      </c>
      <c r="BF9" s="6" t="str">
        <f>IF(Reinforcements[[#This Row],[Top End Connection Same?]]="Yes",Reinforcements[[#This Row],[Threads Included (N) or Excluded (X) (Bottom)]],IF(Reinforcements[[#This Row],[Top End Connection Type]]="Welded","-",""))</f>
        <v>N</v>
      </c>
      <c r="BG9" s="6">
        <f>IF(Reinforcements[[#This Row],[Top End Connection Same?]]="Yes",Reinforcements[[#This Row],['# of End Connection Bolts          (Bottom)]],IF(Reinforcements[[#This Row],[Top End Connection Type]]="Welded","-",""))</f>
        <v>21</v>
      </c>
      <c r="BH9" s="6">
        <f>IF(Reinforcements[[#This Row],[Top End Connection Same?]]="Yes",Reinforcements[[#This Row],[End Connection Bolt Spacing (in) (B)]],IF(Reinforcements[[#This Row],[Top End Connection Type]]="Welded","-",""))</f>
        <v>3</v>
      </c>
      <c r="BI9" s="6">
        <f>IF(Reinforcements[[#This Row],[Top End Connection Same?]]="Yes",Reinforcements[[#This Row],[End Connection Edge Distance (in) (B)]],IF(Reinforcements[[#This Row],[Top End Connection Type]]="Welded","-",""))</f>
        <v>2</v>
      </c>
      <c r="BJ9" s="6">
        <f>Reinforcements[[#This Row],[End Connection Edge Distance (in) (T)]]-(Reinforcements[[#This Row],[Bolt Hole Size (in)]]+1/16)/2</f>
        <v>1.375</v>
      </c>
      <c r="BK9" s="6">
        <f>Reinforcements[[#This Row],[End Connection Bolt Spacing (in) (T)]]-(Reinforcements[[#This Row],[Bolt Hole Size (in)]]+1/16)</f>
        <v>1.75</v>
      </c>
      <c r="BL9" s="6">
        <f>Reinforcements[[#This Row],[End Connection Edge Distance (in) (T)]]</f>
        <v>2</v>
      </c>
      <c r="BM9" s="6">
        <f>Reinforcements[[#This Row],[End Connection Bolt Spacing (in) (T)]]</f>
        <v>3</v>
      </c>
      <c r="BN9" s="6" t="str">
        <f>IF(Reinforcements[[#This Row],[Reinforcement]]="","",IF(Reinforcements[[#This Row],[Top End Connection Same?]]="Yes",Reinforcements[[#This Row],[Bottom Connected to Flange/Base Plate?]],IF(Reinforcements[[#This Row],[Top End Connection Type]]="Bolted","-","")))</f>
        <v>-</v>
      </c>
      <c r="BO9" s="6" t="str">
        <f>IF(Reinforcements[[#This Row],[Reinforcement]]="","",IF(Reinforcements[[#This Row],[Top End Connection Same?]]="Yes",Reinforcements[[#This Row],[Bottom Weld Grade (ksi)]],IF(OR(Reinforcements[[#This Row],[Top End Connection Type]]&lt;&gt;"Welded",Reinforcements[[#This Row],[Top End Connection Type]]=""),"-","")))</f>
        <v>-</v>
      </c>
      <c r="BP9" s="6" t="str">
        <f>IF($AZ9="Yes",AP9,IF(Reinforcements[[#This Row],[Reinforcement]]="","",IF(OR(Reinforcements[[#This Row],[Top End Connection Type]]&lt;&gt;"Welded",Reinforcements[[#This Row],[Top End Connection Type]]=""),"-","")))</f>
        <v>-</v>
      </c>
      <c r="BQ9" s="6" t="str">
        <f>IF(Reinforcements[[#This Row],[Reinforcement]]="","",IF($AZ9="Yes",AQ9,IF(OR(Reinforcements[[#This Row],[Top End Connection Type]]&lt;&gt;"Welded",Reinforcements[[#This Row],[Top Transverse (Horizontal) Weld]]="none",Reinforcements[[#This Row],[Top Transverse (Horizontal) Weld]]=""),"-","")))</f>
        <v>-</v>
      </c>
      <c r="BR9" s="6"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6"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6" t="str">
        <f>IF(Reinforcements[[#This Row],[Reinforcement]]="","",IF($AZ9="Yes",AT9,IF(OR(Reinforcements[[#This Row],[Top Transverse (Horizontal) Weld]]="none",Reinforcements[[#This Row],[Top End Connection Type]]&lt;&gt;"Welded",Reinforcements[[#This Row],[Top Transverse (Horizontal) Weld]]=""),"-","")))</f>
        <v>-</v>
      </c>
      <c r="BU9" s="6"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6" t="str">
        <f>IF($AZ9="Yes",AV9,IF(Reinforcements[[#This Row],[Reinforcement]]="","",IF(OR(Reinforcements[[#This Row],[Top End Connection Type]]&lt;&gt;"Welded",Reinforcements[[#This Row],[Top End Connection Type]]=""),"-","")))</f>
        <v>-</v>
      </c>
      <c r="BW9" s="6"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6"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6" t="str">
        <f>IF($AZ9="Yes",AY9,IF(Reinforcements[[#This Row],[Reinforcement]]="","",IF(OR(Reinforcements[[#This Row],[Top End Connection Type]]&lt;&gt;"Welded",Reinforcements[[#This Row],[Top Longitudinal (Vertical) Weld]]="none"),"-",SQRT(2)/2*Reinforcements[[#This Row],[Top Longitudinal Weld Fillet Size (in)]])))</f>
        <v>-</v>
      </c>
      <c r="BZ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11">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11">
        <f>IF(Reinforcements[[#This Row],[Reinforcement]]="","",IF(Reinforcements[[#This Row],[Top End Connection Type]]&lt;&gt;"Bolted","n/a",(Reinforcements[[#This Row],['# of End Connection Bolts          (Top)]]-1)*Reinforcements[[#This Row],[End Connection Bolt Spacing (in) (T)]]+Reinforcements[[#This Row],[End Connection Edge Distance (in) (T)]]))</f>
        <v>62</v>
      </c>
      <c r="CC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6">
        <f>IFERROR(IF(Reinforcements[[#This Row],[Type]]="","",Reinforcements[[#This Row],[Effective B (in)]]*Reinforcements[[#This Row],[Effective H (in)]]^3/12),"")</f>
        <v>0.66666666666666663</v>
      </c>
      <c r="CF9" s="6">
        <f>IFERROR(IF(Reinforcements[[#This Row],[Type]]="","",Reinforcements[[#This Row],[Effective B (in)]]^3*Reinforcements[[#This Row],[Effective H (in)]]/12),"")</f>
        <v>42.666666666666664</v>
      </c>
      <c r="CG9" s="126">
        <f>SQRT(2*PI()^2*29000/VLOOKUP(Reinforcements[[#This Row],[Material]],Materials[],2,FALSE))</f>
        <v>75.659570132481107</v>
      </c>
      <c r="CH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23">
        <f>Reinforcements[[#This Row],[Effective Length Factor Kx]]*Reinforcements[[#This Row],[Lu (in)]]/(Reinforcements[[#This Row],[rx]]*PI())*SQRT(VLOOKUP(Reinforcements[[#This Row],[Material]],Materials[],2,FALSE)/29000)</f>
        <v>1.2432056639784337</v>
      </c>
      <c r="CK9" s="123">
        <f>Reinforcements[[#This Row],[Effective Length Factor Ky]]*Reinforcements[[#This Row],[Lu (in)]]/(Reinforcements[[#This Row],[ry]]*PI())*SQRT(VLOOKUP(Reinforcements[[#This Row],[Material]],Materials[],2,FALSE)/29000)</f>
        <v>0.19425088499663024</v>
      </c>
      <c r="CL9" s="123">
        <f>IF(Reinforcements[[#This Row],[λcx]]&lt;=1.5,0.658^(Reinforcements[[#This Row],[λcx]]^2)*Reinforcements[[#This Row],[F''y]],0.877/(Reinforcements[[#This Row],[λcx]]^2)*Reinforcements[[#This Row],[F''y]])</f>
        <v>52.366934727089522</v>
      </c>
      <c r="CM9" s="123">
        <f>IF(Reinforcements[[#This Row],[λcy]]&lt;=1.5,0.658^(Reinforcements[[#This Row],[λcy]]^2)*Reinforcements[[#This Row],[F''y]],0.877/(Reinforcements[[#This Row],[λcy]]^2)*Reinforcements[[#This Row],[F''y]])</f>
        <v>98.433073033813301</v>
      </c>
      <c r="CN9" s="6">
        <f>VLOOKUP(Reinforcements[[#This Row],[Material]],Materials[],2,FALSE)</f>
        <v>100</v>
      </c>
      <c r="CO9" s="126">
        <f>IF(Reinforcements[[#This Row],[Reinforcement]]="","",Reinforcements[[#This Row],[Fax]]*Reinforcements[[#This Row],[Gross Area (in2)]])</f>
        <v>256.82054198958099</v>
      </c>
      <c r="CP9" s="126">
        <f>IF(Reinforcements[[#This Row],[Reinforcement]]="","",Reinforcements[[#This Row],[Fay]]*Reinforcements[[#This Row],[Gross Area (in2)]])</f>
        <v>461.30496191352643</v>
      </c>
      <c r="CQ9" s="126">
        <f>IF(Reinforcements[[#This Row],[Reinforcement]]="","",0.6*VLOOKUP(Reinforcements[[#This Row],[Material]],Materials[],2,FALSE)*Reinforcements[[#This Row],[Gross Area (in2)]])</f>
        <v>480</v>
      </c>
      <c r="CR9" s="126">
        <f>IF(Reinforcements[[#This Row],[Reinforcement]]="","",0.5*VLOOKUP(Reinforcements[[#This Row],[Material]],Materials[],3,FALSE)*Reinforcements[[#This Row],[Net Area (in2)]]*Reinforcements[[#This Row],[Shear Lag (U)]])</f>
        <v>371.25</v>
      </c>
      <c r="CS9" s="126">
        <f>IF(Reinforcements[[#This Row],[Reinforcement]]="","",0.4*VLOOKUP(Reinforcements[[#This Row],[Material]],Materials[],2,FALSE)*Reinforcements[[#This Row],[Gross Area (in2)]])</f>
        <v>320</v>
      </c>
      <c r="CT9"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6"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6"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26">
        <f>IF(Reinforcements[[#This Row],[Reinforcement]]="","",φ_c*Reinforcements[[#This Row],[Fcr,x]]*Reinforcements[[#This Row],[Gross Area (in2)]])</f>
        <v>377.04193003504457</v>
      </c>
      <c r="DI9" s="126">
        <f>IF(Reinforcements[[#This Row],[Reinforcement]]="","",φ_c*Reinforcements[[#This Row],[Fcr,y]]*Reinforcements[[#This Row],[Gross Area (in2)]])</f>
        <v>708.71812584345582</v>
      </c>
      <c r="DJ9" s="126">
        <f>IF(Reinforcements[[#This Row],[Reinforcement]]="","",φ_t_y*VLOOKUP(Reinforcements[[#This Row],[Material]],Materials[],2,FALSE)*Reinforcements[[#This Row],[Gross Area (in2)]])</f>
        <v>720</v>
      </c>
      <c r="DK9" s="126">
        <f>IF(Reinforcements[[#This Row],[Reinforcement]]="","",φ_t_r*VLOOKUP(Reinforcements[[#This Row],[Material]],Materials[],3,FALSE)*Reinforcements[[#This Row],[Net Area (in2)]]*Reinforcements[[#This Row],[Shear Lag (U)]])</f>
        <v>556.875</v>
      </c>
      <c r="DL9" s="126">
        <f>IF(Reinforcements[[#This Row],[Reinforcement]]="","",φ_v*0.5*Reinforcements[[#This Row],[F''y]]*Reinforcements[[#This Row],[Gross Area (in2)]])</f>
        <v>360</v>
      </c>
      <c r="DM9"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6"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6"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111" t="str">
        <f>IF(OR(Reinforcements[[#This Row],[Type]]="plate",Reinforcements[[#This Row],[Type]]="solid round"),"N/A",Reinforcements[[#This Row],[B (in)]])</f>
        <v>N/A</v>
      </c>
      <c r="EB9" s="6" t="str">
        <f>IF(OR(Reinforcements[[#This Row],[Type]]="plate",Reinforcements[[#This Row],[Type]]="solid round"),"N/A",Reinforcements[[#This Row],[H (in)]])</f>
        <v>N/A</v>
      </c>
      <c r="EC9" s="6" t="str">
        <f>IF(OR(Reinforcements[[#This Row],[Type]]="plate",Reinforcements[[#This Row],[Type]]="solid round"),"N/A",Reinforcements[[#This Row],[B (in)]]-Reinforcements[[#This Row],['[Channel'] Flange Thickness (in)]])</f>
        <v>N/A</v>
      </c>
      <c r="ED9" s="6" t="str">
        <f>IF(OR(Reinforcements[[#This Row],[Type]]="plate",Reinforcements[[#This Row],[Type]]="solid round"),"N/A",Reinforcements[[#This Row],['[Channel']Web Thickness (in)]])</f>
        <v>N/A</v>
      </c>
      <c r="EE9" s="6" t="str">
        <f>IF(OR(Reinforcements[[#This Row],[Type]]="plate",Reinforcements[[#This Row],[Type]]="solid round"),"N/A",Reinforcements[[#This Row],['[Channel'] Flange Thickness (in)]])</f>
        <v>N/A</v>
      </c>
      <c r="EF9" s="6" t="str">
        <f>IF(Reinforcements[[#This Row],[Type]]="channel",Reinforcements[[#This Row],[Channel Flange Width, b]]/Reinforcements[[#This Row],[Channel flange thickness, tf]],"N/A")</f>
        <v>N/A</v>
      </c>
      <c r="EG9" s="6" t="str">
        <f>IF(Reinforcements[[#This Row],[Type]]="channel",Reinforcements[[#This Row],[Channel inside depth, T]]/Reinforcements[[#This Row],[Channel web thickness, tw]],"N/A")</f>
        <v>N/A</v>
      </c>
      <c r="EH9" s="6">
        <f>29000</f>
        <v>29000</v>
      </c>
      <c r="EI9" s="6" t="str">
        <f>IF(Reinforcements[[#This Row],[Type]]="channel",0.56*SQRT(Reinforcements[[#This Row],[E, (ksi)]]/Reinforcements[[#This Row],[Fy, (ksi)]]),"N/A")</f>
        <v>N/A</v>
      </c>
      <c r="EJ9" s="6" t="str">
        <f>IF(Reinforcements[[#This Row],[Type]]="channel",1.49*SQRT(Reinforcements[[#This Row],[E, (ksi)]]/Reinforcements[[#This Row],[Fy, (ksi)]]),"N/A")</f>
        <v>N/A</v>
      </c>
      <c r="EK9" s="6">
        <f>VLOOKUP(Reinforcements[[#This Row],[Material]],Materials!$B$2:$C$30,2,FALSE)</f>
        <v>100</v>
      </c>
      <c r="EL9" s="6">
        <f>Reinforcements[[#This Row],[Lu (in)]]*Reinforcements[[#This Row],[Effective Length Factor Kx]]</f>
        <v>19.200000000000003</v>
      </c>
      <c r="EM9" s="6">
        <f>Reinforcements[[#This Row],[Lu (in)]]*Reinforcements[[#This Row],[Effective Length Factor Ky]]</f>
        <v>24</v>
      </c>
      <c r="EN9" s="6">
        <f>Reinforcements[[#This Row],[rx]]</f>
        <v>0.28867513459481287</v>
      </c>
      <c r="EO9" s="6">
        <f>Reinforcements[[#This Row],[ry]]</f>
        <v>2.3094010767585029</v>
      </c>
      <c r="EP9" s="6">
        <f>Reinforcements[[#This Row],[Lcx (in)]]/Reinforcements[[#This Row],[rx (in)]]</f>
        <v>66.510751010644896</v>
      </c>
      <c r="EQ9" s="6">
        <f>Reinforcements[[#This Row],[Lcy (in)]]/Reinforcements[[#This Row],[ry (in)]]</f>
        <v>10.392304845413264</v>
      </c>
      <c r="ER9" s="6">
        <f>((PI()^2)*Reinforcements[[#This Row],[E, (ksi)]])/(Reinforcements[[#This Row],[Lcx/rx]]^2)</f>
        <v>64.7014539097745</v>
      </c>
      <c r="ES9" s="6">
        <f>((PI()^2)*Reinforcements[[#This Row],[E, (ksi)]])/(Reinforcements[[#This Row],[Lcy/ry]]^2)</f>
        <v>2650.1715521443643</v>
      </c>
      <c r="ET9" s="6">
        <f>4.71*(SQRT(Reinforcements[[#This Row],[E, (ksi)]]/Reinforcements[[#This Row],[Fy, (ksi)]]))</f>
        <v>80.20840978351336</v>
      </c>
      <c r="EU9" s="6">
        <f>IF(Reinforcements[[#This Row],[Lcx/rx]]&lt;=Reinforcements[[#This Row],[Fcr Limit]],(0.658^(Reinforcements[[#This Row],[Fy, (ksi)]]/Reinforcements[[#This Row],[Fex, FB (ksi)]]))*Reinforcements[[#This Row],[Fy, (ksi)]],0.877*Reinforcements[[#This Row],[Fex, FB (ksi)]])</f>
        <v>52.366934727089507</v>
      </c>
      <c r="EV9" s="6">
        <f>IF(Reinforcements[[#This Row],[Lcy/ry]]&lt;=Reinforcements[[#This Row],[Fcr Limit]],(0.658^(Reinforcements[[#This Row],[Fy, (ksi)]]/Reinforcements[[#This Row],[Fey, FB (ksi)]]))*Reinforcements[[#This Row],[Fy, (ksi)]],0.877*Reinforcements[[#This Row],[Fey, FB (ksi)]])</f>
        <v>98.433073033813301</v>
      </c>
      <c r="EW9" s="6">
        <f>Reinforcements[[#This Row],[Fcrx (ksi)]]*Reinforcements[[#This Row],[Gross Area (in2)]]</f>
        <v>418.93547781671606</v>
      </c>
      <c r="EX9" s="6">
        <f>Reinforcements[[#This Row],[Fcry (ksi)]]*Reinforcements[[#This Row],[Gross Area (in2)]]</f>
        <v>787.46458427050641</v>
      </c>
      <c r="EY9" s="6" t="str">
        <f>IF(Reinforcements[[#This Row],[Type]]="channel",0,"N/A")</f>
        <v>N/A</v>
      </c>
      <c r="EZ9" s="6" t="str">
        <f>IF(Reinforcements[[#This Row],[Type]]="channel",Reinforcements[[#This Row],[Channel Flange Width, b]]-(0.5*Reinforcements[[#This Row],[Channel web thickness, tw]]),"N/A")</f>
        <v>N/A</v>
      </c>
      <c r="FA9" s="6" t="str">
        <f>IF(Reinforcements[[#This Row],[Type]]="channel",Reinforcements[[#This Row],[Channel Height, h]]-Reinforcements[[#This Row],[Channel flange thickness, tf]],"N/A")</f>
        <v>N/A</v>
      </c>
      <c r="FB9" s="6" t="str">
        <f>IF(Reinforcements[[#This Row],[Type]]="channel",Reinforcements[[#This Row],[Channel web thickness, tw]],"N/A")</f>
        <v>N/A</v>
      </c>
      <c r="FC9" s="6" t="str">
        <f>IF(Reinforcements[[#This Row],[Type]]="channel",((3*Reinforcements[[#This Row],[b]]^2)/(Reinforcements[[#This Row],[h]]+(6*Reinforcements[[#This Row],[b]])))-Reinforcements[[#This Row],[t]]/2,"N/A")</f>
        <v>N/A</v>
      </c>
      <c r="FD9" s="6">
        <f>Reinforcements[[#This Row],[Pole Face to Centroid (in)]]</f>
        <v>0.5</v>
      </c>
      <c r="FE9" s="6" t="str">
        <f>IF(Reinforcements[[#This Row],[Type]]="channel",Reinforcements[[#This Row],[x(bar)]]+Reinforcements[[#This Row],['[Channel'] e0 (in)]],"N/A")</f>
        <v>N/A</v>
      </c>
      <c r="FF9" s="6" t="str">
        <f>IF(Reinforcements[[#This Row],[Type]]="channel",Reinforcements[[#This Row],[Ix]],"N/A")</f>
        <v>N/A</v>
      </c>
      <c r="FG9" s="6" t="str">
        <f>IF(Reinforcements[[#This Row],[Type]]="channel",Reinforcements[[#This Row],[Iy]],"N/A")</f>
        <v>N/A</v>
      </c>
      <c r="FH9" s="6" t="str">
        <f>IF(Reinforcements[[#This Row],[Type]]="channel",Reinforcements[[#This Row],[Gross Area (in2)]],"N/A")</f>
        <v>N/A</v>
      </c>
      <c r="FI9" s="6" t="str">
        <f>IF(Reinforcements[[#This Row],[Type]]="channel",(Reinforcements[[#This Row],[xo]]^2)+((Reinforcements[[#This Row],[Ix (FTB)]]+Reinforcements[[#This Row],[Iy (FTB)]])/Reinforcements[[#This Row],[Ag]]),"N/A")</f>
        <v>N/A</v>
      </c>
      <c r="FJ9" s="6" t="str">
        <f>IF(Reinforcements[[#This Row],[Type]]="channel",Reinforcements[[#This Row],[Lu (in)]],"N/A")</f>
        <v>N/A</v>
      </c>
      <c r="FK9" s="6" t="str">
        <f>IF(Reinforcements[[#This Row],[Type]]="channel",Reinforcements[[#This Row],[Effective Length Factor Kx]],"N/A")</f>
        <v>N/A</v>
      </c>
      <c r="FL9" s="6" t="str">
        <f>IF(Reinforcements[[#This Row],[Type]]="channel",Reinforcements[[#This Row],[Kz]]*Reinforcements[[#This Row],[Lz]],"N/A")</f>
        <v>N/A</v>
      </c>
      <c r="FM9" s="6" t="str">
        <f>IF(Reinforcements[[#This Row],[Type]]="channel",(((Reinforcements[[#This Row],[t]]^3)/3)*(Reinforcements[[#This Row],[h]]+(2*Reinforcements[[#This Row],[b]]))),"N/A")</f>
        <v>N/A</v>
      </c>
      <c r="FN9" s="6" t="str">
        <f>IF(Reinforcements[[#This Row],[Type]]="channel",(1-(((Reinforcements[[#This Row],[xo]]^2)+(Reinforcements[[#This Row],[yo]]^2))/Reinforcements[[#This Row],[ro^2(bar)]])),"N/A")</f>
        <v>N/A</v>
      </c>
      <c r="FO9" s="6">
        <v>11200</v>
      </c>
      <c r="FP9" s="6" t="str">
        <f>IF(Reinforcements[[#This Row],[Type]]="channel",(((Reinforcements[[#This Row],[h]]^2)*(Reinforcements[[#This Row],[b]]^3)*Reinforcements[[#This Row],[t]])/12)*(((2*Reinforcements[[#This Row],[h]])+(3*Reinforcements[[#This Row],[b]]))/(Reinforcements[[#This Row],[h]]+(6*Reinforcements[[#This Row],[b]]))),"N/A")</f>
        <v>N/A</v>
      </c>
      <c r="FQ9" s="6" t="str">
        <f>IF(Reinforcements[[#This Row],[Type]]="Channel",((((PI()^2)*Reinforcements[[#This Row],[E, (ksi)]]*Reinforcements[[#This Row],['[Channel'] CW (in6)]])/(Reinforcements[[#This Row],[Lcz]]^2))+(Reinforcements[[#This Row],[G]]*Reinforcements[[#This Row],['[Channel'] J (in4)]]))*(1/(Reinforcements[[#This Row],[Ag]]*Reinforcements[[#This Row],[ro^2(bar)]])),"N/A")</f>
        <v>N/A</v>
      </c>
      <c r="FR9" s="6" t="str">
        <f>IF(Reinforcements[[#This Row],[Type]]="channel",((PI()^2)*Reinforcements[[#This Row],[E, (ksi)]])/(Reinforcements[[#This Row],[Lcy/ry]]^2),"N/A")</f>
        <v>N/A</v>
      </c>
      <c r="FS9" s="6" t="str">
        <f>IF(Reinforcements[[#This Row],[Type]]="channel",((Reinforcements[[#This Row],[Fey]]+Reinforcements[[#This Row],[Fez]])/(2*Reinforcements[[#This Row],[H2]]))*(1-SQRT(1-((4*Reinforcements[[#This Row],[Fey]]*Reinforcements[[#This Row],[Fez]]*Reinforcements[[#This Row],[H2]])/(Reinforcements[[#This Row],[Fey]]+Reinforcements[[#This Row],[Fez]])^2))),"N/A")</f>
        <v>N/A</v>
      </c>
      <c r="FT9" s="6" t="str">
        <f>IF(Reinforcements[[#This Row],[Type]]="channel",IF(Reinforcements[[#This Row],[Lcx/rx]]&gt;(4.71*SQRT(Reinforcements[[#This Row],[E, (ksi)]]/Reinforcements[[#This Row],[Fy, (ksi)]])),0.877*Reinforcements[[#This Row],[Fe (FTB)]],0.658^(Reinforcements[[#This Row],[Fy, (ksi)]]/Reinforcements[[#This Row],[Fe (FTB)]])*Reinforcements[[#This Row],[Fy, (ksi)]]),"N/A")</f>
        <v>N/A</v>
      </c>
      <c r="FU9" s="6" t="str">
        <f>IF(Reinforcements[[#This Row],[Type]]="channel",MIN(Reinforcements[[#This Row],[Fcr(FTB)]],Reinforcements[[#This Row],[Fcry (ksi)]]),"N/A")</f>
        <v>N/A</v>
      </c>
      <c r="FV9" s="6">
        <v>0.22</v>
      </c>
      <c r="FW9" s="6">
        <v>1.49</v>
      </c>
      <c r="FX9" s="6" t="str">
        <f>IF(Reinforcements[[#This Row],[Type]]="channel",((Reinforcements[[#This Row],[c2]]*(Reinforcements[[#This Row],[λrf]]/Reinforcements[[#This Row],[λf]]))^2)*Reinforcements[[#This Row],[Fy, (ksi)]],"N/A")</f>
        <v>N/A</v>
      </c>
      <c r="FY9" s="6" t="str">
        <f>IF(Reinforcements[[#This Row],[Type]]="channel",((Reinforcements[[#This Row],[c2]]*(Reinforcements[[#This Row],[λrw]]/Reinforcements[[#This Row],[λw]]))^2)*Reinforcements[[#This Row],[Fy, (ksi)]],"N/A")</f>
        <v>N/A</v>
      </c>
      <c r="FZ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6" t="str">
        <f>IF(Reinforcements[[#This Row],[Type]]="channel",Reinforcements[[#This Row],[Fcr]]*Reinforcements[[#This Row],[Ae]],"N/A")</f>
        <v>N/A</v>
      </c>
      <c r="GD9">
        <f>IF(Reinforcements[[#This Row],[Reinforcement]]="","",φ_c*Reinforcements[[#This Row],[Pnx, FB (kip)]])</f>
        <v>377.04193003504446</v>
      </c>
      <c r="GE9">
        <f>IF(Reinforcements[[#This Row],[Reinforcement]]="","",IF(Reinforcements[[#This Row],[Type]]="channel",φ_c*Reinforcements[[#This Row],[Pn]],φ_c*Reinforcements[[#This Row],[Pny, FB (kip)]]))</f>
        <v>708.71812584345582</v>
      </c>
      <c r="GF9">
        <f>Reinforcements[[#This Row],[Rev. G Tension Yield Capacity (kips)]]</f>
        <v>720</v>
      </c>
      <c r="GG9">
        <f>Reinforcements[[#This Row],[Rev. G Tension Rupture Capacity (kips)]]</f>
        <v>556.875</v>
      </c>
      <c r="GH9">
        <f>Reinforcements[[#This Row],[Rev. G Shear Capacity (kips)]]</f>
        <v>360</v>
      </c>
      <c r="GI9">
        <f>IFERROR((Reinforcements[[#This Row],['# of End Connection Bolts          (Bottom)]]-1)*Reinforcements[[#This Row],[End Connection Bolt Spacing (in) (B)]],"-")</f>
        <v>60</v>
      </c>
      <c r="GJ9">
        <f>IFERROR(IF(VLOOKUP(Reinforcements[[#This Row],[Bottom End Connection Bolt Type]],Bolts[],COLUMN(Bolts[[#Headers],[Rev. H Apply Connection Length Reduction Factor (Rb)?]])-1,FALSE)="Yes",(IF(Reinforcements[[#This Row],[Lb(bottom)]]&lt;=16,1,IF(Reinforcements[[#This Row],[Lb(bottom)]]&gt;38,0.75,0.9))),1),"-")</f>
        <v>1</v>
      </c>
      <c r="GK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f>IFERROR(IF(Reinforcements[[#This Row],[Top End Connection Same?]]="Yes",Reinforcements[[#This Row],[Lb(bottom)]],(Reinforcements[[#This Row],['# of End Connection Bolts          (Top)]]-1)*Reinforcements[[#This Row],[End Connection Bolt Spacing (in) (T)]]),"-")</f>
        <v>60</v>
      </c>
      <c r="GM9">
        <f>IFERROR(IF(VLOOKUP(Reinforcements[[#This Row],[Top End Connection Bolt Type]],Bolts[],COLUMN(Bolts[[#Headers],[Rev. H Apply Connection Length Reduction Factor (Rb)?]])-1,FALSE)=TRUE,(IF(Reinforcements[[#This Row],[Lb(top)]]&lt;=16,1,IF(Reinforcements[[#This Row],[Lb(top)]]&gt;38,0.75,0.9))),1),"-")</f>
        <v>0.75</v>
      </c>
      <c r="GN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f>Reinforcements[[#This Row],[Rev. G Bolt-Shaft Bearing Capacity (Bottom)                No Deformation          (*t*Fu kips)]]</f>
        <v>41.272440944881893</v>
      </c>
      <c r="GP9">
        <f>Reinforcements[[#This Row],[Rev. G Bolt-Shaft Bearing Capacity (Bottom)                   Deformation          (*t*Fu kips)]]</f>
        <v>51.59055118110237</v>
      </c>
      <c r="GQ9">
        <f>Reinforcements[[#This Row],[Rev. G Bolt-Shaft Bearing Capacity (Top)                    No Deformation          (*t*Fu kips)]]</f>
        <v>41.272440944881893</v>
      </c>
      <c r="GR9">
        <f>Reinforcements[[#This Row],[Rev. G Bolt-Shaft Bearing Capacity (Top)                        Deformation          (*t*Fu kips)]]</f>
        <v>51.59055118110237</v>
      </c>
      <c r="GS9">
        <f>Reinforcements[[#This Row],[Rev. G Bolt-Reinf. Bearing Capacity (Bottom)            No Deformation (kips)]]</f>
        <v>4474.1763779527564</v>
      </c>
      <c r="GT9">
        <f>Reinforcements[[#This Row],[Rev. G Bolt-Reinf. Bearing Capacity (Bottom)               Deformation (kips)]]</f>
        <v>5592.7204724409448</v>
      </c>
      <c r="GU9">
        <f>Reinforcements[[#This Row],[Rev. G Bolt-Reinf. Bearing Capacity (Top)                  No Deformation (kips)]]</f>
        <v>4474.1763779527564</v>
      </c>
      <c r="GV9">
        <f>Reinforcements[[#This Row],[Rev. G Bolt-Reinf. Bearing Capacity (Top)               Deformation (kips)]]</f>
        <v>5592.7204724409448</v>
      </c>
      <c r="GW9" t="str">
        <f>Reinforcements[[#This Row],[Rev. G Bottom Transverse Weld Strength]]</f>
        <v>-</v>
      </c>
      <c r="GX9" t="str">
        <f>Reinforcements[[#This Row],[Rev. G Bottom Longitudinal Weld Strength]]</f>
        <v>-</v>
      </c>
      <c r="GY9" t="str">
        <f>Reinforcements[[#This Row],[Rev. G Top Transverse Weld Strength]]</f>
        <v>-</v>
      </c>
      <c r="GZ9" t="str">
        <f>Reinforcements[[#This Row],[Rev. G Top Longitudinal Weld Strength]]</f>
        <v>-</v>
      </c>
      <c r="HA9">
        <v>7</v>
      </c>
      <c r="HB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49" t="s">
        <v>364</v>
      </c>
      <c r="C10" s="49" t="s">
        <v>352</v>
      </c>
      <c r="D10" s="6">
        <v>8</v>
      </c>
      <c r="E10" s="6">
        <v>1.5</v>
      </c>
      <c r="F10" s="6" t="str">
        <f>IF(Reinforcements[[#This Row],[Type]]="","",IF(Reinforcements[[#This Row],[Type]]="solid round","","n/a"))</f>
        <v>n/a</v>
      </c>
      <c r="G10" s="6" t="str">
        <f>IF(Reinforcements[[#This Row],[Type]]="","",IF(Reinforcements[[#This Row],[Type]]&lt;&gt;"channel","n/a",""))</f>
        <v>n/a</v>
      </c>
      <c r="H10" s="6" t="str">
        <f>IF(Reinforcements[[#This Row],[Type]]="","",IF(Reinforcements[[#This Row],[Type]]&lt;&gt;"channel","n/a",""))</f>
        <v>n/a</v>
      </c>
      <c r="I10" s="126" t="str">
        <f>IF(Reinforcements[[#This Row],[Type]]="","",IF(Reinforcements[[#This Row],[Type]]&lt;&gt;"channel","n/a",Reinforcements[[#This Row],[eo]]))</f>
        <v>n/a</v>
      </c>
      <c r="J10" s="126" t="str">
        <f>IF(Reinforcements[[#This Row],[Type]]="","",IF(Reinforcements[[#This Row],[Type]]&lt;&gt;"channel","n/a",Reinforcements[[#This Row],[J]]))</f>
        <v>n/a</v>
      </c>
      <c r="K10" s="126" t="str">
        <f>IF(Reinforcements[[#This Row],[Type]]="","",IF(Reinforcements[[#This Row],[Type]]&lt;&gt;"channel","n/a",Reinforcements[[#This Row],[Cw]]))</f>
        <v>n/a</v>
      </c>
      <c r="L10" s="6">
        <f>IFERROR(IF(Reinforcements[[#This Row],[Type]]="","",IF(Reinforcements[[#This Row],[Type]]="plate",Reinforcements[[#This Row],[B (in)]]*Reinforcements[[#This Row],[H (in)]],IF(Reinforcements[[#This Row],[Type]]="solid round",PI()/4*Reinforcements[[#This Row],[Diameter (in)]]^2,""))),"")</f>
        <v>12</v>
      </c>
      <c r="M10" s="6">
        <f>IFERROR(IF(Reinforcements[[#This Row],[Type]]="","",IF(Reinforcements[[#This Row],[Type]]="plate",Reinforcements[[#This Row],[H (in)]]/2,"")),"")</f>
        <v>0.75</v>
      </c>
      <c r="N10" s="16" t="s">
        <v>353</v>
      </c>
      <c r="O10" s="6" t="s">
        <v>132</v>
      </c>
      <c r="P10" s="123">
        <f>IFERROR(IF(Reinforcements[[#This Row],[Type]]="","",IF(Reinforcements[[#This Row],[Type]]="plate",Reinforcements[[#This Row],[B (in)]]*Reinforcements[[#This Row],[H (in)]]^3/12,IF(Reinforcements[[#This Row],[Type]]="solid round",PI()/64*Reinforcements[[#This Row],[Diameter (in)]]^4,""))),"")</f>
        <v>2.25</v>
      </c>
      <c r="Q10" s="123">
        <f>IF(Reinforcements[[#This Row],[Reinforcement]]="","",SQRT(Reinforcements[[#This Row],[Ix]]/Reinforcements[[#This Row],[Gross Area (in2)]]))</f>
        <v>0.4330127018922193</v>
      </c>
      <c r="R10" s="123">
        <f>IFERROR(IF(Reinforcements[[#This Row],[Type]]="","",IF(Reinforcements[[#This Row],[Type]]="plate",Reinforcements[[#This Row],[B (in)]]^3*Reinforcements[[#This Row],[H (in)]]/12,IF(Reinforcements[[#This Row],[Type]]="solid round",PI()/64*Reinforcements[[#This Row],[Diameter (in)]]^4,""))),"")</f>
        <v>64</v>
      </c>
      <c r="S10" s="123">
        <f>IF(Reinforcements[[#This Row],[Reinforcement]]="","",SQRT(Reinforcements[[#This Row],[Iy]]/Reinforcements[[#This Row],[Gross Area (in2)]]))</f>
        <v>2.3094010767585029</v>
      </c>
      <c r="T10" s="6">
        <v>22</v>
      </c>
      <c r="U10" s="6">
        <v>0.8</v>
      </c>
      <c r="V10" s="6">
        <v>1</v>
      </c>
      <c r="W10" s="6">
        <v>1.1875</v>
      </c>
      <c r="X10" s="6">
        <f>IF(Reinforcements[[#This Row],[Bolt Hole Size (in)]]="","",IF(Reinforcements[[#This Row],[Bolt Hole Size (in)]]="n/a","n/a",Reinforcements[[#This Row],[Bolt Hole Size (in)]]*25.4))</f>
        <v>30.162499999999998</v>
      </c>
      <c r="Y1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6">
        <f>IFERROR(IF(Reinforcements[[#This Row],[Reinforcement]]="","",IF(OR(Reinforcements[[#This Row],[Type]]="plate",Reinforcements[[#This Row],[Type]]="solid round"),1,IF(Reinforcements[[#This Row],[Type]]="arbitrary","",1-Reinforcements[[#This Row],[Pole Face to Centroid (in)]]/Reinforcements[[#This Row],[Connection Length (in) '[Channels']]]))),"")</f>
        <v>1</v>
      </c>
      <c r="AA10" s="16" t="s">
        <v>354</v>
      </c>
      <c r="AB10" s="16" t="str">
        <f>IF(Reinforcements[[#This Row],[Reinforcement]]="","",IF(Reinforcements[[#This Row],[Bottom End Connection Type]]&lt;&gt;"Capacity Input","-",""))</f>
        <v>-</v>
      </c>
      <c r="AC10" s="16" t="str">
        <f>IF(Reinforcements[[#This Row],[Reinforcement]]="","",IF(Reinforcements[[#This Row],[Bottom End Connection Type]]&lt;&gt;"Capacity Input","-",""))</f>
        <v>-</v>
      </c>
      <c r="AD10" s="16" t="str">
        <f>IF(Reinforcements[[#This Row],[Reinforcement]]="","",IF(Reinforcements[[#This Row],[Bottom End Connection Type]]&lt;&gt;"Capacity Input","-",""))</f>
        <v>-</v>
      </c>
      <c r="AE10" s="74" t="s">
        <v>355</v>
      </c>
      <c r="AF10" s="6" t="s">
        <v>356</v>
      </c>
      <c r="AG10" s="6">
        <v>25</v>
      </c>
      <c r="AH10" s="6">
        <v>3</v>
      </c>
      <c r="AI10" s="6">
        <v>2</v>
      </c>
      <c r="AJ10" s="6">
        <f>Reinforcements[[#This Row],[End Connection Edge Distance (in) (B)]]-(Reinforcements[[#This Row],[Bolt Hole Size (in)]]+1/16)/2</f>
        <v>1.375</v>
      </c>
      <c r="AK10" s="6">
        <f>Reinforcements[[#This Row],[End Connection Bolt Spacing (in) (B)]]-(Reinforcements[[#This Row],[Bolt Hole Size (in)]]+1/16)</f>
        <v>1.75</v>
      </c>
      <c r="AL10" s="6">
        <f>Reinforcements[[#This Row],[End Connection Edge Distance (in) (B)]]</f>
        <v>2</v>
      </c>
      <c r="AM10" s="6">
        <f>Reinforcements[[#This Row],[End Connection Bolt Spacing (in) (B)]]</f>
        <v>3</v>
      </c>
      <c r="AN10" s="6" t="str">
        <f>IF(Reinforcements[[#This Row],[Reinforcement]]="","",IF(OR(Reinforcements[[#This Row],[Bottom End Connection Type]]="Bolted",Reinforcements[[#This Row],[Bottom End Connection Type]]=""),"-",""))</f>
        <v>-</v>
      </c>
      <c r="AO10" s="111" t="str">
        <f>IF(Reinforcements[[#This Row],[Reinforcement]]="","",IF(OR(Reinforcements[[#This Row],[Bottom End Connection Type]]="Bolted",Reinforcements[[#This Row],[Bottom End Connection Type]]=""),"-",""))</f>
        <v>-</v>
      </c>
      <c r="AP10" s="111" t="str">
        <f>IF(Reinforcements[[#This Row],[Reinforcement]]="","",IF(OR(Reinforcements[[#This Row],[Bottom End Connection Type]]="Bolted",Reinforcements[[#This Row],[Bottom End Connection Type]]=""),"-",""))</f>
        <v>-</v>
      </c>
      <c r="AQ10" s="111" t="str">
        <f>IF(OR(Reinforcements[[#This Row],[Bottom End Connection Type]]="Bolted",Reinforcements[[#This Row],[Bottom Transverse (Horizontal) Weld]]="none"),"-","")</f>
        <v>-</v>
      </c>
      <c r="AR1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11" t="str">
        <f>IF(OR(Reinforcements[[#This Row],[Bottom Transverse (Horizontal) Weld]]="none",Reinforcements[[#This Row],[Bottom End Connection Type]]="Bolted"),"-","")</f>
        <v>-</v>
      </c>
      <c r="AU1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11" t="str">
        <f>IF(Reinforcements[[#This Row],[Reinforcement]]="","",IF(OR(Reinforcements[[#This Row],[Bottom End Connection Type]]="Bolted",Reinforcements[[#This Row],[Bottom End Connection Type]]=""),"-",""))</f>
        <v>-</v>
      </c>
      <c r="AW10" s="111" t="str">
        <f>IF(Reinforcements[[#This Row],[Reinforcement]]="","",IF(OR(Reinforcements[[#This Row],[Bottom End Connection Type]]&lt;&gt;"Welded",Reinforcements[[#This Row],[Bottom Longitudinal (Vertical) Weld]]="None",Reinforcements[[#This Row],[Bottom Longitudinal (Vertical) Weld]]=""),"-",""))</f>
        <v>-</v>
      </c>
      <c r="AX10" s="111" t="str">
        <f>IF(Reinforcements[[#This Row],[Reinforcement]]="","",IF(OR(Reinforcements[[#This Row],[Bottom End Connection Type]]&lt;&gt;"Welded",Reinforcements[[#This Row],[Bottom Longitudinal (Vertical) Weld]]="None",Reinforcements[[#This Row],[Bottom Longitudinal (Vertical) Weld]]=""),"-",""))</f>
        <v>-</v>
      </c>
      <c r="AY10" s="6" t="str">
        <f>IF(Reinforcements[[#This Row],[Reinforcement]]="","",IF(OR(Reinforcements[[#This Row],[Bottom End Connection Type]]&lt;&gt;"Welded",Reinforcements[[#This Row],[Bottom Longitudinal (Vertical) Weld]]="None"),"-",SQRT(2)/2*Reinforcements[[#This Row],[Bottom Longitudinal Weld Fillet Size (in)]]))</f>
        <v>-</v>
      </c>
      <c r="AZ10" s="6" t="s">
        <v>357</v>
      </c>
      <c r="BA10" s="16" t="str">
        <f>IF(Reinforcements[[#This Row],[Top End Connection Same?]]="Yes",Reinforcements[[#This Row],[Bottom End Connection Type]],"")</f>
        <v>Bolted</v>
      </c>
      <c r="BB10" s="16" t="str">
        <f>IF(Reinforcements[[#This Row],[Reinforcement]]="","",IF(Reinforcements[[#This Row],[Top End Connection Same?]]="Yes",Reinforcements[[#This Row],[Rev. F Bottom Connection Capacity (kips)]],IF(Reinforcements[[#This Row],[Reinforcement]]="","",IF(Reinforcements[[#This Row],[Top End Connection Type]]&lt;&gt;"Capacity Input","-",""))))</f>
        <v>-</v>
      </c>
      <c r="BC10" s="16" t="str">
        <f>IF(Reinforcements[[#This Row],[Reinforcement]]="","",IF(Reinforcements[[#This Row],[Top End Connection Same?]]="Yes",Reinforcements[[#This Row],[Rev. G Bottom Connection Capacity (kips)]],IF(Reinforcements[[#This Row],[Reinforcement]]="","",IF(Reinforcements[[#This Row],[Top End Connection Type]]&lt;&gt;"Capacity Input","-",""))))</f>
        <v>-</v>
      </c>
      <c r="BD10" s="16" t="str">
        <f>IF(Reinforcements[[#This Row],[Reinforcement]]="","",IF(Reinforcements[[#This Row],[Top End Connection Same?]]="Yes",Reinforcements[[#This Row],[Rev. G Bottom Connection Capacity (kips)]],IF(Reinforcements[[#This Row],[Reinforcement]]="","",IF(Reinforcements[[#This Row],[Top End Connection Type]]&lt;&gt;"Capacity Input","-",""))))</f>
        <v>-</v>
      </c>
      <c r="BE10" s="74" t="str">
        <f>IF(Reinforcements[[#This Row],[Top End Connection Same?]]="Yes",Reinforcements[[#This Row],[Bottom End Connection Bolt Type]],IF(Reinforcements[[#This Row],[Top End Connection Type]]="Welded","-",""))</f>
        <v>PC 8.8 - M20 (100)</v>
      </c>
      <c r="BF10" s="6" t="str">
        <f>IF(Reinforcements[[#This Row],[Top End Connection Same?]]="Yes",Reinforcements[[#This Row],[Threads Included (N) or Excluded (X) (Bottom)]],IF(Reinforcements[[#This Row],[Top End Connection Type]]="Welded","-",""))</f>
        <v>N</v>
      </c>
      <c r="BG10" s="6">
        <f>IF(Reinforcements[[#This Row],[Top End Connection Same?]]="Yes",Reinforcements[[#This Row],['# of End Connection Bolts          (Bottom)]],IF(Reinforcements[[#This Row],[Top End Connection Type]]="Welded","-",""))</f>
        <v>25</v>
      </c>
      <c r="BH10" s="6">
        <f>IF(Reinforcements[[#This Row],[Top End Connection Same?]]="Yes",Reinforcements[[#This Row],[End Connection Bolt Spacing (in) (B)]],IF(Reinforcements[[#This Row],[Top End Connection Type]]="Welded","-",""))</f>
        <v>3</v>
      </c>
      <c r="BI10" s="6">
        <f>IF(Reinforcements[[#This Row],[Top End Connection Same?]]="Yes",Reinforcements[[#This Row],[End Connection Edge Distance (in) (B)]],IF(Reinforcements[[#This Row],[Top End Connection Type]]="Welded","-",""))</f>
        <v>2</v>
      </c>
      <c r="BJ10" s="6">
        <f>Reinforcements[[#This Row],[End Connection Edge Distance (in) (T)]]-(Reinforcements[[#This Row],[Bolt Hole Size (in)]]+1/16)/2</f>
        <v>1.375</v>
      </c>
      <c r="BK10" s="6">
        <f>Reinforcements[[#This Row],[End Connection Bolt Spacing (in) (T)]]-(Reinforcements[[#This Row],[Bolt Hole Size (in)]]+1/16)</f>
        <v>1.75</v>
      </c>
      <c r="BL10" s="6">
        <f>Reinforcements[[#This Row],[End Connection Edge Distance (in) (T)]]</f>
        <v>2</v>
      </c>
      <c r="BM10" s="6">
        <f>Reinforcements[[#This Row],[End Connection Bolt Spacing (in) (T)]]</f>
        <v>3</v>
      </c>
      <c r="BN10" s="6" t="str">
        <f>IF(Reinforcements[[#This Row],[Reinforcement]]="","",IF(Reinforcements[[#This Row],[Top End Connection Same?]]="Yes",Reinforcements[[#This Row],[Bottom Connected to Flange/Base Plate?]],IF(Reinforcements[[#This Row],[Top End Connection Type]]="Bolted","-","")))</f>
        <v>-</v>
      </c>
      <c r="BO10" s="6" t="str">
        <f>IF(Reinforcements[[#This Row],[Reinforcement]]="","",IF(Reinforcements[[#This Row],[Top End Connection Same?]]="Yes",Reinforcements[[#This Row],[Bottom Weld Grade (ksi)]],IF(OR(Reinforcements[[#This Row],[Top End Connection Type]]&lt;&gt;"Welded",Reinforcements[[#This Row],[Top End Connection Type]]=""),"-","")))</f>
        <v>-</v>
      </c>
      <c r="BP10" s="6" t="str">
        <f>IF($AZ10="Yes",AP10,IF(Reinforcements[[#This Row],[Reinforcement]]="","",IF(OR(Reinforcements[[#This Row],[Top End Connection Type]]&lt;&gt;"Welded",Reinforcements[[#This Row],[Top End Connection Type]]=""),"-","")))</f>
        <v>-</v>
      </c>
      <c r="BQ10" s="6" t="str">
        <f>IF(Reinforcements[[#This Row],[Reinforcement]]="","",IF($AZ10="Yes",AQ10,IF(OR(Reinforcements[[#This Row],[Top End Connection Type]]&lt;&gt;"Welded",Reinforcements[[#This Row],[Top Transverse (Horizontal) Weld]]="none",Reinforcements[[#This Row],[Top Transverse (Horizontal) Weld]]=""),"-","")))</f>
        <v>-</v>
      </c>
      <c r="BR10" s="6"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6"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6" t="str">
        <f>IF(Reinforcements[[#This Row],[Reinforcement]]="","",IF($AZ10="Yes",AT10,IF(OR(Reinforcements[[#This Row],[Top Transverse (Horizontal) Weld]]="none",Reinforcements[[#This Row],[Top End Connection Type]]&lt;&gt;"Welded",Reinforcements[[#This Row],[Top Transverse (Horizontal) Weld]]=""),"-","")))</f>
        <v>-</v>
      </c>
      <c r="BU10" s="6"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6" t="str">
        <f>IF($AZ10="Yes",AV10,IF(Reinforcements[[#This Row],[Reinforcement]]="","",IF(OR(Reinforcements[[#This Row],[Top End Connection Type]]&lt;&gt;"Welded",Reinforcements[[#This Row],[Top End Connection Type]]=""),"-","")))</f>
        <v>-</v>
      </c>
      <c r="BW10" s="6"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6"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6" t="str">
        <f>IF($AZ10="Yes",AY10,IF(Reinforcements[[#This Row],[Reinforcement]]="","",IF(OR(Reinforcements[[#This Row],[Top End Connection Type]]&lt;&gt;"Welded",Reinforcements[[#This Row],[Top Longitudinal (Vertical) Weld]]="none"),"-",SQRT(2)/2*Reinforcements[[#This Row],[Top Longitudinal Weld Fillet Size (in)]])))</f>
        <v>-</v>
      </c>
      <c r="BZ1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11">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11">
        <f>IF(Reinforcements[[#This Row],[Reinforcement]]="","",IF(Reinforcements[[#This Row],[Top End Connection Type]]&lt;&gt;"Bolted","n/a",(Reinforcements[[#This Row],['# of End Connection Bolts          (Top)]]-1)*Reinforcements[[#This Row],[End Connection Bolt Spacing (in) (T)]]+Reinforcements[[#This Row],[End Connection Edge Distance (in) (T)]]))</f>
        <v>74</v>
      </c>
      <c r="CC1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6">
        <f>IFERROR(IF(Reinforcements[[#This Row],[Type]]="","",Reinforcements[[#This Row],[Effective B (in)]]*Reinforcements[[#This Row],[Effective H (in)]]^3/12),"")</f>
        <v>2.25</v>
      </c>
      <c r="CF10" s="6">
        <f>IFERROR(IF(Reinforcements[[#This Row],[Type]]="","",Reinforcements[[#This Row],[Effective B (in)]]^3*Reinforcements[[#This Row],[Effective H (in)]]/12),"")</f>
        <v>64</v>
      </c>
      <c r="CG10" s="126">
        <f>SQRT(2*PI()^2*29000/VLOOKUP(Reinforcements[[#This Row],[Material]],Materials[],2,FALSE))</f>
        <v>75.659570132481107</v>
      </c>
      <c r="CH1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23">
        <f>Reinforcements[[#This Row],[Effective Length Factor Kx]]*Reinforcements[[#This Row],[Lu (in)]]/(Reinforcements[[#This Row],[rx]]*PI())*SQRT(VLOOKUP(Reinforcements[[#This Row],[Material]],Materials[],2,FALSE)/29000)</f>
        <v>0.7597367946534872</v>
      </c>
      <c r="CK10" s="123">
        <f>Reinforcements[[#This Row],[Effective Length Factor Ky]]*Reinforcements[[#This Row],[Lu (in)]]/(Reinforcements[[#This Row],[ry]]*PI())*SQRT(VLOOKUP(Reinforcements[[#This Row],[Material]],Materials[],2,FALSE)/29000)</f>
        <v>0.17806331124691108</v>
      </c>
      <c r="CL10" s="123">
        <f>IF(Reinforcements[[#This Row],[λcx]]&lt;=1.5,0.658^(Reinforcements[[#This Row],[λcx]]^2)*Reinforcements[[#This Row],[F''y]],0.877/(Reinforcements[[#This Row],[λcx]]^2)*Reinforcements[[#This Row],[F''y]])</f>
        <v>78.538026892908832</v>
      </c>
      <c r="CM10" s="123">
        <f>IF(Reinforcements[[#This Row],[λcy]]&lt;=1.5,0.658^(Reinforcements[[#This Row],[λcy]]^2)*Reinforcements[[#This Row],[F''y]],0.877/(Reinforcements[[#This Row],[λcy]]^2)*Reinforcements[[#This Row],[F''y]])</f>
        <v>98.681688410483829</v>
      </c>
      <c r="CN10" s="6">
        <f>VLOOKUP(Reinforcements[[#This Row],[Material]],Materials[],2,FALSE)</f>
        <v>100</v>
      </c>
      <c r="CO10" s="126">
        <f>IF(Reinforcements[[#This Row],[Reinforcement]]="","",Reinforcements[[#This Row],[Fax]]*Reinforcements[[#This Row],[Gross Area (in2)]])</f>
        <v>555.42625670321399</v>
      </c>
      <c r="CP10" s="126">
        <f>IF(Reinforcements[[#This Row],[Reinforcement]]="","",Reinforcements[[#This Row],[Fay]]*Reinforcements[[#This Row],[Gross Area (in2)]])</f>
        <v>694.7157375296249</v>
      </c>
      <c r="CQ10" s="126">
        <f>IF(Reinforcements[[#This Row],[Reinforcement]]="","",0.6*VLOOKUP(Reinforcements[[#This Row],[Material]],Materials[],2,FALSE)*Reinforcements[[#This Row],[Gross Area (in2)]])</f>
        <v>720</v>
      </c>
      <c r="CR10" s="126">
        <f>IF(Reinforcements[[#This Row],[Reinforcement]]="","",0.5*VLOOKUP(Reinforcements[[#This Row],[Material]],Materials[],3,FALSE)*Reinforcements[[#This Row],[Net Area (in2)]]*Reinforcements[[#This Row],[Shear Lag (U)]])</f>
        <v>556.875</v>
      </c>
      <c r="CS10" s="126">
        <f>IF(Reinforcements[[#This Row],[Reinforcement]]="","",0.4*VLOOKUP(Reinforcements[[#This Row],[Material]],Materials[],2,FALSE)*Reinforcements[[#This Row],[Gross Area (in2)]])</f>
        <v>480</v>
      </c>
      <c r="CT10"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6"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6"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26">
        <f>IF(Reinforcements[[#This Row],[Reinforcement]]="","",φ_c*Reinforcements[[#This Row],[Fcr,x]]*Reinforcements[[#This Row],[Gross Area (in2)]])</f>
        <v>848.21069044341539</v>
      </c>
      <c r="DI10" s="126">
        <f>IF(Reinforcements[[#This Row],[Reinforcement]]="","",φ_c*Reinforcements[[#This Row],[Fcr,y]]*Reinforcements[[#This Row],[Gross Area (in2)]])</f>
        <v>1065.7622348332252</v>
      </c>
      <c r="DJ10" s="126">
        <f>IF(Reinforcements[[#This Row],[Reinforcement]]="","",φ_t_y*VLOOKUP(Reinforcements[[#This Row],[Material]],Materials[],2,FALSE)*Reinforcements[[#This Row],[Gross Area (in2)]])</f>
        <v>1080</v>
      </c>
      <c r="DK10" s="126">
        <f>IF(Reinforcements[[#This Row],[Reinforcement]]="","",φ_t_r*VLOOKUP(Reinforcements[[#This Row],[Material]],Materials[],3,FALSE)*Reinforcements[[#This Row],[Net Area (in2)]]*Reinforcements[[#This Row],[Shear Lag (U)]])</f>
        <v>835.3125</v>
      </c>
      <c r="DL10" s="126">
        <f>IF(Reinforcements[[#This Row],[Reinforcement]]="","",φ_v*0.5*Reinforcements[[#This Row],[F''y]]*Reinforcements[[#This Row],[Gross Area (in2)]])</f>
        <v>540</v>
      </c>
      <c r="DM10"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6"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6"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111" t="str">
        <f>IF(OR(Reinforcements[[#This Row],[Type]]="plate",Reinforcements[[#This Row],[Type]]="solid round"),"N/A",Reinforcements[[#This Row],[B (in)]])</f>
        <v>N/A</v>
      </c>
      <c r="EB10" s="6" t="str">
        <f>IF(OR(Reinforcements[[#This Row],[Type]]="plate",Reinforcements[[#This Row],[Type]]="solid round"),"N/A",Reinforcements[[#This Row],[H (in)]])</f>
        <v>N/A</v>
      </c>
      <c r="EC10" s="6" t="str">
        <f>IF(OR(Reinforcements[[#This Row],[Type]]="plate",Reinforcements[[#This Row],[Type]]="solid round"),"N/A",Reinforcements[[#This Row],[B (in)]]-Reinforcements[[#This Row],['[Channel'] Flange Thickness (in)]])</f>
        <v>N/A</v>
      </c>
      <c r="ED10" s="6" t="str">
        <f>IF(OR(Reinforcements[[#This Row],[Type]]="plate",Reinforcements[[#This Row],[Type]]="solid round"),"N/A",Reinforcements[[#This Row],['[Channel']Web Thickness (in)]])</f>
        <v>N/A</v>
      </c>
      <c r="EE10" s="6" t="str">
        <f>IF(OR(Reinforcements[[#This Row],[Type]]="plate",Reinforcements[[#This Row],[Type]]="solid round"),"N/A",Reinforcements[[#This Row],['[Channel'] Flange Thickness (in)]])</f>
        <v>N/A</v>
      </c>
      <c r="EF10" s="6" t="str">
        <f>IF(Reinforcements[[#This Row],[Type]]="channel",Reinforcements[[#This Row],[Channel Flange Width, b]]/Reinforcements[[#This Row],[Channel flange thickness, tf]],"N/A")</f>
        <v>N/A</v>
      </c>
      <c r="EG10" s="6" t="str">
        <f>IF(Reinforcements[[#This Row],[Type]]="channel",Reinforcements[[#This Row],[Channel inside depth, T]]/Reinforcements[[#This Row],[Channel web thickness, tw]],"N/A")</f>
        <v>N/A</v>
      </c>
      <c r="EH10" s="6">
        <f>29000</f>
        <v>29000</v>
      </c>
      <c r="EI10" s="6" t="str">
        <f>IF(Reinforcements[[#This Row],[Type]]="channel",0.56*SQRT(Reinforcements[[#This Row],[E, (ksi)]]/Reinforcements[[#This Row],[Fy, (ksi)]]),"N/A")</f>
        <v>N/A</v>
      </c>
      <c r="EJ10" s="6" t="str">
        <f>IF(Reinforcements[[#This Row],[Type]]="channel",1.49*SQRT(Reinforcements[[#This Row],[E, (ksi)]]/Reinforcements[[#This Row],[Fy, (ksi)]]),"N/A")</f>
        <v>N/A</v>
      </c>
      <c r="EK10" s="6">
        <f>VLOOKUP(Reinforcements[[#This Row],[Material]],Materials!$B$2:$C$30,2,FALSE)</f>
        <v>100</v>
      </c>
      <c r="EL10" s="6">
        <f>Reinforcements[[#This Row],[Lu (in)]]*Reinforcements[[#This Row],[Effective Length Factor Kx]]</f>
        <v>17.600000000000001</v>
      </c>
      <c r="EM10" s="6">
        <f>Reinforcements[[#This Row],[Lu (in)]]*Reinforcements[[#This Row],[Effective Length Factor Ky]]</f>
        <v>22</v>
      </c>
      <c r="EN10" s="6">
        <f>Reinforcements[[#This Row],[rx]]</f>
        <v>0.4330127018922193</v>
      </c>
      <c r="EO10" s="6">
        <f>Reinforcements[[#This Row],[ry]]</f>
        <v>2.3094010767585029</v>
      </c>
      <c r="EP10" s="6">
        <f>Reinforcements[[#This Row],[Lcx (in)]]/Reinforcements[[#This Row],[rx (in)]]</f>
        <v>40.64545895094966</v>
      </c>
      <c r="EQ10" s="6">
        <f>Reinforcements[[#This Row],[Lcy (in)]]/Reinforcements[[#This Row],[ry (in)]]</f>
        <v>9.5262794416288248</v>
      </c>
      <c r="ER10" s="6">
        <f>((PI()^2)*Reinforcements[[#This Row],[E, (ksi)]])/(Reinforcements[[#This Row],[Lcx/rx]]^2)</f>
        <v>173.25017410551192</v>
      </c>
      <c r="ES10" s="6">
        <f>((PI()^2)*Reinforcements[[#This Row],[E, (ksi)]])/(Reinforcements[[#This Row],[Lcy/ry]]^2)</f>
        <v>3153.9231694941195</v>
      </c>
      <c r="ET10" s="6">
        <f>4.71*(SQRT(Reinforcements[[#This Row],[E, (ksi)]]/Reinforcements[[#This Row],[Fy, (ksi)]]))</f>
        <v>80.20840978351336</v>
      </c>
      <c r="EU10" s="6">
        <f>IF(Reinforcements[[#This Row],[Lcx/rx]]&lt;=Reinforcements[[#This Row],[Fcr Limit]],(0.658^(Reinforcements[[#This Row],[Fy, (ksi)]]/Reinforcements[[#This Row],[Fex, FB (ksi)]]))*Reinforcements[[#This Row],[Fy, (ksi)]],0.877*Reinforcements[[#This Row],[Fex, FB (ksi)]])</f>
        <v>78.538026892908817</v>
      </c>
      <c r="EV10" s="6">
        <f>IF(Reinforcements[[#This Row],[Lcy/ry]]&lt;=Reinforcements[[#This Row],[Fcr Limit]],(0.658^(Reinforcements[[#This Row],[Fy, (ksi)]]/Reinforcements[[#This Row],[Fey, FB (ksi)]]))*Reinforcements[[#This Row],[Fy, (ksi)]],0.877*Reinforcements[[#This Row],[Fey, FB (ksi)]])</f>
        <v>98.681688410483829</v>
      </c>
      <c r="EW10" s="6">
        <f>Reinforcements[[#This Row],[Fcrx (ksi)]]*Reinforcements[[#This Row],[Gross Area (in2)]]</f>
        <v>942.45632271490581</v>
      </c>
      <c r="EX10" s="6">
        <f>Reinforcements[[#This Row],[Fcry (ksi)]]*Reinforcements[[#This Row],[Gross Area (in2)]]</f>
        <v>1184.1802609258059</v>
      </c>
      <c r="EY10" s="6" t="str">
        <f>IF(Reinforcements[[#This Row],[Type]]="channel",0,"N/A")</f>
        <v>N/A</v>
      </c>
      <c r="EZ10" s="6" t="str">
        <f>IF(Reinforcements[[#This Row],[Type]]="channel",Reinforcements[[#This Row],[Channel Flange Width, b]]-(0.5*Reinforcements[[#This Row],[Channel web thickness, tw]]),"N/A")</f>
        <v>N/A</v>
      </c>
      <c r="FA10" s="6" t="str">
        <f>IF(Reinforcements[[#This Row],[Type]]="channel",Reinforcements[[#This Row],[Channel Height, h]]-Reinforcements[[#This Row],[Channel flange thickness, tf]],"N/A")</f>
        <v>N/A</v>
      </c>
      <c r="FB10" s="6" t="str">
        <f>IF(Reinforcements[[#This Row],[Type]]="channel",Reinforcements[[#This Row],[Channel web thickness, tw]],"N/A")</f>
        <v>N/A</v>
      </c>
      <c r="FC10" s="6" t="str">
        <f>IF(Reinforcements[[#This Row],[Type]]="channel",((3*Reinforcements[[#This Row],[b]]^2)/(Reinforcements[[#This Row],[h]]+(6*Reinforcements[[#This Row],[b]])))-Reinforcements[[#This Row],[t]]/2,"N/A")</f>
        <v>N/A</v>
      </c>
      <c r="FD10" s="6">
        <f>Reinforcements[[#This Row],[Pole Face to Centroid (in)]]</f>
        <v>0.75</v>
      </c>
      <c r="FE10" s="6" t="str">
        <f>IF(Reinforcements[[#This Row],[Type]]="channel",Reinforcements[[#This Row],[x(bar)]]+Reinforcements[[#This Row],['[Channel'] e0 (in)]],"N/A")</f>
        <v>N/A</v>
      </c>
      <c r="FF10" s="6" t="str">
        <f>IF(Reinforcements[[#This Row],[Type]]="channel",Reinforcements[[#This Row],[Ix]],"N/A")</f>
        <v>N/A</v>
      </c>
      <c r="FG10" s="6" t="str">
        <f>IF(Reinforcements[[#This Row],[Type]]="channel",Reinforcements[[#This Row],[Iy]],"N/A")</f>
        <v>N/A</v>
      </c>
      <c r="FH10" s="6" t="str">
        <f>IF(Reinforcements[[#This Row],[Type]]="channel",Reinforcements[[#This Row],[Gross Area (in2)]],"N/A")</f>
        <v>N/A</v>
      </c>
      <c r="FI10" s="6" t="str">
        <f>IF(Reinforcements[[#This Row],[Type]]="channel",(Reinforcements[[#This Row],[xo]]^2)+((Reinforcements[[#This Row],[Ix (FTB)]]+Reinforcements[[#This Row],[Iy (FTB)]])/Reinforcements[[#This Row],[Ag]]),"N/A")</f>
        <v>N/A</v>
      </c>
      <c r="FJ10" s="6" t="str">
        <f>IF(Reinforcements[[#This Row],[Type]]="channel",Reinforcements[[#This Row],[Lu (in)]],"N/A")</f>
        <v>N/A</v>
      </c>
      <c r="FK10" s="6" t="str">
        <f>IF(Reinforcements[[#This Row],[Type]]="channel",Reinforcements[[#This Row],[Effective Length Factor Kx]],"N/A")</f>
        <v>N/A</v>
      </c>
      <c r="FL10" s="6" t="str">
        <f>IF(Reinforcements[[#This Row],[Type]]="channel",Reinforcements[[#This Row],[Kz]]*Reinforcements[[#This Row],[Lz]],"N/A")</f>
        <v>N/A</v>
      </c>
      <c r="FM10" s="6" t="str">
        <f>IF(Reinforcements[[#This Row],[Type]]="channel",(((Reinforcements[[#This Row],[t]]^3)/3)*(Reinforcements[[#This Row],[h]]+(2*Reinforcements[[#This Row],[b]]))),"N/A")</f>
        <v>N/A</v>
      </c>
      <c r="FN10" s="6" t="str">
        <f>IF(Reinforcements[[#This Row],[Type]]="channel",(1-(((Reinforcements[[#This Row],[xo]]^2)+(Reinforcements[[#This Row],[yo]]^2))/Reinforcements[[#This Row],[ro^2(bar)]])),"N/A")</f>
        <v>N/A</v>
      </c>
      <c r="FO10" s="6">
        <v>11200</v>
      </c>
      <c r="FP10" s="6" t="str">
        <f>IF(Reinforcements[[#This Row],[Type]]="channel",(((Reinforcements[[#This Row],[h]]^2)*(Reinforcements[[#This Row],[b]]^3)*Reinforcements[[#This Row],[t]])/12)*(((2*Reinforcements[[#This Row],[h]])+(3*Reinforcements[[#This Row],[b]]))/(Reinforcements[[#This Row],[h]]+(6*Reinforcements[[#This Row],[b]]))),"N/A")</f>
        <v>N/A</v>
      </c>
      <c r="FQ10" s="6" t="str">
        <f>IF(Reinforcements[[#This Row],[Type]]="Channel",((((PI()^2)*Reinforcements[[#This Row],[E, (ksi)]]*Reinforcements[[#This Row],['[Channel'] CW (in6)]])/(Reinforcements[[#This Row],[Lcz]]^2))+(Reinforcements[[#This Row],[G]]*Reinforcements[[#This Row],['[Channel'] J (in4)]]))*(1/(Reinforcements[[#This Row],[Ag]]*Reinforcements[[#This Row],[ro^2(bar)]])),"N/A")</f>
        <v>N/A</v>
      </c>
      <c r="FR10" s="6" t="str">
        <f>IF(Reinforcements[[#This Row],[Type]]="channel",((PI()^2)*Reinforcements[[#This Row],[E, (ksi)]])/(Reinforcements[[#This Row],[Lcy/ry]]^2),"N/A")</f>
        <v>N/A</v>
      </c>
      <c r="FS10" s="6" t="str">
        <f>IF(Reinforcements[[#This Row],[Type]]="channel",((Reinforcements[[#This Row],[Fey]]+Reinforcements[[#This Row],[Fez]])/(2*Reinforcements[[#This Row],[H2]]))*(1-SQRT(1-((4*Reinforcements[[#This Row],[Fey]]*Reinforcements[[#This Row],[Fez]]*Reinforcements[[#This Row],[H2]])/(Reinforcements[[#This Row],[Fey]]+Reinforcements[[#This Row],[Fez]])^2))),"N/A")</f>
        <v>N/A</v>
      </c>
      <c r="FT10" s="6" t="str">
        <f>IF(Reinforcements[[#This Row],[Type]]="channel",IF(Reinforcements[[#This Row],[Lcx/rx]]&gt;(4.71*SQRT(Reinforcements[[#This Row],[E, (ksi)]]/Reinforcements[[#This Row],[Fy, (ksi)]])),0.877*Reinforcements[[#This Row],[Fe (FTB)]],0.658^(Reinforcements[[#This Row],[Fy, (ksi)]]/Reinforcements[[#This Row],[Fe (FTB)]])*Reinforcements[[#This Row],[Fy, (ksi)]]),"N/A")</f>
        <v>N/A</v>
      </c>
      <c r="FU10" s="6" t="str">
        <f>IF(Reinforcements[[#This Row],[Type]]="channel",MIN(Reinforcements[[#This Row],[Fcr(FTB)]],Reinforcements[[#This Row],[Fcry (ksi)]]),"N/A")</f>
        <v>N/A</v>
      </c>
      <c r="FV10" s="6">
        <v>0.22</v>
      </c>
      <c r="FW10" s="6">
        <v>1.49</v>
      </c>
      <c r="FX10" s="6" t="str">
        <f>IF(Reinforcements[[#This Row],[Type]]="channel",((Reinforcements[[#This Row],[c2]]*(Reinforcements[[#This Row],[λrf]]/Reinforcements[[#This Row],[λf]]))^2)*Reinforcements[[#This Row],[Fy, (ksi)]],"N/A")</f>
        <v>N/A</v>
      </c>
      <c r="FY10" s="6" t="str">
        <f>IF(Reinforcements[[#This Row],[Type]]="channel",((Reinforcements[[#This Row],[c2]]*(Reinforcements[[#This Row],[λrw]]/Reinforcements[[#This Row],[λw]]))^2)*Reinforcements[[#This Row],[Fy, (ksi)]],"N/A")</f>
        <v>N/A</v>
      </c>
      <c r="FZ1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6" t="str">
        <f>IF(Reinforcements[[#This Row],[Type]]="channel",Reinforcements[[#This Row],[Fcr]]*Reinforcements[[#This Row],[Ae]],"N/A")</f>
        <v>N/A</v>
      </c>
      <c r="GD10">
        <f>IF(Reinforcements[[#This Row],[Reinforcement]]="","",φ_c*Reinforcements[[#This Row],[Pnx, FB (kip)]])</f>
        <v>848.21069044341527</v>
      </c>
      <c r="GE10">
        <f>IF(Reinforcements[[#This Row],[Reinforcement]]="","",IF(Reinforcements[[#This Row],[Type]]="channel",φ_c*Reinforcements[[#This Row],[Pn]],φ_c*Reinforcements[[#This Row],[Pny, FB (kip)]]))</f>
        <v>1065.7622348332254</v>
      </c>
      <c r="GF10">
        <f>Reinforcements[[#This Row],[Rev. G Tension Yield Capacity (kips)]]</f>
        <v>1080</v>
      </c>
      <c r="GG10">
        <f>Reinforcements[[#This Row],[Rev. G Tension Rupture Capacity (kips)]]</f>
        <v>835.3125</v>
      </c>
      <c r="GH10">
        <f>Reinforcements[[#This Row],[Rev. G Shear Capacity (kips)]]</f>
        <v>540</v>
      </c>
      <c r="GI10">
        <f>IFERROR((Reinforcements[[#This Row],['# of End Connection Bolts          (Bottom)]]-1)*Reinforcements[[#This Row],[End Connection Bolt Spacing (in) (B)]],"-")</f>
        <v>72</v>
      </c>
      <c r="GJ10">
        <f>IFERROR(IF(VLOOKUP(Reinforcements[[#This Row],[Bottom End Connection Bolt Type]],Bolts[],COLUMN(Bolts[[#Headers],[Rev. H Apply Connection Length Reduction Factor (Rb)?]])-1,FALSE)="Yes",(IF(Reinforcements[[#This Row],[Lb(bottom)]]&lt;=16,1,IF(Reinforcements[[#This Row],[Lb(bottom)]]&gt;38,0.75,0.9))),1),"-")</f>
        <v>1</v>
      </c>
      <c r="GK1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f>IFERROR(IF(Reinforcements[[#This Row],[Top End Connection Same?]]="Yes",Reinforcements[[#This Row],[Lb(bottom)]],(Reinforcements[[#This Row],['# of End Connection Bolts          (Top)]]-1)*Reinforcements[[#This Row],[End Connection Bolt Spacing (in) (T)]]),"-")</f>
        <v>72</v>
      </c>
      <c r="GM10">
        <f>IFERROR(IF(VLOOKUP(Reinforcements[[#This Row],[Top End Connection Bolt Type]],Bolts[],COLUMN(Bolts[[#Headers],[Rev. H Apply Connection Length Reduction Factor (Rb)?]])-1,FALSE)=TRUE,(IF(Reinforcements[[#This Row],[Lb(top)]]&lt;=16,1,IF(Reinforcements[[#This Row],[Lb(top)]]&gt;38,0.75,0.9))),1),"-")</f>
        <v>0.75</v>
      </c>
      <c r="GN1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f>Reinforcements[[#This Row],[Rev. G Bolt-Shaft Bearing Capacity (Bottom)                No Deformation          (*t*Fu kips)]]</f>
        <v>49.088503937007879</v>
      </c>
      <c r="GP10">
        <f>Reinforcements[[#This Row],[Rev. G Bolt-Shaft Bearing Capacity (Bottom)                   Deformation          (*t*Fu kips)]]</f>
        <v>61.360629921259843</v>
      </c>
      <c r="GQ10">
        <f>Reinforcements[[#This Row],[Rev. G Bolt-Shaft Bearing Capacity (Top)                    No Deformation          (*t*Fu kips)]]</f>
        <v>49.088503937007879</v>
      </c>
      <c r="GR10">
        <f>Reinforcements[[#This Row],[Rev. G Bolt-Shaft Bearing Capacity (Top)                        Deformation          (*t*Fu kips)]]</f>
        <v>61.360629921259843</v>
      </c>
      <c r="GS10">
        <f>Reinforcements[[#This Row],[Rev. G Bolt-Reinf. Bearing Capacity (Bottom)            No Deformation (kips)]]</f>
        <v>8000.9149606299216</v>
      </c>
      <c r="GT10">
        <f>Reinforcements[[#This Row],[Rev. G Bolt-Reinf. Bearing Capacity (Bottom)               Deformation (kips)]]</f>
        <v>10001.143700787401</v>
      </c>
      <c r="GU10">
        <f>Reinforcements[[#This Row],[Rev. G Bolt-Reinf. Bearing Capacity (Top)                  No Deformation (kips)]]</f>
        <v>8000.9149606299216</v>
      </c>
      <c r="GV10">
        <f>Reinforcements[[#This Row],[Rev. G Bolt-Reinf. Bearing Capacity (Top)               Deformation (kips)]]</f>
        <v>10001.143700787401</v>
      </c>
      <c r="GW10" t="str">
        <f>Reinforcements[[#This Row],[Rev. G Bottom Transverse Weld Strength]]</f>
        <v>-</v>
      </c>
      <c r="GX10" t="str">
        <f>Reinforcements[[#This Row],[Rev. G Bottom Longitudinal Weld Strength]]</f>
        <v>-</v>
      </c>
      <c r="GY10" t="str">
        <f>Reinforcements[[#This Row],[Rev. G Top Transverse Weld Strength]]</f>
        <v>-</v>
      </c>
      <c r="GZ10" t="str">
        <f>Reinforcements[[#This Row],[Rev. G Top Longitudinal Weld Strength]]</f>
        <v>-</v>
      </c>
      <c r="HA10">
        <v>8</v>
      </c>
      <c r="HB1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49" t="s">
        <v>365</v>
      </c>
      <c r="C11" s="49" t="s">
        <v>352</v>
      </c>
      <c r="D11" s="6">
        <v>9</v>
      </c>
      <c r="E11" s="6">
        <v>1.5</v>
      </c>
      <c r="F11" s="6" t="str">
        <f>IF(Reinforcements[[#This Row],[Type]]="","",IF(Reinforcements[[#This Row],[Type]]="solid round","","n/a"))</f>
        <v>n/a</v>
      </c>
      <c r="G11" s="6" t="str">
        <f>IF(Reinforcements[[#This Row],[Type]]="","",IF(Reinforcements[[#This Row],[Type]]&lt;&gt;"channel","n/a",""))</f>
        <v>n/a</v>
      </c>
      <c r="H11" s="6" t="str">
        <f>IF(Reinforcements[[#This Row],[Type]]="","",IF(Reinforcements[[#This Row],[Type]]&lt;&gt;"channel","n/a",""))</f>
        <v>n/a</v>
      </c>
      <c r="I11" s="126" t="str">
        <f>IF(Reinforcements[[#This Row],[Type]]="","",IF(Reinforcements[[#This Row],[Type]]&lt;&gt;"channel","n/a",Reinforcements[[#This Row],[eo]]))</f>
        <v>n/a</v>
      </c>
      <c r="J11" s="126" t="str">
        <f>IF(Reinforcements[[#This Row],[Type]]="","",IF(Reinforcements[[#This Row],[Type]]&lt;&gt;"channel","n/a",Reinforcements[[#This Row],[J]]))</f>
        <v>n/a</v>
      </c>
      <c r="K11" s="126" t="str">
        <f>IF(Reinforcements[[#This Row],[Type]]="","",IF(Reinforcements[[#This Row],[Type]]&lt;&gt;"channel","n/a",Reinforcements[[#This Row],[Cw]]))</f>
        <v>n/a</v>
      </c>
      <c r="L11" s="6">
        <f>IFERROR(IF(Reinforcements[[#This Row],[Type]]="","",IF(Reinforcements[[#This Row],[Type]]="plate",Reinforcements[[#This Row],[B (in)]]*Reinforcements[[#This Row],[H (in)]],IF(Reinforcements[[#This Row],[Type]]="solid round",PI()/4*Reinforcements[[#This Row],[Diameter (in)]]^2,""))),"")</f>
        <v>13.5</v>
      </c>
      <c r="M11" s="6">
        <f>IFERROR(IF(Reinforcements[[#This Row],[Type]]="","",IF(Reinforcements[[#This Row],[Type]]="plate",Reinforcements[[#This Row],[H (in)]]/2,"")),"")</f>
        <v>0.75</v>
      </c>
      <c r="N11" s="16" t="s">
        <v>353</v>
      </c>
      <c r="O11" s="6" t="s">
        <v>132</v>
      </c>
      <c r="P11" s="123">
        <f>IFERROR(IF(Reinforcements[[#This Row],[Type]]="","",IF(Reinforcements[[#This Row],[Type]]="plate",Reinforcements[[#This Row],[B (in)]]*Reinforcements[[#This Row],[H (in)]]^3/12,IF(Reinforcements[[#This Row],[Type]]="solid round",PI()/64*Reinforcements[[#This Row],[Diameter (in)]]^4,""))),"")</f>
        <v>2.53125</v>
      </c>
      <c r="Q11" s="123">
        <f>IF(Reinforcements[[#This Row],[Reinforcement]]="","",SQRT(Reinforcements[[#This Row],[Ix]]/Reinforcements[[#This Row],[Gross Area (in2)]]))</f>
        <v>0.4330127018922193</v>
      </c>
      <c r="R11" s="123">
        <f>IFERROR(IF(Reinforcements[[#This Row],[Type]]="","",IF(Reinforcements[[#This Row],[Type]]="plate",Reinforcements[[#This Row],[B (in)]]^3*Reinforcements[[#This Row],[H (in)]]/12,IF(Reinforcements[[#This Row],[Type]]="solid round",PI()/64*Reinforcements[[#This Row],[Diameter (in)]]^4,""))),"")</f>
        <v>91.125</v>
      </c>
      <c r="S11" s="123">
        <f>IF(Reinforcements[[#This Row],[Reinforcement]]="","",SQRT(Reinforcements[[#This Row],[Iy]]/Reinforcements[[#This Row],[Gross Area (in2)]]))</f>
        <v>2.598076211353316</v>
      </c>
      <c r="T11" s="6">
        <v>21</v>
      </c>
      <c r="U11" s="6">
        <v>0.8</v>
      </c>
      <c r="V11" s="6">
        <v>1</v>
      </c>
      <c r="W11" s="6">
        <v>1.1875</v>
      </c>
      <c r="X11" s="6">
        <f>IF(Reinforcements[[#This Row],[Bolt Hole Size (in)]]="","",IF(Reinforcements[[#This Row],[Bolt Hole Size (in)]]="n/a","n/a",Reinforcements[[#This Row],[Bolt Hole Size (in)]]*25.4))</f>
        <v>30.162499999999998</v>
      </c>
      <c r="Y1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6">
        <f>IFERROR(IF(Reinforcements[[#This Row],[Reinforcement]]="","",IF(OR(Reinforcements[[#This Row],[Type]]="plate",Reinforcements[[#This Row],[Type]]="solid round"),1,IF(Reinforcements[[#This Row],[Type]]="arbitrary","",1-Reinforcements[[#This Row],[Pole Face to Centroid (in)]]/Reinforcements[[#This Row],[Connection Length (in) '[Channels']]]))),"")</f>
        <v>1</v>
      </c>
      <c r="AA11" s="16" t="s">
        <v>354</v>
      </c>
      <c r="AB11" s="16" t="str">
        <f>IF(Reinforcements[[#This Row],[Reinforcement]]="","",IF(Reinforcements[[#This Row],[Bottom End Connection Type]]&lt;&gt;"Capacity Input","-",""))</f>
        <v>-</v>
      </c>
      <c r="AC11" s="16" t="str">
        <f>IF(Reinforcements[[#This Row],[Reinforcement]]="","",IF(Reinforcements[[#This Row],[Bottom End Connection Type]]&lt;&gt;"Capacity Input","-",""))</f>
        <v>-</v>
      </c>
      <c r="AD11" s="16" t="str">
        <f>IF(Reinforcements[[#This Row],[Reinforcement]]="","",IF(Reinforcements[[#This Row],[Bottom End Connection Type]]&lt;&gt;"Capacity Input","-",""))</f>
        <v>-</v>
      </c>
      <c r="AE11" s="74" t="s">
        <v>355</v>
      </c>
      <c r="AF11" s="6" t="s">
        <v>356</v>
      </c>
      <c r="AG11" s="6">
        <v>29</v>
      </c>
      <c r="AH11" s="6">
        <v>3</v>
      </c>
      <c r="AI11" s="6">
        <v>2</v>
      </c>
      <c r="AJ11" s="6">
        <f>Reinforcements[[#This Row],[End Connection Edge Distance (in) (B)]]-(Reinforcements[[#This Row],[Bolt Hole Size (in)]]+1/16)/2</f>
        <v>1.375</v>
      </c>
      <c r="AK11" s="6">
        <f>Reinforcements[[#This Row],[End Connection Bolt Spacing (in) (B)]]-(Reinforcements[[#This Row],[Bolt Hole Size (in)]]+1/16)</f>
        <v>1.75</v>
      </c>
      <c r="AL11" s="6">
        <f>Reinforcements[[#This Row],[End Connection Edge Distance (in) (B)]]</f>
        <v>2</v>
      </c>
      <c r="AM11" s="6">
        <f>Reinforcements[[#This Row],[End Connection Bolt Spacing (in) (B)]]</f>
        <v>3</v>
      </c>
      <c r="AN11" s="6" t="str">
        <f>IF(Reinforcements[[#This Row],[Reinforcement]]="","",IF(OR(Reinforcements[[#This Row],[Bottom End Connection Type]]="Bolted",Reinforcements[[#This Row],[Bottom End Connection Type]]=""),"-",""))</f>
        <v>-</v>
      </c>
      <c r="AO11" s="111" t="str">
        <f>IF(Reinforcements[[#This Row],[Reinforcement]]="","",IF(OR(Reinforcements[[#This Row],[Bottom End Connection Type]]="Bolted",Reinforcements[[#This Row],[Bottom End Connection Type]]=""),"-",""))</f>
        <v>-</v>
      </c>
      <c r="AP11" s="111" t="str">
        <f>IF(Reinforcements[[#This Row],[Reinforcement]]="","",IF(OR(Reinforcements[[#This Row],[Bottom End Connection Type]]="Bolted",Reinforcements[[#This Row],[Bottom End Connection Type]]=""),"-",""))</f>
        <v>-</v>
      </c>
      <c r="AQ11" s="111" t="str">
        <f>IF(OR(Reinforcements[[#This Row],[Bottom End Connection Type]]="Bolted",Reinforcements[[#This Row],[Bottom Transverse (Horizontal) Weld]]="none"),"-","")</f>
        <v>-</v>
      </c>
      <c r="AR1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11" t="str">
        <f>IF(OR(Reinforcements[[#This Row],[Bottom Transverse (Horizontal) Weld]]="none",Reinforcements[[#This Row],[Bottom End Connection Type]]="Bolted"),"-","")</f>
        <v>-</v>
      </c>
      <c r="AU1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11" t="str">
        <f>IF(Reinforcements[[#This Row],[Reinforcement]]="","",IF(OR(Reinforcements[[#This Row],[Bottom End Connection Type]]="Bolted",Reinforcements[[#This Row],[Bottom End Connection Type]]=""),"-",""))</f>
        <v>-</v>
      </c>
      <c r="AW11" s="111" t="str">
        <f>IF(Reinforcements[[#This Row],[Reinforcement]]="","",IF(OR(Reinforcements[[#This Row],[Bottom End Connection Type]]&lt;&gt;"Welded",Reinforcements[[#This Row],[Bottom Longitudinal (Vertical) Weld]]="None",Reinforcements[[#This Row],[Bottom Longitudinal (Vertical) Weld]]=""),"-",""))</f>
        <v>-</v>
      </c>
      <c r="AX11" s="111" t="str">
        <f>IF(Reinforcements[[#This Row],[Reinforcement]]="","",IF(OR(Reinforcements[[#This Row],[Bottom End Connection Type]]&lt;&gt;"Welded",Reinforcements[[#This Row],[Bottom Longitudinal (Vertical) Weld]]="None",Reinforcements[[#This Row],[Bottom Longitudinal (Vertical) Weld]]=""),"-",""))</f>
        <v>-</v>
      </c>
      <c r="AY11" s="6" t="str">
        <f>IF(Reinforcements[[#This Row],[Reinforcement]]="","",IF(OR(Reinforcements[[#This Row],[Bottom End Connection Type]]&lt;&gt;"Welded",Reinforcements[[#This Row],[Bottom Longitudinal (Vertical) Weld]]="None"),"-",SQRT(2)/2*Reinforcements[[#This Row],[Bottom Longitudinal Weld Fillet Size (in)]]))</f>
        <v>-</v>
      </c>
      <c r="AZ11" s="6" t="s">
        <v>357</v>
      </c>
      <c r="BA11" s="16" t="str">
        <f>IF(Reinforcements[[#This Row],[Top End Connection Same?]]="Yes",Reinforcements[[#This Row],[Bottom End Connection Type]],"")</f>
        <v>Bolted</v>
      </c>
      <c r="BB11" s="16" t="str">
        <f>IF(Reinforcements[[#This Row],[Reinforcement]]="","",IF(Reinforcements[[#This Row],[Top End Connection Same?]]="Yes",Reinforcements[[#This Row],[Rev. F Bottom Connection Capacity (kips)]],IF(Reinforcements[[#This Row],[Reinforcement]]="","",IF(Reinforcements[[#This Row],[Top End Connection Type]]&lt;&gt;"Capacity Input","-",""))))</f>
        <v>-</v>
      </c>
      <c r="BC11" s="16" t="str">
        <f>IF(Reinforcements[[#This Row],[Reinforcement]]="","",IF(Reinforcements[[#This Row],[Top End Connection Same?]]="Yes",Reinforcements[[#This Row],[Rev. G Bottom Connection Capacity (kips)]],IF(Reinforcements[[#This Row],[Reinforcement]]="","",IF(Reinforcements[[#This Row],[Top End Connection Type]]&lt;&gt;"Capacity Input","-",""))))</f>
        <v>-</v>
      </c>
      <c r="BD11" s="16" t="str">
        <f>IF(Reinforcements[[#This Row],[Reinforcement]]="","",IF(Reinforcements[[#This Row],[Top End Connection Same?]]="Yes",Reinforcements[[#This Row],[Rev. G Bottom Connection Capacity (kips)]],IF(Reinforcements[[#This Row],[Reinforcement]]="","",IF(Reinforcements[[#This Row],[Top End Connection Type]]&lt;&gt;"Capacity Input","-",""))))</f>
        <v>-</v>
      </c>
      <c r="BE11" s="74" t="s">
        <v>355</v>
      </c>
      <c r="BF11" s="6" t="str">
        <f>IF(Reinforcements[[#This Row],[Top End Connection Same?]]="Yes",Reinforcements[[#This Row],[Threads Included (N) or Excluded (X) (Bottom)]],IF(Reinforcements[[#This Row],[Top End Connection Type]]="Welded","-",""))</f>
        <v>N</v>
      </c>
      <c r="BG11" s="6">
        <f>IF(Reinforcements[[#This Row],[Top End Connection Same?]]="Yes",Reinforcements[[#This Row],['# of End Connection Bolts          (Bottom)]],IF(Reinforcements[[#This Row],[Top End Connection Type]]="Welded","-",""))</f>
        <v>29</v>
      </c>
      <c r="BH11" s="6">
        <f>IF(Reinforcements[[#This Row],[Top End Connection Same?]]="Yes",Reinforcements[[#This Row],[End Connection Bolt Spacing (in) (B)]],IF(Reinforcements[[#This Row],[Top End Connection Type]]="Welded","-",""))</f>
        <v>3</v>
      </c>
      <c r="BI11" s="6">
        <f>IF(Reinforcements[[#This Row],[Top End Connection Same?]]="Yes",Reinforcements[[#This Row],[End Connection Edge Distance (in) (B)]],IF(Reinforcements[[#This Row],[Top End Connection Type]]="Welded","-",""))</f>
        <v>2</v>
      </c>
      <c r="BJ11" s="6">
        <f>Reinforcements[[#This Row],[End Connection Edge Distance (in) (T)]]-(Reinforcements[[#This Row],[Bolt Hole Size (in)]]+1/16)/2</f>
        <v>1.375</v>
      </c>
      <c r="BK11" s="6">
        <f>Reinforcements[[#This Row],[End Connection Bolt Spacing (in) (T)]]-(Reinforcements[[#This Row],[Bolt Hole Size (in)]]+1/16)</f>
        <v>1.75</v>
      </c>
      <c r="BL11" s="6">
        <f>Reinforcements[[#This Row],[End Connection Edge Distance (in) (T)]]</f>
        <v>2</v>
      </c>
      <c r="BM11" s="6">
        <f>Reinforcements[[#This Row],[End Connection Bolt Spacing (in) (T)]]</f>
        <v>3</v>
      </c>
      <c r="BN11" s="6" t="str">
        <f>IF(Reinforcements[[#This Row],[Reinforcement]]="","",IF(Reinforcements[[#This Row],[Top End Connection Same?]]="Yes",Reinforcements[[#This Row],[Bottom Connected to Flange/Base Plate?]],IF(Reinforcements[[#This Row],[Top End Connection Type]]="Bolted","-","")))</f>
        <v>-</v>
      </c>
      <c r="BO11" s="6" t="str">
        <f>IF(Reinforcements[[#This Row],[Reinforcement]]="","",IF(Reinforcements[[#This Row],[Top End Connection Same?]]="Yes",Reinforcements[[#This Row],[Bottom Weld Grade (ksi)]],IF(OR(Reinforcements[[#This Row],[Top End Connection Type]]&lt;&gt;"Welded",Reinforcements[[#This Row],[Top End Connection Type]]=""),"-","")))</f>
        <v>-</v>
      </c>
      <c r="BP11" s="6" t="str">
        <f>IF($AZ11="Yes",AP11,IF(Reinforcements[[#This Row],[Reinforcement]]="","",IF(OR(Reinforcements[[#This Row],[Top End Connection Type]]&lt;&gt;"Welded",Reinforcements[[#This Row],[Top End Connection Type]]=""),"-","")))</f>
        <v>-</v>
      </c>
      <c r="BQ11" s="6" t="str">
        <f>IF(Reinforcements[[#This Row],[Reinforcement]]="","",IF($AZ11="Yes",AQ11,IF(OR(Reinforcements[[#This Row],[Top End Connection Type]]&lt;&gt;"Welded",Reinforcements[[#This Row],[Top Transverse (Horizontal) Weld]]="none",Reinforcements[[#This Row],[Top Transverse (Horizontal) Weld]]=""),"-","")))</f>
        <v>-</v>
      </c>
      <c r="BR11" s="6"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6"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6" t="str">
        <f>IF(Reinforcements[[#This Row],[Reinforcement]]="","",IF($AZ11="Yes",AT11,IF(OR(Reinforcements[[#This Row],[Top Transverse (Horizontal) Weld]]="none",Reinforcements[[#This Row],[Top End Connection Type]]&lt;&gt;"Welded",Reinforcements[[#This Row],[Top Transverse (Horizontal) Weld]]=""),"-","")))</f>
        <v>-</v>
      </c>
      <c r="BU11" s="6"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6" t="str">
        <f>IF($AZ11="Yes",AV11,IF(Reinforcements[[#This Row],[Reinforcement]]="","",IF(OR(Reinforcements[[#This Row],[Top End Connection Type]]&lt;&gt;"Welded",Reinforcements[[#This Row],[Top End Connection Type]]=""),"-","")))</f>
        <v>-</v>
      </c>
      <c r="BW11" s="6"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6"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6" t="str">
        <f>IF($AZ11="Yes",AY11,IF(Reinforcements[[#This Row],[Reinforcement]]="","",IF(OR(Reinforcements[[#This Row],[Top End Connection Type]]&lt;&gt;"Welded",Reinforcements[[#This Row],[Top Longitudinal (Vertical) Weld]]="none"),"-",SQRT(2)/2*Reinforcements[[#This Row],[Top Longitudinal Weld Fillet Size (in)]])))</f>
        <v>-</v>
      </c>
      <c r="BZ11"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11">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11">
        <f>IF(Reinforcements[[#This Row],[Reinforcement]]="","",IF(Reinforcements[[#This Row],[Top End Connection Type]]&lt;&gt;"Bolted","n/a",(Reinforcements[[#This Row],['# of End Connection Bolts          (Top)]]-1)*Reinforcements[[#This Row],[End Connection Bolt Spacing (in) (T)]]+Reinforcements[[#This Row],[End Connection Edge Distance (in) (T)]]))</f>
        <v>86</v>
      </c>
      <c r="CC1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6">
        <f>IFERROR(IF(Reinforcements[[#This Row],[Type]]="","",Reinforcements[[#This Row],[Effective B (in)]]*Reinforcements[[#This Row],[Effective H (in)]]^3/12),"")</f>
        <v>2.53125</v>
      </c>
      <c r="CF11" s="6">
        <f>IFERROR(IF(Reinforcements[[#This Row],[Type]]="","",Reinforcements[[#This Row],[Effective B (in)]]^3*Reinforcements[[#This Row],[Effective H (in)]]/12),"")</f>
        <v>91.125</v>
      </c>
      <c r="CG11" s="126">
        <f>SQRT(2*PI()^2*29000/VLOOKUP(Reinforcements[[#This Row],[Material]],Materials[],2,FALSE))</f>
        <v>75.659570132481107</v>
      </c>
      <c r="CH1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23">
        <f>Reinforcements[[#This Row],[Effective Length Factor Kx]]*Reinforcements[[#This Row],[Lu (in)]]/(Reinforcements[[#This Row],[rx]]*PI())*SQRT(VLOOKUP(Reinforcements[[#This Row],[Material]],Materials[],2,FALSE)/29000)</f>
        <v>0.72520330398741961</v>
      </c>
      <c r="CK11" s="123">
        <f>Reinforcements[[#This Row],[Effective Length Factor Ky]]*Reinforcements[[#This Row],[Lu (in)]]/(Reinforcements[[#This Row],[ry]]*PI())*SQRT(VLOOKUP(Reinforcements[[#This Row],[Material]],Materials[],2,FALSE)/29000)</f>
        <v>0.15108402166404575</v>
      </c>
      <c r="CL11" s="123">
        <f>IF(Reinforcements[[#This Row],[λcx]]&lt;=1.5,0.658^(Reinforcements[[#This Row],[λcx]]^2)*Reinforcements[[#This Row],[F''y]],0.877/(Reinforcements[[#This Row],[λcx]]^2)*Reinforcements[[#This Row],[F''y]])</f>
        <v>80.241934911701506</v>
      </c>
      <c r="CM11" s="123">
        <f>IF(Reinforcements[[#This Row],[λcy]]&lt;=1.5,0.658^(Reinforcements[[#This Row],[λcy]]^2)*Reinforcements[[#This Row],[F''y]],0.877/(Reinforcements[[#This Row],[λcy]]^2)*Reinforcements[[#This Row],[F''y]])</f>
        <v>99.049150440718705</v>
      </c>
      <c r="CN11" s="6">
        <f>VLOOKUP(Reinforcements[[#This Row],[Material]],Materials[],2,FALSE)</f>
        <v>100</v>
      </c>
      <c r="CO11" s="126">
        <f>IF(Reinforcements[[#This Row],[Reinforcement]]="","",Reinforcements[[#This Row],[Fax]]*Reinforcements[[#This Row],[Gross Area (in2)]])</f>
        <v>636.49960862348519</v>
      </c>
      <c r="CP11" s="126">
        <f>IF(Reinforcements[[#This Row],[Reinforcement]]="","",Reinforcements[[#This Row],[Fay]]*Reinforcements[[#This Row],[Gross Area (in2)]])</f>
        <v>786.54319417347278</v>
      </c>
      <c r="CQ11" s="126">
        <f>IF(Reinforcements[[#This Row],[Reinforcement]]="","",0.6*VLOOKUP(Reinforcements[[#This Row],[Material]],Materials[],2,FALSE)*Reinforcements[[#This Row],[Gross Area (in2)]])</f>
        <v>810</v>
      </c>
      <c r="CR11" s="126">
        <f>IF(Reinforcements[[#This Row],[Reinforcement]]="","",0.5*VLOOKUP(Reinforcements[[#This Row],[Material]],Materials[],3,FALSE)*Reinforcements[[#This Row],[Net Area (in2)]]*Reinforcements[[#This Row],[Shear Lag (U)]])</f>
        <v>639.375</v>
      </c>
      <c r="CS11" s="126">
        <f>IF(Reinforcements[[#This Row],[Reinforcement]]="","",0.4*VLOOKUP(Reinforcements[[#This Row],[Material]],Materials[],2,FALSE)*Reinforcements[[#This Row],[Gross Area (in2)]])</f>
        <v>540</v>
      </c>
      <c r="CT11"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6"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6"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26">
        <f>IF(Reinforcements[[#This Row],[Reinforcement]]="","",φ_c*Reinforcements[[#This Row],[Fcr,x]]*Reinforcements[[#This Row],[Gross Area (in2)]])</f>
        <v>974.93950917717325</v>
      </c>
      <c r="DI11" s="126">
        <f>IF(Reinforcements[[#This Row],[Reinforcement]]="","",φ_c*Reinforcements[[#This Row],[Fcr,y]]*Reinforcements[[#This Row],[Gross Area (in2)]])</f>
        <v>1203.4471778547322</v>
      </c>
      <c r="DJ11" s="126">
        <f>IF(Reinforcements[[#This Row],[Reinforcement]]="","",φ_t_y*VLOOKUP(Reinforcements[[#This Row],[Material]],Materials[],2,FALSE)*Reinforcements[[#This Row],[Gross Area (in2)]])</f>
        <v>1215</v>
      </c>
      <c r="DK11" s="126">
        <f>IF(Reinforcements[[#This Row],[Reinforcement]]="","",φ_t_r*VLOOKUP(Reinforcements[[#This Row],[Material]],Materials[],3,FALSE)*Reinforcements[[#This Row],[Net Area (in2)]]*Reinforcements[[#This Row],[Shear Lag (U)]])</f>
        <v>959.0625</v>
      </c>
      <c r="DL11" s="126">
        <f>IF(Reinforcements[[#This Row],[Reinforcement]]="","",φ_v*0.5*Reinforcements[[#This Row],[F''y]]*Reinforcements[[#This Row],[Gross Area (in2)]])</f>
        <v>607.5</v>
      </c>
      <c r="DM11"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6"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6"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111" t="str">
        <f>IF(OR(Reinforcements[[#This Row],[Type]]="plate",Reinforcements[[#This Row],[Type]]="solid round"),"N/A",Reinforcements[[#This Row],[B (in)]])</f>
        <v>N/A</v>
      </c>
      <c r="EB11" s="6" t="str">
        <f>IF(OR(Reinforcements[[#This Row],[Type]]="plate",Reinforcements[[#This Row],[Type]]="solid round"),"N/A",Reinforcements[[#This Row],[H (in)]])</f>
        <v>N/A</v>
      </c>
      <c r="EC11" s="6" t="str">
        <f>IF(OR(Reinforcements[[#This Row],[Type]]="plate",Reinforcements[[#This Row],[Type]]="solid round"),"N/A",Reinforcements[[#This Row],[B (in)]]-Reinforcements[[#This Row],['[Channel'] Flange Thickness (in)]])</f>
        <v>N/A</v>
      </c>
      <c r="ED11" s="6" t="str">
        <f>IF(OR(Reinforcements[[#This Row],[Type]]="plate",Reinforcements[[#This Row],[Type]]="solid round"),"N/A",Reinforcements[[#This Row],['[Channel']Web Thickness (in)]])</f>
        <v>N/A</v>
      </c>
      <c r="EE11" s="6" t="str">
        <f>IF(OR(Reinforcements[[#This Row],[Type]]="plate",Reinforcements[[#This Row],[Type]]="solid round"),"N/A",Reinforcements[[#This Row],['[Channel'] Flange Thickness (in)]])</f>
        <v>N/A</v>
      </c>
      <c r="EF11" s="6" t="str">
        <f>IF(Reinforcements[[#This Row],[Type]]="channel",Reinforcements[[#This Row],[Channel Flange Width, b]]/Reinforcements[[#This Row],[Channel flange thickness, tf]],"N/A")</f>
        <v>N/A</v>
      </c>
      <c r="EG11" s="6" t="str">
        <f>IF(Reinforcements[[#This Row],[Type]]="channel",Reinforcements[[#This Row],[Channel inside depth, T]]/Reinforcements[[#This Row],[Channel web thickness, tw]],"N/A")</f>
        <v>N/A</v>
      </c>
      <c r="EH11" s="6">
        <f>29000</f>
        <v>29000</v>
      </c>
      <c r="EI11" s="6" t="str">
        <f>IF(Reinforcements[[#This Row],[Type]]="channel",0.56*SQRT(Reinforcements[[#This Row],[E, (ksi)]]/Reinforcements[[#This Row],[Fy, (ksi)]]),"N/A")</f>
        <v>N/A</v>
      </c>
      <c r="EJ11" s="6" t="str">
        <f>IF(Reinforcements[[#This Row],[Type]]="channel",1.49*SQRT(Reinforcements[[#This Row],[E, (ksi)]]/Reinforcements[[#This Row],[Fy, (ksi)]]),"N/A")</f>
        <v>N/A</v>
      </c>
      <c r="EK11" s="6">
        <f>VLOOKUP(Reinforcements[[#This Row],[Material]],Materials!$B$2:$C$30,2,FALSE)</f>
        <v>100</v>
      </c>
      <c r="EL11" s="6">
        <f>Reinforcements[[#This Row],[Lu (in)]]*Reinforcements[[#This Row],[Effective Length Factor Kx]]</f>
        <v>16.8</v>
      </c>
      <c r="EM11" s="6">
        <f>Reinforcements[[#This Row],[Lu (in)]]*Reinforcements[[#This Row],[Effective Length Factor Ky]]</f>
        <v>21</v>
      </c>
      <c r="EN11" s="6">
        <f>Reinforcements[[#This Row],[rx]]</f>
        <v>0.4330127018922193</v>
      </c>
      <c r="EO11" s="6">
        <f>Reinforcements[[#This Row],[ry]]</f>
        <v>2.598076211353316</v>
      </c>
      <c r="EP11" s="6">
        <f>Reinforcements[[#This Row],[Lcx (in)]]/Reinforcements[[#This Row],[rx (in)]]</f>
        <v>38.797938089542853</v>
      </c>
      <c r="EQ11" s="6">
        <f>Reinforcements[[#This Row],[Lcy (in)]]/Reinforcements[[#This Row],[ry (in)]]</f>
        <v>8.0829037686547611</v>
      </c>
      <c r="ER11" s="6">
        <f>((PI()^2)*Reinforcements[[#This Row],[E, (ksi)]])/(Reinforcements[[#This Row],[Lcx/rx]]^2)</f>
        <v>190.14304822464348</v>
      </c>
      <c r="ES11" s="6">
        <f>((PI()^2)*Reinforcements[[#This Row],[E, (ksi)]])/(Reinforcements[[#This Row],[Lcy/ry]]^2)</f>
        <v>4380.895831095786</v>
      </c>
      <c r="ET11" s="6">
        <f>4.71*(SQRT(Reinforcements[[#This Row],[E, (ksi)]]/Reinforcements[[#This Row],[Fy, (ksi)]]))</f>
        <v>80.20840978351336</v>
      </c>
      <c r="EU11" s="6">
        <f>IF(Reinforcements[[#This Row],[Lcx/rx]]&lt;=Reinforcements[[#This Row],[Fcr Limit]],(0.658^(Reinforcements[[#This Row],[Fy, (ksi)]]/Reinforcements[[#This Row],[Fex, FB (ksi)]]))*Reinforcements[[#This Row],[Fy, (ksi)]],0.877*Reinforcements[[#This Row],[Fex, FB (ksi)]])</f>
        <v>80.241934911701506</v>
      </c>
      <c r="EV11" s="6">
        <f>IF(Reinforcements[[#This Row],[Lcy/ry]]&lt;=Reinforcements[[#This Row],[Fcr Limit]],(0.658^(Reinforcements[[#This Row],[Fy, (ksi)]]/Reinforcements[[#This Row],[Fey, FB (ksi)]]))*Reinforcements[[#This Row],[Fy, (ksi)]],0.877*Reinforcements[[#This Row],[Fey, FB (ksi)]])</f>
        <v>99.049150440718705</v>
      </c>
      <c r="EW11" s="6">
        <f>Reinforcements[[#This Row],[Fcrx (ksi)]]*Reinforcements[[#This Row],[Gross Area (in2)]]</f>
        <v>1083.2661213079703</v>
      </c>
      <c r="EX11" s="6">
        <f>Reinforcements[[#This Row],[Fcry (ksi)]]*Reinforcements[[#This Row],[Gross Area (in2)]]</f>
        <v>1337.1635309497026</v>
      </c>
      <c r="EY11" s="6" t="str">
        <f>IF(Reinforcements[[#This Row],[Type]]="channel",0,"N/A")</f>
        <v>N/A</v>
      </c>
      <c r="EZ11" s="6" t="str">
        <f>IF(Reinforcements[[#This Row],[Type]]="channel",Reinforcements[[#This Row],[Channel Flange Width, b]]-(0.5*Reinforcements[[#This Row],[Channel web thickness, tw]]),"N/A")</f>
        <v>N/A</v>
      </c>
      <c r="FA11" s="6" t="str">
        <f>IF(Reinforcements[[#This Row],[Type]]="channel",Reinforcements[[#This Row],[Channel Height, h]]-Reinforcements[[#This Row],[Channel flange thickness, tf]],"N/A")</f>
        <v>N/A</v>
      </c>
      <c r="FB11" s="6" t="str">
        <f>IF(Reinforcements[[#This Row],[Type]]="channel",Reinforcements[[#This Row],[Channel web thickness, tw]],"N/A")</f>
        <v>N/A</v>
      </c>
      <c r="FC11" s="6" t="str">
        <f>IF(Reinforcements[[#This Row],[Type]]="channel",((3*Reinforcements[[#This Row],[b]]^2)/(Reinforcements[[#This Row],[h]]+(6*Reinforcements[[#This Row],[b]])))-Reinforcements[[#This Row],[t]]/2,"N/A")</f>
        <v>N/A</v>
      </c>
      <c r="FD11" s="6">
        <f>Reinforcements[[#This Row],[Pole Face to Centroid (in)]]</f>
        <v>0.75</v>
      </c>
      <c r="FE11" s="6" t="str">
        <f>IF(Reinforcements[[#This Row],[Type]]="channel",Reinforcements[[#This Row],[x(bar)]]+Reinforcements[[#This Row],['[Channel'] e0 (in)]],"N/A")</f>
        <v>N/A</v>
      </c>
      <c r="FF11" s="6" t="str">
        <f>IF(Reinforcements[[#This Row],[Type]]="channel",Reinforcements[[#This Row],[Ix]],"N/A")</f>
        <v>N/A</v>
      </c>
      <c r="FG11" s="6" t="str">
        <f>IF(Reinforcements[[#This Row],[Type]]="channel",Reinforcements[[#This Row],[Iy]],"N/A")</f>
        <v>N/A</v>
      </c>
      <c r="FH11" s="6" t="str">
        <f>IF(Reinforcements[[#This Row],[Type]]="channel",Reinforcements[[#This Row],[Gross Area (in2)]],"N/A")</f>
        <v>N/A</v>
      </c>
      <c r="FI11" s="6" t="str">
        <f>IF(Reinforcements[[#This Row],[Type]]="channel",(Reinforcements[[#This Row],[xo]]^2)+((Reinforcements[[#This Row],[Ix (FTB)]]+Reinforcements[[#This Row],[Iy (FTB)]])/Reinforcements[[#This Row],[Ag]]),"N/A")</f>
        <v>N/A</v>
      </c>
      <c r="FJ11" s="6" t="str">
        <f>IF(Reinforcements[[#This Row],[Type]]="channel",Reinforcements[[#This Row],[Lu (in)]],"N/A")</f>
        <v>N/A</v>
      </c>
      <c r="FK11" s="6" t="str">
        <f>IF(Reinforcements[[#This Row],[Type]]="channel",Reinforcements[[#This Row],[Effective Length Factor Kx]],"N/A")</f>
        <v>N/A</v>
      </c>
      <c r="FL11" s="6" t="str">
        <f>IF(Reinforcements[[#This Row],[Type]]="channel",Reinforcements[[#This Row],[Kz]]*Reinforcements[[#This Row],[Lz]],"N/A")</f>
        <v>N/A</v>
      </c>
      <c r="FM11" s="6" t="str">
        <f>IF(Reinforcements[[#This Row],[Type]]="channel",(((Reinforcements[[#This Row],[t]]^3)/3)*(Reinforcements[[#This Row],[h]]+(2*Reinforcements[[#This Row],[b]]))),"N/A")</f>
        <v>N/A</v>
      </c>
      <c r="FN11" s="6" t="str">
        <f>IF(Reinforcements[[#This Row],[Type]]="channel",(1-(((Reinforcements[[#This Row],[xo]]^2)+(Reinforcements[[#This Row],[yo]]^2))/Reinforcements[[#This Row],[ro^2(bar)]])),"N/A")</f>
        <v>N/A</v>
      </c>
      <c r="FO11" s="6">
        <v>11200</v>
      </c>
      <c r="FP11" s="6" t="str">
        <f>IF(Reinforcements[[#This Row],[Type]]="channel",(((Reinforcements[[#This Row],[h]]^2)*(Reinforcements[[#This Row],[b]]^3)*Reinforcements[[#This Row],[t]])/12)*(((2*Reinforcements[[#This Row],[h]])+(3*Reinforcements[[#This Row],[b]]))/(Reinforcements[[#This Row],[h]]+(6*Reinforcements[[#This Row],[b]]))),"N/A")</f>
        <v>N/A</v>
      </c>
      <c r="FQ11" s="6" t="str">
        <f>IF(Reinforcements[[#This Row],[Type]]="Channel",((((PI()^2)*Reinforcements[[#This Row],[E, (ksi)]]*Reinforcements[[#This Row],['[Channel'] CW (in6)]])/(Reinforcements[[#This Row],[Lcz]]^2))+(Reinforcements[[#This Row],[G]]*Reinforcements[[#This Row],['[Channel'] J (in4)]]))*(1/(Reinforcements[[#This Row],[Ag]]*Reinforcements[[#This Row],[ro^2(bar)]])),"N/A")</f>
        <v>N/A</v>
      </c>
      <c r="FR11" s="6" t="str">
        <f>IF(Reinforcements[[#This Row],[Type]]="channel",((PI()^2)*Reinforcements[[#This Row],[E, (ksi)]])/(Reinforcements[[#This Row],[Lcy/ry]]^2),"N/A")</f>
        <v>N/A</v>
      </c>
      <c r="FS11" s="6" t="str">
        <f>IF(Reinforcements[[#This Row],[Type]]="channel",((Reinforcements[[#This Row],[Fey]]+Reinforcements[[#This Row],[Fez]])/(2*Reinforcements[[#This Row],[H2]]))*(1-SQRT(1-((4*Reinforcements[[#This Row],[Fey]]*Reinforcements[[#This Row],[Fez]]*Reinforcements[[#This Row],[H2]])/(Reinforcements[[#This Row],[Fey]]+Reinforcements[[#This Row],[Fez]])^2))),"N/A")</f>
        <v>N/A</v>
      </c>
      <c r="FT11" s="6" t="str">
        <f>IF(Reinforcements[[#This Row],[Type]]="channel",IF(Reinforcements[[#This Row],[Lcx/rx]]&gt;(4.71*SQRT(Reinforcements[[#This Row],[E, (ksi)]]/Reinforcements[[#This Row],[Fy, (ksi)]])),0.877*Reinforcements[[#This Row],[Fe (FTB)]],0.658^(Reinforcements[[#This Row],[Fy, (ksi)]]/Reinforcements[[#This Row],[Fe (FTB)]])*Reinforcements[[#This Row],[Fy, (ksi)]]),"N/A")</f>
        <v>N/A</v>
      </c>
      <c r="FU11" s="6" t="str">
        <f>IF(Reinforcements[[#This Row],[Type]]="channel",MIN(Reinforcements[[#This Row],[Fcr(FTB)]],Reinforcements[[#This Row],[Fcry (ksi)]]),"N/A")</f>
        <v>N/A</v>
      </c>
      <c r="FV11" s="6">
        <v>0.22</v>
      </c>
      <c r="FW11" s="6">
        <v>1.49</v>
      </c>
      <c r="FX11" s="6" t="str">
        <f>IF(Reinforcements[[#This Row],[Type]]="channel",((Reinforcements[[#This Row],[c2]]*(Reinforcements[[#This Row],[λrf]]/Reinforcements[[#This Row],[λf]]))^2)*Reinforcements[[#This Row],[Fy, (ksi)]],"N/A")</f>
        <v>N/A</v>
      </c>
      <c r="FY11" s="6" t="str">
        <f>IF(Reinforcements[[#This Row],[Type]]="channel",((Reinforcements[[#This Row],[c2]]*(Reinforcements[[#This Row],[λrw]]/Reinforcements[[#This Row],[λw]]))^2)*Reinforcements[[#This Row],[Fy, (ksi)]],"N/A")</f>
        <v>N/A</v>
      </c>
      <c r="FZ11"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6" t="str">
        <f>IF(Reinforcements[[#This Row],[Type]]="channel",Reinforcements[[#This Row],[Fcr]]*Reinforcements[[#This Row],[Ae]],"N/A")</f>
        <v>N/A</v>
      </c>
      <c r="GD11">
        <f>IF(Reinforcements[[#This Row],[Reinforcement]]="","",φ_c*Reinforcements[[#This Row],[Pnx, FB (kip)]])</f>
        <v>974.93950917717325</v>
      </c>
      <c r="GE11">
        <f>IF(Reinforcements[[#This Row],[Reinforcement]]="","",IF(Reinforcements[[#This Row],[Type]]="channel",φ_c*Reinforcements[[#This Row],[Pn]],φ_c*Reinforcements[[#This Row],[Pny, FB (kip)]]))</f>
        <v>1203.4471778547324</v>
      </c>
      <c r="GF11">
        <f>Reinforcements[[#This Row],[Rev. G Tension Yield Capacity (kips)]]</f>
        <v>1215</v>
      </c>
      <c r="GG11">
        <f>Reinforcements[[#This Row],[Rev. G Tension Rupture Capacity (kips)]]</f>
        <v>959.0625</v>
      </c>
      <c r="GH11">
        <f>Reinforcements[[#This Row],[Rev. G Shear Capacity (kips)]]</f>
        <v>607.5</v>
      </c>
      <c r="GI11">
        <f>IFERROR((Reinforcements[[#This Row],['# of End Connection Bolts          (Bottom)]]-1)*Reinforcements[[#This Row],[End Connection Bolt Spacing (in) (B)]],"-")</f>
        <v>84</v>
      </c>
      <c r="GJ11">
        <f>IFERROR(IF(VLOOKUP(Reinforcements[[#This Row],[Bottom End Connection Bolt Type]],Bolts[],COLUMN(Bolts[[#Headers],[Rev. H Apply Connection Length Reduction Factor (Rb)?]])-1,FALSE)="Yes",(IF(Reinforcements[[#This Row],[Lb(bottom)]]&lt;=16,1,IF(Reinforcements[[#This Row],[Lb(bottom)]]&gt;38,0.75,0.9))),1),"-")</f>
        <v>1</v>
      </c>
      <c r="GK11">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f>IFERROR(IF(Reinforcements[[#This Row],[Top End Connection Same?]]="Yes",Reinforcements[[#This Row],[Lb(bottom)]],(Reinforcements[[#This Row],['# of End Connection Bolts          (Top)]]-1)*Reinforcements[[#This Row],[End Connection Bolt Spacing (in) (T)]]),"-")</f>
        <v>84</v>
      </c>
      <c r="GM11">
        <f>IFERROR(IF(VLOOKUP(Reinforcements[[#This Row],[Top End Connection Bolt Type]],Bolts[],COLUMN(Bolts[[#Headers],[Rev. H Apply Connection Length Reduction Factor (Rb)?]])-1,FALSE)=TRUE,(IF(Reinforcements[[#This Row],[Lb(top)]]&lt;=16,1,IF(Reinforcements[[#This Row],[Lb(top)]]&gt;38,0.75,0.9))),1),"-")</f>
        <v>0.75</v>
      </c>
      <c r="GN1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f>Reinforcements[[#This Row],[Rev. G Bolt-Shaft Bearing Capacity (Bottom)                No Deformation          (*t*Fu kips)]]</f>
        <v>56.904566929133857</v>
      </c>
      <c r="GP11">
        <f>Reinforcements[[#This Row],[Rev. G Bolt-Shaft Bearing Capacity (Bottom)                   Deformation          (*t*Fu kips)]]</f>
        <v>71.13070866141733</v>
      </c>
      <c r="GQ11">
        <f>Reinforcements[[#This Row],[Rev. G Bolt-Shaft Bearing Capacity (Top)                    No Deformation          (*t*Fu kips)]]</f>
        <v>56.904566929133857</v>
      </c>
      <c r="GR11">
        <f>Reinforcements[[#This Row],[Rev. G Bolt-Shaft Bearing Capacity (Top)                        Deformation          (*t*Fu kips)]]</f>
        <v>71.13070866141733</v>
      </c>
      <c r="GS11">
        <f>Reinforcements[[#This Row],[Rev. G Bolt-Reinf. Bearing Capacity (Bottom)            No Deformation (kips)]]</f>
        <v>9290.5653543307089</v>
      </c>
      <c r="GT11">
        <f>Reinforcements[[#This Row],[Rev. G Bolt-Reinf. Bearing Capacity (Bottom)               Deformation (kips)]]</f>
        <v>11613.206692913385</v>
      </c>
      <c r="GU11">
        <f>Reinforcements[[#This Row],[Rev. G Bolt-Reinf. Bearing Capacity (Top)                  No Deformation (kips)]]</f>
        <v>9290.5653543307089</v>
      </c>
      <c r="GV11">
        <f>Reinforcements[[#This Row],[Rev. G Bolt-Reinf. Bearing Capacity (Top)               Deformation (kips)]]</f>
        <v>11613.206692913385</v>
      </c>
      <c r="GW11" t="str">
        <f>Reinforcements[[#This Row],[Rev. G Bottom Transverse Weld Strength]]</f>
        <v>-</v>
      </c>
      <c r="GX11" t="str">
        <f>Reinforcements[[#This Row],[Rev. G Bottom Longitudinal Weld Strength]]</f>
        <v>-</v>
      </c>
      <c r="GY11" t="str">
        <f>Reinforcements[[#This Row],[Rev. G Top Transverse Weld Strength]]</f>
        <v>-</v>
      </c>
      <c r="GZ11" t="str">
        <f>Reinforcements[[#This Row],[Rev. G Top Longitudinal Weld Strength]]</f>
        <v>-</v>
      </c>
      <c r="HA11">
        <v>9</v>
      </c>
      <c r="HB11"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49" t="s">
        <v>366</v>
      </c>
      <c r="C12" s="49" t="s">
        <v>352</v>
      </c>
      <c r="D12" s="6">
        <v>10</v>
      </c>
      <c r="E12" s="6">
        <v>1.5</v>
      </c>
      <c r="F12" s="6" t="str">
        <f>IF(Reinforcements[[#This Row],[Type]]="","",IF(Reinforcements[[#This Row],[Type]]="solid round","","n/a"))</f>
        <v>n/a</v>
      </c>
      <c r="G12" s="6" t="str">
        <f>IF(Reinforcements[[#This Row],[Type]]="","",IF(Reinforcements[[#This Row],[Type]]&lt;&gt;"channel","n/a",""))</f>
        <v>n/a</v>
      </c>
      <c r="H12" s="6" t="str">
        <f>IF(Reinforcements[[#This Row],[Type]]="","",IF(Reinforcements[[#This Row],[Type]]&lt;&gt;"channel","n/a",""))</f>
        <v>n/a</v>
      </c>
      <c r="I12" s="126" t="str">
        <f>IF(Reinforcements[[#This Row],[Type]]="","",IF(Reinforcements[[#This Row],[Type]]&lt;&gt;"channel","n/a",Reinforcements[[#This Row],[eo]]))</f>
        <v>n/a</v>
      </c>
      <c r="J12" s="126" t="str">
        <f>IF(Reinforcements[[#This Row],[Type]]="","",IF(Reinforcements[[#This Row],[Type]]&lt;&gt;"channel","n/a",Reinforcements[[#This Row],[J]]))</f>
        <v>n/a</v>
      </c>
      <c r="K12" s="126" t="str">
        <f>IF(Reinforcements[[#This Row],[Type]]="","",IF(Reinforcements[[#This Row],[Type]]&lt;&gt;"channel","n/a",Reinforcements[[#This Row],[Cw]]))</f>
        <v>n/a</v>
      </c>
      <c r="L12" s="6">
        <f>IFERROR(IF(Reinforcements[[#This Row],[Type]]="","",IF(Reinforcements[[#This Row],[Type]]="plate",Reinforcements[[#This Row],[B (in)]]*Reinforcements[[#This Row],[H (in)]],IF(Reinforcements[[#This Row],[Type]]="solid round",PI()/4*Reinforcements[[#This Row],[Diameter (in)]]^2,""))),"")</f>
        <v>15</v>
      </c>
      <c r="M12" s="6">
        <f>IFERROR(IF(Reinforcements[[#This Row],[Type]]="","",IF(Reinforcements[[#This Row],[Type]]="plate",Reinforcements[[#This Row],[H (in)]]/2,"")),"")</f>
        <v>0.75</v>
      </c>
      <c r="N12" s="16" t="s">
        <v>353</v>
      </c>
      <c r="O12" s="6" t="s">
        <v>132</v>
      </c>
      <c r="P12" s="123">
        <f>IFERROR(IF(Reinforcements[[#This Row],[Type]]="","",IF(Reinforcements[[#This Row],[Type]]="plate",Reinforcements[[#This Row],[B (in)]]*Reinforcements[[#This Row],[H (in)]]^3/12,IF(Reinforcements[[#This Row],[Type]]="solid round",PI()/64*Reinforcements[[#This Row],[Diameter (in)]]^4,""))),"")</f>
        <v>2.8125</v>
      </c>
      <c r="Q12" s="123">
        <f>IF(Reinforcements[[#This Row],[Reinforcement]]="","",SQRT(Reinforcements[[#This Row],[Ix]]/Reinforcements[[#This Row],[Gross Area (in2)]]))</f>
        <v>0.4330127018922193</v>
      </c>
      <c r="R12" s="123">
        <f>IFERROR(IF(Reinforcements[[#This Row],[Type]]="","",IF(Reinforcements[[#This Row],[Type]]="plate",Reinforcements[[#This Row],[B (in)]]^3*Reinforcements[[#This Row],[H (in)]]/12,IF(Reinforcements[[#This Row],[Type]]="solid round",PI()/64*Reinforcements[[#This Row],[Diameter (in)]]^4,""))),"")</f>
        <v>125</v>
      </c>
      <c r="S12" s="123">
        <f>IF(Reinforcements[[#This Row],[Reinforcement]]="","",SQRT(Reinforcements[[#This Row],[Iy]]/Reinforcements[[#This Row],[Gross Area (in2)]]))</f>
        <v>2.8867513459481291</v>
      </c>
      <c r="T12" s="6">
        <v>20</v>
      </c>
      <c r="U12" s="6">
        <v>0.8</v>
      </c>
      <c r="V12" s="6">
        <v>1</v>
      </c>
      <c r="W12" s="6">
        <v>1.1875</v>
      </c>
      <c r="X12" s="6">
        <f>IF(Reinforcements[[#This Row],[Bolt Hole Size (in)]]="","",IF(Reinforcements[[#This Row],[Bolt Hole Size (in)]]="n/a","n/a",Reinforcements[[#This Row],[Bolt Hole Size (in)]]*25.4))</f>
        <v>30.162499999999998</v>
      </c>
      <c r="Y1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6">
        <f>IFERROR(IF(Reinforcements[[#This Row],[Reinforcement]]="","",IF(OR(Reinforcements[[#This Row],[Type]]="plate",Reinforcements[[#This Row],[Type]]="solid round"),1,IF(Reinforcements[[#This Row],[Type]]="arbitrary","",1-Reinforcements[[#This Row],[Pole Face to Centroid (in)]]/Reinforcements[[#This Row],[Connection Length (in) '[Channels']]]))),"")</f>
        <v>1</v>
      </c>
      <c r="AA12" s="16" t="s">
        <v>354</v>
      </c>
      <c r="AB12" s="16" t="str">
        <f>IF(Reinforcements[[#This Row],[Reinforcement]]="","",IF(Reinforcements[[#This Row],[Bottom End Connection Type]]&lt;&gt;"Capacity Input","-",""))</f>
        <v>-</v>
      </c>
      <c r="AC12" s="16" t="str">
        <f>IF(Reinforcements[[#This Row],[Reinforcement]]="","",IF(Reinforcements[[#This Row],[Bottom End Connection Type]]&lt;&gt;"Capacity Input","-",""))</f>
        <v>-</v>
      </c>
      <c r="AD12" s="16" t="str">
        <f>IF(Reinforcements[[#This Row],[Reinforcement]]="","",IF(Reinforcements[[#This Row],[Bottom End Connection Type]]&lt;&gt;"Capacity Input","-",""))</f>
        <v>-</v>
      </c>
      <c r="AE12" s="74" t="s">
        <v>355</v>
      </c>
      <c r="AF12" s="6" t="s">
        <v>356</v>
      </c>
      <c r="AG12" s="6">
        <v>32</v>
      </c>
      <c r="AH12" s="6">
        <v>3</v>
      </c>
      <c r="AI12" s="6">
        <v>2</v>
      </c>
      <c r="AJ12" s="6">
        <f>Reinforcements[[#This Row],[End Connection Edge Distance (in) (B)]]-(Reinforcements[[#This Row],[Bolt Hole Size (in)]]+1/16)/2</f>
        <v>1.375</v>
      </c>
      <c r="AK12" s="6">
        <f>Reinforcements[[#This Row],[End Connection Bolt Spacing (in) (B)]]-(Reinforcements[[#This Row],[Bolt Hole Size (in)]]+1/16)</f>
        <v>1.75</v>
      </c>
      <c r="AL12" s="6">
        <f>Reinforcements[[#This Row],[End Connection Edge Distance (in) (B)]]</f>
        <v>2</v>
      </c>
      <c r="AM12" s="6">
        <f>Reinforcements[[#This Row],[End Connection Bolt Spacing (in) (B)]]</f>
        <v>3</v>
      </c>
      <c r="AN12" s="6" t="str">
        <f>IF(Reinforcements[[#This Row],[Reinforcement]]="","",IF(OR(Reinforcements[[#This Row],[Bottom End Connection Type]]="Bolted",Reinforcements[[#This Row],[Bottom End Connection Type]]=""),"-",""))</f>
        <v>-</v>
      </c>
      <c r="AO12" s="111" t="str">
        <f>IF(Reinforcements[[#This Row],[Reinforcement]]="","",IF(OR(Reinforcements[[#This Row],[Bottom End Connection Type]]="Bolted",Reinforcements[[#This Row],[Bottom End Connection Type]]=""),"-",""))</f>
        <v>-</v>
      </c>
      <c r="AP12" s="111" t="str">
        <f>IF(Reinforcements[[#This Row],[Reinforcement]]="","",IF(OR(Reinforcements[[#This Row],[Bottom End Connection Type]]="Bolted",Reinforcements[[#This Row],[Bottom End Connection Type]]=""),"-",""))</f>
        <v>-</v>
      </c>
      <c r="AQ12" s="111" t="str">
        <f>IF(OR(Reinforcements[[#This Row],[Bottom End Connection Type]]="Bolted",Reinforcements[[#This Row],[Bottom Transverse (Horizontal) Weld]]="none"),"-","")</f>
        <v>-</v>
      </c>
      <c r="AR1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11" t="str">
        <f>IF(OR(Reinforcements[[#This Row],[Bottom Transverse (Horizontal) Weld]]="none",Reinforcements[[#This Row],[Bottom End Connection Type]]="Bolted"),"-","")</f>
        <v>-</v>
      </c>
      <c r="AU1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11" t="str">
        <f>IF(Reinforcements[[#This Row],[Reinforcement]]="","",IF(OR(Reinforcements[[#This Row],[Bottom End Connection Type]]="Bolted",Reinforcements[[#This Row],[Bottom End Connection Type]]=""),"-",""))</f>
        <v>-</v>
      </c>
      <c r="AW12" s="111" t="str">
        <f>IF(Reinforcements[[#This Row],[Reinforcement]]="","",IF(OR(Reinforcements[[#This Row],[Bottom End Connection Type]]&lt;&gt;"Welded",Reinforcements[[#This Row],[Bottom Longitudinal (Vertical) Weld]]="None",Reinforcements[[#This Row],[Bottom Longitudinal (Vertical) Weld]]=""),"-",""))</f>
        <v>-</v>
      </c>
      <c r="AX12" s="111" t="str">
        <f>IF(Reinforcements[[#This Row],[Reinforcement]]="","",IF(OR(Reinforcements[[#This Row],[Bottom End Connection Type]]&lt;&gt;"Welded",Reinforcements[[#This Row],[Bottom Longitudinal (Vertical) Weld]]="None",Reinforcements[[#This Row],[Bottom Longitudinal (Vertical) Weld]]=""),"-",""))</f>
        <v>-</v>
      </c>
      <c r="AY12" s="6" t="str">
        <f>IF(Reinforcements[[#This Row],[Reinforcement]]="","",IF(OR(Reinforcements[[#This Row],[Bottom End Connection Type]]&lt;&gt;"Welded",Reinforcements[[#This Row],[Bottom Longitudinal (Vertical) Weld]]="None"),"-",SQRT(2)/2*Reinforcements[[#This Row],[Bottom Longitudinal Weld Fillet Size (in)]]))</f>
        <v>-</v>
      </c>
      <c r="AZ12" s="6" t="s">
        <v>357</v>
      </c>
      <c r="BA12" s="16" t="str">
        <f>IF(Reinforcements[[#This Row],[Top End Connection Same?]]="Yes",Reinforcements[[#This Row],[Bottom End Connection Type]],"")</f>
        <v>Bolted</v>
      </c>
      <c r="BB12" s="16" t="str">
        <f>IF(Reinforcements[[#This Row],[Reinforcement]]="","",IF(Reinforcements[[#This Row],[Top End Connection Same?]]="Yes",Reinforcements[[#This Row],[Rev. F Bottom Connection Capacity (kips)]],IF(Reinforcements[[#This Row],[Reinforcement]]="","",IF(Reinforcements[[#This Row],[Top End Connection Type]]&lt;&gt;"Capacity Input","-",""))))</f>
        <v>-</v>
      </c>
      <c r="BC12" s="16" t="str">
        <f>IF(Reinforcements[[#This Row],[Reinforcement]]="","",IF(Reinforcements[[#This Row],[Top End Connection Same?]]="Yes",Reinforcements[[#This Row],[Rev. G Bottom Connection Capacity (kips)]],IF(Reinforcements[[#This Row],[Reinforcement]]="","",IF(Reinforcements[[#This Row],[Top End Connection Type]]&lt;&gt;"Capacity Input","-",""))))</f>
        <v>-</v>
      </c>
      <c r="BD12" s="16" t="str">
        <f>IF(Reinforcements[[#This Row],[Reinforcement]]="","",IF(Reinforcements[[#This Row],[Top End Connection Same?]]="Yes",Reinforcements[[#This Row],[Rev. G Bottom Connection Capacity (kips)]],IF(Reinforcements[[#This Row],[Reinforcement]]="","",IF(Reinforcements[[#This Row],[Top End Connection Type]]&lt;&gt;"Capacity Input","-",""))))</f>
        <v>-</v>
      </c>
      <c r="BE12" s="74" t="str">
        <f>IF(Reinforcements[[#This Row],[Top End Connection Same?]]="Yes",Reinforcements[[#This Row],[Bottom End Connection Bolt Type]],IF(Reinforcements[[#This Row],[Top End Connection Type]]="Welded","-",""))</f>
        <v>PC 8.8 - M20 (100)</v>
      </c>
      <c r="BF12" s="6" t="str">
        <f>IF(Reinforcements[[#This Row],[Top End Connection Same?]]="Yes",Reinforcements[[#This Row],[Threads Included (N) or Excluded (X) (Bottom)]],IF(Reinforcements[[#This Row],[Top End Connection Type]]="Welded","-",""))</f>
        <v>N</v>
      </c>
      <c r="BG12" s="6">
        <f>IF(Reinforcements[[#This Row],[Top End Connection Same?]]="Yes",Reinforcements[[#This Row],['# of End Connection Bolts          (Bottom)]],IF(Reinforcements[[#This Row],[Top End Connection Type]]="Welded","-",""))</f>
        <v>32</v>
      </c>
      <c r="BH12" s="6">
        <f>IF(Reinforcements[[#This Row],[Top End Connection Same?]]="Yes",Reinforcements[[#This Row],[End Connection Bolt Spacing (in) (B)]],IF(Reinforcements[[#This Row],[Top End Connection Type]]="Welded","-",""))</f>
        <v>3</v>
      </c>
      <c r="BI12" s="6">
        <f>IF(Reinforcements[[#This Row],[Top End Connection Same?]]="Yes",Reinforcements[[#This Row],[End Connection Edge Distance (in) (B)]],IF(Reinforcements[[#This Row],[Top End Connection Type]]="Welded","-",""))</f>
        <v>2</v>
      </c>
      <c r="BJ12" s="6">
        <f>Reinforcements[[#This Row],[End Connection Edge Distance (in) (T)]]-(Reinforcements[[#This Row],[Bolt Hole Size (in)]]+1/16)/2</f>
        <v>1.375</v>
      </c>
      <c r="BK12" s="6">
        <f>Reinforcements[[#This Row],[End Connection Bolt Spacing (in) (T)]]-(Reinforcements[[#This Row],[Bolt Hole Size (in)]]+1/16)</f>
        <v>1.75</v>
      </c>
      <c r="BL12" s="6">
        <f>Reinforcements[[#This Row],[End Connection Edge Distance (in) (T)]]</f>
        <v>2</v>
      </c>
      <c r="BM12" s="6">
        <f>Reinforcements[[#This Row],[End Connection Bolt Spacing (in) (T)]]</f>
        <v>3</v>
      </c>
      <c r="BN12" s="6" t="str">
        <f>IF(Reinforcements[[#This Row],[Reinforcement]]="","",IF(Reinforcements[[#This Row],[Top End Connection Same?]]="Yes",Reinforcements[[#This Row],[Bottom Connected to Flange/Base Plate?]],IF(Reinforcements[[#This Row],[Top End Connection Type]]="Bolted","-","")))</f>
        <v>-</v>
      </c>
      <c r="BO12" s="6" t="str">
        <f>IF(Reinforcements[[#This Row],[Reinforcement]]="","",IF(Reinforcements[[#This Row],[Top End Connection Same?]]="Yes",Reinforcements[[#This Row],[Bottom Weld Grade (ksi)]],IF(OR(Reinforcements[[#This Row],[Top End Connection Type]]&lt;&gt;"Welded",Reinforcements[[#This Row],[Top End Connection Type]]=""),"-","")))</f>
        <v>-</v>
      </c>
      <c r="BP12" s="6" t="str">
        <f>IF($AZ12="Yes",AP12,IF(Reinforcements[[#This Row],[Reinforcement]]="","",IF(OR(Reinforcements[[#This Row],[Top End Connection Type]]&lt;&gt;"Welded",Reinforcements[[#This Row],[Top End Connection Type]]=""),"-","")))</f>
        <v>-</v>
      </c>
      <c r="BQ12" s="6" t="str">
        <f>IF(Reinforcements[[#This Row],[Reinforcement]]="","",IF($AZ12="Yes",AQ12,IF(OR(Reinforcements[[#This Row],[Top End Connection Type]]&lt;&gt;"Welded",Reinforcements[[#This Row],[Top Transverse (Horizontal) Weld]]="none",Reinforcements[[#This Row],[Top Transverse (Horizontal) Weld]]=""),"-","")))</f>
        <v>-</v>
      </c>
      <c r="BR12" s="6"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6"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6" t="str">
        <f>IF(Reinforcements[[#This Row],[Reinforcement]]="","",IF($AZ12="Yes",AT12,IF(OR(Reinforcements[[#This Row],[Top Transverse (Horizontal) Weld]]="none",Reinforcements[[#This Row],[Top End Connection Type]]&lt;&gt;"Welded",Reinforcements[[#This Row],[Top Transverse (Horizontal) Weld]]=""),"-","")))</f>
        <v>-</v>
      </c>
      <c r="BU12" s="6"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6" t="str">
        <f>IF($AZ12="Yes",AV12,IF(Reinforcements[[#This Row],[Reinforcement]]="","",IF(OR(Reinforcements[[#This Row],[Top End Connection Type]]&lt;&gt;"Welded",Reinforcements[[#This Row],[Top End Connection Type]]=""),"-","")))</f>
        <v>-</v>
      </c>
      <c r="BW12" s="6"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6"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6" t="str">
        <f>IF($AZ12="Yes",AY12,IF(Reinforcements[[#This Row],[Reinforcement]]="","",IF(OR(Reinforcements[[#This Row],[Top End Connection Type]]&lt;&gt;"Welded",Reinforcements[[#This Row],[Top Longitudinal (Vertical) Weld]]="none"),"-",SQRT(2)/2*Reinforcements[[#This Row],[Top Longitudinal Weld Fillet Size (in)]])))</f>
        <v>-</v>
      </c>
      <c r="BZ12"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11">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11">
        <f>IF(Reinforcements[[#This Row],[Reinforcement]]="","",IF(Reinforcements[[#This Row],[Top End Connection Type]]&lt;&gt;"Bolted","n/a",(Reinforcements[[#This Row],['# of End Connection Bolts          (Top)]]-1)*Reinforcements[[#This Row],[End Connection Bolt Spacing (in) (T)]]+Reinforcements[[#This Row],[End Connection Edge Distance (in) (T)]]))</f>
        <v>95</v>
      </c>
      <c r="CC1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6">
        <f>IFERROR(IF(Reinforcements[[#This Row],[Type]]="","",Reinforcements[[#This Row],[Effective B (in)]]*Reinforcements[[#This Row],[Effective H (in)]]^3/12),"")</f>
        <v>2.8125</v>
      </c>
      <c r="CF12" s="6">
        <f>IFERROR(IF(Reinforcements[[#This Row],[Type]]="","",Reinforcements[[#This Row],[Effective B (in)]]^3*Reinforcements[[#This Row],[Effective H (in)]]/12),"")</f>
        <v>125</v>
      </c>
      <c r="CG12" s="126">
        <f>SQRT(2*PI()^2*29000/VLOOKUP(Reinforcements[[#This Row],[Material]],Materials[],2,FALSE))</f>
        <v>75.659570132481107</v>
      </c>
      <c r="CH1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23">
        <f>Reinforcements[[#This Row],[Effective Length Factor Kx]]*Reinforcements[[#This Row],[Lu (in)]]/(Reinforcements[[#This Row],[rx]]*PI())*SQRT(VLOOKUP(Reinforcements[[#This Row],[Material]],Materials[],2,FALSE)/29000)</f>
        <v>0.69066981332135202</v>
      </c>
      <c r="CK12" s="123">
        <f>Reinforcements[[#This Row],[Effective Length Factor Ky]]*Reinforcements[[#This Row],[Lu (in)]]/(Reinforcements[[#This Row],[ry]]*PI())*SQRT(VLOOKUP(Reinforcements[[#This Row],[Material]],Materials[],2,FALSE)/29000)</f>
        <v>0.12950058999775346</v>
      </c>
      <c r="CL12" s="123">
        <f>IF(Reinforcements[[#This Row],[λcx]]&lt;=1.5,0.658^(Reinforcements[[#This Row],[λcx]]^2)*Reinforcements[[#This Row],[F''y]],0.877/(Reinforcements[[#This Row],[λcx]]^2)*Reinforcements[[#This Row],[F''y]])</f>
        <v>81.901007621991468</v>
      </c>
      <c r="CM12" s="123">
        <f>IF(Reinforcements[[#This Row],[λcy]]&lt;=1.5,0.658^(Reinforcements[[#This Row],[λcy]]^2)*Reinforcements[[#This Row],[F''y]],0.877/(Reinforcements[[#This Row],[λcy]]^2)*Reinforcements[[#This Row],[F''y]])</f>
        <v>99.300531952576605</v>
      </c>
      <c r="CN12" s="6">
        <f>VLOOKUP(Reinforcements[[#This Row],[Material]],Materials[],2,FALSE)</f>
        <v>100</v>
      </c>
      <c r="CO12" s="126">
        <f>IF(Reinforcements[[#This Row],[Reinforcement]]="","",Reinforcements[[#This Row],[Fax]]*Reinforcements[[#This Row],[Gross Area (in2)]])</f>
        <v>719.85690967198082</v>
      </c>
      <c r="CP12" s="126">
        <f>IF(Reinforcements[[#This Row],[Reinforcement]]="","",Reinforcements[[#This Row],[Fay]]*Reinforcements[[#This Row],[Gross Area (in2)]])</f>
        <v>878.18364763735383</v>
      </c>
      <c r="CQ12" s="126">
        <f>IF(Reinforcements[[#This Row],[Reinforcement]]="","",0.6*VLOOKUP(Reinforcements[[#This Row],[Material]],Materials[],2,FALSE)*Reinforcements[[#This Row],[Gross Area (in2)]])</f>
        <v>900</v>
      </c>
      <c r="CR12" s="126">
        <f>IF(Reinforcements[[#This Row],[Reinforcement]]="","",0.5*VLOOKUP(Reinforcements[[#This Row],[Material]],Materials[],3,FALSE)*Reinforcements[[#This Row],[Net Area (in2)]]*Reinforcements[[#This Row],[Shear Lag (U)]])</f>
        <v>721.875</v>
      </c>
      <c r="CS12" s="126">
        <f>IF(Reinforcements[[#This Row],[Reinforcement]]="","",0.4*VLOOKUP(Reinforcements[[#This Row],[Material]],Materials[],2,FALSE)*Reinforcements[[#This Row],[Gross Area (in2)]])</f>
        <v>600</v>
      </c>
      <c r="CT12"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6"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6"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26">
        <f>IF(Reinforcements[[#This Row],[Reinforcement]]="","",φ_c*Reinforcements[[#This Row],[Fcr,x]]*Reinforcements[[#This Row],[Gross Area (in2)]])</f>
        <v>1105.6636028968846</v>
      </c>
      <c r="DI12" s="126">
        <f>IF(Reinforcements[[#This Row],[Reinforcement]]="","",φ_c*Reinforcements[[#This Row],[Fcr,y]]*Reinforcements[[#This Row],[Gross Area (in2)]])</f>
        <v>1340.5571813597842</v>
      </c>
      <c r="DJ12" s="126">
        <f>IF(Reinforcements[[#This Row],[Reinforcement]]="","",φ_t_y*VLOOKUP(Reinforcements[[#This Row],[Material]],Materials[],2,FALSE)*Reinforcements[[#This Row],[Gross Area (in2)]])</f>
        <v>1350</v>
      </c>
      <c r="DK12" s="126">
        <f>IF(Reinforcements[[#This Row],[Reinforcement]]="","",φ_t_r*VLOOKUP(Reinforcements[[#This Row],[Material]],Materials[],3,FALSE)*Reinforcements[[#This Row],[Net Area (in2)]]*Reinforcements[[#This Row],[Shear Lag (U)]])</f>
        <v>1082.8125</v>
      </c>
      <c r="DL12" s="126">
        <f>IF(Reinforcements[[#This Row],[Reinforcement]]="","",φ_v*0.5*Reinforcements[[#This Row],[F''y]]*Reinforcements[[#This Row],[Gross Area (in2)]])</f>
        <v>675</v>
      </c>
      <c r="DM12"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6"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6"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111" t="str">
        <f>IF(OR(Reinforcements[[#This Row],[Type]]="plate",Reinforcements[[#This Row],[Type]]="solid round"),"N/A",Reinforcements[[#This Row],[B (in)]])</f>
        <v>N/A</v>
      </c>
      <c r="EB12" s="6" t="str">
        <f>IF(OR(Reinforcements[[#This Row],[Type]]="plate",Reinforcements[[#This Row],[Type]]="solid round"),"N/A",Reinforcements[[#This Row],[H (in)]])</f>
        <v>N/A</v>
      </c>
      <c r="EC12" s="6" t="str">
        <f>IF(OR(Reinforcements[[#This Row],[Type]]="plate",Reinforcements[[#This Row],[Type]]="solid round"),"N/A",Reinforcements[[#This Row],[B (in)]]-Reinforcements[[#This Row],['[Channel'] Flange Thickness (in)]])</f>
        <v>N/A</v>
      </c>
      <c r="ED12" s="6" t="str">
        <f>IF(OR(Reinforcements[[#This Row],[Type]]="plate",Reinforcements[[#This Row],[Type]]="solid round"),"N/A",Reinforcements[[#This Row],['[Channel']Web Thickness (in)]])</f>
        <v>N/A</v>
      </c>
      <c r="EE12" s="6" t="str">
        <f>IF(OR(Reinforcements[[#This Row],[Type]]="plate",Reinforcements[[#This Row],[Type]]="solid round"),"N/A",Reinforcements[[#This Row],['[Channel'] Flange Thickness (in)]])</f>
        <v>N/A</v>
      </c>
      <c r="EF12" s="6" t="str">
        <f>IF(Reinforcements[[#This Row],[Type]]="channel",Reinforcements[[#This Row],[Channel Flange Width, b]]/Reinforcements[[#This Row],[Channel flange thickness, tf]],"N/A")</f>
        <v>N/A</v>
      </c>
      <c r="EG12" s="6" t="str">
        <f>IF(Reinforcements[[#This Row],[Type]]="channel",Reinforcements[[#This Row],[Channel inside depth, T]]/Reinforcements[[#This Row],[Channel web thickness, tw]],"N/A")</f>
        <v>N/A</v>
      </c>
      <c r="EH12" s="6">
        <f>29000</f>
        <v>29000</v>
      </c>
      <c r="EI12" s="6" t="str">
        <f>IF(Reinforcements[[#This Row],[Type]]="channel",0.56*SQRT(Reinforcements[[#This Row],[E, (ksi)]]/Reinforcements[[#This Row],[Fy, (ksi)]]),"N/A")</f>
        <v>N/A</v>
      </c>
      <c r="EJ12" s="6" t="str">
        <f>IF(Reinforcements[[#This Row],[Type]]="channel",1.49*SQRT(Reinforcements[[#This Row],[E, (ksi)]]/Reinforcements[[#This Row],[Fy, (ksi)]]),"N/A")</f>
        <v>N/A</v>
      </c>
      <c r="EK12" s="6">
        <f>VLOOKUP(Reinforcements[[#This Row],[Material]],Materials!$B$2:$C$30,2,FALSE)</f>
        <v>100</v>
      </c>
      <c r="EL12" s="6">
        <f>Reinforcements[[#This Row],[Lu (in)]]*Reinforcements[[#This Row],[Effective Length Factor Kx]]</f>
        <v>16</v>
      </c>
      <c r="EM12" s="6">
        <f>Reinforcements[[#This Row],[Lu (in)]]*Reinforcements[[#This Row],[Effective Length Factor Ky]]</f>
        <v>20</v>
      </c>
      <c r="EN12" s="6">
        <f>Reinforcements[[#This Row],[rx]]</f>
        <v>0.4330127018922193</v>
      </c>
      <c r="EO12" s="6">
        <f>Reinforcements[[#This Row],[ry]]</f>
        <v>2.8867513459481291</v>
      </c>
      <c r="EP12" s="6">
        <f>Reinforcements[[#This Row],[Lcx (in)]]/Reinforcements[[#This Row],[rx (in)]]</f>
        <v>36.950417228136054</v>
      </c>
      <c r="EQ12" s="6">
        <f>Reinforcements[[#This Row],[Lcy (in)]]/Reinforcements[[#This Row],[ry (in)]]</f>
        <v>6.9282032302755088</v>
      </c>
      <c r="ER12" s="6">
        <f>((PI()^2)*Reinforcements[[#This Row],[E, (ksi)]])/(Reinforcements[[#This Row],[Lcx/rx]]^2)</f>
        <v>209.63271066766939</v>
      </c>
      <c r="ES12" s="6">
        <f>((PI()^2)*Reinforcements[[#This Row],[E, (ksi)]])/(Reinforcements[[#This Row],[Lcy/ry]]^2)</f>
        <v>5962.885992324821</v>
      </c>
      <c r="ET12" s="6">
        <f>4.71*(SQRT(Reinforcements[[#This Row],[E, (ksi)]]/Reinforcements[[#This Row],[Fy, (ksi)]]))</f>
        <v>80.20840978351336</v>
      </c>
      <c r="EU12" s="6">
        <f>IF(Reinforcements[[#This Row],[Lcx/rx]]&lt;=Reinforcements[[#This Row],[Fcr Limit]],(0.658^(Reinforcements[[#This Row],[Fy, (ksi)]]/Reinforcements[[#This Row],[Fex, FB (ksi)]]))*Reinforcements[[#This Row],[Fy, (ksi)]],0.877*Reinforcements[[#This Row],[Fex, FB (ksi)]])</f>
        <v>81.901007621991468</v>
      </c>
      <c r="EV12" s="6">
        <f>IF(Reinforcements[[#This Row],[Lcy/ry]]&lt;=Reinforcements[[#This Row],[Fcr Limit]],(0.658^(Reinforcements[[#This Row],[Fy, (ksi)]]/Reinforcements[[#This Row],[Fey, FB (ksi)]]))*Reinforcements[[#This Row],[Fy, (ksi)]],0.877*Reinforcements[[#This Row],[Fey, FB (ksi)]])</f>
        <v>99.300531952576605</v>
      </c>
      <c r="EW12" s="6">
        <f>Reinforcements[[#This Row],[Fcrx (ksi)]]*Reinforcements[[#This Row],[Gross Area (in2)]]</f>
        <v>1228.5151143298719</v>
      </c>
      <c r="EX12" s="6">
        <f>Reinforcements[[#This Row],[Fcry (ksi)]]*Reinforcements[[#This Row],[Gross Area (in2)]]</f>
        <v>1489.507979288649</v>
      </c>
      <c r="EY12" s="6" t="str">
        <f>IF(Reinforcements[[#This Row],[Type]]="channel",0,"N/A")</f>
        <v>N/A</v>
      </c>
      <c r="EZ12" s="6" t="str">
        <f>IF(Reinforcements[[#This Row],[Type]]="channel",Reinforcements[[#This Row],[Channel Flange Width, b]]-(0.5*Reinforcements[[#This Row],[Channel web thickness, tw]]),"N/A")</f>
        <v>N/A</v>
      </c>
      <c r="FA12" s="6" t="str">
        <f>IF(Reinforcements[[#This Row],[Type]]="channel",Reinforcements[[#This Row],[Channel Height, h]]-Reinforcements[[#This Row],[Channel flange thickness, tf]],"N/A")</f>
        <v>N/A</v>
      </c>
      <c r="FB12" s="6" t="str">
        <f>IF(Reinforcements[[#This Row],[Type]]="channel",Reinforcements[[#This Row],[Channel web thickness, tw]],"N/A")</f>
        <v>N/A</v>
      </c>
      <c r="FC12" s="6" t="str">
        <f>IF(Reinforcements[[#This Row],[Type]]="channel",((3*Reinforcements[[#This Row],[b]]^2)/(Reinforcements[[#This Row],[h]]+(6*Reinforcements[[#This Row],[b]])))-Reinforcements[[#This Row],[t]]/2,"N/A")</f>
        <v>N/A</v>
      </c>
      <c r="FD12" s="6">
        <f>Reinforcements[[#This Row],[Pole Face to Centroid (in)]]</f>
        <v>0.75</v>
      </c>
      <c r="FE12" s="6" t="str">
        <f>IF(Reinforcements[[#This Row],[Type]]="channel",Reinforcements[[#This Row],[x(bar)]]+Reinforcements[[#This Row],['[Channel'] e0 (in)]],"N/A")</f>
        <v>N/A</v>
      </c>
      <c r="FF12" s="6" t="str">
        <f>IF(Reinforcements[[#This Row],[Type]]="channel",Reinforcements[[#This Row],[Ix]],"N/A")</f>
        <v>N/A</v>
      </c>
      <c r="FG12" s="6" t="str">
        <f>IF(Reinforcements[[#This Row],[Type]]="channel",Reinforcements[[#This Row],[Iy]],"N/A")</f>
        <v>N/A</v>
      </c>
      <c r="FH12" s="6" t="str">
        <f>IF(Reinforcements[[#This Row],[Type]]="channel",Reinforcements[[#This Row],[Gross Area (in2)]],"N/A")</f>
        <v>N/A</v>
      </c>
      <c r="FI12" s="6" t="str">
        <f>IF(Reinforcements[[#This Row],[Type]]="channel",(Reinforcements[[#This Row],[xo]]^2)+((Reinforcements[[#This Row],[Ix (FTB)]]+Reinforcements[[#This Row],[Iy (FTB)]])/Reinforcements[[#This Row],[Ag]]),"N/A")</f>
        <v>N/A</v>
      </c>
      <c r="FJ12" s="6" t="str">
        <f>IF(Reinforcements[[#This Row],[Type]]="channel",Reinforcements[[#This Row],[Lu (in)]],"N/A")</f>
        <v>N/A</v>
      </c>
      <c r="FK12" s="6" t="str">
        <f>IF(Reinforcements[[#This Row],[Type]]="channel",Reinforcements[[#This Row],[Effective Length Factor Kx]],"N/A")</f>
        <v>N/A</v>
      </c>
      <c r="FL12" s="6" t="str">
        <f>IF(Reinforcements[[#This Row],[Type]]="channel",Reinforcements[[#This Row],[Kz]]*Reinforcements[[#This Row],[Lz]],"N/A")</f>
        <v>N/A</v>
      </c>
      <c r="FM12" s="6" t="str">
        <f>IF(Reinforcements[[#This Row],[Type]]="channel",(((Reinforcements[[#This Row],[t]]^3)/3)*(Reinforcements[[#This Row],[h]]+(2*Reinforcements[[#This Row],[b]]))),"N/A")</f>
        <v>N/A</v>
      </c>
      <c r="FN12" s="6" t="str">
        <f>IF(Reinforcements[[#This Row],[Type]]="channel",(1-(((Reinforcements[[#This Row],[xo]]^2)+(Reinforcements[[#This Row],[yo]]^2))/Reinforcements[[#This Row],[ro^2(bar)]])),"N/A")</f>
        <v>N/A</v>
      </c>
      <c r="FO12" s="6">
        <v>11200</v>
      </c>
      <c r="FP12" s="6" t="str">
        <f>IF(Reinforcements[[#This Row],[Type]]="channel",(((Reinforcements[[#This Row],[h]]^2)*(Reinforcements[[#This Row],[b]]^3)*Reinforcements[[#This Row],[t]])/12)*(((2*Reinforcements[[#This Row],[h]])+(3*Reinforcements[[#This Row],[b]]))/(Reinforcements[[#This Row],[h]]+(6*Reinforcements[[#This Row],[b]]))),"N/A")</f>
        <v>N/A</v>
      </c>
      <c r="FQ12" s="6" t="str">
        <f>IF(Reinforcements[[#This Row],[Type]]="Channel",((((PI()^2)*Reinforcements[[#This Row],[E, (ksi)]]*Reinforcements[[#This Row],['[Channel'] CW (in6)]])/(Reinforcements[[#This Row],[Lcz]]^2))+(Reinforcements[[#This Row],[G]]*Reinforcements[[#This Row],['[Channel'] J (in4)]]))*(1/(Reinforcements[[#This Row],[Ag]]*Reinforcements[[#This Row],[ro^2(bar)]])),"N/A")</f>
        <v>N/A</v>
      </c>
      <c r="FR12" s="6" t="str">
        <f>IF(Reinforcements[[#This Row],[Type]]="channel",((PI()^2)*Reinforcements[[#This Row],[E, (ksi)]])/(Reinforcements[[#This Row],[Lcy/ry]]^2),"N/A")</f>
        <v>N/A</v>
      </c>
      <c r="FS12" s="6" t="str">
        <f>IF(Reinforcements[[#This Row],[Type]]="channel",((Reinforcements[[#This Row],[Fey]]+Reinforcements[[#This Row],[Fez]])/(2*Reinforcements[[#This Row],[H2]]))*(1-SQRT(1-((4*Reinforcements[[#This Row],[Fey]]*Reinforcements[[#This Row],[Fez]]*Reinforcements[[#This Row],[H2]])/(Reinforcements[[#This Row],[Fey]]+Reinforcements[[#This Row],[Fez]])^2))),"N/A")</f>
        <v>N/A</v>
      </c>
      <c r="FT12" s="6" t="str">
        <f>IF(Reinforcements[[#This Row],[Type]]="channel",IF(Reinforcements[[#This Row],[Lcx/rx]]&gt;(4.71*SQRT(Reinforcements[[#This Row],[E, (ksi)]]/Reinforcements[[#This Row],[Fy, (ksi)]])),0.877*Reinforcements[[#This Row],[Fe (FTB)]],0.658^(Reinforcements[[#This Row],[Fy, (ksi)]]/Reinforcements[[#This Row],[Fe (FTB)]])*Reinforcements[[#This Row],[Fy, (ksi)]]),"N/A")</f>
        <v>N/A</v>
      </c>
      <c r="FU12" s="6" t="str">
        <f>IF(Reinforcements[[#This Row],[Type]]="channel",MIN(Reinforcements[[#This Row],[Fcr(FTB)]],Reinforcements[[#This Row],[Fcry (ksi)]]),"N/A")</f>
        <v>N/A</v>
      </c>
      <c r="FV12" s="6">
        <v>0.22</v>
      </c>
      <c r="FW12" s="6">
        <v>1.49</v>
      </c>
      <c r="FX12" s="6" t="str">
        <f>IF(Reinforcements[[#This Row],[Type]]="channel",((Reinforcements[[#This Row],[c2]]*(Reinforcements[[#This Row],[λrf]]/Reinforcements[[#This Row],[λf]]))^2)*Reinforcements[[#This Row],[Fy, (ksi)]],"N/A")</f>
        <v>N/A</v>
      </c>
      <c r="FY12" s="6" t="str">
        <f>IF(Reinforcements[[#This Row],[Type]]="channel",((Reinforcements[[#This Row],[c2]]*(Reinforcements[[#This Row],[λrw]]/Reinforcements[[#This Row],[λw]]))^2)*Reinforcements[[#This Row],[Fy, (ksi)]],"N/A")</f>
        <v>N/A</v>
      </c>
      <c r="FZ12"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6" t="str">
        <f>IF(Reinforcements[[#This Row],[Type]]="channel",Reinforcements[[#This Row],[Fcr]]*Reinforcements[[#This Row],[Ae]],"N/A")</f>
        <v>N/A</v>
      </c>
      <c r="GD12">
        <f>IF(Reinforcements[[#This Row],[Reinforcement]]="","",φ_c*Reinforcements[[#This Row],[Pnx, FB (kip)]])</f>
        <v>1105.6636028968849</v>
      </c>
      <c r="GE12">
        <f>IF(Reinforcements[[#This Row],[Reinforcement]]="","",IF(Reinforcements[[#This Row],[Type]]="channel",φ_c*Reinforcements[[#This Row],[Pn]],φ_c*Reinforcements[[#This Row],[Pny, FB (kip)]]))</f>
        <v>1340.5571813597842</v>
      </c>
      <c r="GF12">
        <f>Reinforcements[[#This Row],[Rev. G Tension Yield Capacity (kips)]]</f>
        <v>1350</v>
      </c>
      <c r="GG12">
        <f>Reinforcements[[#This Row],[Rev. G Tension Rupture Capacity (kips)]]</f>
        <v>1082.8125</v>
      </c>
      <c r="GH12">
        <f>Reinforcements[[#This Row],[Rev. G Shear Capacity (kips)]]</f>
        <v>675</v>
      </c>
      <c r="GI12">
        <f>IFERROR((Reinforcements[[#This Row],['# of End Connection Bolts          (Bottom)]]-1)*Reinforcements[[#This Row],[End Connection Bolt Spacing (in) (B)]],"-")</f>
        <v>93</v>
      </c>
      <c r="GJ12">
        <f>IFERROR(IF(VLOOKUP(Reinforcements[[#This Row],[Bottom End Connection Bolt Type]],Bolts[],COLUMN(Bolts[[#Headers],[Rev. H Apply Connection Length Reduction Factor (Rb)?]])-1,FALSE)="Yes",(IF(Reinforcements[[#This Row],[Lb(bottom)]]&lt;=16,1,IF(Reinforcements[[#This Row],[Lb(bottom)]]&gt;38,0.75,0.9))),1),"-")</f>
        <v>1</v>
      </c>
      <c r="GK12">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f>IFERROR(IF(Reinforcements[[#This Row],[Top End Connection Same?]]="Yes",Reinforcements[[#This Row],[Lb(bottom)]],(Reinforcements[[#This Row],['# of End Connection Bolts          (Top)]]-1)*Reinforcements[[#This Row],[End Connection Bolt Spacing (in) (T)]]),"-")</f>
        <v>93</v>
      </c>
      <c r="GM12">
        <f>IFERROR(IF(VLOOKUP(Reinforcements[[#This Row],[Top End Connection Bolt Type]],Bolts[],COLUMN(Bolts[[#Headers],[Rev. H Apply Connection Length Reduction Factor (Rb)?]])-1,FALSE)=TRUE,(IF(Reinforcements[[#This Row],[Lb(top)]]&lt;=16,1,IF(Reinforcements[[#This Row],[Lb(top)]]&gt;38,0.75,0.9))),1),"-")</f>
        <v>0.75</v>
      </c>
      <c r="GN1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f>Reinforcements[[#This Row],[Rev. G Bolt-Shaft Bearing Capacity (Bottom)                No Deformation          (*t*Fu kips)]]</f>
        <v>62.766614173228348</v>
      </c>
      <c r="GP12" s="84">
        <f>Reinforcements[[#This Row],[Rev. G Bolt-Shaft Bearing Capacity (Bottom)                   Deformation          (*t*Fu kips)]]</f>
        <v>78.458267716535431</v>
      </c>
      <c r="GQ12">
        <f>Reinforcements[[#This Row],[Rev. G Bolt-Shaft Bearing Capacity (Top)                    No Deformation          (*t*Fu kips)]]</f>
        <v>62.766614173228348</v>
      </c>
      <c r="GR12">
        <f>Reinforcements[[#This Row],[Rev. G Bolt-Shaft Bearing Capacity (Top)                        Deformation          (*t*Fu kips)]]</f>
        <v>78.458267716535431</v>
      </c>
      <c r="GS12">
        <f>Reinforcements[[#This Row],[Rev. G Bolt-Reinf. Bearing Capacity (Bottom)            No Deformation (kips)]]</f>
        <v>10257.803149606299</v>
      </c>
      <c r="GT12">
        <f>Reinforcements[[#This Row],[Rev. G Bolt-Reinf. Bearing Capacity (Bottom)               Deformation (kips)]]</f>
        <v>12822.253937007874</v>
      </c>
      <c r="GU12">
        <f>Reinforcements[[#This Row],[Rev. G Bolt-Reinf. Bearing Capacity (Top)                  No Deformation (kips)]]</f>
        <v>10257.803149606299</v>
      </c>
      <c r="GV12">
        <f>Reinforcements[[#This Row],[Rev. G Bolt-Reinf. Bearing Capacity (Top)               Deformation (kips)]]</f>
        <v>12822.253937007874</v>
      </c>
      <c r="GW12" t="str">
        <f>Reinforcements[[#This Row],[Rev. G Bottom Transverse Weld Strength]]</f>
        <v>-</v>
      </c>
      <c r="GX12" t="str">
        <f>Reinforcements[[#This Row],[Rev. G Bottom Longitudinal Weld Strength]]</f>
        <v>-</v>
      </c>
      <c r="GY12" t="str">
        <f>Reinforcements[[#This Row],[Rev. G Top Transverse Weld Strength]]</f>
        <v>-</v>
      </c>
      <c r="GZ12" t="str">
        <f>Reinforcements[[#This Row],[Rev. G Top Longitudinal Weld Strength]]</f>
        <v>-</v>
      </c>
      <c r="HA12">
        <v>10</v>
      </c>
      <c r="HB1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49" t="s">
        <v>367</v>
      </c>
      <c r="C13" s="49" t="s">
        <v>352</v>
      </c>
      <c r="D13" s="6">
        <v>4</v>
      </c>
      <c r="E13" s="6">
        <v>0.75</v>
      </c>
      <c r="F13" s="6" t="str">
        <f>IF(Reinforcements[[#This Row],[Type]]="","",IF(Reinforcements[[#This Row],[Type]]="solid round","","n/a"))</f>
        <v>n/a</v>
      </c>
      <c r="G13" s="6" t="str">
        <f>IF(Reinforcements[[#This Row],[Type]]="","",IF(Reinforcements[[#This Row],[Type]]&lt;&gt;"channel","n/a",""))</f>
        <v>n/a</v>
      </c>
      <c r="H13" s="6" t="str">
        <f>IF(Reinforcements[[#This Row],[Type]]="","",IF(Reinforcements[[#This Row],[Type]]&lt;&gt;"channel","n/a",""))</f>
        <v>n/a</v>
      </c>
      <c r="I13" s="126" t="str">
        <f>IF(Reinforcements[[#This Row],[Type]]="","",IF(Reinforcements[[#This Row],[Type]]&lt;&gt;"channel","n/a",Reinforcements[[#This Row],[eo]]))</f>
        <v>n/a</v>
      </c>
      <c r="J13" s="126" t="str">
        <f>IF(Reinforcements[[#This Row],[Type]]="","",IF(Reinforcements[[#This Row],[Type]]&lt;&gt;"channel","n/a",Reinforcements[[#This Row],[J]]))</f>
        <v>n/a</v>
      </c>
      <c r="K13" s="126" t="str">
        <f>IF(Reinforcements[[#This Row],[Type]]="","",IF(Reinforcements[[#This Row],[Type]]&lt;&gt;"channel","n/a",Reinforcements[[#This Row],[Cw]]))</f>
        <v>n/a</v>
      </c>
      <c r="L13" s="6">
        <f>IFERROR(IF(Reinforcements[[#This Row],[Type]]="","",IF(Reinforcements[[#This Row],[Type]]="plate",Reinforcements[[#This Row],[B (in)]]*Reinforcements[[#This Row],[H (in)]],IF(Reinforcements[[#This Row],[Type]]="solid round",PI()/4*Reinforcements[[#This Row],[Diameter (in)]]^2,""))),"")</f>
        <v>3</v>
      </c>
      <c r="M13" s="6">
        <f>IFERROR(IF(Reinforcements[[#This Row],[Type]]="","",IF(Reinforcements[[#This Row],[Type]]="plate",Reinforcements[[#This Row],[H (in)]]/2,"")),"")</f>
        <v>0.375</v>
      </c>
      <c r="N13" s="16" t="s">
        <v>353</v>
      </c>
      <c r="O13" s="6" t="s">
        <v>138</v>
      </c>
      <c r="P13" s="123">
        <f>IFERROR(IF(Reinforcements[[#This Row],[Type]]="","",IF(Reinforcements[[#This Row],[Type]]="plate",Reinforcements[[#This Row],[B (in)]]*Reinforcements[[#This Row],[H (in)]]^3/12,IF(Reinforcements[[#This Row],[Type]]="solid round",PI()/64*Reinforcements[[#This Row],[Diameter (in)]]^4,""))),"")</f>
        <v>0.140625</v>
      </c>
      <c r="Q13" s="123">
        <f>IF(Reinforcements[[#This Row],[Reinforcement]]="","",SQRT(Reinforcements[[#This Row],[Ix]]/Reinforcements[[#This Row],[Gross Area (in2)]]))</f>
        <v>0.21650635094610965</v>
      </c>
      <c r="R13" s="123">
        <f>IFERROR(IF(Reinforcements[[#This Row],[Type]]="","",IF(Reinforcements[[#This Row],[Type]]="plate",Reinforcements[[#This Row],[B (in)]]^3*Reinforcements[[#This Row],[H (in)]]/12,IF(Reinforcements[[#This Row],[Type]]="solid round",PI()/64*Reinforcements[[#This Row],[Diameter (in)]]^4,""))),"")</f>
        <v>4</v>
      </c>
      <c r="S13" s="123">
        <f>IF(Reinforcements[[#This Row],[Reinforcement]]="","",SQRT(Reinforcements[[#This Row],[Iy]]/Reinforcements[[#This Row],[Gross Area (in2)]]))</f>
        <v>1.1547005383792515</v>
      </c>
      <c r="T13" s="6">
        <v>16</v>
      </c>
      <c r="U13" s="6">
        <v>0.8</v>
      </c>
      <c r="V13" s="6">
        <v>1</v>
      </c>
      <c r="W13" s="6">
        <v>1.1875</v>
      </c>
      <c r="X13" s="6">
        <f>IF(Reinforcements[[#This Row],[Bolt Hole Size (in)]]="","",IF(Reinforcements[[#This Row],[Bolt Hole Size (in)]]="n/a","n/a",Reinforcements[[#This Row],[Bolt Hole Size (in)]]*25.4))</f>
        <v>30.162499999999998</v>
      </c>
      <c r="Y1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6">
        <f>IFERROR(IF(Reinforcements[[#This Row],[Reinforcement]]="","",IF(OR(Reinforcements[[#This Row],[Type]]="plate",Reinforcements[[#This Row],[Type]]="solid round"),1,IF(Reinforcements[[#This Row],[Type]]="arbitrary","",1-Reinforcements[[#This Row],[Pole Face to Centroid (in)]]/Reinforcements[[#This Row],[Connection Length (in) '[Channels']]]))),"")</f>
        <v>1</v>
      </c>
      <c r="AA13" s="16" t="s">
        <v>354</v>
      </c>
      <c r="AB13" s="16" t="str">
        <f>IF(Reinforcements[[#This Row],[Reinforcement]]="","",IF(Reinforcements[[#This Row],[Bottom End Connection Type]]&lt;&gt;"Capacity Input","-",""))</f>
        <v>-</v>
      </c>
      <c r="AC13" s="16" t="str">
        <f>IF(Reinforcements[[#This Row],[Reinforcement]]="","",IF(Reinforcements[[#This Row],[Bottom End Connection Type]]&lt;&gt;"Capacity Input","-",""))</f>
        <v>-</v>
      </c>
      <c r="AD13" s="16" t="str">
        <f>IF(Reinforcements[[#This Row],[Reinforcement]]="","",IF(Reinforcements[[#This Row],[Bottom End Connection Type]]&lt;&gt;"Capacity Input","-",""))</f>
        <v>-</v>
      </c>
      <c r="AE13" s="74" t="s">
        <v>355</v>
      </c>
      <c r="AF13" s="6" t="s">
        <v>356</v>
      </c>
      <c r="AG13" s="6">
        <v>6</v>
      </c>
      <c r="AH13" s="6">
        <v>3</v>
      </c>
      <c r="AI13" s="6">
        <v>3</v>
      </c>
      <c r="AJ13" s="6">
        <f>Reinforcements[[#This Row],[End Connection Edge Distance (in) (B)]]-(Reinforcements[[#This Row],[Bolt Hole Size (in)]]+1/16)/2</f>
        <v>2.375</v>
      </c>
      <c r="AK13" s="6">
        <f>Reinforcements[[#This Row],[End Connection Bolt Spacing (in) (B)]]-(Reinforcements[[#This Row],[Bolt Hole Size (in)]]+1/16)</f>
        <v>1.75</v>
      </c>
      <c r="AL13" s="6">
        <f>Reinforcements[[#This Row],[End Connection Edge Distance (in) (B)]]</f>
        <v>3</v>
      </c>
      <c r="AM13" s="6">
        <f>Reinforcements[[#This Row],[End Connection Bolt Spacing (in) (B)]]</f>
        <v>3</v>
      </c>
      <c r="AN13" s="6" t="str">
        <f>IF(Reinforcements[[#This Row],[Reinforcement]]="","",IF(OR(Reinforcements[[#This Row],[Bottom End Connection Type]]="Bolted",Reinforcements[[#This Row],[Bottom End Connection Type]]=""),"-",""))</f>
        <v>-</v>
      </c>
      <c r="AO13" s="111" t="str">
        <f>IF(Reinforcements[[#This Row],[Reinforcement]]="","",IF(OR(Reinforcements[[#This Row],[Bottom End Connection Type]]="Bolted",Reinforcements[[#This Row],[Bottom End Connection Type]]=""),"-",""))</f>
        <v>-</v>
      </c>
      <c r="AP13" s="111" t="str">
        <f>IF(Reinforcements[[#This Row],[Reinforcement]]="","",IF(OR(Reinforcements[[#This Row],[Bottom End Connection Type]]="Bolted",Reinforcements[[#This Row],[Bottom End Connection Type]]=""),"-",""))</f>
        <v>-</v>
      </c>
      <c r="AQ13" s="111" t="str">
        <f>IF(OR(Reinforcements[[#This Row],[Bottom End Connection Type]]="Bolted",Reinforcements[[#This Row],[Bottom Transverse (Horizontal) Weld]]="none"),"-","")</f>
        <v>-</v>
      </c>
      <c r="AR1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11" t="str">
        <f>IF(OR(Reinforcements[[#This Row],[Bottom Transverse (Horizontal) Weld]]="none",Reinforcements[[#This Row],[Bottom End Connection Type]]="Bolted"),"-","")</f>
        <v>-</v>
      </c>
      <c r="AU1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11" t="str">
        <f>IF(Reinforcements[[#This Row],[Reinforcement]]="","",IF(OR(Reinforcements[[#This Row],[Bottom End Connection Type]]="Bolted",Reinforcements[[#This Row],[Bottom End Connection Type]]=""),"-",""))</f>
        <v>-</v>
      </c>
      <c r="AW13" s="111" t="str">
        <f>IF(Reinforcements[[#This Row],[Reinforcement]]="","",IF(OR(Reinforcements[[#This Row],[Bottom End Connection Type]]&lt;&gt;"Welded",Reinforcements[[#This Row],[Bottom Longitudinal (Vertical) Weld]]="None",Reinforcements[[#This Row],[Bottom Longitudinal (Vertical) Weld]]=""),"-",""))</f>
        <v>-</v>
      </c>
      <c r="AX13" s="111" t="str">
        <f>IF(Reinforcements[[#This Row],[Reinforcement]]="","",IF(OR(Reinforcements[[#This Row],[Bottom End Connection Type]]&lt;&gt;"Welded",Reinforcements[[#This Row],[Bottom Longitudinal (Vertical) Weld]]="None",Reinforcements[[#This Row],[Bottom Longitudinal (Vertical) Weld]]=""),"-",""))</f>
        <v>-</v>
      </c>
      <c r="AY13" s="6" t="str">
        <f>IF(Reinforcements[[#This Row],[Reinforcement]]="","",IF(OR(Reinforcements[[#This Row],[Bottom End Connection Type]]&lt;&gt;"Welded",Reinforcements[[#This Row],[Bottom Longitudinal (Vertical) Weld]]="None"),"-",SQRT(2)/2*Reinforcements[[#This Row],[Bottom Longitudinal Weld Fillet Size (in)]]))</f>
        <v>-</v>
      </c>
      <c r="AZ13" s="111" t="s">
        <v>357</v>
      </c>
      <c r="BA13" s="16" t="str">
        <f>IF(Reinforcements[[#This Row],[Top End Connection Same?]]="Yes",Reinforcements[[#This Row],[Bottom End Connection Type]],"")</f>
        <v>Bolted</v>
      </c>
      <c r="BB13" s="16" t="str">
        <f>IF(Reinforcements[[#This Row],[Reinforcement]]="","",IF(Reinforcements[[#This Row],[Top End Connection Same?]]="Yes",Reinforcements[[#This Row],[Rev. F Bottom Connection Capacity (kips)]],IF(Reinforcements[[#This Row],[Reinforcement]]="","",IF(Reinforcements[[#This Row],[Top End Connection Type]]&lt;&gt;"Capacity Input","-",""))))</f>
        <v>-</v>
      </c>
      <c r="BC13" s="16" t="str">
        <f>IF(Reinforcements[[#This Row],[Reinforcement]]="","",IF(Reinforcements[[#This Row],[Top End Connection Same?]]="Yes",Reinforcements[[#This Row],[Rev. G Bottom Connection Capacity (kips)]],IF(Reinforcements[[#This Row],[Reinforcement]]="","",IF(Reinforcements[[#This Row],[Top End Connection Type]]&lt;&gt;"Capacity Input","-",""))))</f>
        <v>-</v>
      </c>
      <c r="BD13" s="16" t="str">
        <f>IF(Reinforcements[[#This Row],[Reinforcement]]="","",IF(Reinforcements[[#This Row],[Top End Connection Same?]]="Yes",Reinforcements[[#This Row],[Rev. G Bottom Connection Capacity (kips)]],IF(Reinforcements[[#This Row],[Reinforcement]]="","",IF(Reinforcements[[#This Row],[Top End Connection Type]]&lt;&gt;"Capacity Input","-",""))))</f>
        <v>-</v>
      </c>
      <c r="BE13" s="74" t="str">
        <f>IF(Reinforcements[[#This Row],[Top End Connection Same?]]="Yes",Reinforcements[[#This Row],[Bottom End Connection Bolt Type]],IF(Reinforcements[[#This Row],[Top End Connection Type]]="Welded","-",""))</f>
        <v>PC 8.8 - M20 (100)</v>
      </c>
      <c r="BF13" s="6" t="str">
        <f>IF(Reinforcements[[#This Row],[Top End Connection Same?]]="Yes",Reinforcements[[#This Row],[Threads Included (N) or Excluded (X) (Bottom)]],IF(Reinforcements[[#This Row],[Top End Connection Type]]="Welded","-",""))</f>
        <v>N</v>
      </c>
      <c r="BG13" s="6">
        <f>IF(Reinforcements[[#This Row],[Top End Connection Same?]]="Yes",Reinforcements[[#This Row],['# of End Connection Bolts          (Bottom)]],IF(Reinforcements[[#This Row],[Top End Connection Type]]="Welded","-",""))</f>
        <v>6</v>
      </c>
      <c r="BH13" s="6">
        <f>IF(Reinforcements[[#This Row],[Top End Connection Same?]]="Yes",Reinforcements[[#This Row],[End Connection Bolt Spacing (in) (B)]],IF(Reinforcements[[#This Row],[Top End Connection Type]]="Welded","-",""))</f>
        <v>3</v>
      </c>
      <c r="BI13" s="6">
        <f>IF(Reinforcements[[#This Row],[Top End Connection Same?]]="Yes",Reinforcements[[#This Row],[End Connection Edge Distance (in) (B)]],IF(Reinforcements[[#This Row],[Top End Connection Type]]="Welded","-",""))</f>
        <v>3</v>
      </c>
      <c r="BJ13" s="6">
        <f>Reinforcements[[#This Row],[End Connection Edge Distance (in) (T)]]-(Reinforcements[[#This Row],[Bolt Hole Size (in)]]+1/16)/2</f>
        <v>2.375</v>
      </c>
      <c r="BK13" s="6">
        <f>Reinforcements[[#This Row],[End Connection Bolt Spacing (in) (T)]]-(Reinforcements[[#This Row],[Bolt Hole Size (in)]]+1/16)</f>
        <v>1.75</v>
      </c>
      <c r="BL13" s="6">
        <f>Reinforcements[[#This Row],[End Connection Edge Distance (in) (T)]]</f>
        <v>3</v>
      </c>
      <c r="BM13" s="6">
        <f>Reinforcements[[#This Row],[End Connection Bolt Spacing (in) (T)]]</f>
        <v>3</v>
      </c>
      <c r="BN13" s="6" t="str">
        <f>IF(Reinforcements[[#This Row],[Reinforcement]]="","",IF(Reinforcements[[#This Row],[Top End Connection Same?]]="Yes",Reinforcements[[#This Row],[Bottom Connected to Flange/Base Plate?]],IF(Reinforcements[[#This Row],[Top End Connection Type]]="Bolted","-","")))</f>
        <v>-</v>
      </c>
      <c r="BO13" s="6" t="str">
        <f>IF(Reinforcements[[#This Row],[Reinforcement]]="","",IF(Reinforcements[[#This Row],[Top End Connection Same?]]="Yes",Reinforcements[[#This Row],[Bottom Weld Grade (ksi)]],IF(OR(Reinforcements[[#This Row],[Top End Connection Type]]&lt;&gt;"Welded",Reinforcements[[#This Row],[Top End Connection Type]]=""),"-","")))</f>
        <v>-</v>
      </c>
      <c r="BP13" s="6" t="str">
        <f>IF($AZ13="Yes",AP13,IF(Reinforcements[[#This Row],[Reinforcement]]="","",IF(OR(Reinforcements[[#This Row],[Top End Connection Type]]&lt;&gt;"Welded",Reinforcements[[#This Row],[Top End Connection Type]]=""),"-","")))</f>
        <v>-</v>
      </c>
      <c r="BQ13" s="6" t="str">
        <f>IF(Reinforcements[[#This Row],[Reinforcement]]="","",IF($AZ13="Yes",AQ13,IF(OR(Reinforcements[[#This Row],[Top End Connection Type]]&lt;&gt;"Welded",Reinforcements[[#This Row],[Top Transverse (Horizontal) Weld]]="none",Reinforcements[[#This Row],[Top Transverse (Horizontal) Weld]]=""),"-","")))</f>
        <v>-</v>
      </c>
      <c r="BR13" s="6"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6"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6" t="str">
        <f>IF(Reinforcements[[#This Row],[Reinforcement]]="","",IF($AZ13="Yes",AT13,IF(OR(Reinforcements[[#This Row],[Top Transverse (Horizontal) Weld]]="none",Reinforcements[[#This Row],[Top End Connection Type]]&lt;&gt;"Welded",Reinforcements[[#This Row],[Top Transverse (Horizontal) Weld]]=""),"-","")))</f>
        <v>-</v>
      </c>
      <c r="BU13" s="6"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6" t="str">
        <f>IF($AZ13="Yes",AV13,IF(Reinforcements[[#This Row],[Reinforcement]]="","",IF(OR(Reinforcements[[#This Row],[Top End Connection Type]]&lt;&gt;"Welded",Reinforcements[[#This Row],[Top End Connection Type]]=""),"-","")))</f>
        <v>-</v>
      </c>
      <c r="BW13" s="6"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6"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6" t="str">
        <f>IF($AZ13="Yes",AY13,IF(Reinforcements[[#This Row],[Reinforcement]]="","",IF(OR(Reinforcements[[#This Row],[Top End Connection Type]]&lt;&gt;"Welded",Reinforcements[[#This Row],[Top Longitudinal (Vertical) Weld]]="none"),"-",SQRT(2)/2*Reinforcements[[#This Row],[Top Longitudinal Weld Fillet Size (in)]])))</f>
        <v>-</v>
      </c>
      <c r="BZ1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11">
        <f>IF(Reinforcements[[#This Row],[Reinforcement]]="","",IF(Reinforcements[[#This Row],[Top End Connection Type]]&lt;&gt;"Bolted","n/a",(Reinforcements[[#This Row],['# of End Connection Bolts          (Top)]]-1)*Reinforcements[[#This Row],[End Connection Bolt Spacing (in) (T)]]+Reinforcements[[#This Row],[End Connection Edge Distance (in) (T)]]))</f>
        <v>18</v>
      </c>
      <c r="CC1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6">
        <f>IFERROR(IF(Reinforcements[[#This Row],[Type]]="","",Reinforcements[[#This Row],[Effective B (in)]]*Reinforcements[[#This Row],[Effective H (in)]]^3/12),"")</f>
        <v>0.140625</v>
      </c>
      <c r="CF13" s="6">
        <f>IFERROR(IF(Reinforcements[[#This Row],[Type]]="","",Reinforcements[[#This Row],[Effective B (in)]]^3*Reinforcements[[#This Row],[Effective H (in)]]/12),"")</f>
        <v>4</v>
      </c>
      <c r="CG13" s="126">
        <f>SQRT(2*PI()^2*29000/VLOOKUP(Reinforcements[[#This Row],[Material]],Materials[],2,FALSE))</f>
        <v>93.844147005158973</v>
      </c>
      <c r="CH1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23">
        <f>Reinforcements[[#This Row],[Effective Length Factor Kx]]*Reinforcements[[#This Row],[Lu (in)]]/(Reinforcements[[#This Row],[rx]]*PI())*SQRT(VLOOKUP(Reinforcements[[#This Row],[Material]],Materials[],2,FALSE)/29000)</f>
        <v>0.89093728863455735</v>
      </c>
      <c r="CK13" s="123">
        <f>Reinforcements[[#This Row],[Effective Length Factor Ky]]*Reinforcements[[#This Row],[Lu (in)]]/(Reinforcements[[#This Row],[ry]]*PI())*SQRT(VLOOKUP(Reinforcements[[#This Row],[Material]],Materials[],2,FALSE)/29000)</f>
        <v>0.20881342702372435</v>
      </c>
      <c r="CL13" s="123">
        <f>IF(Reinforcements[[#This Row],[λcx]]&lt;=1.5,0.658^(Reinforcements[[#This Row],[λcx]]^2)*Reinforcements[[#This Row],[F''y]],0.877/(Reinforcements[[#This Row],[λcx]]^2)*Reinforcements[[#This Row],[F''y]])</f>
        <v>46.625839044509597</v>
      </c>
      <c r="CM13" s="123">
        <f>IF(Reinforcements[[#This Row],[λcy]]&lt;=1.5,0.658^(Reinforcements[[#This Row],[λcy]]^2)*Reinforcements[[#This Row],[F''y]],0.877/(Reinforcements[[#This Row],[λcy]]^2)*Reinforcements[[#This Row],[F''y]])</f>
        <v>63.824504474805018</v>
      </c>
      <c r="CN13" s="6">
        <f>VLOOKUP(Reinforcements[[#This Row],[Material]],Materials[],2,FALSE)</f>
        <v>65</v>
      </c>
      <c r="CO13" s="126">
        <f>IF(Reinforcements[[#This Row],[Reinforcement]]="","",Reinforcements[[#This Row],[Fax]]*Reinforcements[[#This Row],[Gross Area (in2)]])</f>
        <v>83.51084774656897</v>
      </c>
      <c r="CP13" s="126">
        <f>IF(Reinforcements[[#This Row],[Reinforcement]]="","",Reinforcements[[#This Row],[Fay]]*Reinforcements[[#This Row],[Gross Area (in2)]])</f>
        <v>112.0298027001612</v>
      </c>
      <c r="CQ13" s="126">
        <f>IF(Reinforcements[[#This Row],[Reinforcement]]="","",0.6*VLOOKUP(Reinforcements[[#This Row],[Material]],Materials[],2,FALSE)*Reinforcements[[#This Row],[Gross Area (in2)]])</f>
        <v>117</v>
      </c>
      <c r="CR13" s="126">
        <f>IF(Reinforcements[[#This Row],[Reinforcement]]="","",0.5*VLOOKUP(Reinforcements[[#This Row],[Material]],Materials[],3,FALSE)*Reinforcements[[#This Row],[Net Area (in2)]]*Reinforcements[[#This Row],[Shear Lag (U)]])</f>
        <v>82.5</v>
      </c>
      <c r="CS13" s="126">
        <f>IF(Reinforcements[[#This Row],[Reinforcement]]="","",0.4*VLOOKUP(Reinforcements[[#This Row],[Material]],Materials[],2,FALSE)*Reinforcements[[#This Row],[Gross Area (in2)]])</f>
        <v>78</v>
      </c>
      <c r="CT1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6"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6"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26">
        <f>IF(Reinforcements[[#This Row],[Reinforcement]]="","",φ_c*Reinforcements[[#This Row],[Fcr,x]]*Reinforcements[[#This Row],[Gross Area (in2)]])</f>
        <v>125.88976542017591</v>
      </c>
      <c r="DI13" s="126">
        <f>IF(Reinforcements[[#This Row],[Reinforcement]]="","",φ_c*Reinforcements[[#This Row],[Fcr,y]]*Reinforcements[[#This Row],[Gross Area (in2)]])</f>
        <v>172.32616208197356</v>
      </c>
      <c r="DJ13" s="126">
        <f>IF(Reinforcements[[#This Row],[Reinforcement]]="","",φ_t_y*VLOOKUP(Reinforcements[[#This Row],[Material]],Materials[],2,FALSE)*Reinforcements[[#This Row],[Gross Area (in2)]])</f>
        <v>175.5</v>
      </c>
      <c r="DK13" s="126">
        <f>IF(Reinforcements[[#This Row],[Reinforcement]]="","",φ_t_r*VLOOKUP(Reinforcements[[#This Row],[Material]],Materials[],3,FALSE)*Reinforcements[[#This Row],[Net Area (in2)]]*Reinforcements[[#This Row],[Shear Lag (U)]])</f>
        <v>123.75</v>
      </c>
      <c r="DL13" s="126">
        <f>IF(Reinforcements[[#This Row],[Reinforcement]]="","",φ_v*0.5*Reinforcements[[#This Row],[F''y]]*Reinforcements[[#This Row],[Gross Area (in2)]])</f>
        <v>87.75</v>
      </c>
      <c r="DM1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6"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6"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111" t="str">
        <f>IF(OR(Reinforcements[[#This Row],[Type]]="plate",Reinforcements[[#This Row],[Type]]="solid round"),"N/A",Reinforcements[[#This Row],[B (in)]])</f>
        <v>N/A</v>
      </c>
      <c r="EB13" s="6" t="str">
        <f>IF(OR(Reinforcements[[#This Row],[Type]]="plate",Reinforcements[[#This Row],[Type]]="solid round"),"N/A",Reinforcements[[#This Row],[H (in)]])</f>
        <v>N/A</v>
      </c>
      <c r="EC13" s="6" t="str">
        <f>IF(OR(Reinforcements[[#This Row],[Type]]="plate",Reinforcements[[#This Row],[Type]]="solid round"),"N/A",Reinforcements[[#This Row],[B (in)]]-Reinforcements[[#This Row],['[Channel'] Flange Thickness (in)]])</f>
        <v>N/A</v>
      </c>
      <c r="ED13" s="6" t="str">
        <f>IF(OR(Reinforcements[[#This Row],[Type]]="plate",Reinforcements[[#This Row],[Type]]="solid round"),"N/A",Reinforcements[[#This Row],['[Channel']Web Thickness (in)]])</f>
        <v>N/A</v>
      </c>
      <c r="EE13" s="6" t="str">
        <f>IF(OR(Reinforcements[[#This Row],[Type]]="plate",Reinforcements[[#This Row],[Type]]="solid round"),"N/A",Reinforcements[[#This Row],['[Channel'] Flange Thickness (in)]])</f>
        <v>N/A</v>
      </c>
      <c r="EF13" s="6" t="str">
        <f>IF(Reinforcements[[#This Row],[Type]]="channel",Reinforcements[[#This Row],[Channel Flange Width, b]]/Reinforcements[[#This Row],[Channel flange thickness, tf]],"N/A")</f>
        <v>N/A</v>
      </c>
      <c r="EG13" s="6" t="str">
        <f>IF(Reinforcements[[#This Row],[Type]]="channel",Reinforcements[[#This Row],[Channel inside depth, T]]/Reinforcements[[#This Row],[Channel web thickness, tw]],"N/A")</f>
        <v>N/A</v>
      </c>
      <c r="EH13" s="6">
        <f>29000</f>
        <v>29000</v>
      </c>
      <c r="EI13" s="6" t="str">
        <f>IF(Reinforcements[[#This Row],[Type]]="channel",0.56*SQRT(Reinforcements[[#This Row],[E, (ksi)]]/Reinforcements[[#This Row],[Fy, (ksi)]]),"N/A")</f>
        <v>N/A</v>
      </c>
      <c r="EJ13" s="6" t="str">
        <f>IF(Reinforcements[[#This Row],[Type]]="channel",1.49*SQRT(Reinforcements[[#This Row],[E, (ksi)]]/Reinforcements[[#This Row],[Fy, (ksi)]]),"N/A")</f>
        <v>N/A</v>
      </c>
      <c r="EK13" s="6">
        <f>VLOOKUP(Reinforcements[[#This Row],[Material]],Materials!$B$2:$C$30,2,FALSE)</f>
        <v>65</v>
      </c>
      <c r="EL13" s="6">
        <f>Reinforcements[[#This Row],[Lu (in)]]*Reinforcements[[#This Row],[Effective Length Factor Kx]]</f>
        <v>12.8</v>
      </c>
      <c r="EM13" s="6">
        <f>Reinforcements[[#This Row],[Lu (in)]]*Reinforcements[[#This Row],[Effective Length Factor Ky]]</f>
        <v>16</v>
      </c>
      <c r="EN13" s="6">
        <f>Reinforcements[[#This Row],[rx]]</f>
        <v>0.21650635094610965</v>
      </c>
      <c r="EO13" s="6">
        <f>Reinforcements[[#This Row],[ry]]</f>
        <v>1.1547005383792515</v>
      </c>
      <c r="EP13" s="6">
        <f>Reinforcements[[#This Row],[Lcx (in)]]/Reinforcements[[#This Row],[rx (in)]]</f>
        <v>59.120667565017683</v>
      </c>
      <c r="EQ13" s="6">
        <f>Reinforcements[[#This Row],[Lcy (in)]]/Reinforcements[[#This Row],[ry (in)]]</f>
        <v>13.856406460551019</v>
      </c>
      <c r="ER13" s="6">
        <f>((PI()^2)*Reinforcements[[#This Row],[E, (ksi)]])/(Reinforcements[[#This Row],[Lcx/rx]]^2)</f>
        <v>81.887777604558366</v>
      </c>
      <c r="ES13" s="6">
        <f>((PI()^2)*Reinforcements[[#This Row],[E, (ksi)]])/(Reinforcements[[#This Row],[Lcy/ry]]^2)</f>
        <v>1490.7214980812048</v>
      </c>
      <c r="ET13" s="6">
        <f>4.71*(SQRT(Reinforcements[[#This Row],[E, (ksi)]]/Reinforcements[[#This Row],[Fy, (ksi)]]))</f>
        <v>99.486288193205496</v>
      </c>
      <c r="EU13" s="6">
        <f>IF(Reinforcements[[#This Row],[Lcx/rx]]&lt;=Reinforcements[[#This Row],[Fcr Limit]],(0.658^(Reinforcements[[#This Row],[Fy, (ksi)]]/Reinforcements[[#This Row],[Fex, FB (ksi)]]))*Reinforcements[[#This Row],[Fy, (ksi)]],0.877*Reinforcements[[#This Row],[Fex, FB (ksi)]])</f>
        <v>46.625839044509597</v>
      </c>
      <c r="EV13" s="6">
        <f>IF(Reinforcements[[#This Row],[Lcy/ry]]&lt;=Reinforcements[[#This Row],[Fcr Limit]],(0.658^(Reinforcements[[#This Row],[Fy, (ksi)]]/Reinforcements[[#This Row],[Fey, FB (ksi)]]))*Reinforcements[[#This Row],[Fy, (ksi)]],0.877*Reinforcements[[#This Row],[Fey, FB (ksi)]])</f>
        <v>63.824504474805018</v>
      </c>
      <c r="EW13" s="6">
        <f>Reinforcements[[#This Row],[Fcrx (ksi)]]*Reinforcements[[#This Row],[Gross Area (in2)]]</f>
        <v>139.87751713352878</v>
      </c>
      <c r="EX13" s="6">
        <f>Reinforcements[[#This Row],[Fcry (ksi)]]*Reinforcements[[#This Row],[Gross Area (in2)]]</f>
        <v>191.47351342441505</v>
      </c>
      <c r="EY13" s="6" t="str">
        <f>IF(Reinforcements[[#This Row],[Type]]="channel",0,"N/A")</f>
        <v>N/A</v>
      </c>
      <c r="EZ13" s="6" t="str">
        <f>IF(Reinforcements[[#This Row],[Type]]="channel",Reinforcements[[#This Row],[Channel Flange Width, b]]-(0.5*Reinforcements[[#This Row],[Channel web thickness, tw]]),"N/A")</f>
        <v>N/A</v>
      </c>
      <c r="FA13" s="6" t="str">
        <f>IF(Reinforcements[[#This Row],[Type]]="channel",Reinforcements[[#This Row],[Channel Height, h]]-Reinforcements[[#This Row],[Channel flange thickness, tf]],"N/A")</f>
        <v>N/A</v>
      </c>
      <c r="FB13" s="6" t="str">
        <f>IF(Reinforcements[[#This Row],[Type]]="channel",Reinforcements[[#This Row],[Channel web thickness, tw]],"N/A")</f>
        <v>N/A</v>
      </c>
      <c r="FC13" s="6" t="str">
        <f>IF(Reinforcements[[#This Row],[Type]]="channel",((3*Reinforcements[[#This Row],[b]]^2)/(Reinforcements[[#This Row],[h]]+(6*Reinforcements[[#This Row],[b]])))-Reinforcements[[#This Row],[t]]/2,"N/A")</f>
        <v>N/A</v>
      </c>
      <c r="FD13" s="6">
        <f>Reinforcements[[#This Row],[Pole Face to Centroid (in)]]</f>
        <v>0.375</v>
      </c>
      <c r="FE13" s="6" t="str">
        <f>IF(Reinforcements[[#This Row],[Type]]="channel",Reinforcements[[#This Row],[x(bar)]]+Reinforcements[[#This Row],['[Channel'] e0 (in)]],"N/A")</f>
        <v>N/A</v>
      </c>
      <c r="FF13" s="6" t="str">
        <f>IF(Reinforcements[[#This Row],[Type]]="channel",Reinforcements[[#This Row],[Ix]],"N/A")</f>
        <v>N/A</v>
      </c>
      <c r="FG13" s="6" t="str">
        <f>IF(Reinforcements[[#This Row],[Type]]="channel",Reinforcements[[#This Row],[Iy]],"N/A")</f>
        <v>N/A</v>
      </c>
      <c r="FH13" s="6" t="str">
        <f>IF(Reinforcements[[#This Row],[Type]]="channel",Reinforcements[[#This Row],[Gross Area (in2)]],"N/A")</f>
        <v>N/A</v>
      </c>
      <c r="FI13" s="6" t="str">
        <f>IF(Reinforcements[[#This Row],[Type]]="channel",(Reinforcements[[#This Row],[xo]]^2)+((Reinforcements[[#This Row],[Ix (FTB)]]+Reinforcements[[#This Row],[Iy (FTB)]])/Reinforcements[[#This Row],[Ag]]),"N/A")</f>
        <v>N/A</v>
      </c>
      <c r="FJ13" s="6" t="str">
        <f>IF(Reinforcements[[#This Row],[Type]]="channel",Reinforcements[[#This Row],[Lu (in)]],"N/A")</f>
        <v>N/A</v>
      </c>
      <c r="FK13" s="6" t="str">
        <f>IF(Reinforcements[[#This Row],[Type]]="channel",Reinforcements[[#This Row],[Effective Length Factor Kx]],"N/A")</f>
        <v>N/A</v>
      </c>
      <c r="FL13" s="6" t="str">
        <f>IF(Reinforcements[[#This Row],[Type]]="channel",Reinforcements[[#This Row],[Kz]]*Reinforcements[[#This Row],[Lz]],"N/A")</f>
        <v>N/A</v>
      </c>
      <c r="FM13" s="6" t="str">
        <f>IF(Reinforcements[[#This Row],[Type]]="channel",(((Reinforcements[[#This Row],[t]]^3)/3)*(Reinforcements[[#This Row],[h]]+(2*Reinforcements[[#This Row],[b]]))),"N/A")</f>
        <v>N/A</v>
      </c>
      <c r="FN13" s="6" t="str">
        <f>IF(Reinforcements[[#This Row],[Type]]="channel",(1-(((Reinforcements[[#This Row],[xo]]^2)+(Reinforcements[[#This Row],[yo]]^2))/Reinforcements[[#This Row],[ro^2(bar)]])),"N/A")</f>
        <v>N/A</v>
      </c>
      <c r="FO13" s="6">
        <v>11200</v>
      </c>
      <c r="FP13" s="6" t="str">
        <f>IF(Reinforcements[[#This Row],[Type]]="channel",(((Reinforcements[[#This Row],[h]]^2)*(Reinforcements[[#This Row],[b]]^3)*Reinforcements[[#This Row],[t]])/12)*(((2*Reinforcements[[#This Row],[h]])+(3*Reinforcements[[#This Row],[b]]))/(Reinforcements[[#This Row],[h]]+(6*Reinforcements[[#This Row],[b]]))),"N/A")</f>
        <v>N/A</v>
      </c>
      <c r="FQ13" s="6" t="str">
        <f>IF(Reinforcements[[#This Row],[Type]]="Channel",((((PI()^2)*Reinforcements[[#This Row],[E, (ksi)]]*Reinforcements[[#This Row],['[Channel'] CW (in6)]])/(Reinforcements[[#This Row],[Lcz]]^2))+(Reinforcements[[#This Row],[G]]*Reinforcements[[#This Row],['[Channel'] J (in4)]]))*(1/(Reinforcements[[#This Row],[Ag]]*Reinforcements[[#This Row],[ro^2(bar)]])),"N/A")</f>
        <v>N/A</v>
      </c>
      <c r="FR13" s="6" t="str">
        <f>IF(Reinforcements[[#This Row],[Type]]="channel",((PI()^2)*Reinforcements[[#This Row],[E, (ksi)]])/(Reinforcements[[#This Row],[Lcy/ry]]^2),"N/A")</f>
        <v>N/A</v>
      </c>
      <c r="FS13" s="6" t="str">
        <f>IF(Reinforcements[[#This Row],[Type]]="channel",((Reinforcements[[#This Row],[Fey]]+Reinforcements[[#This Row],[Fez]])/(2*Reinforcements[[#This Row],[H2]]))*(1-SQRT(1-((4*Reinforcements[[#This Row],[Fey]]*Reinforcements[[#This Row],[Fez]]*Reinforcements[[#This Row],[H2]])/(Reinforcements[[#This Row],[Fey]]+Reinforcements[[#This Row],[Fez]])^2))),"N/A")</f>
        <v>N/A</v>
      </c>
      <c r="FT13" s="6" t="str">
        <f>IF(Reinforcements[[#This Row],[Type]]="channel",IF(Reinforcements[[#This Row],[Lcx/rx]]&gt;(4.71*SQRT(Reinforcements[[#This Row],[E, (ksi)]]/Reinforcements[[#This Row],[Fy, (ksi)]])),0.877*Reinforcements[[#This Row],[Fe (FTB)]],0.658^(Reinforcements[[#This Row],[Fy, (ksi)]]/Reinforcements[[#This Row],[Fe (FTB)]])*Reinforcements[[#This Row],[Fy, (ksi)]]),"N/A")</f>
        <v>N/A</v>
      </c>
      <c r="FU13" s="6" t="str">
        <f>IF(Reinforcements[[#This Row],[Type]]="channel",MIN(Reinforcements[[#This Row],[Fcr(FTB)]],Reinforcements[[#This Row],[Fcry (ksi)]]),"N/A")</f>
        <v>N/A</v>
      </c>
      <c r="FV13" s="6">
        <v>0.22</v>
      </c>
      <c r="FW13" s="6">
        <v>1.49</v>
      </c>
      <c r="FX13" s="6" t="str">
        <f>IF(Reinforcements[[#This Row],[Type]]="channel",((Reinforcements[[#This Row],[c2]]*(Reinforcements[[#This Row],[λrf]]/Reinforcements[[#This Row],[λf]]))^2)*Reinforcements[[#This Row],[Fy, (ksi)]],"N/A")</f>
        <v>N/A</v>
      </c>
      <c r="FY13" s="6" t="str">
        <f>IF(Reinforcements[[#This Row],[Type]]="channel",((Reinforcements[[#This Row],[c2]]*(Reinforcements[[#This Row],[λrw]]/Reinforcements[[#This Row],[λw]]))^2)*Reinforcements[[#This Row],[Fy, (ksi)]],"N/A")</f>
        <v>N/A</v>
      </c>
      <c r="FZ1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6" t="str">
        <f>IF(Reinforcements[[#This Row],[Type]]="channel",Reinforcements[[#This Row],[Fcr]]*Reinforcements[[#This Row],[Ae]],"N/A")</f>
        <v>N/A</v>
      </c>
      <c r="GD13">
        <f>IF(Reinforcements[[#This Row],[Reinforcement]]="","",φ_c*Reinforcements[[#This Row],[Pnx, FB (kip)]])</f>
        <v>125.88976542017591</v>
      </c>
      <c r="GE13">
        <f>IF(Reinforcements[[#This Row],[Reinforcement]]="","",IF(Reinforcements[[#This Row],[Type]]="channel",φ_c*Reinforcements[[#This Row],[Pn]],φ_c*Reinforcements[[#This Row],[Pny, FB (kip)]]))</f>
        <v>172.32616208197354</v>
      </c>
      <c r="GF13">
        <f>Reinforcements[[#This Row],[Rev. G Tension Yield Capacity (kips)]]</f>
        <v>175.5</v>
      </c>
      <c r="GG13">
        <f>Reinforcements[[#This Row],[Rev. G Tension Rupture Capacity (kips)]]</f>
        <v>123.75</v>
      </c>
      <c r="GH13">
        <f>Reinforcements[[#This Row],[Rev. G Shear Capacity (kips)]]</f>
        <v>87.75</v>
      </c>
      <c r="GI13">
        <f>IFERROR((Reinforcements[[#This Row],['# of End Connection Bolts          (Bottom)]]-1)*Reinforcements[[#This Row],[End Connection Bolt Spacing (in) (B)]],"-")</f>
        <v>15</v>
      </c>
      <c r="GJ13">
        <f>IFERROR(IF(VLOOKUP(Reinforcements[[#This Row],[Bottom End Connection Bolt Type]],Bolts[],COLUMN(Bolts[[#Headers],[Rev. H Apply Connection Length Reduction Factor (Rb)?]])-1,FALSE)="Yes",(IF(Reinforcements[[#This Row],[Lb(bottom)]]&lt;=16,1,IF(Reinforcements[[#This Row],[Lb(bottom)]]&gt;38,0.75,0.9))),1),"-")</f>
        <v>1</v>
      </c>
      <c r="GK1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f>IFERROR(IF(Reinforcements[[#This Row],[Top End Connection Same?]]="Yes",Reinforcements[[#This Row],[Lb(bottom)]],(Reinforcements[[#This Row],['# of End Connection Bolts          (Top)]]-1)*Reinforcements[[#This Row],[End Connection Bolt Spacing (in) (T)]]),"-")</f>
        <v>15</v>
      </c>
      <c r="GM13">
        <f>IFERROR(IF(VLOOKUP(Reinforcements[[#This Row],[Top End Connection Bolt Type]],Bolts[],COLUMN(Bolts[[#Headers],[Rev. H Apply Connection Length Reduction Factor (Rb)?]])-1,FALSE)=TRUE,(IF(Reinforcements[[#This Row],[Lb(top)]]&lt;=16,1,IF(Reinforcements[[#This Row],[Lb(top)]]&gt;38,0.75,0.9))),1),"-")</f>
        <v>1</v>
      </c>
      <c r="GN1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f>Reinforcements[[#This Row],[Rev. G Bolt-Shaft Bearing Capacity (Bottom)                No Deformation          (*t*Fu kips)]]</f>
        <v>11.96220472440945</v>
      </c>
      <c r="GP13">
        <f>Reinforcements[[#This Row],[Rev. G Bolt-Shaft Bearing Capacity (Bottom)                   Deformation          (*t*Fu kips)]]</f>
        <v>14.952755905511811</v>
      </c>
      <c r="GQ13">
        <f>Reinforcements[[#This Row],[Rev. G Bolt-Shaft Bearing Capacity (Top)                    No Deformation          (*t*Fu kips)]]</f>
        <v>11.96220472440945</v>
      </c>
      <c r="GR13">
        <f>Reinforcements[[#This Row],[Rev. G Bolt-Shaft Bearing Capacity (Top)                        Deformation          (*t*Fu kips)]]</f>
        <v>14.952755905511811</v>
      </c>
      <c r="GS13">
        <f>Reinforcements[[#This Row],[Rev. G Bolt-Reinf. Bearing Capacity (Bottom)            No Deformation (kips)]]</f>
        <v>717.73228346456699</v>
      </c>
      <c r="GT13">
        <f>Reinforcements[[#This Row],[Rev. G Bolt-Reinf. Bearing Capacity (Bottom)               Deformation (kips)]]</f>
        <v>897.16535433070862</v>
      </c>
      <c r="GU13">
        <f>Reinforcements[[#This Row],[Rev. G Bolt-Reinf. Bearing Capacity (Top)                  No Deformation (kips)]]</f>
        <v>717.73228346456699</v>
      </c>
      <c r="GV13">
        <f>Reinforcements[[#This Row],[Rev. G Bolt-Reinf. Bearing Capacity (Top)               Deformation (kips)]]</f>
        <v>897.16535433070862</v>
      </c>
      <c r="GW13" t="str">
        <f>Reinforcements[[#This Row],[Rev. G Bottom Transverse Weld Strength]]</f>
        <v>-</v>
      </c>
      <c r="GX13" t="str">
        <f>Reinforcements[[#This Row],[Rev. G Bottom Longitudinal Weld Strength]]</f>
        <v>-</v>
      </c>
      <c r="GY13" t="str">
        <f>Reinforcements[[#This Row],[Rev. G Top Transverse Weld Strength]]</f>
        <v>-</v>
      </c>
      <c r="GZ13" t="str">
        <f>Reinforcements[[#This Row],[Rev. G Top Longitudinal Weld Strength]]</f>
        <v>-</v>
      </c>
      <c r="HA13">
        <v>11</v>
      </c>
      <c r="HB1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49" t="s">
        <v>368</v>
      </c>
      <c r="C14" s="49" t="s">
        <v>352</v>
      </c>
      <c r="D14" s="6">
        <v>4</v>
      </c>
      <c r="E14" s="6">
        <v>1.25</v>
      </c>
      <c r="F14" s="6" t="str">
        <f>IF(Reinforcements[[#This Row],[Type]]="","",IF(Reinforcements[[#This Row],[Type]]="solid round","","n/a"))</f>
        <v>n/a</v>
      </c>
      <c r="G14" s="6" t="str">
        <f>IF(Reinforcements[[#This Row],[Type]]="","",IF(Reinforcements[[#This Row],[Type]]&lt;&gt;"channel","n/a",""))</f>
        <v>n/a</v>
      </c>
      <c r="H14" s="6" t="str">
        <f>IF(Reinforcements[[#This Row],[Type]]="","",IF(Reinforcements[[#This Row],[Type]]&lt;&gt;"channel","n/a",""))</f>
        <v>n/a</v>
      </c>
      <c r="I14" s="126" t="str">
        <f>IF(Reinforcements[[#This Row],[Type]]="","",IF(Reinforcements[[#This Row],[Type]]&lt;&gt;"channel","n/a",Reinforcements[[#This Row],[eo]]))</f>
        <v>n/a</v>
      </c>
      <c r="J14" s="126" t="str">
        <f>IF(Reinforcements[[#This Row],[Type]]="","",IF(Reinforcements[[#This Row],[Type]]&lt;&gt;"channel","n/a",Reinforcements[[#This Row],[J]]))</f>
        <v>n/a</v>
      </c>
      <c r="K14" s="126" t="str">
        <f>IF(Reinforcements[[#This Row],[Type]]="","",IF(Reinforcements[[#This Row],[Type]]&lt;&gt;"channel","n/a",Reinforcements[[#This Row],[Cw]]))</f>
        <v>n/a</v>
      </c>
      <c r="L14" s="6">
        <f>IFERROR(IF(Reinforcements[[#This Row],[Type]]="","",IF(Reinforcements[[#This Row],[Type]]="plate",Reinforcements[[#This Row],[B (in)]]*Reinforcements[[#This Row],[H (in)]],IF(Reinforcements[[#This Row],[Type]]="solid round",PI()/4*Reinforcements[[#This Row],[Diameter (in)]]^2,""))),"")</f>
        <v>5</v>
      </c>
      <c r="M14" s="6">
        <f>IFERROR(IF(Reinforcements[[#This Row],[Type]]="","",IF(Reinforcements[[#This Row],[Type]]="plate",Reinforcements[[#This Row],[H (in)]]/2,"")),"")</f>
        <v>0.625</v>
      </c>
      <c r="N14" s="34" t="s">
        <v>353</v>
      </c>
      <c r="O14" s="111" t="s">
        <v>138</v>
      </c>
      <c r="P14" s="123">
        <f>IFERROR(IF(Reinforcements[[#This Row],[Type]]="","",IF(Reinforcements[[#This Row],[Type]]="plate",Reinforcements[[#This Row],[B (in)]]*Reinforcements[[#This Row],[H (in)]]^3/12,IF(Reinforcements[[#This Row],[Type]]="solid round",PI()/64*Reinforcements[[#This Row],[Diameter (in)]]^4,""))),"")</f>
        <v>0.65104166666666663</v>
      </c>
      <c r="Q14" s="123">
        <f>IF(Reinforcements[[#This Row],[Reinforcement]]="","",SQRT(Reinforcements[[#This Row],[Ix]]/Reinforcements[[#This Row],[Gross Area (in2)]]))</f>
        <v>0.36084391824351608</v>
      </c>
      <c r="R14" s="123">
        <f>IFERROR(IF(Reinforcements[[#This Row],[Type]]="","",IF(Reinforcements[[#This Row],[Type]]="plate",Reinforcements[[#This Row],[B (in)]]^3*Reinforcements[[#This Row],[H (in)]]/12,IF(Reinforcements[[#This Row],[Type]]="solid round",PI()/64*Reinforcements[[#This Row],[Diameter (in)]]^4,""))),"")</f>
        <v>6.666666666666667</v>
      </c>
      <c r="S14" s="123">
        <f>IF(Reinforcements[[#This Row],[Reinforcement]]="","",SQRT(Reinforcements[[#This Row],[Iy]]/Reinforcements[[#This Row],[Gross Area (in2)]]))</f>
        <v>1.1547005383792517</v>
      </c>
      <c r="T14" s="6">
        <v>27</v>
      </c>
      <c r="U14" s="6">
        <v>0.8</v>
      </c>
      <c r="V14" s="6">
        <v>1</v>
      </c>
      <c r="W14" s="6">
        <v>1.1875</v>
      </c>
      <c r="X14" s="6">
        <f>IF(Reinforcements[[#This Row],[Bolt Hole Size (in)]]="","",IF(Reinforcements[[#This Row],[Bolt Hole Size (in)]]="n/a","n/a",Reinforcements[[#This Row],[Bolt Hole Size (in)]]*25.4))</f>
        <v>30.162499999999998</v>
      </c>
      <c r="Y1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6">
        <f>IFERROR(IF(Reinforcements[[#This Row],[Reinforcement]]="","",IF(OR(Reinforcements[[#This Row],[Type]]="plate",Reinforcements[[#This Row],[Type]]="solid round"),1,IF(Reinforcements[[#This Row],[Type]]="arbitrary","",1-Reinforcements[[#This Row],[Pole Face to Centroid (in)]]/Reinforcements[[#This Row],[Connection Length (in) '[Channels']]]))),"")</f>
        <v>1</v>
      </c>
      <c r="AA14" s="16" t="s">
        <v>354</v>
      </c>
      <c r="AB14" s="16" t="str">
        <f>IF(Reinforcements[[#This Row],[Reinforcement]]="","",IF(Reinforcements[[#This Row],[Bottom End Connection Type]]&lt;&gt;"Capacity Input","-",""))</f>
        <v>-</v>
      </c>
      <c r="AC14" s="16" t="str">
        <f>IF(Reinforcements[[#This Row],[Reinforcement]]="","",IF(Reinforcements[[#This Row],[Bottom End Connection Type]]&lt;&gt;"Capacity Input","-",""))</f>
        <v>-</v>
      </c>
      <c r="AD14" s="16" t="str">
        <f>IF(Reinforcements[[#This Row],[Reinforcement]]="","",IF(Reinforcements[[#This Row],[Bottom End Connection Type]]&lt;&gt;"Capacity Input","-",""))</f>
        <v>-</v>
      </c>
      <c r="AE14" s="74" t="s">
        <v>355</v>
      </c>
      <c r="AF14" s="6" t="s">
        <v>356</v>
      </c>
      <c r="AG14" s="6">
        <v>8</v>
      </c>
      <c r="AH14" s="6">
        <v>3</v>
      </c>
      <c r="AI14" s="6">
        <v>3</v>
      </c>
      <c r="AJ14" s="6">
        <f>Reinforcements[[#This Row],[End Connection Edge Distance (in) (B)]]-(Reinforcements[[#This Row],[Bolt Hole Size (in)]]+1/16)/2</f>
        <v>2.375</v>
      </c>
      <c r="AK14" s="6">
        <f>Reinforcements[[#This Row],[End Connection Bolt Spacing (in) (B)]]-(Reinforcements[[#This Row],[Bolt Hole Size (in)]]+1/16)</f>
        <v>1.75</v>
      </c>
      <c r="AL14" s="6">
        <f>Reinforcements[[#This Row],[End Connection Edge Distance (in) (B)]]</f>
        <v>3</v>
      </c>
      <c r="AM14" s="6">
        <f>Reinforcements[[#This Row],[End Connection Bolt Spacing (in) (B)]]</f>
        <v>3</v>
      </c>
      <c r="AN14" s="6" t="str">
        <f>IF(Reinforcements[[#This Row],[Reinforcement]]="","",IF(OR(Reinforcements[[#This Row],[Bottom End Connection Type]]="Bolted",Reinforcements[[#This Row],[Bottom End Connection Type]]=""),"-",""))</f>
        <v>-</v>
      </c>
      <c r="AO14" s="111" t="str">
        <f>IF(Reinforcements[[#This Row],[Reinforcement]]="","",IF(OR(Reinforcements[[#This Row],[Bottom End Connection Type]]="Bolted",Reinforcements[[#This Row],[Bottom End Connection Type]]=""),"-",""))</f>
        <v>-</v>
      </c>
      <c r="AP14" s="111" t="str">
        <f>IF(Reinforcements[[#This Row],[Reinforcement]]="","",IF(OR(Reinforcements[[#This Row],[Bottom End Connection Type]]="Bolted",Reinforcements[[#This Row],[Bottom End Connection Type]]=""),"-",""))</f>
        <v>-</v>
      </c>
      <c r="AQ14" s="111" t="str">
        <f>IF(OR(Reinforcements[[#This Row],[Bottom End Connection Type]]="Bolted",Reinforcements[[#This Row],[Bottom Transverse (Horizontal) Weld]]="none"),"-","")</f>
        <v>-</v>
      </c>
      <c r="AR1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11" t="str">
        <f>IF(OR(Reinforcements[[#This Row],[Bottom Transverse (Horizontal) Weld]]="none",Reinforcements[[#This Row],[Bottom End Connection Type]]="Bolted"),"-","")</f>
        <v>-</v>
      </c>
      <c r="AU1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11" t="str">
        <f>IF(Reinforcements[[#This Row],[Reinforcement]]="","",IF(OR(Reinforcements[[#This Row],[Bottom End Connection Type]]="Bolted",Reinforcements[[#This Row],[Bottom End Connection Type]]=""),"-",""))</f>
        <v>-</v>
      </c>
      <c r="AW14" s="111" t="str">
        <f>IF(Reinforcements[[#This Row],[Reinforcement]]="","",IF(OR(Reinforcements[[#This Row],[Bottom End Connection Type]]&lt;&gt;"Welded",Reinforcements[[#This Row],[Bottom Longitudinal (Vertical) Weld]]="None",Reinforcements[[#This Row],[Bottom Longitudinal (Vertical) Weld]]=""),"-",""))</f>
        <v>-</v>
      </c>
      <c r="AX14" s="111" t="str">
        <f>IF(Reinforcements[[#This Row],[Reinforcement]]="","",IF(OR(Reinforcements[[#This Row],[Bottom End Connection Type]]&lt;&gt;"Welded",Reinforcements[[#This Row],[Bottom Longitudinal (Vertical) Weld]]="None",Reinforcements[[#This Row],[Bottom Longitudinal (Vertical) Weld]]=""),"-",""))</f>
        <v>-</v>
      </c>
      <c r="AY14" s="6" t="str">
        <f>IF(Reinforcements[[#This Row],[Reinforcement]]="","",IF(OR(Reinforcements[[#This Row],[Bottom End Connection Type]]&lt;&gt;"Welded",Reinforcements[[#This Row],[Bottom Longitudinal (Vertical) Weld]]="None"),"-",SQRT(2)/2*Reinforcements[[#This Row],[Bottom Longitudinal Weld Fillet Size (in)]]))</f>
        <v>-</v>
      </c>
      <c r="AZ14" s="6" t="s">
        <v>357</v>
      </c>
      <c r="BA14" s="16" t="str">
        <f>IF(Reinforcements[[#This Row],[Top End Connection Same?]]="Yes",Reinforcements[[#This Row],[Bottom End Connection Type]],"")</f>
        <v>Bolted</v>
      </c>
      <c r="BB14" s="16" t="str">
        <f>IF(Reinforcements[[#This Row],[Reinforcement]]="","",IF(Reinforcements[[#This Row],[Top End Connection Same?]]="Yes",Reinforcements[[#This Row],[Rev. F Bottom Connection Capacity (kips)]],IF(Reinforcements[[#This Row],[Reinforcement]]="","",IF(Reinforcements[[#This Row],[Top End Connection Type]]&lt;&gt;"Capacity Input","-",""))))</f>
        <v>-</v>
      </c>
      <c r="BC14" s="16" t="str">
        <f>IF(Reinforcements[[#This Row],[Reinforcement]]="","",IF(Reinforcements[[#This Row],[Top End Connection Same?]]="Yes",Reinforcements[[#This Row],[Rev. G Bottom Connection Capacity (kips)]],IF(Reinforcements[[#This Row],[Reinforcement]]="","",IF(Reinforcements[[#This Row],[Top End Connection Type]]&lt;&gt;"Capacity Input","-",""))))</f>
        <v>-</v>
      </c>
      <c r="BD14" s="16" t="str">
        <f>IF(Reinforcements[[#This Row],[Reinforcement]]="","",IF(Reinforcements[[#This Row],[Top End Connection Same?]]="Yes",Reinforcements[[#This Row],[Rev. G Bottom Connection Capacity (kips)]],IF(Reinforcements[[#This Row],[Reinforcement]]="","",IF(Reinforcements[[#This Row],[Top End Connection Type]]&lt;&gt;"Capacity Input","-",""))))</f>
        <v>-</v>
      </c>
      <c r="BE14" s="74" t="str">
        <f>IF(Reinforcements[[#This Row],[Top End Connection Same?]]="Yes",Reinforcements[[#This Row],[Bottom End Connection Bolt Type]],IF(Reinforcements[[#This Row],[Top End Connection Type]]="Welded","-",""))</f>
        <v>PC 8.8 - M20 (100)</v>
      </c>
      <c r="BF14" s="6" t="str">
        <f>IF(Reinforcements[[#This Row],[Top End Connection Same?]]="Yes",Reinforcements[[#This Row],[Threads Included (N) or Excluded (X) (Bottom)]],IF(Reinforcements[[#This Row],[Top End Connection Type]]="Welded","-",""))</f>
        <v>N</v>
      </c>
      <c r="BG14" s="6">
        <f>IF(Reinforcements[[#This Row],[Top End Connection Same?]]="Yes",Reinforcements[[#This Row],['# of End Connection Bolts          (Bottom)]],IF(Reinforcements[[#This Row],[Top End Connection Type]]="Welded","-",""))</f>
        <v>8</v>
      </c>
      <c r="BH14" s="6">
        <f>IF(Reinforcements[[#This Row],[Top End Connection Same?]]="Yes",Reinforcements[[#This Row],[End Connection Bolt Spacing (in) (B)]],IF(Reinforcements[[#This Row],[Top End Connection Type]]="Welded","-",""))</f>
        <v>3</v>
      </c>
      <c r="BI14" s="6">
        <f>IF(Reinforcements[[#This Row],[Top End Connection Same?]]="Yes",Reinforcements[[#This Row],[End Connection Edge Distance (in) (B)]],IF(Reinforcements[[#This Row],[Top End Connection Type]]="Welded","-",""))</f>
        <v>3</v>
      </c>
      <c r="BJ14" s="6">
        <f>Reinforcements[[#This Row],[End Connection Edge Distance (in) (T)]]-(Reinforcements[[#This Row],[Bolt Hole Size (in)]]+1/16)/2</f>
        <v>2.375</v>
      </c>
      <c r="BK14" s="6">
        <f>Reinforcements[[#This Row],[End Connection Bolt Spacing (in) (T)]]-(Reinforcements[[#This Row],[Bolt Hole Size (in)]]+1/16)</f>
        <v>1.75</v>
      </c>
      <c r="BL14" s="6">
        <f>Reinforcements[[#This Row],[End Connection Edge Distance (in) (T)]]</f>
        <v>3</v>
      </c>
      <c r="BM14" s="6">
        <f>Reinforcements[[#This Row],[End Connection Bolt Spacing (in) (T)]]</f>
        <v>3</v>
      </c>
      <c r="BN14" s="6" t="str">
        <f>IF(Reinforcements[[#This Row],[Reinforcement]]="","",IF(Reinforcements[[#This Row],[Top End Connection Same?]]="Yes",Reinforcements[[#This Row],[Bottom Connected to Flange/Base Plate?]],IF(Reinforcements[[#This Row],[Top End Connection Type]]="Bolted","-","")))</f>
        <v>-</v>
      </c>
      <c r="BO14" s="6" t="str">
        <f>IF(Reinforcements[[#This Row],[Reinforcement]]="","",IF(Reinforcements[[#This Row],[Top End Connection Same?]]="Yes",Reinforcements[[#This Row],[Bottom Weld Grade (ksi)]],IF(OR(Reinforcements[[#This Row],[Top End Connection Type]]&lt;&gt;"Welded",Reinforcements[[#This Row],[Top End Connection Type]]=""),"-","")))</f>
        <v>-</v>
      </c>
      <c r="BP14" s="6" t="str">
        <f>IF($AZ14="Yes",AP14,IF(Reinforcements[[#This Row],[Reinforcement]]="","",IF(OR(Reinforcements[[#This Row],[Top End Connection Type]]&lt;&gt;"Welded",Reinforcements[[#This Row],[Top End Connection Type]]=""),"-","")))</f>
        <v>-</v>
      </c>
      <c r="BQ14" s="6" t="str">
        <f>IF(Reinforcements[[#This Row],[Reinforcement]]="","",IF($AZ14="Yes",AQ14,IF(OR(Reinforcements[[#This Row],[Top End Connection Type]]&lt;&gt;"Welded",Reinforcements[[#This Row],[Top Transverse (Horizontal) Weld]]="none",Reinforcements[[#This Row],[Top Transverse (Horizontal) Weld]]=""),"-","")))</f>
        <v>-</v>
      </c>
      <c r="BR14" s="6"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6"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6" t="str">
        <f>IF(Reinforcements[[#This Row],[Reinforcement]]="","",IF($AZ14="Yes",AT14,IF(OR(Reinforcements[[#This Row],[Top Transverse (Horizontal) Weld]]="none",Reinforcements[[#This Row],[Top End Connection Type]]&lt;&gt;"Welded",Reinforcements[[#This Row],[Top Transverse (Horizontal) Weld]]=""),"-","")))</f>
        <v>-</v>
      </c>
      <c r="BU14" s="6"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6" t="str">
        <f>IF($AZ14="Yes",AV14,IF(Reinforcements[[#This Row],[Reinforcement]]="","",IF(OR(Reinforcements[[#This Row],[Top End Connection Type]]&lt;&gt;"Welded",Reinforcements[[#This Row],[Top End Connection Type]]=""),"-","")))</f>
        <v>-</v>
      </c>
      <c r="BW14" s="6"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6"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6" t="str">
        <f>IF($AZ14="Yes",AY14,IF(Reinforcements[[#This Row],[Reinforcement]]="","",IF(OR(Reinforcements[[#This Row],[Top End Connection Type]]&lt;&gt;"Welded",Reinforcements[[#This Row],[Top Longitudinal (Vertical) Weld]]="none"),"-",SQRT(2)/2*Reinforcements[[#This Row],[Top Longitudinal Weld Fillet Size (in)]])))</f>
        <v>-</v>
      </c>
      <c r="BZ1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11">
        <f>IF(Reinforcements[[#This Row],[Reinforcement]]="","",IF(Reinforcements[[#This Row],[Top End Connection Type]]&lt;&gt;"Bolted","n/a",(Reinforcements[[#This Row],['# of End Connection Bolts          (Top)]]-1)*Reinforcements[[#This Row],[End Connection Bolt Spacing (in) (T)]]+Reinforcements[[#This Row],[End Connection Edge Distance (in) (T)]]))</f>
        <v>24</v>
      </c>
      <c r="CC1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6">
        <f>IFERROR(IF(Reinforcements[[#This Row],[Type]]="","",Reinforcements[[#This Row],[Effective B (in)]]*Reinforcements[[#This Row],[Effective H (in)]]^3/12),"")</f>
        <v>0.65104166666666663</v>
      </c>
      <c r="CF14" s="6">
        <f>IFERROR(IF(Reinforcements[[#This Row],[Type]]="","",Reinforcements[[#This Row],[Effective B (in)]]^3*Reinforcements[[#This Row],[Effective H (in)]]/12),"")</f>
        <v>6.666666666666667</v>
      </c>
      <c r="CG14" s="126">
        <f>SQRT(2*PI()^2*29000/VLOOKUP(Reinforcements[[#This Row],[Material]],Materials[],2,FALSE))</f>
        <v>93.844147005158973</v>
      </c>
      <c r="CH1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23">
        <f>Reinforcements[[#This Row],[Effective Length Factor Kx]]*Reinforcements[[#This Row],[Lu (in)]]/(Reinforcements[[#This Row],[rx]]*PI())*SQRT(VLOOKUP(Reinforcements[[#This Row],[Material]],Materials[],2,FALSE)/29000)</f>
        <v>0.90207400474248911</v>
      </c>
      <c r="CK14" s="123">
        <f>Reinforcements[[#This Row],[Effective Length Factor Ky]]*Reinforcements[[#This Row],[Lu (in)]]/(Reinforcements[[#This Row],[ry]]*PI())*SQRT(VLOOKUP(Reinforcements[[#This Row],[Material]],Materials[],2,FALSE)/29000)</f>
        <v>0.35237265810253476</v>
      </c>
      <c r="CL14" s="123">
        <f>IF(Reinforcements[[#This Row],[λcx]]&lt;=1.5,0.658^(Reinforcements[[#This Row],[λcx]]^2)*Reinforcements[[#This Row],[F''y]],0.877/(Reinforcements[[#This Row],[λcx]]^2)*Reinforcements[[#This Row],[F''y]])</f>
        <v>46.237777195184954</v>
      </c>
      <c r="CM14" s="123">
        <f>IF(Reinforcements[[#This Row],[λcy]]&lt;=1.5,0.658^(Reinforcements[[#This Row],[λcy]]^2)*Reinforcements[[#This Row],[F''y]],0.877/(Reinforcements[[#This Row],[λcy]]^2)*Reinforcements[[#This Row],[F''y]])</f>
        <v>61.70823202958254</v>
      </c>
      <c r="CN14" s="6">
        <f>VLOOKUP(Reinforcements[[#This Row],[Material]],Materials[],2,FALSE)</f>
        <v>65</v>
      </c>
      <c r="CO14" s="126">
        <f>IF(Reinforcements[[#This Row],[Reinforcement]]="","",Reinforcements[[#This Row],[Fax]]*Reinforcements[[#This Row],[Gross Area (in2)]])</f>
        <v>138.18749913685605</v>
      </c>
      <c r="CP14" s="126">
        <f>IF(Reinforcements[[#This Row],[Reinforcement]]="","",Reinforcements[[#This Row],[Fay]]*Reinforcements[[#This Row],[Gross Area (in2)]])</f>
        <v>179.11321467721905</v>
      </c>
      <c r="CQ14" s="126">
        <f>IF(Reinforcements[[#This Row],[Reinforcement]]="","",0.6*VLOOKUP(Reinforcements[[#This Row],[Material]],Materials[],2,FALSE)*Reinforcements[[#This Row],[Gross Area (in2)]])</f>
        <v>195</v>
      </c>
      <c r="CR14" s="126">
        <f>IF(Reinforcements[[#This Row],[Reinforcement]]="","",0.5*VLOOKUP(Reinforcements[[#This Row],[Material]],Materials[],3,FALSE)*Reinforcements[[#This Row],[Net Area (in2)]]*Reinforcements[[#This Row],[Shear Lag (U)]])</f>
        <v>137.5</v>
      </c>
      <c r="CS14" s="126">
        <f>IF(Reinforcements[[#This Row],[Reinforcement]]="","",0.4*VLOOKUP(Reinforcements[[#This Row],[Material]],Materials[],2,FALSE)*Reinforcements[[#This Row],[Gross Area (in2)]])</f>
        <v>130</v>
      </c>
      <c r="CT1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6"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6"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26">
        <f>IF(Reinforcements[[#This Row],[Reinforcement]]="","",φ_c*Reinforcements[[#This Row],[Fcr,x]]*Reinforcements[[#This Row],[Gross Area (in2)]])</f>
        <v>208.06999737833229</v>
      </c>
      <c r="DI14" s="126">
        <f>IF(Reinforcements[[#This Row],[Reinforcement]]="","",φ_c*Reinforcements[[#This Row],[Fcr,y]]*Reinforcements[[#This Row],[Gross Area (in2)]])</f>
        <v>277.68704413312145</v>
      </c>
      <c r="DJ14" s="126">
        <f>IF(Reinforcements[[#This Row],[Reinforcement]]="","",φ_t_y*VLOOKUP(Reinforcements[[#This Row],[Material]],Materials[],2,FALSE)*Reinforcements[[#This Row],[Gross Area (in2)]])</f>
        <v>292.5</v>
      </c>
      <c r="DK14" s="126">
        <f>IF(Reinforcements[[#This Row],[Reinforcement]]="","",φ_t_r*VLOOKUP(Reinforcements[[#This Row],[Material]],Materials[],3,FALSE)*Reinforcements[[#This Row],[Net Area (in2)]]*Reinforcements[[#This Row],[Shear Lag (U)]])</f>
        <v>206.25</v>
      </c>
      <c r="DL14" s="126">
        <f>IF(Reinforcements[[#This Row],[Reinforcement]]="","",φ_v*0.5*Reinforcements[[#This Row],[F''y]]*Reinforcements[[#This Row],[Gross Area (in2)]])</f>
        <v>146.25</v>
      </c>
      <c r="DM1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6"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6"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111" t="str">
        <f>IF(OR(Reinforcements[[#This Row],[Type]]="plate",Reinforcements[[#This Row],[Type]]="solid round"),"N/A",Reinforcements[[#This Row],[B (in)]])</f>
        <v>N/A</v>
      </c>
      <c r="EB14" s="6" t="str">
        <f>IF(OR(Reinforcements[[#This Row],[Type]]="plate",Reinforcements[[#This Row],[Type]]="solid round"),"N/A",Reinforcements[[#This Row],[H (in)]])</f>
        <v>N/A</v>
      </c>
      <c r="EC14" s="6" t="str">
        <f>IF(OR(Reinforcements[[#This Row],[Type]]="plate",Reinforcements[[#This Row],[Type]]="solid round"),"N/A",Reinforcements[[#This Row],[B (in)]]-Reinforcements[[#This Row],['[Channel'] Flange Thickness (in)]])</f>
        <v>N/A</v>
      </c>
      <c r="ED14" s="6" t="str">
        <f>IF(OR(Reinforcements[[#This Row],[Type]]="plate",Reinforcements[[#This Row],[Type]]="solid round"),"N/A",Reinforcements[[#This Row],['[Channel']Web Thickness (in)]])</f>
        <v>N/A</v>
      </c>
      <c r="EE14" s="6" t="str">
        <f>IF(OR(Reinforcements[[#This Row],[Type]]="plate",Reinforcements[[#This Row],[Type]]="solid round"),"N/A",Reinforcements[[#This Row],['[Channel'] Flange Thickness (in)]])</f>
        <v>N/A</v>
      </c>
      <c r="EF14" s="6" t="str">
        <f>IF(Reinforcements[[#This Row],[Type]]="channel",Reinforcements[[#This Row],[Channel Flange Width, b]]/Reinforcements[[#This Row],[Channel flange thickness, tf]],"N/A")</f>
        <v>N/A</v>
      </c>
      <c r="EG14" s="6" t="str">
        <f>IF(Reinforcements[[#This Row],[Type]]="channel",Reinforcements[[#This Row],[Channel inside depth, T]]/Reinforcements[[#This Row],[Channel web thickness, tw]],"N/A")</f>
        <v>N/A</v>
      </c>
      <c r="EH14" s="6">
        <f>29000</f>
        <v>29000</v>
      </c>
      <c r="EI14" s="6" t="str">
        <f>IF(Reinforcements[[#This Row],[Type]]="channel",0.56*SQRT(Reinforcements[[#This Row],[E, (ksi)]]/Reinforcements[[#This Row],[Fy, (ksi)]]),"N/A")</f>
        <v>N/A</v>
      </c>
      <c r="EJ14" s="6" t="str">
        <f>IF(Reinforcements[[#This Row],[Type]]="channel",1.49*SQRT(Reinforcements[[#This Row],[E, (ksi)]]/Reinforcements[[#This Row],[Fy, (ksi)]]),"N/A")</f>
        <v>N/A</v>
      </c>
      <c r="EK14" s="6">
        <f>VLOOKUP(Reinforcements[[#This Row],[Material]],Materials!$B$2:$C$30,2,FALSE)</f>
        <v>65</v>
      </c>
      <c r="EL14" s="6">
        <f>Reinforcements[[#This Row],[Lu (in)]]*Reinforcements[[#This Row],[Effective Length Factor Kx]]</f>
        <v>21.6</v>
      </c>
      <c r="EM14" s="6">
        <f>Reinforcements[[#This Row],[Lu (in)]]*Reinforcements[[#This Row],[Effective Length Factor Ky]]</f>
        <v>27</v>
      </c>
      <c r="EN14" s="6">
        <f>Reinforcements[[#This Row],[rx]]</f>
        <v>0.36084391824351608</v>
      </c>
      <c r="EO14" s="6">
        <f>Reinforcements[[#This Row],[ry]]</f>
        <v>1.1547005383792517</v>
      </c>
      <c r="EP14" s="6">
        <f>Reinforcements[[#This Row],[Lcx (in)]]/Reinforcements[[#This Row],[rx (in)]]</f>
        <v>59.859675909580403</v>
      </c>
      <c r="EQ14" s="6">
        <f>Reinforcements[[#This Row],[Lcy (in)]]/Reinforcements[[#This Row],[ry (in)]]</f>
        <v>23.382685902179841</v>
      </c>
      <c r="ER14" s="6">
        <f>((PI()^2)*Reinforcements[[#This Row],[E, (ksi)]])/(Reinforcements[[#This Row],[Lcx/rx]]^2)</f>
        <v>79.878338160215449</v>
      </c>
      <c r="ES14" s="6">
        <f>((PI()^2)*Reinforcements[[#This Row],[E, (ksi)]])/(Reinforcements[[#This Row],[Lcy/ry]]^2)</f>
        <v>523.4906769667881</v>
      </c>
      <c r="ET14" s="6">
        <f>4.71*(SQRT(Reinforcements[[#This Row],[E, (ksi)]]/Reinforcements[[#This Row],[Fy, (ksi)]]))</f>
        <v>99.486288193205496</v>
      </c>
      <c r="EU14" s="6">
        <f>IF(Reinforcements[[#This Row],[Lcx/rx]]&lt;=Reinforcements[[#This Row],[Fcr Limit]],(0.658^(Reinforcements[[#This Row],[Fy, (ksi)]]/Reinforcements[[#This Row],[Fex, FB (ksi)]]))*Reinforcements[[#This Row],[Fy, (ksi)]],0.877*Reinforcements[[#This Row],[Fex, FB (ksi)]])</f>
        <v>46.23777719518494</v>
      </c>
      <c r="EV14" s="6">
        <f>IF(Reinforcements[[#This Row],[Lcy/ry]]&lt;=Reinforcements[[#This Row],[Fcr Limit]],(0.658^(Reinforcements[[#This Row],[Fy, (ksi)]]/Reinforcements[[#This Row],[Fey, FB (ksi)]]))*Reinforcements[[#This Row],[Fy, (ksi)]],0.877*Reinforcements[[#This Row],[Fey, FB (ksi)]])</f>
        <v>61.70823202958254</v>
      </c>
      <c r="EW14" s="6">
        <f>Reinforcements[[#This Row],[Fcrx (ksi)]]*Reinforcements[[#This Row],[Gross Area (in2)]]</f>
        <v>231.18888597592471</v>
      </c>
      <c r="EX14" s="6">
        <f>Reinforcements[[#This Row],[Fcry (ksi)]]*Reinforcements[[#This Row],[Gross Area (in2)]]</f>
        <v>308.54116014791271</v>
      </c>
      <c r="EY14" s="6" t="str">
        <f>IF(Reinforcements[[#This Row],[Type]]="channel",0,"N/A")</f>
        <v>N/A</v>
      </c>
      <c r="EZ14" s="6" t="str">
        <f>IF(Reinforcements[[#This Row],[Type]]="channel",Reinforcements[[#This Row],[Channel Flange Width, b]]-(0.5*Reinforcements[[#This Row],[Channel web thickness, tw]]),"N/A")</f>
        <v>N/A</v>
      </c>
      <c r="FA14" s="6" t="str">
        <f>IF(Reinforcements[[#This Row],[Type]]="channel",Reinforcements[[#This Row],[Channel Height, h]]-Reinforcements[[#This Row],[Channel flange thickness, tf]],"N/A")</f>
        <v>N/A</v>
      </c>
      <c r="FB14" s="6" t="str">
        <f>IF(Reinforcements[[#This Row],[Type]]="channel",Reinforcements[[#This Row],[Channel web thickness, tw]],"N/A")</f>
        <v>N/A</v>
      </c>
      <c r="FC14" s="6" t="str">
        <f>IF(Reinforcements[[#This Row],[Type]]="channel",((3*Reinforcements[[#This Row],[b]]^2)/(Reinforcements[[#This Row],[h]]+(6*Reinforcements[[#This Row],[b]])))-Reinforcements[[#This Row],[t]]/2,"N/A")</f>
        <v>N/A</v>
      </c>
      <c r="FD14" s="6">
        <f>Reinforcements[[#This Row],[Pole Face to Centroid (in)]]</f>
        <v>0.625</v>
      </c>
      <c r="FE14" s="6" t="str">
        <f>IF(Reinforcements[[#This Row],[Type]]="channel",Reinforcements[[#This Row],[x(bar)]]+Reinforcements[[#This Row],['[Channel'] e0 (in)]],"N/A")</f>
        <v>N/A</v>
      </c>
      <c r="FF14" s="6" t="str">
        <f>IF(Reinforcements[[#This Row],[Type]]="channel",Reinforcements[[#This Row],[Ix]],"N/A")</f>
        <v>N/A</v>
      </c>
      <c r="FG14" s="6" t="str">
        <f>IF(Reinforcements[[#This Row],[Type]]="channel",Reinforcements[[#This Row],[Iy]],"N/A")</f>
        <v>N/A</v>
      </c>
      <c r="FH14" s="6" t="str">
        <f>IF(Reinforcements[[#This Row],[Type]]="channel",Reinforcements[[#This Row],[Gross Area (in2)]],"N/A")</f>
        <v>N/A</v>
      </c>
      <c r="FI14" s="6" t="str">
        <f>IF(Reinforcements[[#This Row],[Type]]="channel",(Reinforcements[[#This Row],[xo]]^2)+((Reinforcements[[#This Row],[Ix (FTB)]]+Reinforcements[[#This Row],[Iy (FTB)]])/Reinforcements[[#This Row],[Ag]]),"N/A")</f>
        <v>N/A</v>
      </c>
      <c r="FJ14" s="6" t="str">
        <f>IF(Reinforcements[[#This Row],[Type]]="channel",Reinforcements[[#This Row],[Lu (in)]],"N/A")</f>
        <v>N/A</v>
      </c>
      <c r="FK14" s="6" t="str">
        <f>IF(Reinforcements[[#This Row],[Type]]="channel",Reinforcements[[#This Row],[Effective Length Factor Kx]],"N/A")</f>
        <v>N/A</v>
      </c>
      <c r="FL14" s="6" t="str">
        <f>IF(Reinforcements[[#This Row],[Type]]="channel",Reinforcements[[#This Row],[Kz]]*Reinforcements[[#This Row],[Lz]],"N/A")</f>
        <v>N/A</v>
      </c>
      <c r="FM14" s="6" t="str">
        <f>IF(Reinforcements[[#This Row],[Type]]="channel",(((Reinforcements[[#This Row],[t]]^3)/3)*(Reinforcements[[#This Row],[h]]+(2*Reinforcements[[#This Row],[b]]))),"N/A")</f>
        <v>N/A</v>
      </c>
      <c r="FN14" s="6" t="str">
        <f>IF(Reinforcements[[#This Row],[Type]]="channel",(1-(((Reinforcements[[#This Row],[xo]]^2)+(Reinforcements[[#This Row],[yo]]^2))/Reinforcements[[#This Row],[ro^2(bar)]])),"N/A")</f>
        <v>N/A</v>
      </c>
      <c r="FO14" s="6">
        <v>11200</v>
      </c>
      <c r="FP14" s="6" t="str">
        <f>IF(Reinforcements[[#This Row],[Type]]="channel",(((Reinforcements[[#This Row],[h]]^2)*(Reinforcements[[#This Row],[b]]^3)*Reinforcements[[#This Row],[t]])/12)*(((2*Reinforcements[[#This Row],[h]])+(3*Reinforcements[[#This Row],[b]]))/(Reinforcements[[#This Row],[h]]+(6*Reinforcements[[#This Row],[b]]))),"N/A")</f>
        <v>N/A</v>
      </c>
      <c r="FQ14" s="6" t="str">
        <f>IF(Reinforcements[[#This Row],[Type]]="Channel",((((PI()^2)*Reinforcements[[#This Row],[E, (ksi)]]*Reinforcements[[#This Row],['[Channel'] CW (in6)]])/(Reinforcements[[#This Row],[Lcz]]^2))+(Reinforcements[[#This Row],[G]]*Reinforcements[[#This Row],['[Channel'] J (in4)]]))*(1/(Reinforcements[[#This Row],[Ag]]*Reinforcements[[#This Row],[ro^2(bar)]])),"N/A")</f>
        <v>N/A</v>
      </c>
      <c r="FR14" s="6" t="str">
        <f>IF(Reinforcements[[#This Row],[Type]]="channel",((PI()^2)*Reinforcements[[#This Row],[E, (ksi)]])/(Reinforcements[[#This Row],[Lcy/ry]]^2),"N/A")</f>
        <v>N/A</v>
      </c>
      <c r="FS14" s="6" t="str">
        <f>IF(Reinforcements[[#This Row],[Type]]="channel",((Reinforcements[[#This Row],[Fey]]+Reinforcements[[#This Row],[Fez]])/(2*Reinforcements[[#This Row],[H2]]))*(1-SQRT(1-((4*Reinforcements[[#This Row],[Fey]]*Reinforcements[[#This Row],[Fez]]*Reinforcements[[#This Row],[H2]])/(Reinforcements[[#This Row],[Fey]]+Reinforcements[[#This Row],[Fez]])^2))),"N/A")</f>
        <v>N/A</v>
      </c>
      <c r="FT14" s="6" t="str">
        <f>IF(Reinforcements[[#This Row],[Type]]="channel",IF(Reinforcements[[#This Row],[Lcx/rx]]&gt;(4.71*SQRT(Reinforcements[[#This Row],[E, (ksi)]]/Reinforcements[[#This Row],[Fy, (ksi)]])),0.877*Reinforcements[[#This Row],[Fe (FTB)]],0.658^(Reinforcements[[#This Row],[Fy, (ksi)]]/Reinforcements[[#This Row],[Fe (FTB)]])*Reinforcements[[#This Row],[Fy, (ksi)]]),"N/A")</f>
        <v>N/A</v>
      </c>
      <c r="FU14" s="6" t="str">
        <f>IF(Reinforcements[[#This Row],[Type]]="channel",MIN(Reinforcements[[#This Row],[Fcr(FTB)]],Reinforcements[[#This Row],[Fcry (ksi)]]),"N/A")</f>
        <v>N/A</v>
      </c>
      <c r="FV14" s="6">
        <v>0.22</v>
      </c>
      <c r="FW14" s="6">
        <v>1.49</v>
      </c>
      <c r="FX14" s="6" t="str">
        <f>IF(Reinforcements[[#This Row],[Type]]="channel",((Reinforcements[[#This Row],[c2]]*(Reinforcements[[#This Row],[λrf]]/Reinforcements[[#This Row],[λf]]))^2)*Reinforcements[[#This Row],[Fy, (ksi)]],"N/A")</f>
        <v>N/A</v>
      </c>
      <c r="FY14" s="6" t="str">
        <f>IF(Reinforcements[[#This Row],[Type]]="channel",((Reinforcements[[#This Row],[c2]]*(Reinforcements[[#This Row],[λrw]]/Reinforcements[[#This Row],[λw]]))^2)*Reinforcements[[#This Row],[Fy, (ksi)]],"N/A")</f>
        <v>N/A</v>
      </c>
      <c r="FZ1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6" t="str">
        <f>IF(Reinforcements[[#This Row],[Type]]="channel",Reinforcements[[#This Row],[Fcr]]*Reinforcements[[#This Row],[Ae]],"N/A")</f>
        <v>N/A</v>
      </c>
      <c r="GD14">
        <f>IF(Reinforcements[[#This Row],[Reinforcement]]="","",φ_c*Reinforcements[[#This Row],[Pnx, FB (kip)]])</f>
        <v>208.06999737833223</v>
      </c>
      <c r="GE14">
        <f>IF(Reinforcements[[#This Row],[Reinforcement]]="","",IF(Reinforcements[[#This Row],[Type]]="channel",φ_c*Reinforcements[[#This Row],[Pn]],φ_c*Reinforcements[[#This Row],[Pny, FB (kip)]]))</f>
        <v>277.68704413312145</v>
      </c>
      <c r="GF14">
        <f>Reinforcements[[#This Row],[Rev. G Tension Yield Capacity (kips)]]</f>
        <v>292.5</v>
      </c>
      <c r="GG14">
        <f>Reinforcements[[#This Row],[Rev. G Tension Rupture Capacity (kips)]]</f>
        <v>206.25</v>
      </c>
      <c r="GH14">
        <f>Reinforcements[[#This Row],[Rev. G Shear Capacity (kips)]]</f>
        <v>146.25</v>
      </c>
      <c r="GI14">
        <f>IFERROR((Reinforcements[[#This Row],['# of End Connection Bolts          (Bottom)]]-1)*Reinforcements[[#This Row],[End Connection Bolt Spacing (in) (B)]],"-")</f>
        <v>21</v>
      </c>
      <c r="GJ14">
        <f>IFERROR(IF(VLOOKUP(Reinforcements[[#This Row],[Bottom End Connection Bolt Type]],Bolts[],COLUMN(Bolts[[#Headers],[Rev. H Apply Connection Length Reduction Factor (Rb)?]])-1,FALSE)="Yes",(IF(Reinforcements[[#This Row],[Lb(bottom)]]&lt;=16,1,IF(Reinforcements[[#This Row],[Lb(bottom)]]&gt;38,0.75,0.9))),1),"-")</f>
        <v>1</v>
      </c>
      <c r="GK1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f>IFERROR(IF(Reinforcements[[#This Row],[Top End Connection Same?]]="Yes",Reinforcements[[#This Row],[Lb(bottom)]],(Reinforcements[[#This Row],['# of End Connection Bolts          (Top)]]-1)*Reinforcements[[#This Row],[End Connection Bolt Spacing (in) (T)]]),"-")</f>
        <v>21</v>
      </c>
      <c r="GM14">
        <f>IFERROR(IF(VLOOKUP(Reinforcements[[#This Row],[Top End Connection Bolt Type]],Bolts[],COLUMN(Bolts[[#Headers],[Rev. H Apply Connection Length Reduction Factor (Rb)?]])-1,FALSE)=TRUE,(IF(Reinforcements[[#This Row],[Lb(top)]]&lt;=16,1,IF(Reinforcements[[#This Row],[Lb(top)]]&gt;38,0.75,0.9))),1),"-")</f>
        <v>0.9</v>
      </c>
      <c r="GN1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f>Reinforcements[[#This Row],[Rev. G Bolt-Shaft Bearing Capacity (Bottom)                No Deformation          (*t*Fu kips)]]</f>
        <v>15.870236220472439</v>
      </c>
      <c r="GP14">
        <f>Reinforcements[[#This Row],[Rev. G Bolt-Shaft Bearing Capacity (Bottom)                   Deformation          (*t*Fu kips)]]</f>
        <v>19.837795275590551</v>
      </c>
      <c r="GQ14">
        <f>Reinforcements[[#This Row],[Rev. G Bolt-Shaft Bearing Capacity (Top)                    No Deformation          (*t*Fu kips)]]</f>
        <v>15.870236220472439</v>
      </c>
      <c r="GR14">
        <f>Reinforcements[[#This Row],[Rev. G Bolt-Shaft Bearing Capacity (Top)                        Deformation          (*t*Fu kips)]]</f>
        <v>19.837795275590551</v>
      </c>
      <c r="GS14">
        <f>Reinforcements[[#This Row],[Rev. G Bolt-Reinf. Bearing Capacity (Bottom)            No Deformation (kips)]]</f>
        <v>1587.0236220472443</v>
      </c>
      <c r="GT14">
        <f>Reinforcements[[#This Row],[Rev. G Bolt-Reinf. Bearing Capacity (Bottom)               Deformation (kips)]]</f>
        <v>1983.7795275590552</v>
      </c>
      <c r="GU14">
        <f>Reinforcements[[#This Row],[Rev. G Bolt-Reinf. Bearing Capacity (Top)                  No Deformation (kips)]]</f>
        <v>1587.0236220472443</v>
      </c>
      <c r="GV14">
        <f>Reinforcements[[#This Row],[Rev. G Bolt-Reinf. Bearing Capacity (Top)               Deformation (kips)]]</f>
        <v>1983.7795275590552</v>
      </c>
      <c r="GW14" t="str">
        <f>Reinforcements[[#This Row],[Rev. G Bottom Transverse Weld Strength]]</f>
        <v>-</v>
      </c>
      <c r="GX14" t="str">
        <f>Reinforcements[[#This Row],[Rev. G Bottom Longitudinal Weld Strength]]</f>
        <v>-</v>
      </c>
      <c r="GY14" t="str">
        <f>Reinforcements[[#This Row],[Rev. G Top Transverse Weld Strength]]</f>
        <v>-</v>
      </c>
      <c r="GZ14" t="str">
        <f>Reinforcements[[#This Row],[Rev. G Top Longitudinal Weld Strength]]</f>
        <v>-</v>
      </c>
      <c r="HA14">
        <v>12</v>
      </c>
      <c r="HB1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49" t="s">
        <v>369</v>
      </c>
      <c r="C15" s="49" t="s">
        <v>352</v>
      </c>
      <c r="D15" s="6">
        <v>4.5</v>
      </c>
      <c r="E15" s="6">
        <v>1</v>
      </c>
      <c r="F15" s="6" t="str">
        <f>IF(Reinforcements[[#This Row],[Type]]="","",IF(Reinforcements[[#This Row],[Type]]="solid round","","n/a"))</f>
        <v>n/a</v>
      </c>
      <c r="G15" s="6" t="str">
        <f>IF(Reinforcements[[#This Row],[Type]]="","",IF(Reinforcements[[#This Row],[Type]]&lt;&gt;"channel","n/a",""))</f>
        <v>n/a</v>
      </c>
      <c r="H15" s="6" t="str">
        <f>IF(Reinforcements[[#This Row],[Type]]="","",IF(Reinforcements[[#This Row],[Type]]&lt;&gt;"channel","n/a",""))</f>
        <v>n/a</v>
      </c>
      <c r="I15" s="126" t="str">
        <f>IF(Reinforcements[[#This Row],[Type]]="","",IF(Reinforcements[[#This Row],[Type]]&lt;&gt;"channel","n/a",Reinforcements[[#This Row],[eo]]))</f>
        <v>n/a</v>
      </c>
      <c r="J15" s="126" t="str">
        <f>IF(Reinforcements[[#This Row],[Type]]="","",IF(Reinforcements[[#This Row],[Type]]&lt;&gt;"channel","n/a",Reinforcements[[#This Row],[J]]))</f>
        <v>n/a</v>
      </c>
      <c r="K15" s="126" t="str">
        <f>IF(Reinforcements[[#This Row],[Type]]="","",IF(Reinforcements[[#This Row],[Type]]&lt;&gt;"channel","n/a",Reinforcements[[#This Row],[Cw]]))</f>
        <v>n/a</v>
      </c>
      <c r="L15" s="6">
        <f>IFERROR(IF(Reinforcements[[#This Row],[Type]]="","",IF(Reinforcements[[#This Row],[Type]]="plate",Reinforcements[[#This Row],[B (in)]]*Reinforcements[[#This Row],[H (in)]],IF(Reinforcements[[#This Row],[Type]]="solid round",PI()/4*Reinforcements[[#This Row],[Diameter (in)]]^2,""))),"")</f>
        <v>4.5</v>
      </c>
      <c r="M15" s="6">
        <f>IFERROR(IF(Reinforcements[[#This Row],[Type]]="","",IF(Reinforcements[[#This Row],[Type]]="plate",Reinforcements[[#This Row],[H (in)]]/2,"")),"")</f>
        <v>0.5</v>
      </c>
      <c r="N15" s="16" t="s">
        <v>353</v>
      </c>
      <c r="O15" s="6" t="s">
        <v>138</v>
      </c>
      <c r="P15" s="123">
        <f>IFERROR(IF(Reinforcements[[#This Row],[Type]]="","",IF(Reinforcements[[#This Row],[Type]]="plate",Reinforcements[[#This Row],[B (in)]]*Reinforcements[[#This Row],[H (in)]]^3/12,IF(Reinforcements[[#This Row],[Type]]="solid round",PI()/64*Reinforcements[[#This Row],[Diameter (in)]]^4,""))),"")</f>
        <v>0.375</v>
      </c>
      <c r="Q15" s="123">
        <f>IF(Reinforcements[[#This Row],[Reinforcement]]="","",SQRT(Reinforcements[[#This Row],[Ix]]/Reinforcements[[#This Row],[Gross Area (in2)]]))</f>
        <v>0.28867513459481287</v>
      </c>
      <c r="R15" s="123">
        <f>IFERROR(IF(Reinforcements[[#This Row],[Type]]="","",IF(Reinforcements[[#This Row],[Type]]="plate",Reinforcements[[#This Row],[B (in)]]^3*Reinforcements[[#This Row],[H (in)]]/12,IF(Reinforcements[[#This Row],[Type]]="solid round",PI()/64*Reinforcements[[#This Row],[Diameter (in)]]^4,""))),"")</f>
        <v>7.59375</v>
      </c>
      <c r="S15" s="123">
        <f>IF(Reinforcements[[#This Row],[Reinforcement]]="","",SQRT(Reinforcements[[#This Row],[Iy]]/Reinforcements[[#This Row],[Gross Area (in2)]]))</f>
        <v>1.299038105676658</v>
      </c>
      <c r="T15" s="6">
        <v>20</v>
      </c>
      <c r="U15" s="6">
        <v>0.8</v>
      </c>
      <c r="V15" s="6">
        <v>1</v>
      </c>
      <c r="W15" s="6">
        <v>1.1875</v>
      </c>
      <c r="X15" s="6">
        <f>IF(Reinforcements[[#This Row],[Bolt Hole Size (in)]]="","",IF(Reinforcements[[#This Row],[Bolt Hole Size (in)]]="n/a","n/a",Reinforcements[[#This Row],[Bolt Hole Size (in)]]*25.4))</f>
        <v>30.162499999999998</v>
      </c>
      <c r="Y1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6">
        <f>IFERROR(IF(Reinforcements[[#This Row],[Reinforcement]]="","",IF(OR(Reinforcements[[#This Row],[Type]]="plate",Reinforcements[[#This Row],[Type]]="solid round"),1,IF(Reinforcements[[#This Row],[Type]]="arbitrary","",1-Reinforcements[[#This Row],[Pole Face to Centroid (in)]]/Reinforcements[[#This Row],[Connection Length (in) '[Channels']]]))),"")</f>
        <v>1</v>
      </c>
      <c r="AA15" s="16" t="s">
        <v>354</v>
      </c>
      <c r="AB15" s="16" t="str">
        <f>IF(Reinforcements[[#This Row],[Reinforcement]]="","",IF(Reinforcements[[#This Row],[Bottom End Connection Type]]&lt;&gt;"Capacity Input","-",""))</f>
        <v>-</v>
      </c>
      <c r="AC15" s="16" t="str">
        <f>IF(Reinforcements[[#This Row],[Reinforcement]]="","",IF(Reinforcements[[#This Row],[Bottom End Connection Type]]&lt;&gt;"Capacity Input","-",""))</f>
        <v>-</v>
      </c>
      <c r="AD15" s="16" t="str">
        <f>IF(Reinforcements[[#This Row],[Reinforcement]]="","",IF(Reinforcements[[#This Row],[Bottom End Connection Type]]&lt;&gt;"Capacity Input","-",""))</f>
        <v>-</v>
      </c>
      <c r="AE15" s="74" t="s">
        <v>355</v>
      </c>
      <c r="AF15" s="6" t="s">
        <v>356</v>
      </c>
      <c r="AG15" s="6">
        <v>8</v>
      </c>
      <c r="AH15" s="6">
        <v>3</v>
      </c>
      <c r="AI15" s="6">
        <v>3</v>
      </c>
      <c r="AJ15" s="6">
        <f>Reinforcements[[#This Row],[End Connection Edge Distance (in) (B)]]-(Reinforcements[[#This Row],[Bolt Hole Size (in)]]+1/16)/2</f>
        <v>2.375</v>
      </c>
      <c r="AK15" s="6">
        <f>Reinforcements[[#This Row],[End Connection Bolt Spacing (in) (B)]]-(Reinforcements[[#This Row],[Bolt Hole Size (in)]]+1/16)</f>
        <v>1.75</v>
      </c>
      <c r="AL15" s="6">
        <f>Reinforcements[[#This Row],[End Connection Edge Distance (in) (B)]]</f>
        <v>3</v>
      </c>
      <c r="AM15" s="6">
        <f>Reinforcements[[#This Row],[End Connection Bolt Spacing (in) (B)]]</f>
        <v>3</v>
      </c>
      <c r="AN15" s="6" t="str">
        <f>IF(Reinforcements[[#This Row],[Reinforcement]]="","",IF(OR(Reinforcements[[#This Row],[Bottom End Connection Type]]="Bolted",Reinforcements[[#This Row],[Bottom End Connection Type]]=""),"-",""))</f>
        <v>-</v>
      </c>
      <c r="AO15" s="111" t="str">
        <f>IF(Reinforcements[[#This Row],[Reinforcement]]="","",IF(OR(Reinforcements[[#This Row],[Bottom End Connection Type]]="Bolted",Reinforcements[[#This Row],[Bottom End Connection Type]]=""),"-",""))</f>
        <v>-</v>
      </c>
      <c r="AP15" s="111" t="str">
        <f>IF(Reinforcements[[#This Row],[Reinforcement]]="","",IF(OR(Reinforcements[[#This Row],[Bottom End Connection Type]]="Bolted",Reinforcements[[#This Row],[Bottom End Connection Type]]=""),"-",""))</f>
        <v>-</v>
      </c>
      <c r="AQ15" s="111" t="str">
        <f>IF(OR(Reinforcements[[#This Row],[Bottom End Connection Type]]="Bolted",Reinforcements[[#This Row],[Bottom Transverse (Horizontal) Weld]]="none"),"-","")</f>
        <v>-</v>
      </c>
      <c r="AR1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11" t="str">
        <f>IF(OR(Reinforcements[[#This Row],[Bottom Transverse (Horizontal) Weld]]="none",Reinforcements[[#This Row],[Bottom End Connection Type]]="Bolted"),"-","")</f>
        <v>-</v>
      </c>
      <c r="AU1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11" t="str">
        <f>IF(Reinforcements[[#This Row],[Reinforcement]]="","",IF(OR(Reinforcements[[#This Row],[Bottom End Connection Type]]="Bolted",Reinforcements[[#This Row],[Bottom End Connection Type]]=""),"-",""))</f>
        <v>-</v>
      </c>
      <c r="AW15" s="111" t="str">
        <f>IF(Reinforcements[[#This Row],[Reinforcement]]="","",IF(OR(Reinforcements[[#This Row],[Bottom End Connection Type]]&lt;&gt;"Welded",Reinforcements[[#This Row],[Bottom Longitudinal (Vertical) Weld]]="None",Reinforcements[[#This Row],[Bottom Longitudinal (Vertical) Weld]]=""),"-",""))</f>
        <v>-</v>
      </c>
      <c r="AX15" s="111" t="str">
        <f>IF(Reinforcements[[#This Row],[Reinforcement]]="","",IF(OR(Reinforcements[[#This Row],[Bottom End Connection Type]]&lt;&gt;"Welded",Reinforcements[[#This Row],[Bottom Longitudinal (Vertical) Weld]]="None",Reinforcements[[#This Row],[Bottom Longitudinal (Vertical) Weld]]=""),"-",""))</f>
        <v>-</v>
      </c>
      <c r="AY15" s="6" t="str">
        <f>IF(Reinforcements[[#This Row],[Reinforcement]]="","",IF(OR(Reinforcements[[#This Row],[Bottom End Connection Type]]&lt;&gt;"Welded",Reinforcements[[#This Row],[Bottom Longitudinal (Vertical) Weld]]="None"),"-",SQRT(2)/2*Reinforcements[[#This Row],[Bottom Longitudinal Weld Fillet Size (in)]]))</f>
        <v>-</v>
      </c>
      <c r="AZ15" s="6" t="s">
        <v>357</v>
      </c>
      <c r="BA15" s="16" t="str">
        <f>IF(Reinforcements[[#This Row],[Top End Connection Same?]]="Yes",Reinforcements[[#This Row],[Bottom End Connection Type]],"")</f>
        <v>Bolted</v>
      </c>
      <c r="BB15" s="16" t="str">
        <f>IF(Reinforcements[[#This Row],[Reinforcement]]="","",IF(Reinforcements[[#This Row],[Top End Connection Same?]]="Yes",Reinforcements[[#This Row],[Rev. F Bottom Connection Capacity (kips)]],IF(Reinforcements[[#This Row],[Reinforcement]]="","",IF(Reinforcements[[#This Row],[Top End Connection Type]]&lt;&gt;"Capacity Input","-",""))))</f>
        <v>-</v>
      </c>
      <c r="BC15" s="16" t="str">
        <f>IF(Reinforcements[[#This Row],[Reinforcement]]="","",IF(Reinforcements[[#This Row],[Top End Connection Same?]]="Yes",Reinforcements[[#This Row],[Rev. G Bottom Connection Capacity (kips)]],IF(Reinforcements[[#This Row],[Reinforcement]]="","",IF(Reinforcements[[#This Row],[Top End Connection Type]]&lt;&gt;"Capacity Input","-",""))))</f>
        <v>-</v>
      </c>
      <c r="BD15" s="16" t="str">
        <f>IF(Reinforcements[[#This Row],[Reinforcement]]="","",IF(Reinforcements[[#This Row],[Top End Connection Same?]]="Yes",Reinforcements[[#This Row],[Rev. G Bottom Connection Capacity (kips)]],IF(Reinforcements[[#This Row],[Reinforcement]]="","",IF(Reinforcements[[#This Row],[Top End Connection Type]]&lt;&gt;"Capacity Input","-",""))))</f>
        <v>-</v>
      </c>
      <c r="BE15" s="74" t="str">
        <f>IF(Reinforcements[[#This Row],[Top End Connection Same?]]="Yes",Reinforcements[[#This Row],[Bottom End Connection Bolt Type]],IF(Reinforcements[[#This Row],[Top End Connection Type]]="Welded","-",""))</f>
        <v>PC 8.8 - M20 (100)</v>
      </c>
      <c r="BF15" s="6" t="str">
        <f>IF(Reinforcements[[#This Row],[Top End Connection Same?]]="Yes",Reinforcements[[#This Row],[Threads Included (N) or Excluded (X) (Bottom)]],IF(Reinforcements[[#This Row],[Top End Connection Type]]="Welded","-",""))</f>
        <v>N</v>
      </c>
      <c r="BG15" s="6">
        <f>IF(Reinforcements[[#This Row],[Top End Connection Same?]]="Yes",Reinforcements[[#This Row],['# of End Connection Bolts          (Bottom)]],IF(Reinforcements[[#This Row],[Top End Connection Type]]="Welded","-",""))</f>
        <v>8</v>
      </c>
      <c r="BH15" s="6">
        <f>IF(Reinforcements[[#This Row],[Top End Connection Same?]]="Yes",Reinforcements[[#This Row],[End Connection Bolt Spacing (in) (B)]],IF(Reinforcements[[#This Row],[Top End Connection Type]]="Welded","-",""))</f>
        <v>3</v>
      </c>
      <c r="BI15" s="6">
        <f>IF(Reinforcements[[#This Row],[Top End Connection Same?]]="Yes",Reinforcements[[#This Row],[End Connection Edge Distance (in) (B)]],IF(Reinforcements[[#This Row],[Top End Connection Type]]="Welded","-",""))</f>
        <v>3</v>
      </c>
      <c r="BJ15" s="6">
        <f>Reinforcements[[#This Row],[End Connection Edge Distance (in) (T)]]-(Reinforcements[[#This Row],[Bolt Hole Size (in)]]+1/16)/2</f>
        <v>2.375</v>
      </c>
      <c r="BK15" s="6">
        <f>Reinforcements[[#This Row],[End Connection Bolt Spacing (in) (T)]]-(Reinforcements[[#This Row],[Bolt Hole Size (in)]]+1/16)</f>
        <v>1.75</v>
      </c>
      <c r="BL15" s="6">
        <f>Reinforcements[[#This Row],[End Connection Edge Distance (in) (T)]]</f>
        <v>3</v>
      </c>
      <c r="BM15" s="6">
        <f>Reinforcements[[#This Row],[End Connection Bolt Spacing (in) (T)]]</f>
        <v>3</v>
      </c>
      <c r="BN15" s="6" t="str">
        <f>IF(Reinforcements[[#This Row],[Reinforcement]]="","",IF(Reinforcements[[#This Row],[Top End Connection Same?]]="Yes",Reinforcements[[#This Row],[Bottom Connected to Flange/Base Plate?]],IF(Reinforcements[[#This Row],[Top End Connection Type]]="Bolted","-","")))</f>
        <v>-</v>
      </c>
      <c r="BO15" s="6" t="str">
        <f>IF(Reinforcements[[#This Row],[Reinforcement]]="","",IF(Reinforcements[[#This Row],[Top End Connection Same?]]="Yes",Reinforcements[[#This Row],[Bottom Weld Grade (ksi)]],IF(OR(Reinforcements[[#This Row],[Top End Connection Type]]&lt;&gt;"Welded",Reinforcements[[#This Row],[Top End Connection Type]]=""),"-","")))</f>
        <v>-</v>
      </c>
      <c r="BP15" s="6" t="str">
        <f>IF($AZ15="Yes",AP15,IF(Reinforcements[[#This Row],[Reinforcement]]="","",IF(OR(Reinforcements[[#This Row],[Top End Connection Type]]&lt;&gt;"Welded",Reinforcements[[#This Row],[Top End Connection Type]]=""),"-","")))</f>
        <v>-</v>
      </c>
      <c r="BQ15" s="6" t="str">
        <f>IF(Reinforcements[[#This Row],[Reinforcement]]="","",IF($AZ15="Yes",AQ15,IF(OR(Reinforcements[[#This Row],[Top End Connection Type]]&lt;&gt;"Welded",Reinforcements[[#This Row],[Top Transverse (Horizontal) Weld]]="none",Reinforcements[[#This Row],[Top Transverse (Horizontal) Weld]]=""),"-","")))</f>
        <v>-</v>
      </c>
      <c r="BR15" s="6"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6"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6" t="str">
        <f>IF(Reinforcements[[#This Row],[Reinforcement]]="","",IF($AZ15="Yes",AT15,IF(OR(Reinforcements[[#This Row],[Top Transverse (Horizontal) Weld]]="none",Reinforcements[[#This Row],[Top End Connection Type]]&lt;&gt;"Welded",Reinforcements[[#This Row],[Top Transverse (Horizontal) Weld]]=""),"-","")))</f>
        <v>-</v>
      </c>
      <c r="BU15" s="6"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6" t="str">
        <f>IF($AZ15="Yes",AV15,IF(Reinforcements[[#This Row],[Reinforcement]]="","",IF(OR(Reinforcements[[#This Row],[Top End Connection Type]]&lt;&gt;"Welded",Reinforcements[[#This Row],[Top End Connection Type]]=""),"-","")))</f>
        <v>-</v>
      </c>
      <c r="BW15" s="6"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6"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6" t="str">
        <f>IF($AZ15="Yes",AY15,IF(Reinforcements[[#This Row],[Reinforcement]]="","",IF(OR(Reinforcements[[#This Row],[Top End Connection Type]]&lt;&gt;"Welded",Reinforcements[[#This Row],[Top Longitudinal (Vertical) Weld]]="none"),"-",SQRT(2)/2*Reinforcements[[#This Row],[Top Longitudinal Weld Fillet Size (in)]])))</f>
        <v>-</v>
      </c>
      <c r="BZ1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11">
        <f>IF(Reinforcements[[#This Row],[Reinforcement]]="","",IF(Reinforcements[[#This Row],[Top End Connection Type]]&lt;&gt;"Bolted","n/a",(Reinforcements[[#This Row],['# of End Connection Bolts          (Top)]]-1)*Reinforcements[[#This Row],[End Connection Bolt Spacing (in) (T)]]+Reinforcements[[#This Row],[End Connection Edge Distance (in) (T)]]))</f>
        <v>24</v>
      </c>
      <c r="CC1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6">
        <f>IFERROR(IF(Reinforcements[[#This Row],[Type]]="","",Reinforcements[[#This Row],[Effective B (in)]]*Reinforcements[[#This Row],[Effective H (in)]]^3/12),"")</f>
        <v>0.375</v>
      </c>
      <c r="CF15" s="6">
        <f>IFERROR(IF(Reinforcements[[#This Row],[Type]]="","",Reinforcements[[#This Row],[Effective B (in)]]^3*Reinforcements[[#This Row],[Effective H (in)]]/12),"")</f>
        <v>7.59375</v>
      </c>
      <c r="CG15" s="126">
        <f>SQRT(2*PI()^2*29000/VLOOKUP(Reinforcements[[#This Row],[Material]],Materials[],2,FALSE))</f>
        <v>93.844147005158973</v>
      </c>
      <c r="CH1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23">
        <f>Reinforcements[[#This Row],[Effective Length Factor Kx]]*Reinforcements[[#This Row],[Lu (in)]]/(Reinforcements[[#This Row],[rx]]*PI())*SQRT(VLOOKUP(Reinforcements[[#This Row],[Material]],Materials[],2,FALSE)/29000)</f>
        <v>0.83525370809489741</v>
      </c>
      <c r="CK15" s="123">
        <f>Reinforcements[[#This Row],[Effective Length Factor Ky]]*Reinforcements[[#This Row],[Lu (in)]]/(Reinforcements[[#This Row],[ry]]*PI())*SQRT(VLOOKUP(Reinforcements[[#This Row],[Material]],Materials[],2,FALSE)/29000)</f>
        <v>0.23201491891524928</v>
      </c>
      <c r="CL15" s="123">
        <f>IF(Reinforcements[[#This Row],[λcx]]&lt;=1.5,0.658^(Reinforcements[[#This Row],[λcx]]^2)*Reinforcements[[#This Row],[F''y]],0.877/(Reinforcements[[#This Row],[λcx]]^2)*Reinforcements[[#This Row],[F''y]])</f>
        <v>48.539900000911423</v>
      </c>
      <c r="CM15" s="123">
        <f>IF(Reinforcements[[#This Row],[λcy]]&lt;=1.5,0.658^(Reinforcements[[#This Row],[λcy]]^2)*Reinforcements[[#This Row],[F''y]],0.877/(Reinforcements[[#This Row],[λcy]]^2)*Reinforcements[[#This Row],[F''y]])</f>
        <v>63.551863369977021</v>
      </c>
      <c r="CN15" s="6">
        <f>VLOOKUP(Reinforcements[[#This Row],[Material]],Materials[],2,FALSE)</f>
        <v>65</v>
      </c>
      <c r="CO15" s="126">
        <f>IF(Reinforcements[[#This Row],[Reinforcement]]="","",Reinforcements[[#This Row],[Fax]]*Reinforcements[[#This Row],[Gross Area (in2)]])</f>
        <v>129.66343780630632</v>
      </c>
      <c r="CP15" s="126">
        <f>IF(Reinforcements[[#This Row],[Reinforcement]]="","",Reinforcements[[#This Row],[Fay]]*Reinforcements[[#This Row],[Gross Area (in2)]])</f>
        <v>167.02792472849697</v>
      </c>
      <c r="CQ15" s="126">
        <f>IF(Reinforcements[[#This Row],[Reinforcement]]="","",0.6*VLOOKUP(Reinforcements[[#This Row],[Material]],Materials[],2,FALSE)*Reinforcements[[#This Row],[Gross Area (in2)]])</f>
        <v>175.5</v>
      </c>
      <c r="CR15" s="126">
        <f>IF(Reinforcements[[#This Row],[Reinforcement]]="","",0.5*VLOOKUP(Reinforcements[[#This Row],[Material]],Materials[],3,FALSE)*Reinforcements[[#This Row],[Net Area (in2)]]*Reinforcements[[#This Row],[Shear Lag (U)]])</f>
        <v>130</v>
      </c>
      <c r="CS15" s="126">
        <f>IF(Reinforcements[[#This Row],[Reinforcement]]="","",0.4*VLOOKUP(Reinforcements[[#This Row],[Material]],Materials[],2,FALSE)*Reinforcements[[#This Row],[Gross Area (in2)]])</f>
        <v>117</v>
      </c>
      <c r="CT1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6"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6"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26">
        <f>IF(Reinforcements[[#This Row],[Reinforcement]]="","",φ_c*Reinforcements[[#This Row],[Fcr,x]]*Reinforcements[[#This Row],[Gross Area (in2)]])</f>
        <v>196.58659500369126</v>
      </c>
      <c r="DI15" s="126">
        <f>IF(Reinforcements[[#This Row],[Reinforcement]]="","",φ_c*Reinforcements[[#This Row],[Fcr,y]]*Reinforcements[[#This Row],[Gross Area (in2)]])</f>
        <v>257.3850466484069</v>
      </c>
      <c r="DJ15" s="126">
        <f>IF(Reinforcements[[#This Row],[Reinforcement]]="","",φ_t_y*VLOOKUP(Reinforcements[[#This Row],[Material]],Materials[],2,FALSE)*Reinforcements[[#This Row],[Gross Area (in2)]])</f>
        <v>263.25</v>
      </c>
      <c r="DK15" s="126">
        <f>IF(Reinforcements[[#This Row],[Reinforcement]]="","",φ_t_r*VLOOKUP(Reinforcements[[#This Row],[Material]],Materials[],3,FALSE)*Reinforcements[[#This Row],[Net Area (in2)]]*Reinforcements[[#This Row],[Shear Lag (U)]])</f>
        <v>195</v>
      </c>
      <c r="DL15" s="126">
        <f>IF(Reinforcements[[#This Row],[Reinforcement]]="","",φ_v*0.5*Reinforcements[[#This Row],[F''y]]*Reinforcements[[#This Row],[Gross Area (in2)]])</f>
        <v>131.625</v>
      </c>
      <c r="DM1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6"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6"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111" t="str">
        <f>IF(OR(Reinforcements[[#This Row],[Type]]="plate",Reinforcements[[#This Row],[Type]]="solid round"),"N/A",Reinforcements[[#This Row],[B (in)]])</f>
        <v>N/A</v>
      </c>
      <c r="EB15" s="6" t="str">
        <f>IF(OR(Reinforcements[[#This Row],[Type]]="plate",Reinforcements[[#This Row],[Type]]="solid round"),"N/A",Reinforcements[[#This Row],[H (in)]])</f>
        <v>N/A</v>
      </c>
      <c r="EC15" s="6" t="str">
        <f>IF(OR(Reinforcements[[#This Row],[Type]]="plate",Reinforcements[[#This Row],[Type]]="solid round"),"N/A",Reinforcements[[#This Row],[B (in)]]-Reinforcements[[#This Row],['[Channel'] Flange Thickness (in)]])</f>
        <v>N/A</v>
      </c>
      <c r="ED15" s="6" t="str">
        <f>IF(OR(Reinforcements[[#This Row],[Type]]="plate",Reinforcements[[#This Row],[Type]]="solid round"),"N/A",Reinforcements[[#This Row],['[Channel']Web Thickness (in)]])</f>
        <v>N/A</v>
      </c>
      <c r="EE15" s="6" t="str">
        <f>IF(OR(Reinforcements[[#This Row],[Type]]="plate",Reinforcements[[#This Row],[Type]]="solid round"),"N/A",Reinforcements[[#This Row],['[Channel'] Flange Thickness (in)]])</f>
        <v>N/A</v>
      </c>
      <c r="EF15" s="6" t="str">
        <f>IF(Reinforcements[[#This Row],[Type]]="channel",Reinforcements[[#This Row],[Channel Flange Width, b]]/Reinforcements[[#This Row],[Channel flange thickness, tf]],"N/A")</f>
        <v>N/A</v>
      </c>
      <c r="EG15" s="6" t="str">
        <f>IF(Reinforcements[[#This Row],[Type]]="channel",Reinforcements[[#This Row],[Channel inside depth, T]]/Reinforcements[[#This Row],[Channel web thickness, tw]],"N/A")</f>
        <v>N/A</v>
      </c>
      <c r="EH15" s="6">
        <f>29000</f>
        <v>29000</v>
      </c>
      <c r="EI15" s="6" t="str">
        <f>IF(Reinforcements[[#This Row],[Type]]="channel",0.56*SQRT(Reinforcements[[#This Row],[E, (ksi)]]/Reinforcements[[#This Row],[Fy, (ksi)]]),"N/A")</f>
        <v>N/A</v>
      </c>
      <c r="EJ15" s="6" t="str">
        <f>IF(Reinforcements[[#This Row],[Type]]="channel",1.49*SQRT(Reinforcements[[#This Row],[E, (ksi)]]/Reinforcements[[#This Row],[Fy, (ksi)]]),"N/A")</f>
        <v>N/A</v>
      </c>
      <c r="EK15" s="6">
        <f>VLOOKUP(Reinforcements[[#This Row],[Material]],Materials!$B$2:$C$30,2,FALSE)</f>
        <v>65</v>
      </c>
      <c r="EL15" s="6">
        <f>Reinforcements[[#This Row],[Lu (in)]]*Reinforcements[[#This Row],[Effective Length Factor Kx]]</f>
        <v>16</v>
      </c>
      <c r="EM15" s="6">
        <f>Reinforcements[[#This Row],[Lu (in)]]*Reinforcements[[#This Row],[Effective Length Factor Ky]]</f>
        <v>20</v>
      </c>
      <c r="EN15" s="6">
        <f>Reinforcements[[#This Row],[rx]]</f>
        <v>0.28867513459481287</v>
      </c>
      <c r="EO15" s="6">
        <f>Reinforcements[[#This Row],[ry]]</f>
        <v>1.299038105676658</v>
      </c>
      <c r="EP15" s="6">
        <f>Reinforcements[[#This Row],[Lcx (in)]]/Reinforcements[[#This Row],[rx (in)]]</f>
        <v>55.425625842204077</v>
      </c>
      <c r="EQ15" s="6">
        <f>Reinforcements[[#This Row],[Lcy (in)]]/Reinforcements[[#This Row],[ry (in)]]</f>
        <v>15.39600717839002</v>
      </c>
      <c r="ER15" s="6">
        <f>((PI()^2)*Reinforcements[[#This Row],[E, (ksi)]])/(Reinforcements[[#This Row],[Lcx/rx]]^2)</f>
        <v>93.1700936300753</v>
      </c>
      <c r="ES15" s="6">
        <f>((PI()^2)*Reinforcements[[#This Row],[E, (ksi)]])/(Reinforcements[[#This Row],[Lcy/ry]]^2)</f>
        <v>1207.484413445776</v>
      </c>
      <c r="ET15" s="6">
        <f>4.71*(SQRT(Reinforcements[[#This Row],[E, (ksi)]]/Reinforcements[[#This Row],[Fy, (ksi)]]))</f>
        <v>99.486288193205496</v>
      </c>
      <c r="EU15" s="6">
        <f>IF(Reinforcements[[#This Row],[Lcx/rx]]&lt;=Reinforcements[[#This Row],[Fcr Limit]],(0.658^(Reinforcements[[#This Row],[Fy, (ksi)]]/Reinforcements[[#This Row],[Fex, FB (ksi)]]))*Reinforcements[[#This Row],[Fy, (ksi)]],0.877*Reinforcements[[#This Row],[Fex, FB (ksi)]])</f>
        <v>48.539900000911416</v>
      </c>
      <c r="EV15" s="6">
        <f>IF(Reinforcements[[#This Row],[Lcy/ry]]&lt;=Reinforcements[[#This Row],[Fcr Limit]],(0.658^(Reinforcements[[#This Row],[Fy, (ksi)]]/Reinforcements[[#This Row],[Fey, FB (ksi)]]))*Reinforcements[[#This Row],[Fy, (ksi)]],0.877*Reinforcements[[#This Row],[Fey, FB (ksi)]])</f>
        <v>63.551863369977021</v>
      </c>
      <c r="EW15" s="6">
        <f>Reinforcements[[#This Row],[Fcrx (ksi)]]*Reinforcements[[#This Row],[Gross Area (in2)]]</f>
        <v>218.42955000410137</v>
      </c>
      <c r="EX15" s="6">
        <f>Reinforcements[[#This Row],[Fcry (ksi)]]*Reinforcements[[#This Row],[Gross Area (in2)]]</f>
        <v>285.98338516489662</v>
      </c>
      <c r="EY15" s="6" t="str">
        <f>IF(Reinforcements[[#This Row],[Type]]="channel",0,"N/A")</f>
        <v>N/A</v>
      </c>
      <c r="EZ15" s="6" t="str">
        <f>IF(Reinforcements[[#This Row],[Type]]="channel",Reinforcements[[#This Row],[Channel Flange Width, b]]-(0.5*Reinforcements[[#This Row],[Channel web thickness, tw]]),"N/A")</f>
        <v>N/A</v>
      </c>
      <c r="FA15" s="6" t="str">
        <f>IF(Reinforcements[[#This Row],[Type]]="channel",Reinforcements[[#This Row],[Channel Height, h]]-Reinforcements[[#This Row],[Channel flange thickness, tf]],"N/A")</f>
        <v>N/A</v>
      </c>
      <c r="FB15" s="6" t="str">
        <f>IF(Reinforcements[[#This Row],[Type]]="channel",Reinforcements[[#This Row],[Channel web thickness, tw]],"N/A")</f>
        <v>N/A</v>
      </c>
      <c r="FC15" s="6" t="str">
        <f>IF(Reinforcements[[#This Row],[Type]]="channel",((3*Reinforcements[[#This Row],[b]]^2)/(Reinforcements[[#This Row],[h]]+(6*Reinforcements[[#This Row],[b]])))-Reinforcements[[#This Row],[t]]/2,"N/A")</f>
        <v>N/A</v>
      </c>
      <c r="FD15" s="6">
        <f>Reinforcements[[#This Row],[Pole Face to Centroid (in)]]</f>
        <v>0.5</v>
      </c>
      <c r="FE15" s="6" t="str">
        <f>IF(Reinforcements[[#This Row],[Type]]="channel",Reinforcements[[#This Row],[x(bar)]]+Reinforcements[[#This Row],['[Channel'] e0 (in)]],"N/A")</f>
        <v>N/A</v>
      </c>
      <c r="FF15" s="6" t="str">
        <f>IF(Reinforcements[[#This Row],[Type]]="channel",Reinforcements[[#This Row],[Ix]],"N/A")</f>
        <v>N/A</v>
      </c>
      <c r="FG15" s="6" t="str">
        <f>IF(Reinforcements[[#This Row],[Type]]="channel",Reinforcements[[#This Row],[Iy]],"N/A")</f>
        <v>N/A</v>
      </c>
      <c r="FH15" s="6" t="str">
        <f>IF(Reinforcements[[#This Row],[Type]]="channel",Reinforcements[[#This Row],[Gross Area (in2)]],"N/A")</f>
        <v>N/A</v>
      </c>
      <c r="FI15" s="6" t="str">
        <f>IF(Reinforcements[[#This Row],[Type]]="channel",(Reinforcements[[#This Row],[xo]]^2)+((Reinforcements[[#This Row],[Ix (FTB)]]+Reinforcements[[#This Row],[Iy (FTB)]])/Reinforcements[[#This Row],[Ag]]),"N/A")</f>
        <v>N/A</v>
      </c>
      <c r="FJ15" s="6" t="str">
        <f>IF(Reinforcements[[#This Row],[Type]]="channel",Reinforcements[[#This Row],[Lu (in)]],"N/A")</f>
        <v>N/A</v>
      </c>
      <c r="FK15" s="6" t="str">
        <f>IF(Reinforcements[[#This Row],[Type]]="channel",Reinforcements[[#This Row],[Effective Length Factor Kx]],"N/A")</f>
        <v>N/A</v>
      </c>
      <c r="FL15" s="6" t="str">
        <f>IF(Reinforcements[[#This Row],[Type]]="channel",Reinforcements[[#This Row],[Kz]]*Reinforcements[[#This Row],[Lz]],"N/A")</f>
        <v>N/A</v>
      </c>
      <c r="FM15" s="6" t="str">
        <f>IF(Reinforcements[[#This Row],[Type]]="channel",(((Reinforcements[[#This Row],[t]]^3)/3)*(Reinforcements[[#This Row],[h]]+(2*Reinforcements[[#This Row],[b]]))),"N/A")</f>
        <v>N/A</v>
      </c>
      <c r="FN15" s="6" t="str">
        <f>IF(Reinforcements[[#This Row],[Type]]="channel",(1-(((Reinforcements[[#This Row],[xo]]^2)+(Reinforcements[[#This Row],[yo]]^2))/Reinforcements[[#This Row],[ro^2(bar)]])),"N/A")</f>
        <v>N/A</v>
      </c>
      <c r="FO15" s="6">
        <v>11200</v>
      </c>
      <c r="FP15" s="6" t="str">
        <f>IF(Reinforcements[[#This Row],[Type]]="channel",(((Reinforcements[[#This Row],[h]]^2)*(Reinforcements[[#This Row],[b]]^3)*Reinforcements[[#This Row],[t]])/12)*(((2*Reinforcements[[#This Row],[h]])+(3*Reinforcements[[#This Row],[b]]))/(Reinforcements[[#This Row],[h]]+(6*Reinforcements[[#This Row],[b]]))),"N/A")</f>
        <v>N/A</v>
      </c>
      <c r="FQ15" s="6" t="str">
        <f>IF(Reinforcements[[#This Row],[Type]]="Channel",((((PI()^2)*Reinforcements[[#This Row],[E, (ksi)]]*Reinforcements[[#This Row],['[Channel'] CW (in6)]])/(Reinforcements[[#This Row],[Lcz]]^2))+(Reinforcements[[#This Row],[G]]*Reinforcements[[#This Row],['[Channel'] J (in4)]]))*(1/(Reinforcements[[#This Row],[Ag]]*Reinforcements[[#This Row],[ro^2(bar)]])),"N/A")</f>
        <v>N/A</v>
      </c>
      <c r="FR15" s="6" t="str">
        <f>IF(Reinforcements[[#This Row],[Type]]="channel",((PI()^2)*Reinforcements[[#This Row],[E, (ksi)]])/(Reinforcements[[#This Row],[Lcy/ry]]^2),"N/A")</f>
        <v>N/A</v>
      </c>
      <c r="FS15" s="6" t="str">
        <f>IF(Reinforcements[[#This Row],[Type]]="channel",((Reinforcements[[#This Row],[Fey]]+Reinforcements[[#This Row],[Fez]])/(2*Reinforcements[[#This Row],[H2]]))*(1-SQRT(1-((4*Reinforcements[[#This Row],[Fey]]*Reinforcements[[#This Row],[Fez]]*Reinforcements[[#This Row],[H2]])/(Reinforcements[[#This Row],[Fey]]+Reinforcements[[#This Row],[Fez]])^2))),"N/A")</f>
        <v>N/A</v>
      </c>
      <c r="FT15" s="6" t="str">
        <f>IF(Reinforcements[[#This Row],[Type]]="channel",IF(Reinforcements[[#This Row],[Lcx/rx]]&gt;(4.71*SQRT(Reinforcements[[#This Row],[E, (ksi)]]/Reinforcements[[#This Row],[Fy, (ksi)]])),0.877*Reinforcements[[#This Row],[Fe (FTB)]],0.658^(Reinforcements[[#This Row],[Fy, (ksi)]]/Reinforcements[[#This Row],[Fe (FTB)]])*Reinforcements[[#This Row],[Fy, (ksi)]]),"N/A")</f>
        <v>N/A</v>
      </c>
      <c r="FU15" s="6" t="str">
        <f>IF(Reinforcements[[#This Row],[Type]]="channel",MIN(Reinforcements[[#This Row],[Fcr(FTB)]],Reinforcements[[#This Row],[Fcry (ksi)]]),"N/A")</f>
        <v>N/A</v>
      </c>
      <c r="FV15" s="6">
        <v>0.22</v>
      </c>
      <c r="FW15" s="6">
        <v>1.49</v>
      </c>
      <c r="FX15" s="6" t="str">
        <f>IF(Reinforcements[[#This Row],[Type]]="channel",((Reinforcements[[#This Row],[c2]]*(Reinforcements[[#This Row],[λrf]]/Reinforcements[[#This Row],[λf]]))^2)*Reinforcements[[#This Row],[Fy, (ksi)]],"N/A")</f>
        <v>N/A</v>
      </c>
      <c r="FY15" s="6" t="str">
        <f>IF(Reinforcements[[#This Row],[Type]]="channel",((Reinforcements[[#This Row],[c2]]*(Reinforcements[[#This Row],[λrw]]/Reinforcements[[#This Row],[λw]]))^2)*Reinforcements[[#This Row],[Fy, (ksi)]],"N/A")</f>
        <v>N/A</v>
      </c>
      <c r="FZ1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6" t="str">
        <f>IF(Reinforcements[[#This Row],[Type]]="channel",Reinforcements[[#This Row],[Fcr]]*Reinforcements[[#This Row],[Ae]],"N/A")</f>
        <v>N/A</v>
      </c>
      <c r="GD15">
        <f>IF(Reinforcements[[#This Row],[Reinforcement]]="","",φ_c*Reinforcements[[#This Row],[Pnx, FB (kip)]])</f>
        <v>196.58659500369123</v>
      </c>
      <c r="GE15">
        <f>IF(Reinforcements[[#This Row],[Reinforcement]]="","",IF(Reinforcements[[#This Row],[Type]]="channel",φ_c*Reinforcements[[#This Row],[Pn]],φ_c*Reinforcements[[#This Row],[Pny, FB (kip)]]))</f>
        <v>257.38504664840696</v>
      </c>
      <c r="GF15">
        <f>Reinforcements[[#This Row],[Rev. G Tension Yield Capacity (kips)]]</f>
        <v>263.25</v>
      </c>
      <c r="GG15">
        <f>Reinforcements[[#This Row],[Rev. G Tension Rupture Capacity (kips)]]</f>
        <v>195</v>
      </c>
      <c r="GH15">
        <f>Reinforcements[[#This Row],[Rev. G Shear Capacity (kips)]]</f>
        <v>131.625</v>
      </c>
      <c r="GI15">
        <f>IFERROR((Reinforcements[[#This Row],['# of End Connection Bolts          (Bottom)]]-1)*Reinforcements[[#This Row],[End Connection Bolt Spacing (in) (B)]],"-")</f>
        <v>21</v>
      </c>
      <c r="GJ15">
        <f>IFERROR(IF(VLOOKUP(Reinforcements[[#This Row],[Bottom End Connection Bolt Type]],Bolts[],COLUMN(Bolts[[#Headers],[Rev. H Apply Connection Length Reduction Factor (Rb)?]])-1,FALSE)="Yes",(IF(Reinforcements[[#This Row],[Lb(bottom)]]&lt;=16,1,IF(Reinforcements[[#This Row],[Lb(bottom)]]&gt;38,0.75,0.9))),1),"-")</f>
        <v>1</v>
      </c>
      <c r="GK1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f>IFERROR(IF(Reinforcements[[#This Row],[Top End Connection Same?]]="Yes",Reinforcements[[#This Row],[Lb(bottom)]],(Reinforcements[[#This Row],['# of End Connection Bolts          (Top)]]-1)*Reinforcements[[#This Row],[End Connection Bolt Spacing (in) (T)]]),"-")</f>
        <v>21</v>
      </c>
      <c r="GM15">
        <f>IFERROR(IF(VLOOKUP(Reinforcements[[#This Row],[Top End Connection Bolt Type]],Bolts[],COLUMN(Bolts[[#Headers],[Rev. H Apply Connection Length Reduction Factor (Rb)?]])-1,FALSE)=TRUE,(IF(Reinforcements[[#This Row],[Lb(top)]]&lt;=16,1,IF(Reinforcements[[#This Row],[Lb(top)]]&gt;38,0.75,0.9))),1),"-")</f>
        <v>0.9</v>
      </c>
      <c r="GN1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f>Reinforcements[[#This Row],[Rev. G Bolt-Shaft Bearing Capacity (Bottom)                No Deformation          (*t*Fu kips)]]</f>
        <v>15.870236220472439</v>
      </c>
      <c r="GP15">
        <f>Reinforcements[[#This Row],[Rev. G Bolt-Shaft Bearing Capacity (Bottom)                   Deformation          (*t*Fu kips)]]</f>
        <v>19.837795275590551</v>
      </c>
      <c r="GQ15">
        <f>Reinforcements[[#This Row],[Rev. G Bolt-Shaft Bearing Capacity (Top)                    No Deformation          (*t*Fu kips)]]</f>
        <v>15.870236220472439</v>
      </c>
      <c r="GR15">
        <f>Reinforcements[[#This Row],[Rev. G Bolt-Shaft Bearing Capacity (Top)                        Deformation          (*t*Fu kips)]]</f>
        <v>19.837795275590551</v>
      </c>
      <c r="GS15">
        <f>Reinforcements[[#This Row],[Rev. G Bolt-Reinf. Bearing Capacity (Bottom)            No Deformation (kips)]]</f>
        <v>1269.6188976377953</v>
      </c>
      <c r="GT15">
        <f>Reinforcements[[#This Row],[Rev. G Bolt-Reinf. Bearing Capacity (Bottom)               Deformation (kips)]]</f>
        <v>1587.0236220472443</v>
      </c>
      <c r="GU15">
        <f>Reinforcements[[#This Row],[Rev. G Bolt-Reinf. Bearing Capacity (Top)                  No Deformation (kips)]]</f>
        <v>1269.6188976377953</v>
      </c>
      <c r="GV15">
        <f>Reinforcements[[#This Row],[Rev. G Bolt-Reinf. Bearing Capacity (Top)               Deformation (kips)]]</f>
        <v>1587.0236220472443</v>
      </c>
      <c r="GW15" t="str">
        <f>Reinforcements[[#This Row],[Rev. G Bottom Transverse Weld Strength]]</f>
        <v>-</v>
      </c>
      <c r="GX15" t="str">
        <f>Reinforcements[[#This Row],[Rev. G Bottom Longitudinal Weld Strength]]</f>
        <v>-</v>
      </c>
      <c r="GY15" t="str">
        <f>Reinforcements[[#This Row],[Rev. G Top Transverse Weld Strength]]</f>
        <v>-</v>
      </c>
      <c r="GZ15" t="str">
        <f>Reinforcements[[#This Row],[Rev. G Top Longitudinal Weld Strength]]</f>
        <v>-</v>
      </c>
      <c r="HA15">
        <v>13</v>
      </c>
      <c r="HB1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49" t="s">
        <v>370</v>
      </c>
      <c r="C16" s="49" t="s">
        <v>352</v>
      </c>
      <c r="D16" s="6">
        <v>5</v>
      </c>
      <c r="E16" s="6">
        <v>1.25</v>
      </c>
      <c r="F16" s="6" t="str">
        <f>IF(Reinforcements[[#This Row],[Type]]="","",IF(Reinforcements[[#This Row],[Type]]="solid round","","n/a"))</f>
        <v>n/a</v>
      </c>
      <c r="G16" s="6" t="str">
        <f>IF(Reinforcements[[#This Row],[Type]]="","",IF(Reinforcements[[#This Row],[Type]]&lt;&gt;"channel","n/a",""))</f>
        <v>n/a</v>
      </c>
      <c r="H16" s="6" t="str">
        <f>IF(Reinforcements[[#This Row],[Type]]="","",IF(Reinforcements[[#This Row],[Type]]&lt;&gt;"channel","n/a",""))</f>
        <v>n/a</v>
      </c>
      <c r="I16" s="126" t="str">
        <f>IF(Reinforcements[[#This Row],[Type]]="","",IF(Reinforcements[[#This Row],[Type]]&lt;&gt;"channel","n/a",Reinforcements[[#This Row],[eo]]))</f>
        <v>n/a</v>
      </c>
      <c r="J16" s="126" t="str">
        <f>IF(Reinforcements[[#This Row],[Type]]="","",IF(Reinforcements[[#This Row],[Type]]&lt;&gt;"channel","n/a",Reinforcements[[#This Row],[J]]))</f>
        <v>n/a</v>
      </c>
      <c r="K16" s="126" t="str">
        <f>IF(Reinforcements[[#This Row],[Type]]="","",IF(Reinforcements[[#This Row],[Type]]&lt;&gt;"channel","n/a",Reinforcements[[#This Row],[Cw]]))</f>
        <v>n/a</v>
      </c>
      <c r="L16" s="6">
        <f>IFERROR(IF(Reinforcements[[#This Row],[Type]]="","",IF(Reinforcements[[#This Row],[Type]]="plate",Reinforcements[[#This Row],[B (in)]]*Reinforcements[[#This Row],[H (in)]],IF(Reinforcements[[#This Row],[Type]]="solid round",PI()/4*Reinforcements[[#This Row],[Diameter (in)]]^2,""))),"")</f>
        <v>6.25</v>
      </c>
      <c r="M16" s="6">
        <f>IFERROR(IF(Reinforcements[[#This Row],[Type]]="","",IF(Reinforcements[[#This Row],[Type]]="plate",Reinforcements[[#This Row],[H (in)]]/2,"")),"")</f>
        <v>0.625</v>
      </c>
      <c r="N16" s="34" t="s">
        <v>353</v>
      </c>
      <c r="O16" s="111" t="s">
        <v>138</v>
      </c>
      <c r="P16" s="123">
        <f>IFERROR(IF(Reinforcements[[#This Row],[Type]]="","",IF(Reinforcements[[#This Row],[Type]]="plate",Reinforcements[[#This Row],[B (in)]]*Reinforcements[[#This Row],[H (in)]]^3/12,IF(Reinforcements[[#This Row],[Type]]="solid round",PI()/64*Reinforcements[[#This Row],[Diameter (in)]]^4,""))),"")</f>
        <v>0.81380208333333337</v>
      </c>
      <c r="Q16" s="123">
        <f>IF(Reinforcements[[#This Row],[Reinforcement]]="","",SQRT(Reinforcements[[#This Row],[Ix]]/Reinforcements[[#This Row],[Gross Area (in2)]]))</f>
        <v>0.36084391824351614</v>
      </c>
      <c r="R16" s="123">
        <f>IFERROR(IF(Reinforcements[[#This Row],[Type]]="","",IF(Reinforcements[[#This Row],[Type]]="plate",Reinforcements[[#This Row],[B (in)]]^3*Reinforcements[[#This Row],[H (in)]]/12,IF(Reinforcements[[#This Row],[Type]]="solid round",PI()/64*Reinforcements[[#This Row],[Diameter (in)]]^4,""))),"")</f>
        <v>13.020833333333334</v>
      </c>
      <c r="S16" s="123">
        <f>IF(Reinforcements[[#This Row],[Reinforcement]]="","",SQRT(Reinforcements[[#This Row],[Iy]]/Reinforcements[[#This Row],[Gross Area (in2)]]))</f>
        <v>1.4433756729740645</v>
      </c>
      <c r="T16" s="6">
        <v>23</v>
      </c>
      <c r="U16" s="6">
        <v>0.8</v>
      </c>
      <c r="V16" s="6">
        <v>1</v>
      </c>
      <c r="W16" s="6">
        <v>1.1875</v>
      </c>
      <c r="X16" s="6">
        <f>IF(Reinforcements[[#This Row],[Bolt Hole Size (in)]]="","",IF(Reinforcements[[#This Row],[Bolt Hole Size (in)]]="n/a","n/a",Reinforcements[[#This Row],[Bolt Hole Size (in)]]*25.4))</f>
        <v>30.162499999999998</v>
      </c>
      <c r="Y1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6">
        <f>IFERROR(IF(Reinforcements[[#This Row],[Reinforcement]]="","",IF(OR(Reinforcements[[#This Row],[Type]]="plate",Reinforcements[[#This Row],[Type]]="solid round"),1,IF(Reinforcements[[#This Row],[Type]]="arbitrary","",1-Reinforcements[[#This Row],[Pole Face to Centroid (in)]]/Reinforcements[[#This Row],[Connection Length (in) '[Channels']]]))),"")</f>
        <v>1</v>
      </c>
      <c r="AA16" s="16" t="s">
        <v>354</v>
      </c>
      <c r="AB16" s="16" t="str">
        <f>IF(Reinforcements[[#This Row],[Reinforcement]]="","",IF(Reinforcements[[#This Row],[Bottom End Connection Type]]&lt;&gt;"Capacity Input","-",""))</f>
        <v>-</v>
      </c>
      <c r="AC16" s="16" t="str">
        <f>IF(Reinforcements[[#This Row],[Reinforcement]]="","",IF(Reinforcements[[#This Row],[Bottom End Connection Type]]&lt;&gt;"Capacity Input","-",""))</f>
        <v>-</v>
      </c>
      <c r="AD16" s="16" t="str">
        <f>IF(Reinforcements[[#This Row],[Reinforcement]]="","",IF(Reinforcements[[#This Row],[Bottom End Connection Type]]&lt;&gt;"Capacity Input","-",""))</f>
        <v>-</v>
      </c>
      <c r="AE16" s="74" t="s">
        <v>355</v>
      </c>
      <c r="AF16" s="6" t="s">
        <v>356</v>
      </c>
      <c r="AG16" s="6">
        <v>10</v>
      </c>
      <c r="AH16" s="6">
        <v>3</v>
      </c>
      <c r="AI16" s="6">
        <v>3</v>
      </c>
      <c r="AJ16" s="6">
        <f>Reinforcements[[#This Row],[End Connection Edge Distance (in) (B)]]-(Reinforcements[[#This Row],[Bolt Hole Size (in)]]+1/16)/2</f>
        <v>2.375</v>
      </c>
      <c r="AK16" s="6">
        <f>Reinforcements[[#This Row],[End Connection Bolt Spacing (in) (B)]]-(Reinforcements[[#This Row],[Bolt Hole Size (in)]]+1/16)</f>
        <v>1.75</v>
      </c>
      <c r="AL16" s="6">
        <f>Reinforcements[[#This Row],[End Connection Edge Distance (in) (B)]]</f>
        <v>3</v>
      </c>
      <c r="AM16" s="6">
        <f>Reinforcements[[#This Row],[End Connection Bolt Spacing (in) (B)]]</f>
        <v>3</v>
      </c>
      <c r="AN16" s="6" t="str">
        <f>IF(Reinforcements[[#This Row],[Reinforcement]]="","",IF(OR(Reinforcements[[#This Row],[Bottom End Connection Type]]="Bolted",Reinforcements[[#This Row],[Bottom End Connection Type]]=""),"-",""))</f>
        <v>-</v>
      </c>
      <c r="AO16" s="111" t="str">
        <f>IF(Reinforcements[[#This Row],[Reinforcement]]="","",IF(OR(Reinforcements[[#This Row],[Bottom End Connection Type]]="Bolted",Reinforcements[[#This Row],[Bottom End Connection Type]]=""),"-",""))</f>
        <v>-</v>
      </c>
      <c r="AP16" s="111" t="str">
        <f>IF(Reinforcements[[#This Row],[Reinforcement]]="","",IF(OR(Reinforcements[[#This Row],[Bottom End Connection Type]]="Bolted",Reinforcements[[#This Row],[Bottom End Connection Type]]=""),"-",""))</f>
        <v>-</v>
      </c>
      <c r="AQ16" s="111" t="str">
        <f>IF(OR(Reinforcements[[#This Row],[Bottom End Connection Type]]="Bolted",Reinforcements[[#This Row],[Bottom Transverse (Horizontal) Weld]]="none"),"-","")</f>
        <v>-</v>
      </c>
      <c r="AR1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11" t="str">
        <f>IF(OR(Reinforcements[[#This Row],[Bottom Transverse (Horizontal) Weld]]="none",Reinforcements[[#This Row],[Bottom End Connection Type]]="Bolted"),"-","")</f>
        <v>-</v>
      </c>
      <c r="AU1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11" t="str">
        <f>IF(Reinforcements[[#This Row],[Reinforcement]]="","",IF(OR(Reinforcements[[#This Row],[Bottom End Connection Type]]="Bolted",Reinforcements[[#This Row],[Bottom End Connection Type]]=""),"-",""))</f>
        <v>-</v>
      </c>
      <c r="AW16" s="111" t="str">
        <f>IF(Reinforcements[[#This Row],[Reinforcement]]="","",IF(OR(Reinforcements[[#This Row],[Bottom End Connection Type]]&lt;&gt;"Welded",Reinforcements[[#This Row],[Bottom Longitudinal (Vertical) Weld]]="None",Reinforcements[[#This Row],[Bottom Longitudinal (Vertical) Weld]]=""),"-",""))</f>
        <v>-</v>
      </c>
      <c r="AX16" s="111" t="str">
        <f>IF(Reinforcements[[#This Row],[Reinforcement]]="","",IF(OR(Reinforcements[[#This Row],[Bottom End Connection Type]]&lt;&gt;"Welded",Reinforcements[[#This Row],[Bottom Longitudinal (Vertical) Weld]]="None",Reinforcements[[#This Row],[Bottom Longitudinal (Vertical) Weld]]=""),"-",""))</f>
        <v>-</v>
      </c>
      <c r="AY16" s="6" t="str">
        <f>IF(Reinforcements[[#This Row],[Reinforcement]]="","",IF(OR(Reinforcements[[#This Row],[Bottom End Connection Type]]&lt;&gt;"Welded",Reinforcements[[#This Row],[Bottom Longitudinal (Vertical) Weld]]="None"),"-",SQRT(2)/2*Reinforcements[[#This Row],[Bottom Longitudinal Weld Fillet Size (in)]]))</f>
        <v>-</v>
      </c>
      <c r="AZ16" s="6" t="s">
        <v>357</v>
      </c>
      <c r="BA16" s="16" t="str">
        <f>IF(Reinforcements[[#This Row],[Top End Connection Same?]]="Yes",Reinforcements[[#This Row],[Bottom End Connection Type]],"")</f>
        <v>Bolted</v>
      </c>
      <c r="BB16" s="16" t="str">
        <f>IF(Reinforcements[[#This Row],[Reinforcement]]="","",IF(Reinforcements[[#This Row],[Top End Connection Same?]]="Yes",Reinforcements[[#This Row],[Rev. F Bottom Connection Capacity (kips)]],IF(Reinforcements[[#This Row],[Reinforcement]]="","",IF(Reinforcements[[#This Row],[Top End Connection Type]]&lt;&gt;"Capacity Input","-",""))))</f>
        <v>-</v>
      </c>
      <c r="BC16" s="16" t="str">
        <f>IF(Reinforcements[[#This Row],[Reinforcement]]="","",IF(Reinforcements[[#This Row],[Top End Connection Same?]]="Yes",Reinforcements[[#This Row],[Rev. G Bottom Connection Capacity (kips)]],IF(Reinforcements[[#This Row],[Reinforcement]]="","",IF(Reinforcements[[#This Row],[Top End Connection Type]]&lt;&gt;"Capacity Input","-",""))))</f>
        <v>-</v>
      </c>
      <c r="BD16" s="16" t="str">
        <f>IF(Reinforcements[[#This Row],[Reinforcement]]="","",IF(Reinforcements[[#This Row],[Top End Connection Same?]]="Yes",Reinforcements[[#This Row],[Rev. G Bottom Connection Capacity (kips)]],IF(Reinforcements[[#This Row],[Reinforcement]]="","",IF(Reinforcements[[#This Row],[Top End Connection Type]]&lt;&gt;"Capacity Input","-",""))))</f>
        <v>-</v>
      </c>
      <c r="BE16" s="74" t="str">
        <f>IF(Reinforcements[[#This Row],[Top End Connection Same?]]="Yes",Reinforcements[[#This Row],[Bottom End Connection Bolt Type]],IF(Reinforcements[[#This Row],[Top End Connection Type]]="Welded","-",""))</f>
        <v>PC 8.8 - M20 (100)</v>
      </c>
      <c r="BF16" s="6" t="str">
        <f>IF(Reinforcements[[#This Row],[Top End Connection Same?]]="Yes",Reinforcements[[#This Row],[Threads Included (N) or Excluded (X) (Bottom)]],IF(Reinforcements[[#This Row],[Top End Connection Type]]="Welded","-",""))</f>
        <v>N</v>
      </c>
      <c r="BG16" s="6">
        <f>IF(Reinforcements[[#This Row],[Top End Connection Same?]]="Yes",Reinforcements[[#This Row],['# of End Connection Bolts          (Bottom)]],IF(Reinforcements[[#This Row],[Top End Connection Type]]="Welded","-",""))</f>
        <v>10</v>
      </c>
      <c r="BH16" s="6">
        <f>IF(Reinforcements[[#This Row],[Top End Connection Same?]]="Yes",Reinforcements[[#This Row],[End Connection Bolt Spacing (in) (B)]],IF(Reinforcements[[#This Row],[Top End Connection Type]]="Welded","-",""))</f>
        <v>3</v>
      </c>
      <c r="BI16" s="6">
        <f>IF(Reinforcements[[#This Row],[Top End Connection Same?]]="Yes",Reinforcements[[#This Row],[End Connection Edge Distance (in) (B)]],IF(Reinforcements[[#This Row],[Top End Connection Type]]="Welded","-",""))</f>
        <v>3</v>
      </c>
      <c r="BJ16" s="6">
        <f>Reinforcements[[#This Row],[End Connection Edge Distance (in) (T)]]-(Reinforcements[[#This Row],[Bolt Hole Size (in)]]+1/16)/2</f>
        <v>2.375</v>
      </c>
      <c r="BK16" s="6">
        <f>Reinforcements[[#This Row],[End Connection Bolt Spacing (in) (T)]]-(Reinforcements[[#This Row],[Bolt Hole Size (in)]]+1/16)</f>
        <v>1.75</v>
      </c>
      <c r="BL16" s="6">
        <f>Reinforcements[[#This Row],[End Connection Edge Distance (in) (T)]]</f>
        <v>3</v>
      </c>
      <c r="BM16" s="6">
        <f>Reinforcements[[#This Row],[End Connection Bolt Spacing (in) (T)]]</f>
        <v>3</v>
      </c>
      <c r="BN16" s="6" t="str">
        <f>IF(Reinforcements[[#This Row],[Reinforcement]]="","",IF(Reinforcements[[#This Row],[Top End Connection Same?]]="Yes",Reinforcements[[#This Row],[Bottom Connected to Flange/Base Plate?]],IF(Reinforcements[[#This Row],[Top End Connection Type]]="Bolted","-","")))</f>
        <v>-</v>
      </c>
      <c r="BO16" s="6" t="str">
        <f>IF(Reinforcements[[#This Row],[Reinforcement]]="","",IF(Reinforcements[[#This Row],[Top End Connection Same?]]="Yes",Reinforcements[[#This Row],[Bottom Weld Grade (ksi)]],IF(OR(Reinforcements[[#This Row],[Top End Connection Type]]&lt;&gt;"Welded",Reinforcements[[#This Row],[Top End Connection Type]]=""),"-","")))</f>
        <v>-</v>
      </c>
      <c r="BP16" s="6" t="str">
        <f>IF($AZ16="Yes",AP16,IF(Reinforcements[[#This Row],[Reinforcement]]="","",IF(OR(Reinforcements[[#This Row],[Top End Connection Type]]&lt;&gt;"Welded",Reinforcements[[#This Row],[Top End Connection Type]]=""),"-","")))</f>
        <v>-</v>
      </c>
      <c r="BQ16" s="6" t="str">
        <f>IF(Reinforcements[[#This Row],[Reinforcement]]="","",IF($AZ16="Yes",AQ16,IF(OR(Reinforcements[[#This Row],[Top End Connection Type]]&lt;&gt;"Welded",Reinforcements[[#This Row],[Top Transverse (Horizontal) Weld]]="none",Reinforcements[[#This Row],[Top Transverse (Horizontal) Weld]]=""),"-","")))</f>
        <v>-</v>
      </c>
      <c r="BR16" s="6"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6"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6" t="str">
        <f>IF(Reinforcements[[#This Row],[Reinforcement]]="","",IF($AZ16="Yes",AT16,IF(OR(Reinforcements[[#This Row],[Top Transverse (Horizontal) Weld]]="none",Reinforcements[[#This Row],[Top End Connection Type]]&lt;&gt;"Welded",Reinforcements[[#This Row],[Top Transverse (Horizontal) Weld]]=""),"-","")))</f>
        <v>-</v>
      </c>
      <c r="BU16" s="6"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6" t="str">
        <f>IF($AZ16="Yes",AV16,IF(Reinforcements[[#This Row],[Reinforcement]]="","",IF(OR(Reinforcements[[#This Row],[Top End Connection Type]]&lt;&gt;"Welded",Reinforcements[[#This Row],[Top End Connection Type]]=""),"-","")))</f>
        <v>-</v>
      </c>
      <c r="BW16" s="6"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6"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6" t="str">
        <f>IF($AZ16="Yes",AY16,IF(Reinforcements[[#This Row],[Reinforcement]]="","",IF(OR(Reinforcements[[#This Row],[Top End Connection Type]]&lt;&gt;"Welded",Reinforcements[[#This Row],[Top Longitudinal (Vertical) Weld]]="none"),"-",SQRT(2)/2*Reinforcements[[#This Row],[Top Longitudinal Weld Fillet Size (in)]])))</f>
        <v>-</v>
      </c>
      <c r="BZ1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11">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11">
        <f>IF(Reinforcements[[#This Row],[Reinforcement]]="","",IF(Reinforcements[[#This Row],[Top End Connection Type]]&lt;&gt;"Bolted","n/a",(Reinforcements[[#This Row],['# of End Connection Bolts          (Top)]]-1)*Reinforcements[[#This Row],[End Connection Bolt Spacing (in) (T)]]+Reinforcements[[#This Row],[End Connection Edge Distance (in) (T)]]))</f>
        <v>30</v>
      </c>
      <c r="CC1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6">
        <f>IFERROR(IF(Reinforcements[[#This Row],[Type]]="","",Reinforcements[[#This Row],[Effective B (in)]]*Reinforcements[[#This Row],[Effective H (in)]]^3/12),"")</f>
        <v>0.81380208333333337</v>
      </c>
      <c r="CF16" s="6">
        <f>IFERROR(IF(Reinforcements[[#This Row],[Type]]="","",Reinforcements[[#This Row],[Effective B (in)]]^3*Reinforcements[[#This Row],[Effective H (in)]]/12),"")</f>
        <v>13.020833333333334</v>
      </c>
      <c r="CG16" s="126">
        <f>SQRT(2*PI()^2*29000/VLOOKUP(Reinforcements[[#This Row],[Material]],Materials[],2,FALSE))</f>
        <v>93.844147005158973</v>
      </c>
      <c r="CH1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23">
        <f>Reinforcements[[#This Row],[Effective Length Factor Kx]]*Reinforcements[[#This Row],[Lu (in)]]/(Reinforcements[[#This Row],[rx]]*PI())*SQRT(VLOOKUP(Reinforcements[[#This Row],[Material]],Materials[],2,FALSE)/29000)</f>
        <v>0.76843341144730548</v>
      </c>
      <c r="CK16" s="123">
        <f>Reinforcements[[#This Row],[Effective Length Factor Ky]]*Reinforcements[[#This Row],[Lu (in)]]/(Reinforcements[[#This Row],[ry]]*PI())*SQRT(VLOOKUP(Reinforcements[[#This Row],[Material]],Materials[],2,FALSE)/29000)</f>
        <v>0.24013544107728296</v>
      </c>
      <c r="CL16" s="123">
        <f>IF(Reinforcements[[#This Row],[λcx]]&lt;=1.5,0.658^(Reinforcements[[#This Row],[λcx]]^2)*Reinforcements[[#This Row],[F''y]],0.877/(Reinforcements[[#This Row],[λcx]]^2)*Reinforcements[[#This Row],[F''y]])</f>
        <v>50.766541905358231</v>
      </c>
      <c r="CM16" s="123">
        <f>IF(Reinforcements[[#This Row],[λcy]]&lt;=1.5,0.658^(Reinforcements[[#This Row],[λcy]]^2)*Reinforcements[[#This Row],[F''y]],0.877/(Reinforcements[[#This Row],[λcy]]^2)*Reinforcements[[#This Row],[F''y]])</f>
        <v>63.449959224213764</v>
      </c>
      <c r="CN16" s="6">
        <f>VLOOKUP(Reinforcements[[#This Row],[Material]],Materials[],2,FALSE)</f>
        <v>65</v>
      </c>
      <c r="CO16" s="126">
        <f>IF(Reinforcements[[#This Row],[Reinforcement]]="","",Reinforcements[[#This Row],[Fax]]*Reinforcements[[#This Row],[Gross Area (in2)]])</f>
        <v>187.13954848184918</v>
      </c>
      <c r="CP16" s="126">
        <f>IF(Reinforcements[[#This Row],[Reinforcement]]="","",Reinforcements[[#This Row],[Fay]]*Reinforcements[[#This Row],[Gross Area (in2)]])</f>
        <v>231.47736662721647</v>
      </c>
      <c r="CQ16" s="126">
        <f>IF(Reinforcements[[#This Row],[Reinforcement]]="","",0.6*VLOOKUP(Reinforcements[[#This Row],[Material]],Materials[],2,FALSE)*Reinforcements[[#This Row],[Gross Area (in2)]])</f>
        <v>243.75</v>
      </c>
      <c r="CR16" s="126">
        <f>IF(Reinforcements[[#This Row],[Reinforcement]]="","",0.5*VLOOKUP(Reinforcements[[#This Row],[Material]],Materials[],3,FALSE)*Reinforcements[[#This Row],[Net Area (in2)]]*Reinforcements[[#This Row],[Shear Lag (U)]])</f>
        <v>187.5</v>
      </c>
      <c r="CS16" s="126">
        <f>IF(Reinforcements[[#This Row],[Reinforcement]]="","",0.4*VLOOKUP(Reinforcements[[#This Row],[Material]],Materials[],2,FALSE)*Reinforcements[[#This Row],[Gross Area (in2)]])</f>
        <v>162.5</v>
      </c>
      <c r="CT1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6"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6"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26">
        <f>IF(Reinforcements[[#This Row],[Reinforcement]]="","",φ_c*Reinforcements[[#This Row],[Fcr,x]]*Reinforcements[[#This Row],[Gross Area (in2)]])</f>
        <v>285.56179821764005</v>
      </c>
      <c r="DI16" s="126">
        <f>IF(Reinforcements[[#This Row],[Reinforcement]]="","",φ_c*Reinforcements[[#This Row],[Fcr,y]]*Reinforcements[[#This Row],[Gross Area (in2)]])</f>
        <v>356.90602063620241</v>
      </c>
      <c r="DJ16" s="126">
        <f>IF(Reinforcements[[#This Row],[Reinforcement]]="","",φ_t_y*VLOOKUP(Reinforcements[[#This Row],[Material]],Materials[],2,FALSE)*Reinforcements[[#This Row],[Gross Area (in2)]])</f>
        <v>365.625</v>
      </c>
      <c r="DK16" s="126">
        <f>IF(Reinforcements[[#This Row],[Reinforcement]]="","",φ_t_r*VLOOKUP(Reinforcements[[#This Row],[Material]],Materials[],3,FALSE)*Reinforcements[[#This Row],[Net Area (in2)]]*Reinforcements[[#This Row],[Shear Lag (U)]])</f>
        <v>281.25</v>
      </c>
      <c r="DL16" s="126">
        <f>IF(Reinforcements[[#This Row],[Reinforcement]]="","",φ_v*0.5*Reinforcements[[#This Row],[F''y]]*Reinforcements[[#This Row],[Gross Area (in2)]])</f>
        <v>182.8125</v>
      </c>
      <c r="DM1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6"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6"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111" t="str">
        <f>IF(OR(Reinforcements[[#This Row],[Type]]="plate",Reinforcements[[#This Row],[Type]]="solid round"),"N/A",Reinforcements[[#This Row],[B (in)]])</f>
        <v>N/A</v>
      </c>
      <c r="EB16" s="6" t="str">
        <f>IF(OR(Reinforcements[[#This Row],[Type]]="plate",Reinforcements[[#This Row],[Type]]="solid round"),"N/A",Reinforcements[[#This Row],[H (in)]])</f>
        <v>N/A</v>
      </c>
      <c r="EC16" s="6" t="str">
        <f>IF(OR(Reinforcements[[#This Row],[Type]]="plate",Reinforcements[[#This Row],[Type]]="solid round"),"N/A",Reinforcements[[#This Row],[B (in)]]-Reinforcements[[#This Row],['[Channel'] Flange Thickness (in)]])</f>
        <v>N/A</v>
      </c>
      <c r="ED16" s="6" t="str">
        <f>IF(OR(Reinforcements[[#This Row],[Type]]="plate",Reinforcements[[#This Row],[Type]]="solid round"),"N/A",Reinforcements[[#This Row],['[Channel']Web Thickness (in)]])</f>
        <v>N/A</v>
      </c>
      <c r="EE16" s="6" t="str">
        <f>IF(OR(Reinforcements[[#This Row],[Type]]="plate",Reinforcements[[#This Row],[Type]]="solid round"),"N/A",Reinforcements[[#This Row],['[Channel'] Flange Thickness (in)]])</f>
        <v>N/A</v>
      </c>
      <c r="EF16" s="6" t="str">
        <f>IF(Reinforcements[[#This Row],[Type]]="channel",Reinforcements[[#This Row],[Channel Flange Width, b]]/Reinforcements[[#This Row],[Channel flange thickness, tf]],"N/A")</f>
        <v>N/A</v>
      </c>
      <c r="EG16" s="6" t="str">
        <f>IF(Reinforcements[[#This Row],[Type]]="channel",Reinforcements[[#This Row],[Channel inside depth, T]]/Reinforcements[[#This Row],[Channel web thickness, tw]],"N/A")</f>
        <v>N/A</v>
      </c>
      <c r="EH16" s="6">
        <f>29000</f>
        <v>29000</v>
      </c>
      <c r="EI16" s="6" t="str">
        <f>IF(Reinforcements[[#This Row],[Type]]="channel",0.56*SQRT(Reinforcements[[#This Row],[E, (ksi)]]/Reinforcements[[#This Row],[Fy, (ksi)]]),"N/A")</f>
        <v>N/A</v>
      </c>
      <c r="EJ16" s="6" t="str">
        <f>IF(Reinforcements[[#This Row],[Type]]="channel",1.49*SQRT(Reinforcements[[#This Row],[E, (ksi)]]/Reinforcements[[#This Row],[Fy, (ksi)]]),"N/A")</f>
        <v>N/A</v>
      </c>
      <c r="EK16" s="6">
        <f>VLOOKUP(Reinforcements[[#This Row],[Material]],Materials!$B$2:$C$30,2,FALSE)</f>
        <v>65</v>
      </c>
      <c r="EL16" s="6">
        <f>Reinforcements[[#This Row],[Lu (in)]]*Reinforcements[[#This Row],[Effective Length Factor Kx]]</f>
        <v>18.400000000000002</v>
      </c>
      <c r="EM16" s="6">
        <f>Reinforcements[[#This Row],[Lu (in)]]*Reinforcements[[#This Row],[Effective Length Factor Ky]]</f>
        <v>23</v>
      </c>
      <c r="EN16" s="6">
        <f>Reinforcements[[#This Row],[rx]]</f>
        <v>0.36084391824351614</v>
      </c>
      <c r="EO16" s="6">
        <f>Reinforcements[[#This Row],[ry]]</f>
        <v>1.4433756729740645</v>
      </c>
      <c r="EP16" s="6">
        <f>Reinforcements[[#This Row],[Lcx (in)]]/Reinforcements[[#This Row],[rx (in)]]</f>
        <v>50.991575774827751</v>
      </c>
      <c r="EQ16" s="6">
        <f>Reinforcements[[#This Row],[Lcy (in)]]/Reinforcements[[#This Row],[ry (in)]]</f>
        <v>15.93486742963367</v>
      </c>
      <c r="ER16" s="6">
        <f>((PI()^2)*Reinforcements[[#This Row],[E, (ksi)]])/(Reinforcements[[#This Row],[Lcx/rx]]^2)</f>
        <v>110.07808793723451</v>
      </c>
      <c r="ES16" s="6">
        <f>((PI()^2)*Reinforcements[[#This Row],[E, (ksi)]])/(Reinforcements[[#This Row],[Lcy/ry]]^2)</f>
        <v>1127.1996204772818</v>
      </c>
      <c r="ET16" s="6">
        <f>4.71*(SQRT(Reinforcements[[#This Row],[E, (ksi)]]/Reinforcements[[#This Row],[Fy, (ksi)]]))</f>
        <v>99.486288193205496</v>
      </c>
      <c r="EU16" s="6">
        <f>IF(Reinforcements[[#This Row],[Lcx/rx]]&lt;=Reinforcements[[#This Row],[Fcr Limit]],(0.658^(Reinforcements[[#This Row],[Fy, (ksi)]]/Reinforcements[[#This Row],[Fex, FB (ksi)]]))*Reinforcements[[#This Row],[Fy, (ksi)]],0.877*Reinforcements[[#This Row],[Fex, FB (ksi)]])</f>
        <v>50.766541905358217</v>
      </c>
      <c r="EV16" s="6">
        <f>IF(Reinforcements[[#This Row],[Lcy/ry]]&lt;=Reinforcements[[#This Row],[Fcr Limit]],(0.658^(Reinforcements[[#This Row],[Fy, (ksi)]]/Reinforcements[[#This Row],[Fey, FB (ksi)]]))*Reinforcements[[#This Row],[Fy, (ksi)]],0.877*Reinforcements[[#This Row],[Fey, FB (ksi)]])</f>
        <v>63.449959224213764</v>
      </c>
      <c r="EW16" s="6">
        <f>Reinforcements[[#This Row],[Fcrx (ksi)]]*Reinforcements[[#This Row],[Gross Area (in2)]]</f>
        <v>317.29088690848886</v>
      </c>
      <c r="EX16" s="6">
        <f>Reinforcements[[#This Row],[Fcry (ksi)]]*Reinforcements[[#This Row],[Gross Area (in2)]]</f>
        <v>396.56224515133601</v>
      </c>
      <c r="EY16" s="6" t="str">
        <f>IF(Reinforcements[[#This Row],[Type]]="channel",0,"N/A")</f>
        <v>N/A</v>
      </c>
      <c r="EZ16" s="6" t="str">
        <f>IF(Reinforcements[[#This Row],[Type]]="channel",Reinforcements[[#This Row],[Channel Flange Width, b]]-(0.5*Reinforcements[[#This Row],[Channel web thickness, tw]]),"N/A")</f>
        <v>N/A</v>
      </c>
      <c r="FA16" s="6" t="str">
        <f>IF(Reinforcements[[#This Row],[Type]]="channel",Reinforcements[[#This Row],[Channel Height, h]]-Reinforcements[[#This Row],[Channel flange thickness, tf]],"N/A")</f>
        <v>N/A</v>
      </c>
      <c r="FB16" s="6" t="str">
        <f>IF(Reinforcements[[#This Row],[Type]]="channel",Reinforcements[[#This Row],[Channel web thickness, tw]],"N/A")</f>
        <v>N/A</v>
      </c>
      <c r="FC16" s="6" t="str">
        <f>IF(Reinforcements[[#This Row],[Type]]="channel",((3*Reinforcements[[#This Row],[b]]^2)/(Reinforcements[[#This Row],[h]]+(6*Reinforcements[[#This Row],[b]])))-Reinforcements[[#This Row],[t]]/2,"N/A")</f>
        <v>N/A</v>
      </c>
      <c r="FD16" s="6">
        <f>Reinforcements[[#This Row],[Pole Face to Centroid (in)]]</f>
        <v>0.625</v>
      </c>
      <c r="FE16" s="6" t="str">
        <f>IF(Reinforcements[[#This Row],[Type]]="channel",Reinforcements[[#This Row],[x(bar)]]+Reinforcements[[#This Row],['[Channel'] e0 (in)]],"N/A")</f>
        <v>N/A</v>
      </c>
      <c r="FF16" s="6" t="str">
        <f>IF(Reinforcements[[#This Row],[Type]]="channel",Reinforcements[[#This Row],[Ix]],"N/A")</f>
        <v>N/A</v>
      </c>
      <c r="FG16" s="6" t="str">
        <f>IF(Reinforcements[[#This Row],[Type]]="channel",Reinforcements[[#This Row],[Iy]],"N/A")</f>
        <v>N/A</v>
      </c>
      <c r="FH16" s="6" t="str">
        <f>IF(Reinforcements[[#This Row],[Type]]="channel",Reinforcements[[#This Row],[Gross Area (in2)]],"N/A")</f>
        <v>N/A</v>
      </c>
      <c r="FI16" s="6" t="str">
        <f>IF(Reinforcements[[#This Row],[Type]]="channel",(Reinforcements[[#This Row],[xo]]^2)+((Reinforcements[[#This Row],[Ix (FTB)]]+Reinforcements[[#This Row],[Iy (FTB)]])/Reinforcements[[#This Row],[Ag]]),"N/A")</f>
        <v>N/A</v>
      </c>
      <c r="FJ16" s="6" t="str">
        <f>IF(Reinforcements[[#This Row],[Type]]="channel",Reinforcements[[#This Row],[Lu (in)]],"N/A")</f>
        <v>N/A</v>
      </c>
      <c r="FK16" s="6" t="str">
        <f>IF(Reinforcements[[#This Row],[Type]]="channel",Reinforcements[[#This Row],[Effective Length Factor Kx]],"N/A")</f>
        <v>N/A</v>
      </c>
      <c r="FL16" s="6" t="str">
        <f>IF(Reinforcements[[#This Row],[Type]]="channel",Reinforcements[[#This Row],[Kz]]*Reinforcements[[#This Row],[Lz]],"N/A")</f>
        <v>N/A</v>
      </c>
      <c r="FM16" s="6" t="str">
        <f>IF(Reinforcements[[#This Row],[Type]]="channel",(((Reinforcements[[#This Row],[t]]^3)/3)*(Reinforcements[[#This Row],[h]]+(2*Reinforcements[[#This Row],[b]]))),"N/A")</f>
        <v>N/A</v>
      </c>
      <c r="FN16" s="6" t="str">
        <f>IF(Reinforcements[[#This Row],[Type]]="channel",(1-(((Reinforcements[[#This Row],[xo]]^2)+(Reinforcements[[#This Row],[yo]]^2))/Reinforcements[[#This Row],[ro^2(bar)]])),"N/A")</f>
        <v>N/A</v>
      </c>
      <c r="FO16" s="6">
        <v>11200</v>
      </c>
      <c r="FP16" s="6" t="str">
        <f>IF(Reinforcements[[#This Row],[Type]]="channel",(((Reinforcements[[#This Row],[h]]^2)*(Reinforcements[[#This Row],[b]]^3)*Reinforcements[[#This Row],[t]])/12)*(((2*Reinforcements[[#This Row],[h]])+(3*Reinforcements[[#This Row],[b]]))/(Reinforcements[[#This Row],[h]]+(6*Reinforcements[[#This Row],[b]]))),"N/A")</f>
        <v>N/A</v>
      </c>
      <c r="FQ16" s="6" t="str">
        <f>IF(Reinforcements[[#This Row],[Type]]="Channel",((((PI()^2)*Reinforcements[[#This Row],[E, (ksi)]]*Reinforcements[[#This Row],['[Channel'] CW (in6)]])/(Reinforcements[[#This Row],[Lcz]]^2))+(Reinforcements[[#This Row],[G]]*Reinforcements[[#This Row],['[Channel'] J (in4)]]))*(1/(Reinforcements[[#This Row],[Ag]]*Reinforcements[[#This Row],[ro^2(bar)]])),"N/A")</f>
        <v>N/A</v>
      </c>
      <c r="FR16" s="6" t="str">
        <f>IF(Reinforcements[[#This Row],[Type]]="channel",((PI()^2)*Reinforcements[[#This Row],[E, (ksi)]])/(Reinforcements[[#This Row],[Lcy/ry]]^2),"N/A")</f>
        <v>N/A</v>
      </c>
      <c r="FS16" s="6" t="str">
        <f>IF(Reinforcements[[#This Row],[Type]]="channel",((Reinforcements[[#This Row],[Fey]]+Reinforcements[[#This Row],[Fez]])/(2*Reinforcements[[#This Row],[H2]]))*(1-SQRT(1-((4*Reinforcements[[#This Row],[Fey]]*Reinforcements[[#This Row],[Fez]]*Reinforcements[[#This Row],[H2]])/(Reinforcements[[#This Row],[Fey]]+Reinforcements[[#This Row],[Fez]])^2))),"N/A")</f>
        <v>N/A</v>
      </c>
      <c r="FT16" s="6" t="str">
        <f>IF(Reinforcements[[#This Row],[Type]]="channel",IF(Reinforcements[[#This Row],[Lcx/rx]]&gt;(4.71*SQRT(Reinforcements[[#This Row],[E, (ksi)]]/Reinforcements[[#This Row],[Fy, (ksi)]])),0.877*Reinforcements[[#This Row],[Fe (FTB)]],0.658^(Reinforcements[[#This Row],[Fy, (ksi)]]/Reinforcements[[#This Row],[Fe (FTB)]])*Reinforcements[[#This Row],[Fy, (ksi)]]),"N/A")</f>
        <v>N/A</v>
      </c>
      <c r="FU16" s="6" t="str">
        <f>IF(Reinforcements[[#This Row],[Type]]="channel",MIN(Reinforcements[[#This Row],[Fcr(FTB)]],Reinforcements[[#This Row],[Fcry (ksi)]]),"N/A")</f>
        <v>N/A</v>
      </c>
      <c r="FV16" s="6">
        <v>0.22</v>
      </c>
      <c r="FW16" s="6">
        <v>1.49</v>
      </c>
      <c r="FX16" s="6" t="str">
        <f>IF(Reinforcements[[#This Row],[Type]]="channel",((Reinforcements[[#This Row],[c2]]*(Reinforcements[[#This Row],[λrf]]/Reinforcements[[#This Row],[λf]]))^2)*Reinforcements[[#This Row],[Fy, (ksi)]],"N/A")</f>
        <v>N/A</v>
      </c>
      <c r="FY16" s="6" t="str">
        <f>IF(Reinforcements[[#This Row],[Type]]="channel",((Reinforcements[[#This Row],[c2]]*(Reinforcements[[#This Row],[λrw]]/Reinforcements[[#This Row],[λw]]))^2)*Reinforcements[[#This Row],[Fy, (ksi)]],"N/A")</f>
        <v>N/A</v>
      </c>
      <c r="FZ1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6" t="str">
        <f>IF(Reinforcements[[#This Row],[Type]]="channel",Reinforcements[[#This Row],[Fcr]]*Reinforcements[[#This Row],[Ae]],"N/A")</f>
        <v>N/A</v>
      </c>
      <c r="GD16">
        <f>IF(Reinforcements[[#This Row],[Reinforcement]]="","",φ_c*Reinforcements[[#This Row],[Pnx, FB (kip)]])</f>
        <v>285.56179821763999</v>
      </c>
      <c r="GE16">
        <f>IF(Reinforcements[[#This Row],[Reinforcement]]="","",IF(Reinforcements[[#This Row],[Type]]="channel",φ_c*Reinforcements[[#This Row],[Pn]],φ_c*Reinforcements[[#This Row],[Pny, FB (kip)]]))</f>
        <v>356.90602063620241</v>
      </c>
      <c r="GF16">
        <f>Reinforcements[[#This Row],[Rev. G Tension Yield Capacity (kips)]]</f>
        <v>365.625</v>
      </c>
      <c r="GG16">
        <f>Reinforcements[[#This Row],[Rev. G Tension Rupture Capacity (kips)]]</f>
        <v>281.25</v>
      </c>
      <c r="GH16">
        <f>Reinforcements[[#This Row],[Rev. G Shear Capacity (kips)]]</f>
        <v>182.8125</v>
      </c>
      <c r="GI16">
        <f>IFERROR((Reinforcements[[#This Row],['# of End Connection Bolts          (Bottom)]]-1)*Reinforcements[[#This Row],[End Connection Bolt Spacing (in) (B)]],"-")</f>
        <v>27</v>
      </c>
      <c r="GJ16">
        <f>IFERROR(IF(VLOOKUP(Reinforcements[[#This Row],[Bottom End Connection Bolt Type]],Bolts[],COLUMN(Bolts[[#Headers],[Rev. H Apply Connection Length Reduction Factor (Rb)?]])-1,FALSE)="Yes",(IF(Reinforcements[[#This Row],[Lb(bottom)]]&lt;=16,1,IF(Reinforcements[[#This Row],[Lb(bottom)]]&gt;38,0.75,0.9))),1),"-")</f>
        <v>1</v>
      </c>
      <c r="GK1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f>IFERROR(IF(Reinforcements[[#This Row],[Top End Connection Same?]]="Yes",Reinforcements[[#This Row],[Lb(bottom)]],(Reinforcements[[#This Row],['# of End Connection Bolts          (Top)]]-1)*Reinforcements[[#This Row],[End Connection Bolt Spacing (in) (T)]]),"-")</f>
        <v>27</v>
      </c>
      <c r="GM16">
        <f>IFERROR(IF(VLOOKUP(Reinforcements[[#This Row],[Top End Connection Bolt Type]],Bolts[],COLUMN(Bolts[[#Headers],[Rev. H Apply Connection Length Reduction Factor (Rb)?]])-1,FALSE)=TRUE,(IF(Reinforcements[[#This Row],[Lb(top)]]&lt;=16,1,IF(Reinforcements[[#This Row],[Lb(top)]]&gt;38,0.75,0.9))),1),"-")</f>
        <v>0.9</v>
      </c>
      <c r="GN1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f>Reinforcements[[#This Row],[Rev. G Bolt-Shaft Bearing Capacity (Bottom)                No Deformation          (*t*Fu kips)]]</f>
        <v>19.778267716535435</v>
      </c>
      <c r="GP16">
        <f>Reinforcements[[#This Row],[Rev. G Bolt-Shaft Bearing Capacity (Bottom)                   Deformation          (*t*Fu kips)]]</f>
        <v>24.722834645669291</v>
      </c>
      <c r="GQ16">
        <f>Reinforcements[[#This Row],[Rev. G Bolt-Shaft Bearing Capacity (Top)                    No Deformation          (*t*Fu kips)]]</f>
        <v>19.778267716535435</v>
      </c>
      <c r="GR16">
        <f>Reinforcements[[#This Row],[Rev. G Bolt-Shaft Bearing Capacity (Top)                        Deformation          (*t*Fu kips)]]</f>
        <v>24.722834645669291</v>
      </c>
      <c r="GS16">
        <f>Reinforcements[[#This Row],[Rev. G Bolt-Reinf. Bearing Capacity (Bottom)            No Deformation (kips)]]</f>
        <v>1977.8267716535433</v>
      </c>
      <c r="GT16">
        <f>Reinforcements[[#This Row],[Rev. G Bolt-Reinf. Bearing Capacity (Bottom)               Deformation (kips)]]</f>
        <v>2472.2834645669291</v>
      </c>
      <c r="GU16">
        <f>Reinforcements[[#This Row],[Rev. G Bolt-Reinf. Bearing Capacity (Top)                  No Deformation (kips)]]</f>
        <v>1977.8267716535433</v>
      </c>
      <c r="GV16">
        <f>Reinforcements[[#This Row],[Rev. G Bolt-Reinf. Bearing Capacity (Top)               Deformation (kips)]]</f>
        <v>2472.2834645669291</v>
      </c>
      <c r="GW16" t="str">
        <f>Reinforcements[[#This Row],[Rev. G Bottom Transverse Weld Strength]]</f>
        <v>-</v>
      </c>
      <c r="GX16" t="str">
        <f>Reinforcements[[#This Row],[Rev. G Bottom Longitudinal Weld Strength]]</f>
        <v>-</v>
      </c>
      <c r="GY16" t="str">
        <f>Reinforcements[[#This Row],[Rev. G Top Transverse Weld Strength]]</f>
        <v>-</v>
      </c>
      <c r="GZ16" t="str">
        <f>Reinforcements[[#This Row],[Rev. G Top Longitudinal Weld Strength]]</f>
        <v>-</v>
      </c>
      <c r="HA16">
        <v>14</v>
      </c>
      <c r="HB1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0" x14ac:dyDescent="0.2">
      <c r="B17" s="49" t="s">
        <v>371</v>
      </c>
      <c r="C17" s="49" t="s">
        <v>352</v>
      </c>
      <c r="D17" s="6">
        <v>6</v>
      </c>
      <c r="E17" s="6">
        <v>1</v>
      </c>
      <c r="F17" s="6" t="str">
        <f>IF(Reinforcements[[#This Row],[Type]]="","",IF(Reinforcements[[#This Row],[Type]]="solid round","","n/a"))</f>
        <v>n/a</v>
      </c>
      <c r="G17" s="6" t="str">
        <f>IF(Reinforcements[[#This Row],[Type]]="","",IF(Reinforcements[[#This Row],[Type]]&lt;&gt;"channel","n/a",""))</f>
        <v>n/a</v>
      </c>
      <c r="H17" s="6" t="str">
        <f>IF(Reinforcements[[#This Row],[Type]]="","",IF(Reinforcements[[#This Row],[Type]]&lt;&gt;"channel","n/a",""))</f>
        <v>n/a</v>
      </c>
      <c r="I17" s="126" t="str">
        <f>IF(Reinforcements[[#This Row],[Type]]="","",IF(Reinforcements[[#This Row],[Type]]&lt;&gt;"channel","n/a",Reinforcements[[#This Row],[eo]]))</f>
        <v>n/a</v>
      </c>
      <c r="J17" s="126" t="str">
        <f>IF(Reinforcements[[#This Row],[Type]]="","",IF(Reinforcements[[#This Row],[Type]]&lt;&gt;"channel","n/a",Reinforcements[[#This Row],[J]]))</f>
        <v>n/a</v>
      </c>
      <c r="K17" s="126" t="str">
        <f>IF(Reinforcements[[#This Row],[Type]]="","",IF(Reinforcements[[#This Row],[Type]]&lt;&gt;"channel","n/a",Reinforcements[[#This Row],[Cw]]))</f>
        <v>n/a</v>
      </c>
      <c r="L17" s="6">
        <f>IFERROR(IF(Reinforcements[[#This Row],[Type]]="","",IF(Reinforcements[[#This Row],[Type]]="plate",Reinforcements[[#This Row],[B (in)]]*Reinforcements[[#This Row],[H (in)]],IF(Reinforcements[[#This Row],[Type]]="solid round",PI()/4*Reinforcements[[#This Row],[Diameter (in)]]^2,""))),"")</f>
        <v>6</v>
      </c>
      <c r="M17" s="6">
        <f>IFERROR(IF(Reinforcements[[#This Row],[Type]]="","",IF(Reinforcements[[#This Row],[Type]]="plate",Reinforcements[[#This Row],[H (in)]]/2,"")),"")</f>
        <v>0.5</v>
      </c>
      <c r="N17" s="16" t="s">
        <v>353</v>
      </c>
      <c r="O17" s="6" t="s">
        <v>138</v>
      </c>
      <c r="P17" s="123">
        <f>IFERROR(IF(Reinforcements[[#This Row],[Type]]="","",IF(Reinforcements[[#This Row],[Type]]="plate",Reinforcements[[#This Row],[B (in)]]*Reinforcements[[#This Row],[H (in)]]^3/12,IF(Reinforcements[[#This Row],[Type]]="solid round",PI()/64*Reinforcements[[#This Row],[Diameter (in)]]^4,""))),"")</f>
        <v>0.5</v>
      </c>
      <c r="Q17" s="123">
        <f>IF(Reinforcements[[#This Row],[Reinforcement]]="","",SQRT(Reinforcements[[#This Row],[Ix]]/Reinforcements[[#This Row],[Gross Area (in2)]]))</f>
        <v>0.28867513459481287</v>
      </c>
      <c r="R17" s="123">
        <f>IFERROR(IF(Reinforcements[[#This Row],[Type]]="","",IF(Reinforcements[[#This Row],[Type]]="plate",Reinforcements[[#This Row],[B (in)]]^3*Reinforcements[[#This Row],[H (in)]]/12,IF(Reinforcements[[#This Row],[Type]]="solid round",PI()/64*Reinforcements[[#This Row],[Diameter (in)]]^4,""))),"")</f>
        <v>18</v>
      </c>
      <c r="S17" s="123">
        <f>IF(Reinforcements[[#This Row],[Reinforcement]]="","",SQRT(Reinforcements[[#This Row],[Iy]]/Reinforcements[[#This Row],[Gross Area (in2)]]))</f>
        <v>1.7320508075688772</v>
      </c>
      <c r="T17" s="6">
        <v>16</v>
      </c>
      <c r="U17" s="6">
        <v>0.8</v>
      </c>
      <c r="V17" s="6">
        <v>1</v>
      </c>
      <c r="W17" s="6">
        <v>1.1875</v>
      </c>
      <c r="X17" s="6">
        <f>IF(Reinforcements[[#This Row],[Bolt Hole Size (in)]]="","",IF(Reinforcements[[#This Row],[Bolt Hole Size (in)]]="n/a","n/a",Reinforcements[[#This Row],[Bolt Hole Size (in)]]*25.4))</f>
        <v>30.162499999999998</v>
      </c>
      <c r="Y1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6">
        <f>IFERROR(IF(Reinforcements[[#This Row],[Reinforcement]]="","",IF(OR(Reinforcements[[#This Row],[Type]]="plate",Reinforcements[[#This Row],[Type]]="solid round"),1,IF(Reinforcements[[#This Row],[Type]]="arbitrary","",1-Reinforcements[[#This Row],[Pole Face to Centroid (in)]]/Reinforcements[[#This Row],[Connection Length (in) '[Channels']]]))),"")</f>
        <v>1</v>
      </c>
      <c r="AA17" s="16" t="s">
        <v>354</v>
      </c>
      <c r="AB17" s="16" t="str">
        <f>IF(Reinforcements[[#This Row],[Reinforcement]]="","",IF(Reinforcements[[#This Row],[Bottom End Connection Type]]&lt;&gt;"Capacity Input","-",""))</f>
        <v>-</v>
      </c>
      <c r="AC17" s="16" t="str">
        <f>IF(Reinforcements[[#This Row],[Reinforcement]]="","",IF(Reinforcements[[#This Row],[Bottom End Connection Type]]&lt;&gt;"Capacity Input","-",""))</f>
        <v>-</v>
      </c>
      <c r="AD17" s="16" t="str">
        <f>IF(Reinforcements[[#This Row],[Reinforcement]]="","",IF(Reinforcements[[#This Row],[Bottom End Connection Type]]&lt;&gt;"Capacity Input","-",""))</f>
        <v>-</v>
      </c>
      <c r="AE17" s="74" t="s">
        <v>355</v>
      </c>
      <c r="AF17" s="6" t="s">
        <v>356</v>
      </c>
      <c r="AG17" s="6">
        <v>10</v>
      </c>
      <c r="AH17" s="6">
        <v>3</v>
      </c>
      <c r="AI17" s="6">
        <v>3</v>
      </c>
      <c r="AJ17" s="6">
        <f>Reinforcements[[#This Row],[End Connection Edge Distance (in) (B)]]-(Reinforcements[[#This Row],[Bolt Hole Size (in)]]+1/16)/2</f>
        <v>2.375</v>
      </c>
      <c r="AK17" s="6">
        <f>Reinforcements[[#This Row],[End Connection Bolt Spacing (in) (B)]]-(Reinforcements[[#This Row],[Bolt Hole Size (in)]]+1/16)</f>
        <v>1.75</v>
      </c>
      <c r="AL17" s="6">
        <f>Reinforcements[[#This Row],[End Connection Edge Distance (in) (B)]]</f>
        <v>3</v>
      </c>
      <c r="AM17" s="6">
        <f>Reinforcements[[#This Row],[End Connection Bolt Spacing (in) (B)]]</f>
        <v>3</v>
      </c>
      <c r="AN17" s="6" t="str">
        <f>IF(Reinforcements[[#This Row],[Reinforcement]]="","",IF(OR(Reinforcements[[#This Row],[Bottom End Connection Type]]="Bolted",Reinforcements[[#This Row],[Bottom End Connection Type]]=""),"-",""))</f>
        <v>-</v>
      </c>
      <c r="AO17" s="111" t="str">
        <f>IF(Reinforcements[[#This Row],[Reinforcement]]="","",IF(OR(Reinforcements[[#This Row],[Bottom End Connection Type]]="Bolted",Reinforcements[[#This Row],[Bottom End Connection Type]]=""),"-",""))</f>
        <v>-</v>
      </c>
      <c r="AP17" s="111" t="str">
        <f>IF(Reinforcements[[#This Row],[Reinforcement]]="","",IF(OR(Reinforcements[[#This Row],[Bottom End Connection Type]]="Bolted",Reinforcements[[#This Row],[Bottom End Connection Type]]=""),"-",""))</f>
        <v>-</v>
      </c>
      <c r="AQ17" s="111" t="str">
        <f>IF(OR(Reinforcements[[#This Row],[Bottom End Connection Type]]="Bolted",Reinforcements[[#This Row],[Bottom Transverse (Horizontal) Weld]]="none"),"-","")</f>
        <v>-</v>
      </c>
      <c r="AR1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11" t="str">
        <f>IF(OR(Reinforcements[[#This Row],[Bottom Transverse (Horizontal) Weld]]="none",Reinforcements[[#This Row],[Bottom End Connection Type]]="Bolted"),"-","")</f>
        <v>-</v>
      </c>
      <c r="AU1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11" t="str">
        <f>IF(Reinforcements[[#This Row],[Reinforcement]]="","",IF(OR(Reinforcements[[#This Row],[Bottom End Connection Type]]="Bolted",Reinforcements[[#This Row],[Bottom End Connection Type]]=""),"-",""))</f>
        <v>-</v>
      </c>
      <c r="AW17" s="111" t="str">
        <f>IF(Reinforcements[[#This Row],[Reinforcement]]="","",IF(OR(Reinforcements[[#This Row],[Bottom End Connection Type]]&lt;&gt;"Welded",Reinforcements[[#This Row],[Bottom Longitudinal (Vertical) Weld]]="None",Reinforcements[[#This Row],[Bottom Longitudinal (Vertical) Weld]]=""),"-",""))</f>
        <v>-</v>
      </c>
      <c r="AX17" s="111" t="str">
        <f>IF(Reinforcements[[#This Row],[Reinforcement]]="","",IF(OR(Reinforcements[[#This Row],[Bottom End Connection Type]]&lt;&gt;"Welded",Reinforcements[[#This Row],[Bottom Longitudinal (Vertical) Weld]]="None",Reinforcements[[#This Row],[Bottom Longitudinal (Vertical) Weld]]=""),"-",""))</f>
        <v>-</v>
      </c>
      <c r="AY17" s="6" t="str">
        <f>IF(Reinforcements[[#This Row],[Reinforcement]]="","",IF(OR(Reinforcements[[#This Row],[Bottom End Connection Type]]&lt;&gt;"Welded",Reinforcements[[#This Row],[Bottom Longitudinal (Vertical) Weld]]="None"),"-",SQRT(2)/2*Reinforcements[[#This Row],[Bottom Longitudinal Weld Fillet Size (in)]]))</f>
        <v>-</v>
      </c>
      <c r="AZ17" s="111" t="s">
        <v>357</v>
      </c>
      <c r="BA17" s="16" t="str">
        <f>IF(Reinforcements[[#This Row],[Top End Connection Same?]]="Yes",Reinforcements[[#This Row],[Bottom End Connection Type]],"")</f>
        <v>Bolted</v>
      </c>
      <c r="BB17" s="16" t="str">
        <f>IF(Reinforcements[[#This Row],[Reinforcement]]="","",IF(Reinforcements[[#This Row],[Top End Connection Same?]]="Yes",Reinforcements[[#This Row],[Rev. F Bottom Connection Capacity (kips)]],IF(Reinforcements[[#This Row],[Reinforcement]]="","",IF(Reinforcements[[#This Row],[Top End Connection Type]]&lt;&gt;"Capacity Input","-",""))))</f>
        <v>-</v>
      </c>
      <c r="BC17" s="16" t="str">
        <f>IF(Reinforcements[[#This Row],[Reinforcement]]="","",IF(Reinforcements[[#This Row],[Top End Connection Same?]]="Yes",Reinforcements[[#This Row],[Rev. G Bottom Connection Capacity (kips)]],IF(Reinforcements[[#This Row],[Reinforcement]]="","",IF(Reinforcements[[#This Row],[Top End Connection Type]]&lt;&gt;"Capacity Input","-",""))))</f>
        <v>-</v>
      </c>
      <c r="BD17" s="16" t="str">
        <f>IF(Reinforcements[[#This Row],[Reinforcement]]="","",IF(Reinforcements[[#This Row],[Top End Connection Same?]]="Yes",Reinforcements[[#This Row],[Rev. G Bottom Connection Capacity (kips)]],IF(Reinforcements[[#This Row],[Reinforcement]]="","",IF(Reinforcements[[#This Row],[Top End Connection Type]]&lt;&gt;"Capacity Input","-",""))))</f>
        <v>-</v>
      </c>
      <c r="BE17" s="74" t="str">
        <f>IF(Reinforcements[[#This Row],[Top End Connection Same?]]="Yes",Reinforcements[[#This Row],[Bottom End Connection Bolt Type]],IF(Reinforcements[[#This Row],[Top End Connection Type]]="Welded","-",""))</f>
        <v>PC 8.8 - M20 (100)</v>
      </c>
      <c r="BF17" s="6" t="str">
        <f>IF(Reinforcements[[#This Row],[Top End Connection Same?]]="Yes",Reinforcements[[#This Row],[Threads Included (N) or Excluded (X) (Bottom)]],IF(Reinforcements[[#This Row],[Top End Connection Type]]="Welded","-",""))</f>
        <v>N</v>
      </c>
      <c r="BG17" s="6">
        <f>IF(Reinforcements[[#This Row],[Top End Connection Same?]]="Yes",Reinforcements[[#This Row],['# of End Connection Bolts          (Bottom)]],IF(Reinforcements[[#This Row],[Top End Connection Type]]="Welded","-",""))</f>
        <v>10</v>
      </c>
      <c r="BH17" s="6">
        <f>IF(Reinforcements[[#This Row],[Top End Connection Same?]]="Yes",Reinforcements[[#This Row],[End Connection Bolt Spacing (in) (B)]],IF(Reinforcements[[#This Row],[Top End Connection Type]]="Welded","-",""))</f>
        <v>3</v>
      </c>
      <c r="BI17" s="6">
        <f>IF(Reinforcements[[#This Row],[Top End Connection Same?]]="Yes",Reinforcements[[#This Row],[End Connection Edge Distance (in) (B)]],IF(Reinforcements[[#This Row],[Top End Connection Type]]="Welded","-",""))</f>
        <v>3</v>
      </c>
      <c r="BJ17" s="6">
        <f>Reinforcements[[#This Row],[End Connection Edge Distance (in) (T)]]-(Reinforcements[[#This Row],[Bolt Hole Size (in)]]+1/16)/2</f>
        <v>2.375</v>
      </c>
      <c r="BK17" s="6">
        <f>Reinforcements[[#This Row],[End Connection Bolt Spacing (in) (T)]]-(Reinforcements[[#This Row],[Bolt Hole Size (in)]]+1/16)</f>
        <v>1.75</v>
      </c>
      <c r="BL17" s="6">
        <f>Reinforcements[[#This Row],[End Connection Edge Distance (in) (T)]]</f>
        <v>3</v>
      </c>
      <c r="BM17" s="6">
        <f>Reinforcements[[#This Row],[End Connection Bolt Spacing (in) (T)]]</f>
        <v>3</v>
      </c>
      <c r="BN17" s="6" t="str">
        <f>IF(Reinforcements[[#This Row],[Reinforcement]]="","",IF(Reinforcements[[#This Row],[Top End Connection Same?]]="Yes",Reinforcements[[#This Row],[Bottom Connected to Flange/Base Plate?]],IF(Reinforcements[[#This Row],[Top End Connection Type]]="Bolted","-","")))</f>
        <v>-</v>
      </c>
      <c r="BO17" s="6" t="str">
        <f>IF(Reinforcements[[#This Row],[Reinforcement]]="","",IF(Reinforcements[[#This Row],[Top End Connection Same?]]="Yes",Reinforcements[[#This Row],[Bottom Weld Grade (ksi)]],IF(OR(Reinforcements[[#This Row],[Top End Connection Type]]&lt;&gt;"Welded",Reinforcements[[#This Row],[Top End Connection Type]]=""),"-","")))</f>
        <v>-</v>
      </c>
      <c r="BP17" s="6" t="str">
        <f>IF($AZ17="Yes",AP17,IF(Reinforcements[[#This Row],[Reinforcement]]="","",IF(OR(Reinforcements[[#This Row],[Top End Connection Type]]&lt;&gt;"Welded",Reinforcements[[#This Row],[Top End Connection Type]]=""),"-","")))</f>
        <v>-</v>
      </c>
      <c r="BQ17" s="6" t="str">
        <f>IF(Reinforcements[[#This Row],[Reinforcement]]="","",IF($AZ17="Yes",AQ17,IF(OR(Reinforcements[[#This Row],[Top End Connection Type]]&lt;&gt;"Welded",Reinforcements[[#This Row],[Top Transverse (Horizontal) Weld]]="none",Reinforcements[[#This Row],[Top Transverse (Horizontal) Weld]]=""),"-","")))</f>
        <v>-</v>
      </c>
      <c r="BR17" s="6"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6"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6" t="str">
        <f>IF(Reinforcements[[#This Row],[Reinforcement]]="","",IF($AZ17="Yes",AT17,IF(OR(Reinforcements[[#This Row],[Top Transverse (Horizontal) Weld]]="none",Reinforcements[[#This Row],[Top End Connection Type]]&lt;&gt;"Welded",Reinforcements[[#This Row],[Top Transverse (Horizontal) Weld]]=""),"-","")))</f>
        <v>-</v>
      </c>
      <c r="BU17" s="6"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6" t="str">
        <f>IF($AZ17="Yes",AV17,IF(Reinforcements[[#This Row],[Reinforcement]]="","",IF(OR(Reinforcements[[#This Row],[Top End Connection Type]]&lt;&gt;"Welded",Reinforcements[[#This Row],[Top End Connection Type]]=""),"-","")))</f>
        <v>-</v>
      </c>
      <c r="BW17" s="6"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6"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6" t="str">
        <f>IF($AZ17="Yes",AY17,IF(Reinforcements[[#This Row],[Reinforcement]]="","",IF(OR(Reinforcements[[#This Row],[Top End Connection Type]]&lt;&gt;"Welded",Reinforcements[[#This Row],[Top Longitudinal (Vertical) Weld]]="none"),"-",SQRT(2)/2*Reinforcements[[#This Row],[Top Longitudinal Weld Fillet Size (in)]])))</f>
        <v>-</v>
      </c>
      <c r="BZ1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11">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11">
        <f>IF(Reinforcements[[#This Row],[Reinforcement]]="","",IF(Reinforcements[[#This Row],[Top End Connection Type]]&lt;&gt;"Bolted","n/a",(Reinforcements[[#This Row],['# of End Connection Bolts          (Top)]]-1)*Reinforcements[[#This Row],[End Connection Bolt Spacing (in) (T)]]+Reinforcements[[#This Row],[End Connection Edge Distance (in) (T)]]))</f>
        <v>30</v>
      </c>
      <c r="CC1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6">
        <f>IFERROR(IF(Reinforcements[[#This Row],[Type]]="","",Reinforcements[[#This Row],[Effective B (in)]]*Reinforcements[[#This Row],[Effective H (in)]]^3/12),"")</f>
        <v>0.5</v>
      </c>
      <c r="CF17" s="6">
        <f>IFERROR(IF(Reinforcements[[#This Row],[Type]]="","",Reinforcements[[#This Row],[Effective B (in)]]^3*Reinforcements[[#This Row],[Effective H (in)]]/12),"")</f>
        <v>18</v>
      </c>
      <c r="CG17" s="126">
        <f>SQRT(2*PI()^2*29000/VLOOKUP(Reinforcements[[#This Row],[Material]],Materials[],2,FALSE))</f>
        <v>93.844147005158973</v>
      </c>
      <c r="CH1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23">
        <f>Reinforcements[[#This Row],[Effective Length Factor Kx]]*Reinforcements[[#This Row],[Lu (in)]]/(Reinforcements[[#This Row],[rx]]*PI())*SQRT(VLOOKUP(Reinforcements[[#This Row],[Material]],Materials[],2,FALSE)/29000)</f>
        <v>0.66820296647591804</v>
      </c>
      <c r="CK17" s="123">
        <f>Reinforcements[[#This Row],[Effective Length Factor Ky]]*Reinforcements[[#This Row],[Lu (in)]]/(Reinforcements[[#This Row],[ry]]*PI())*SQRT(VLOOKUP(Reinforcements[[#This Row],[Material]],Materials[],2,FALSE)/29000)</f>
        <v>0.13920895134914957</v>
      </c>
      <c r="CL17" s="123">
        <f>IF(Reinforcements[[#This Row],[λcx]]&lt;=1.5,0.658^(Reinforcements[[#This Row],[λcx]]^2)*Reinforcements[[#This Row],[F''y]],0.877/(Reinforcements[[#This Row],[λcx]]^2)*Reinforcements[[#This Row],[F''y]])</f>
        <v>53.9202739283065</v>
      </c>
      <c r="CM17" s="123">
        <f>IF(Reinforcements[[#This Row],[λcy]]&lt;=1.5,0.658^(Reinforcements[[#This Row],[λcy]]^2)*Reinforcements[[#This Row],[F''y]],0.877/(Reinforcements[[#This Row],[λcy]]^2)*Reinforcements[[#This Row],[F''y]])</f>
        <v>64.474908164166294</v>
      </c>
      <c r="CN17" s="6">
        <f>VLOOKUP(Reinforcements[[#This Row],[Material]],Materials[],2,FALSE)</f>
        <v>65</v>
      </c>
      <c r="CO17" s="126">
        <f>IF(Reinforcements[[#This Row],[Reinforcement]]="","",Reinforcements[[#This Row],[Fax]]*Reinforcements[[#This Row],[Gross Area (in2)]])</f>
        <v>189.25725701315989</v>
      </c>
      <c r="CP17" s="126">
        <f>IF(Reinforcements[[#This Row],[Reinforcement]]="","",Reinforcements[[#This Row],[Fay]]*Reinforcements[[#This Row],[Gross Area (in2)]])</f>
        <v>227.83649439954195</v>
      </c>
      <c r="CQ17" s="126">
        <f>IF(Reinforcements[[#This Row],[Reinforcement]]="","",0.6*VLOOKUP(Reinforcements[[#This Row],[Material]],Materials[],2,FALSE)*Reinforcements[[#This Row],[Gross Area (in2)]])</f>
        <v>234</v>
      </c>
      <c r="CR17" s="126">
        <f>IF(Reinforcements[[#This Row],[Reinforcement]]="","",0.5*VLOOKUP(Reinforcements[[#This Row],[Material]],Materials[],3,FALSE)*Reinforcements[[#This Row],[Net Area (in2)]]*Reinforcements[[#This Row],[Shear Lag (U)]])</f>
        <v>190</v>
      </c>
      <c r="CS17" s="126">
        <f>IF(Reinforcements[[#This Row],[Reinforcement]]="","",0.4*VLOOKUP(Reinforcements[[#This Row],[Material]],Materials[],2,FALSE)*Reinforcements[[#This Row],[Gross Area (in2)]])</f>
        <v>156</v>
      </c>
      <c r="CT17"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6"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6"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26">
        <f>IF(Reinforcements[[#This Row],[Reinforcement]]="","",φ_c*Reinforcements[[#This Row],[Fcr,x]]*Reinforcements[[#This Row],[Gross Area (in2)]])</f>
        <v>291.16947921285509</v>
      </c>
      <c r="DI17" s="126">
        <f>IF(Reinforcements[[#This Row],[Reinforcement]]="","",φ_c*Reinforcements[[#This Row],[Fcr,y]]*Reinforcements[[#This Row],[Gross Area (in2)]])</f>
        <v>348.16450408649803</v>
      </c>
      <c r="DJ17" s="126">
        <f>IF(Reinforcements[[#This Row],[Reinforcement]]="","",φ_t_y*VLOOKUP(Reinforcements[[#This Row],[Material]],Materials[],2,FALSE)*Reinforcements[[#This Row],[Gross Area (in2)]])</f>
        <v>351</v>
      </c>
      <c r="DK17" s="126">
        <f>IF(Reinforcements[[#This Row],[Reinforcement]]="","",φ_t_r*VLOOKUP(Reinforcements[[#This Row],[Material]],Materials[],3,FALSE)*Reinforcements[[#This Row],[Net Area (in2)]]*Reinforcements[[#This Row],[Shear Lag (U)]])</f>
        <v>285</v>
      </c>
      <c r="DL17" s="126">
        <f>IF(Reinforcements[[#This Row],[Reinforcement]]="","",φ_v*0.5*Reinforcements[[#This Row],[F''y]]*Reinforcements[[#This Row],[Gross Area (in2)]])</f>
        <v>175.5</v>
      </c>
      <c r="DM17"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6"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6"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111" t="str">
        <f>IF(OR(Reinforcements[[#This Row],[Type]]="plate",Reinforcements[[#This Row],[Type]]="solid round"),"N/A",Reinforcements[[#This Row],[B (in)]])</f>
        <v>N/A</v>
      </c>
      <c r="EB17" s="6" t="str">
        <f>IF(OR(Reinforcements[[#This Row],[Type]]="plate",Reinforcements[[#This Row],[Type]]="solid round"),"N/A",Reinforcements[[#This Row],[H (in)]])</f>
        <v>N/A</v>
      </c>
      <c r="EC17" s="6" t="str">
        <f>IF(OR(Reinforcements[[#This Row],[Type]]="plate",Reinforcements[[#This Row],[Type]]="solid round"),"N/A",Reinforcements[[#This Row],[B (in)]]-Reinforcements[[#This Row],['[Channel'] Flange Thickness (in)]])</f>
        <v>N/A</v>
      </c>
      <c r="ED17" s="6" t="str">
        <f>IF(OR(Reinforcements[[#This Row],[Type]]="plate",Reinforcements[[#This Row],[Type]]="solid round"),"N/A",Reinforcements[[#This Row],['[Channel']Web Thickness (in)]])</f>
        <v>N/A</v>
      </c>
      <c r="EE17" s="6" t="str">
        <f>IF(OR(Reinforcements[[#This Row],[Type]]="plate",Reinforcements[[#This Row],[Type]]="solid round"),"N/A",Reinforcements[[#This Row],['[Channel'] Flange Thickness (in)]])</f>
        <v>N/A</v>
      </c>
      <c r="EF17" s="6" t="str">
        <f>IF(Reinforcements[[#This Row],[Type]]="channel",Reinforcements[[#This Row],[Channel Flange Width, b]]/Reinforcements[[#This Row],[Channel flange thickness, tf]],"N/A")</f>
        <v>N/A</v>
      </c>
      <c r="EG17" s="6" t="str">
        <f>IF(Reinforcements[[#This Row],[Type]]="channel",Reinforcements[[#This Row],[Channel inside depth, T]]/Reinforcements[[#This Row],[Channel web thickness, tw]],"N/A")</f>
        <v>N/A</v>
      </c>
      <c r="EH17" s="6">
        <f>29000</f>
        <v>29000</v>
      </c>
      <c r="EI17" s="6" t="str">
        <f>IF(Reinforcements[[#This Row],[Type]]="channel",0.56*SQRT(Reinforcements[[#This Row],[E, (ksi)]]/Reinforcements[[#This Row],[Fy, (ksi)]]),"N/A")</f>
        <v>N/A</v>
      </c>
      <c r="EJ17" s="6" t="str">
        <f>IF(Reinforcements[[#This Row],[Type]]="channel",1.49*SQRT(Reinforcements[[#This Row],[E, (ksi)]]/Reinforcements[[#This Row],[Fy, (ksi)]]),"N/A")</f>
        <v>N/A</v>
      </c>
      <c r="EK17" s="6">
        <f>VLOOKUP(Reinforcements[[#This Row],[Material]],Materials!$B$2:$C$30,2,FALSE)</f>
        <v>65</v>
      </c>
      <c r="EL17" s="6">
        <f>Reinforcements[[#This Row],[Lu (in)]]*Reinforcements[[#This Row],[Effective Length Factor Kx]]</f>
        <v>12.8</v>
      </c>
      <c r="EM17" s="6">
        <f>Reinforcements[[#This Row],[Lu (in)]]*Reinforcements[[#This Row],[Effective Length Factor Ky]]</f>
        <v>16</v>
      </c>
      <c r="EN17" s="6">
        <f>Reinforcements[[#This Row],[rx]]</f>
        <v>0.28867513459481287</v>
      </c>
      <c r="EO17" s="6">
        <f>Reinforcements[[#This Row],[ry]]</f>
        <v>1.7320508075688772</v>
      </c>
      <c r="EP17" s="6">
        <f>Reinforcements[[#This Row],[Lcx (in)]]/Reinforcements[[#This Row],[rx (in)]]</f>
        <v>44.340500673763266</v>
      </c>
      <c r="EQ17" s="6">
        <f>Reinforcements[[#This Row],[Lcy (in)]]/Reinforcements[[#This Row],[ry (in)]]</f>
        <v>9.2376043070340135</v>
      </c>
      <c r="ER17" s="6">
        <f>((PI()^2)*Reinforcements[[#This Row],[E, (ksi)]])/(Reinforcements[[#This Row],[Lcx/rx]]^2)</f>
        <v>145.57827129699263</v>
      </c>
      <c r="ES17" s="6">
        <f>((PI()^2)*Reinforcements[[#This Row],[E, (ksi)]])/(Reinforcements[[#This Row],[Lcy/ry]]^2)</f>
        <v>3354.1233706827102</v>
      </c>
      <c r="ET17" s="6">
        <f>4.71*(SQRT(Reinforcements[[#This Row],[E, (ksi)]]/Reinforcements[[#This Row],[Fy, (ksi)]]))</f>
        <v>99.486288193205496</v>
      </c>
      <c r="EU17" s="6">
        <f>IF(Reinforcements[[#This Row],[Lcx/rx]]&lt;=Reinforcements[[#This Row],[Fcr Limit]],(0.658^(Reinforcements[[#This Row],[Fy, (ksi)]]/Reinforcements[[#This Row],[Fex, FB (ksi)]]))*Reinforcements[[#This Row],[Fy, (ksi)]],0.877*Reinforcements[[#This Row],[Fex, FB (ksi)]])</f>
        <v>53.9202739283065</v>
      </c>
      <c r="EV17" s="6">
        <f>IF(Reinforcements[[#This Row],[Lcy/ry]]&lt;=Reinforcements[[#This Row],[Fcr Limit]],(0.658^(Reinforcements[[#This Row],[Fy, (ksi)]]/Reinforcements[[#This Row],[Fey, FB (ksi)]]))*Reinforcements[[#This Row],[Fy, (ksi)]],0.877*Reinforcements[[#This Row],[Fey, FB (ksi)]])</f>
        <v>64.474908164166294</v>
      </c>
      <c r="EW17" s="6">
        <f>Reinforcements[[#This Row],[Fcrx (ksi)]]*Reinforcements[[#This Row],[Gross Area (in2)]]</f>
        <v>323.521643569839</v>
      </c>
      <c r="EX17" s="6">
        <f>Reinforcements[[#This Row],[Fcry (ksi)]]*Reinforcements[[#This Row],[Gross Area (in2)]]</f>
        <v>386.84944898499776</v>
      </c>
      <c r="EY17" s="6" t="str">
        <f>IF(Reinforcements[[#This Row],[Type]]="channel",0,"N/A")</f>
        <v>N/A</v>
      </c>
      <c r="EZ17" s="6" t="str">
        <f>IF(Reinforcements[[#This Row],[Type]]="channel",Reinforcements[[#This Row],[Channel Flange Width, b]]-(0.5*Reinforcements[[#This Row],[Channel web thickness, tw]]),"N/A")</f>
        <v>N/A</v>
      </c>
      <c r="FA17" s="6" t="str">
        <f>IF(Reinforcements[[#This Row],[Type]]="channel",Reinforcements[[#This Row],[Channel Height, h]]-Reinforcements[[#This Row],[Channel flange thickness, tf]],"N/A")</f>
        <v>N/A</v>
      </c>
      <c r="FB17" s="6" t="str">
        <f>IF(Reinforcements[[#This Row],[Type]]="channel",Reinforcements[[#This Row],[Channel web thickness, tw]],"N/A")</f>
        <v>N/A</v>
      </c>
      <c r="FC17" s="6" t="str">
        <f>IF(Reinforcements[[#This Row],[Type]]="channel",((3*Reinforcements[[#This Row],[b]]^2)/(Reinforcements[[#This Row],[h]]+(6*Reinforcements[[#This Row],[b]])))-Reinforcements[[#This Row],[t]]/2,"N/A")</f>
        <v>N/A</v>
      </c>
      <c r="FD17" s="6">
        <f>Reinforcements[[#This Row],[Pole Face to Centroid (in)]]</f>
        <v>0.5</v>
      </c>
      <c r="FE17" s="6" t="str">
        <f>IF(Reinforcements[[#This Row],[Type]]="channel",Reinforcements[[#This Row],[x(bar)]]+Reinforcements[[#This Row],['[Channel'] e0 (in)]],"N/A")</f>
        <v>N/A</v>
      </c>
      <c r="FF17" s="6" t="str">
        <f>IF(Reinforcements[[#This Row],[Type]]="channel",Reinforcements[[#This Row],[Ix]],"N/A")</f>
        <v>N/A</v>
      </c>
      <c r="FG17" s="6" t="str">
        <f>IF(Reinforcements[[#This Row],[Type]]="channel",Reinforcements[[#This Row],[Iy]],"N/A")</f>
        <v>N/A</v>
      </c>
      <c r="FH17" s="6" t="str">
        <f>IF(Reinforcements[[#This Row],[Type]]="channel",Reinforcements[[#This Row],[Gross Area (in2)]],"N/A")</f>
        <v>N/A</v>
      </c>
      <c r="FI17" s="6" t="str">
        <f>IF(Reinforcements[[#This Row],[Type]]="channel",(Reinforcements[[#This Row],[xo]]^2)+((Reinforcements[[#This Row],[Ix (FTB)]]+Reinforcements[[#This Row],[Iy (FTB)]])/Reinforcements[[#This Row],[Ag]]),"N/A")</f>
        <v>N/A</v>
      </c>
      <c r="FJ17" s="6" t="str">
        <f>IF(Reinforcements[[#This Row],[Type]]="channel",Reinforcements[[#This Row],[Lu (in)]],"N/A")</f>
        <v>N/A</v>
      </c>
      <c r="FK17" s="6" t="str">
        <f>IF(Reinforcements[[#This Row],[Type]]="channel",Reinforcements[[#This Row],[Effective Length Factor Kx]],"N/A")</f>
        <v>N/A</v>
      </c>
      <c r="FL17" s="6" t="str">
        <f>IF(Reinforcements[[#This Row],[Type]]="channel",Reinforcements[[#This Row],[Kz]]*Reinforcements[[#This Row],[Lz]],"N/A")</f>
        <v>N/A</v>
      </c>
      <c r="FM17" s="6" t="str">
        <f>IF(Reinforcements[[#This Row],[Type]]="channel",(((Reinforcements[[#This Row],[t]]^3)/3)*(Reinforcements[[#This Row],[h]]+(2*Reinforcements[[#This Row],[b]]))),"N/A")</f>
        <v>N/A</v>
      </c>
      <c r="FN17" s="6" t="str">
        <f>IF(Reinforcements[[#This Row],[Type]]="channel",(1-(((Reinforcements[[#This Row],[xo]]^2)+(Reinforcements[[#This Row],[yo]]^2))/Reinforcements[[#This Row],[ro^2(bar)]])),"N/A")</f>
        <v>N/A</v>
      </c>
      <c r="FO17" s="6">
        <v>11200</v>
      </c>
      <c r="FP17" s="6" t="str">
        <f>IF(Reinforcements[[#This Row],[Type]]="channel",(((Reinforcements[[#This Row],[h]]^2)*(Reinforcements[[#This Row],[b]]^3)*Reinforcements[[#This Row],[t]])/12)*(((2*Reinforcements[[#This Row],[h]])+(3*Reinforcements[[#This Row],[b]]))/(Reinforcements[[#This Row],[h]]+(6*Reinforcements[[#This Row],[b]]))),"N/A")</f>
        <v>N/A</v>
      </c>
      <c r="FQ17" s="6" t="str">
        <f>IF(Reinforcements[[#This Row],[Type]]="Channel",((((PI()^2)*Reinforcements[[#This Row],[E, (ksi)]]*Reinforcements[[#This Row],['[Channel'] CW (in6)]])/(Reinforcements[[#This Row],[Lcz]]^2))+(Reinforcements[[#This Row],[G]]*Reinforcements[[#This Row],['[Channel'] J (in4)]]))*(1/(Reinforcements[[#This Row],[Ag]]*Reinforcements[[#This Row],[ro^2(bar)]])),"N/A")</f>
        <v>N/A</v>
      </c>
      <c r="FR17" s="6" t="str">
        <f>IF(Reinforcements[[#This Row],[Type]]="channel",((PI()^2)*Reinforcements[[#This Row],[E, (ksi)]])/(Reinforcements[[#This Row],[Lcy/ry]]^2),"N/A")</f>
        <v>N/A</v>
      </c>
      <c r="FS17" s="6" t="str">
        <f>IF(Reinforcements[[#This Row],[Type]]="channel",((Reinforcements[[#This Row],[Fey]]+Reinforcements[[#This Row],[Fez]])/(2*Reinforcements[[#This Row],[H2]]))*(1-SQRT(1-((4*Reinforcements[[#This Row],[Fey]]*Reinforcements[[#This Row],[Fez]]*Reinforcements[[#This Row],[H2]])/(Reinforcements[[#This Row],[Fey]]+Reinforcements[[#This Row],[Fez]])^2))),"N/A")</f>
        <v>N/A</v>
      </c>
      <c r="FT17" s="6" t="str">
        <f>IF(Reinforcements[[#This Row],[Type]]="channel",IF(Reinforcements[[#This Row],[Lcx/rx]]&gt;(4.71*SQRT(Reinforcements[[#This Row],[E, (ksi)]]/Reinforcements[[#This Row],[Fy, (ksi)]])),0.877*Reinforcements[[#This Row],[Fe (FTB)]],0.658^(Reinforcements[[#This Row],[Fy, (ksi)]]/Reinforcements[[#This Row],[Fe (FTB)]])*Reinforcements[[#This Row],[Fy, (ksi)]]),"N/A")</f>
        <v>N/A</v>
      </c>
      <c r="FU17" s="6" t="str">
        <f>IF(Reinforcements[[#This Row],[Type]]="channel",MIN(Reinforcements[[#This Row],[Fcr(FTB)]],Reinforcements[[#This Row],[Fcry (ksi)]]),"N/A")</f>
        <v>N/A</v>
      </c>
      <c r="FV17" s="6">
        <v>0.22</v>
      </c>
      <c r="FW17" s="6">
        <v>1.49</v>
      </c>
      <c r="FX17" s="6" t="str">
        <f>IF(Reinforcements[[#This Row],[Type]]="channel",((Reinforcements[[#This Row],[c2]]*(Reinforcements[[#This Row],[λrf]]/Reinforcements[[#This Row],[λf]]))^2)*Reinforcements[[#This Row],[Fy, (ksi)]],"N/A")</f>
        <v>N/A</v>
      </c>
      <c r="FY17" s="6" t="str">
        <f>IF(Reinforcements[[#This Row],[Type]]="channel",((Reinforcements[[#This Row],[c2]]*(Reinforcements[[#This Row],[λrw]]/Reinforcements[[#This Row],[λw]]))^2)*Reinforcements[[#This Row],[Fy, (ksi)]],"N/A")</f>
        <v>N/A</v>
      </c>
      <c r="FZ1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6" t="str">
        <f>IF(Reinforcements[[#This Row],[Type]]="channel",Reinforcements[[#This Row],[Fcr]]*Reinforcements[[#This Row],[Ae]],"N/A")</f>
        <v>N/A</v>
      </c>
      <c r="GD17">
        <f>IF(Reinforcements[[#This Row],[Reinforcement]]="","",φ_c*Reinforcements[[#This Row],[Pnx, FB (kip)]])</f>
        <v>291.16947921285509</v>
      </c>
      <c r="GE17">
        <f>IF(Reinforcements[[#This Row],[Reinforcement]]="","",IF(Reinforcements[[#This Row],[Type]]="channel",φ_c*Reinforcements[[#This Row],[Pn]],φ_c*Reinforcements[[#This Row],[Pny, FB (kip)]]))</f>
        <v>348.16450408649797</v>
      </c>
      <c r="GF17">
        <f>Reinforcements[[#This Row],[Rev. G Tension Yield Capacity (kips)]]</f>
        <v>351</v>
      </c>
      <c r="GG17">
        <f>Reinforcements[[#This Row],[Rev. G Tension Rupture Capacity (kips)]]</f>
        <v>285</v>
      </c>
      <c r="GH17">
        <f>Reinforcements[[#This Row],[Rev. G Shear Capacity (kips)]]</f>
        <v>175.5</v>
      </c>
      <c r="GI17">
        <f>IFERROR((Reinforcements[[#This Row],['# of End Connection Bolts          (Bottom)]]-1)*Reinforcements[[#This Row],[End Connection Bolt Spacing (in) (B)]],"-")</f>
        <v>27</v>
      </c>
      <c r="GJ17">
        <f>IFERROR(IF(VLOOKUP(Reinforcements[[#This Row],[Bottom End Connection Bolt Type]],Bolts[],COLUMN(Bolts[[#Headers],[Rev. H Apply Connection Length Reduction Factor (Rb)?]])-1,FALSE)="Yes",(IF(Reinforcements[[#This Row],[Lb(bottom)]]&lt;=16,1,IF(Reinforcements[[#This Row],[Lb(bottom)]]&gt;38,0.75,0.9))),1),"-")</f>
        <v>1</v>
      </c>
      <c r="GK17">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f>IFERROR(IF(Reinforcements[[#This Row],[Top End Connection Same?]]="Yes",Reinforcements[[#This Row],[Lb(bottom)]],(Reinforcements[[#This Row],['# of End Connection Bolts          (Top)]]-1)*Reinforcements[[#This Row],[End Connection Bolt Spacing (in) (T)]]),"-")</f>
        <v>27</v>
      </c>
      <c r="GM17">
        <f>IFERROR(IF(VLOOKUP(Reinforcements[[#This Row],[Top End Connection Bolt Type]],Bolts[],COLUMN(Bolts[[#Headers],[Rev. H Apply Connection Length Reduction Factor (Rb)?]])-1,FALSE)=TRUE,(IF(Reinforcements[[#This Row],[Lb(top)]]&lt;=16,1,IF(Reinforcements[[#This Row],[Lb(top)]]&gt;38,0.75,0.9))),1),"-")</f>
        <v>0.9</v>
      </c>
      <c r="GN1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f>Reinforcements[[#This Row],[Rev. G Bolt-Shaft Bearing Capacity (Bottom)                No Deformation          (*t*Fu kips)]]</f>
        <v>19.778267716535435</v>
      </c>
      <c r="GP17">
        <f>Reinforcements[[#This Row],[Rev. G Bolt-Shaft Bearing Capacity (Bottom)                   Deformation          (*t*Fu kips)]]</f>
        <v>24.722834645669291</v>
      </c>
      <c r="GQ17">
        <f>Reinforcements[[#This Row],[Rev. G Bolt-Shaft Bearing Capacity (Top)                    No Deformation          (*t*Fu kips)]]</f>
        <v>19.778267716535435</v>
      </c>
      <c r="GR17">
        <f>Reinforcements[[#This Row],[Rev. G Bolt-Shaft Bearing Capacity (Top)                        Deformation          (*t*Fu kips)]]</f>
        <v>24.722834645669291</v>
      </c>
      <c r="GS17">
        <f>Reinforcements[[#This Row],[Rev. G Bolt-Reinf. Bearing Capacity (Bottom)            No Deformation (kips)]]</f>
        <v>1582.2614173228346</v>
      </c>
      <c r="GT17">
        <f>Reinforcements[[#This Row],[Rev. G Bolt-Reinf. Bearing Capacity (Bottom)               Deformation (kips)]]</f>
        <v>1977.8267716535433</v>
      </c>
      <c r="GU17">
        <f>Reinforcements[[#This Row],[Rev. G Bolt-Reinf. Bearing Capacity (Top)                  No Deformation (kips)]]</f>
        <v>1582.2614173228346</v>
      </c>
      <c r="GV17">
        <f>Reinforcements[[#This Row],[Rev. G Bolt-Reinf. Bearing Capacity (Top)               Deformation (kips)]]</f>
        <v>1977.8267716535433</v>
      </c>
      <c r="GW17" t="str">
        <f>Reinforcements[[#This Row],[Rev. G Bottom Transverse Weld Strength]]</f>
        <v>-</v>
      </c>
      <c r="GX17" t="str">
        <f>Reinforcements[[#This Row],[Rev. G Bottom Longitudinal Weld Strength]]</f>
        <v>-</v>
      </c>
      <c r="GY17" t="str">
        <f>Reinforcements[[#This Row],[Rev. G Top Transverse Weld Strength]]</f>
        <v>-</v>
      </c>
      <c r="GZ17" t="str">
        <f>Reinforcements[[#This Row],[Rev. G Top Longitudinal Weld Strength]]</f>
        <v>-</v>
      </c>
      <c r="HA17">
        <v>15</v>
      </c>
      <c r="HB1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0" x14ac:dyDescent="0.2">
      <c r="B18" s="49" t="s">
        <v>372</v>
      </c>
      <c r="C18" s="49" t="s">
        <v>352</v>
      </c>
      <c r="D18" s="6">
        <v>6.5</v>
      </c>
      <c r="E18" s="6">
        <v>1.25</v>
      </c>
      <c r="F18" s="6" t="str">
        <f>IF(Reinforcements[[#This Row],[Type]]="","",IF(Reinforcements[[#This Row],[Type]]="solid round","","n/a"))</f>
        <v>n/a</v>
      </c>
      <c r="G18" s="6" t="str">
        <f>IF(Reinforcements[[#This Row],[Type]]="","",IF(Reinforcements[[#This Row],[Type]]&lt;&gt;"channel","n/a",""))</f>
        <v>n/a</v>
      </c>
      <c r="H18" s="6" t="str">
        <f>IF(Reinforcements[[#This Row],[Type]]="","",IF(Reinforcements[[#This Row],[Type]]&lt;&gt;"channel","n/a",""))</f>
        <v>n/a</v>
      </c>
      <c r="I18" s="126" t="str">
        <f>IF(Reinforcements[[#This Row],[Type]]="","",IF(Reinforcements[[#This Row],[Type]]&lt;&gt;"channel","n/a",Reinforcements[[#This Row],[eo]]))</f>
        <v>n/a</v>
      </c>
      <c r="J18" s="126" t="str">
        <f>IF(Reinforcements[[#This Row],[Type]]="","",IF(Reinforcements[[#This Row],[Type]]&lt;&gt;"channel","n/a",Reinforcements[[#This Row],[J]]))</f>
        <v>n/a</v>
      </c>
      <c r="K18" s="126" t="str">
        <f>IF(Reinforcements[[#This Row],[Type]]="","",IF(Reinforcements[[#This Row],[Type]]&lt;&gt;"channel","n/a",Reinforcements[[#This Row],[Cw]]))</f>
        <v>n/a</v>
      </c>
      <c r="L18" s="6">
        <f>IFERROR(IF(Reinforcements[[#This Row],[Type]]="","",IF(Reinforcements[[#This Row],[Type]]="plate",Reinforcements[[#This Row],[B (in)]]*Reinforcements[[#This Row],[H (in)]],IF(Reinforcements[[#This Row],[Type]]="solid round",PI()/4*Reinforcements[[#This Row],[Diameter (in)]]^2,""))),"")</f>
        <v>8.125</v>
      </c>
      <c r="M18" s="6">
        <f>IFERROR(IF(Reinforcements[[#This Row],[Type]]="","",IF(Reinforcements[[#This Row],[Type]]="plate",Reinforcements[[#This Row],[H (in)]]/2,"")),"")</f>
        <v>0.625</v>
      </c>
      <c r="N18" s="16" t="s">
        <v>353</v>
      </c>
      <c r="O18" s="6" t="s">
        <v>138</v>
      </c>
      <c r="P18" s="123">
        <f>IFERROR(IF(Reinforcements[[#This Row],[Type]]="","",IF(Reinforcements[[#This Row],[Type]]="plate",Reinforcements[[#This Row],[B (in)]]*Reinforcements[[#This Row],[H (in)]]^3/12,IF(Reinforcements[[#This Row],[Type]]="solid round",PI()/64*Reinforcements[[#This Row],[Diameter (in)]]^4,""))),"")</f>
        <v>1.0579427083333333</v>
      </c>
      <c r="Q18" s="123">
        <f>IF(Reinforcements[[#This Row],[Reinforcement]]="","",SQRT(Reinforcements[[#This Row],[Ix]]/Reinforcements[[#This Row],[Gross Area (in2)]]))</f>
        <v>0.36084391824351608</v>
      </c>
      <c r="R18" s="123">
        <f>IFERROR(IF(Reinforcements[[#This Row],[Type]]="","",IF(Reinforcements[[#This Row],[Type]]="plate",Reinforcements[[#This Row],[B (in)]]^3*Reinforcements[[#This Row],[H (in)]]/12,IF(Reinforcements[[#This Row],[Type]]="solid round",PI()/64*Reinforcements[[#This Row],[Diameter (in)]]^4,""))),"")</f>
        <v>28.606770833333332</v>
      </c>
      <c r="S18" s="123">
        <f>IF(Reinforcements[[#This Row],[Reinforcement]]="","",SQRT(Reinforcements[[#This Row],[Iy]]/Reinforcements[[#This Row],[Gross Area (in2)]]))</f>
        <v>1.8763883748662837</v>
      </c>
      <c r="T18" s="6">
        <v>19</v>
      </c>
      <c r="U18" s="6">
        <v>0.8</v>
      </c>
      <c r="V18" s="6">
        <v>1</v>
      </c>
      <c r="W18" s="6">
        <v>1.1875</v>
      </c>
      <c r="X18" s="6">
        <f>IF(Reinforcements[[#This Row],[Bolt Hole Size (in)]]="","",IF(Reinforcements[[#This Row],[Bolt Hole Size (in)]]="n/a","n/a",Reinforcements[[#This Row],[Bolt Hole Size (in)]]*25.4))</f>
        <v>30.162499999999998</v>
      </c>
      <c r="Y1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6">
        <f>IFERROR(IF(Reinforcements[[#This Row],[Reinforcement]]="","",IF(OR(Reinforcements[[#This Row],[Type]]="plate",Reinforcements[[#This Row],[Type]]="solid round"),1,IF(Reinforcements[[#This Row],[Type]]="arbitrary","",1-Reinforcements[[#This Row],[Pole Face to Centroid (in)]]/Reinforcements[[#This Row],[Connection Length (in) '[Channels']]]))),"")</f>
        <v>1</v>
      </c>
      <c r="AA18" s="16" t="s">
        <v>354</v>
      </c>
      <c r="AB18" s="16" t="str">
        <f>IF(Reinforcements[[#This Row],[Reinforcement]]="","",IF(Reinforcements[[#This Row],[Bottom End Connection Type]]&lt;&gt;"Capacity Input","-",""))</f>
        <v>-</v>
      </c>
      <c r="AC18" s="16" t="str">
        <f>IF(Reinforcements[[#This Row],[Reinforcement]]="","",IF(Reinforcements[[#This Row],[Bottom End Connection Type]]&lt;&gt;"Capacity Input","-",""))</f>
        <v>-</v>
      </c>
      <c r="AD18" s="16" t="str">
        <f>IF(Reinforcements[[#This Row],[Reinforcement]]="","",IF(Reinforcements[[#This Row],[Bottom End Connection Type]]&lt;&gt;"Capacity Input","-",""))</f>
        <v>-</v>
      </c>
      <c r="AE18" s="74" t="s">
        <v>355</v>
      </c>
      <c r="AF18" s="6" t="s">
        <v>356</v>
      </c>
      <c r="AG18" s="6">
        <v>14</v>
      </c>
      <c r="AH18" s="6">
        <v>3</v>
      </c>
      <c r="AI18" s="6">
        <v>3</v>
      </c>
      <c r="AJ18" s="6">
        <f>Reinforcements[[#This Row],[End Connection Edge Distance (in) (B)]]-(Reinforcements[[#This Row],[Bolt Hole Size (in)]]+1/16)/2</f>
        <v>2.375</v>
      </c>
      <c r="AK18" s="6">
        <f>Reinforcements[[#This Row],[End Connection Bolt Spacing (in) (B)]]-(Reinforcements[[#This Row],[Bolt Hole Size (in)]]+1/16)</f>
        <v>1.75</v>
      </c>
      <c r="AL18" s="6">
        <f>Reinforcements[[#This Row],[End Connection Edge Distance (in) (B)]]</f>
        <v>3</v>
      </c>
      <c r="AM18" s="6">
        <f>Reinforcements[[#This Row],[End Connection Bolt Spacing (in) (B)]]</f>
        <v>3</v>
      </c>
      <c r="AN18" s="6" t="str">
        <f>IF(Reinforcements[[#This Row],[Reinforcement]]="","",IF(OR(Reinforcements[[#This Row],[Bottom End Connection Type]]="Bolted",Reinforcements[[#This Row],[Bottom End Connection Type]]=""),"-",""))</f>
        <v>-</v>
      </c>
      <c r="AO18" s="111" t="str">
        <f>IF(Reinforcements[[#This Row],[Reinforcement]]="","",IF(OR(Reinforcements[[#This Row],[Bottom End Connection Type]]="Bolted",Reinforcements[[#This Row],[Bottom End Connection Type]]=""),"-",""))</f>
        <v>-</v>
      </c>
      <c r="AP18" s="111" t="str">
        <f>IF(Reinforcements[[#This Row],[Reinforcement]]="","",IF(OR(Reinforcements[[#This Row],[Bottom End Connection Type]]="Bolted",Reinforcements[[#This Row],[Bottom End Connection Type]]=""),"-",""))</f>
        <v>-</v>
      </c>
      <c r="AQ18" s="111" t="str">
        <f>IF(OR(Reinforcements[[#This Row],[Bottom End Connection Type]]="Bolted",Reinforcements[[#This Row],[Bottom Transverse (Horizontal) Weld]]="none"),"-","")</f>
        <v>-</v>
      </c>
      <c r="AR1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11" t="str">
        <f>IF(OR(Reinforcements[[#This Row],[Bottom Transverse (Horizontal) Weld]]="none",Reinforcements[[#This Row],[Bottom End Connection Type]]="Bolted"),"-","")</f>
        <v>-</v>
      </c>
      <c r="AU1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11" t="str">
        <f>IF(Reinforcements[[#This Row],[Reinforcement]]="","",IF(OR(Reinforcements[[#This Row],[Bottom End Connection Type]]="Bolted",Reinforcements[[#This Row],[Bottom End Connection Type]]=""),"-",""))</f>
        <v>-</v>
      </c>
      <c r="AW18" s="111" t="str">
        <f>IF(Reinforcements[[#This Row],[Reinforcement]]="","",IF(OR(Reinforcements[[#This Row],[Bottom End Connection Type]]&lt;&gt;"Welded",Reinforcements[[#This Row],[Bottom Longitudinal (Vertical) Weld]]="None",Reinforcements[[#This Row],[Bottom Longitudinal (Vertical) Weld]]=""),"-",""))</f>
        <v>-</v>
      </c>
      <c r="AX18" s="111" t="str">
        <f>IF(Reinforcements[[#This Row],[Reinforcement]]="","",IF(OR(Reinforcements[[#This Row],[Bottom End Connection Type]]&lt;&gt;"Welded",Reinforcements[[#This Row],[Bottom Longitudinal (Vertical) Weld]]="None",Reinforcements[[#This Row],[Bottom Longitudinal (Vertical) Weld]]=""),"-",""))</f>
        <v>-</v>
      </c>
      <c r="AY18" s="6" t="str">
        <f>IF(Reinforcements[[#This Row],[Reinforcement]]="","",IF(OR(Reinforcements[[#This Row],[Bottom End Connection Type]]&lt;&gt;"Welded",Reinforcements[[#This Row],[Bottom Longitudinal (Vertical) Weld]]="None"),"-",SQRT(2)/2*Reinforcements[[#This Row],[Bottom Longitudinal Weld Fillet Size (in)]]))</f>
        <v>-</v>
      </c>
      <c r="AZ18" s="6" t="s">
        <v>357</v>
      </c>
      <c r="BA18" s="16" t="str">
        <f>IF(Reinforcements[[#This Row],[Top End Connection Same?]]="Yes",Reinforcements[[#This Row],[Bottom End Connection Type]],"")</f>
        <v>Bolted</v>
      </c>
      <c r="BB18" s="16" t="str">
        <f>IF(Reinforcements[[#This Row],[Reinforcement]]="","",IF(Reinforcements[[#This Row],[Top End Connection Same?]]="Yes",Reinforcements[[#This Row],[Rev. F Bottom Connection Capacity (kips)]],IF(Reinforcements[[#This Row],[Reinforcement]]="","",IF(Reinforcements[[#This Row],[Top End Connection Type]]&lt;&gt;"Capacity Input","-",""))))</f>
        <v>-</v>
      </c>
      <c r="BC18" s="16" t="str">
        <f>IF(Reinforcements[[#This Row],[Reinforcement]]="","",IF(Reinforcements[[#This Row],[Top End Connection Same?]]="Yes",Reinforcements[[#This Row],[Rev. G Bottom Connection Capacity (kips)]],IF(Reinforcements[[#This Row],[Reinforcement]]="","",IF(Reinforcements[[#This Row],[Top End Connection Type]]&lt;&gt;"Capacity Input","-",""))))</f>
        <v>-</v>
      </c>
      <c r="BD18" s="16" t="str">
        <f>IF(Reinforcements[[#This Row],[Reinforcement]]="","",IF(Reinforcements[[#This Row],[Top End Connection Same?]]="Yes",Reinforcements[[#This Row],[Rev. G Bottom Connection Capacity (kips)]],IF(Reinforcements[[#This Row],[Reinforcement]]="","",IF(Reinforcements[[#This Row],[Top End Connection Type]]&lt;&gt;"Capacity Input","-",""))))</f>
        <v>-</v>
      </c>
      <c r="BE18" s="74" t="str">
        <f>IF(Reinforcements[[#This Row],[Top End Connection Same?]]="Yes",Reinforcements[[#This Row],[Bottom End Connection Bolt Type]],IF(Reinforcements[[#This Row],[Top End Connection Type]]="Welded","-",""))</f>
        <v>PC 8.8 - M20 (100)</v>
      </c>
      <c r="BF18" s="6" t="str">
        <f>IF(Reinforcements[[#This Row],[Top End Connection Same?]]="Yes",Reinforcements[[#This Row],[Threads Included (N) or Excluded (X) (Bottom)]],IF(Reinforcements[[#This Row],[Top End Connection Type]]="Welded","-",""))</f>
        <v>N</v>
      </c>
      <c r="BG18" s="6">
        <f>IF(Reinforcements[[#This Row],[Top End Connection Same?]]="Yes",Reinforcements[[#This Row],['# of End Connection Bolts          (Bottom)]],IF(Reinforcements[[#This Row],[Top End Connection Type]]="Welded","-",""))</f>
        <v>14</v>
      </c>
      <c r="BH18" s="6">
        <f>IF(Reinforcements[[#This Row],[Top End Connection Same?]]="Yes",Reinforcements[[#This Row],[End Connection Bolt Spacing (in) (B)]],IF(Reinforcements[[#This Row],[Top End Connection Type]]="Welded","-",""))</f>
        <v>3</v>
      </c>
      <c r="BI18" s="6">
        <f>IF(Reinforcements[[#This Row],[Top End Connection Same?]]="Yes",Reinforcements[[#This Row],[End Connection Edge Distance (in) (B)]],IF(Reinforcements[[#This Row],[Top End Connection Type]]="Welded","-",""))</f>
        <v>3</v>
      </c>
      <c r="BJ18" s="6">
        <f>Reinforcements[[#This Row],[End Connection Edge Distance (in) (T)]]-(Reinforcements[[#This Row],[Bolt Hole Size (in)]]+1/16)/2</f>
        <v>2.375</v>
      </c>
      <c r="BK18" s="6">
        <f>Reinforcements[[#This Row],[End Connection Bolt Spacing (in) (T)]]-(Reinforcements[[#This Row],[Bolt Hole Size (in)]]+1/16)</f>
        <v>1.75</v>
      </c>
      <c r="BL18" s="6">
        <f>Reinforcements[[#This Row],[End Connection Edge Distance (in) (T)]]</f>
        <v>3</v>
      </c>
      <c r="BM18" s="6">
        <f>Reinforcements[[#This Row],[End Connection Bolt Spacing (in) (T)]]</f>
        <v>3</v>
      </c>
      <c r="BN18" s="6" t="str">
        <f>IF(Reinforcements[[#This Row],[Reinforcement]]="","",IF(Reinforcements[[#This Row],[Top End Connection Same?]]="Yes",Reinforcements[[#This Row],[Bottom Connected to Flange/Base Plate?]],IF(Reinforcements[[#This Row],[Top End Connection Type]]="Bolted","-","")))</f>
        <v>-</v>
      </c>
      <c r="BO18" s="6" t="str">
        <f>IF(Reinforcements[[#This Row],[Reinforcement]]="","",IF(Reinforcements[[#This Row],[Top End Connection Same?]]="Yes",Reinforcements[[#This Row],[Bottom Weld Grade (ksi)]],IF(OR(Reinforcements[[#This Row],[Top End Connection Type]]&lt;&gt;"Welded",Reinforcements[[#This Row],[Top End Connection Type]]=""),"-","")))</f>
        <v>-</v>
      </c>
      <c r="BP18" s="6" t="str">
        <f>IF($AZ18="Yes",AP18,IF(Reinforcements[[#This Row],[Reinforcement]]="","",IF(OR(Reinforcements[[#This Row],[Top End Connection Type]]&lt;&gt;"Welded",Reinforcements[[#This Row],[Top End Connection Type]]=""),"-","")))</f>
        <v>-</v>
      </c>
      <c r="BQ18" s="6" t="str">
        <f>IF(Reinforcements[[#This Row],[Reinforcement]]="","",IF($AZ18="Yes",AQ18,IF(OR(Reinforcements[[#This Row],[Top End Connection Type]]&lt;&gt;"Welded",Reinforcements[[#This Row],[Top Transverse (Horizontal) Weld]]="none",Reinforcements[[#This Row],[Top Transverse (Horizontal) Weld]]=""),"-","")))</f>
        <v>-</v>
      </c>
      <c r="BR18" s="6"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6"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6" t="str">
        <f>IF(Reinforcements[[#This Row],[Reinforcement]]="","",IF($AZ18="Yes",AT18,IF(OR(Reinforcements[[#This Row],[Top Transverse (Horizontal) Weld]]="none",Reinforcements[[#This Row],[Top End Connection Type]]&lt;&gt;"Welded",Reinforcements[[#This Row],[Top Transverse (Horizontal) Weld]]=""),"-","")))</f>
        <v>-</v>
      </c>
      <c r="BU18" s="6"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6" t="str">
        <f>IF($AZ18="Yes",AV18,IF(Reinforcements[[#This Row],[Reinforcement]]="","",IF(OR(Reinforcements[[#This Row],[Top End Connection Type]]&lt;&gt;"Welded",Reinforcements[[#This Row],[Top End Connection Type]]=""),"-","")))</f>
        <v>-</v>
      </c>
      <c r="BW18" s="6"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6"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6" t="str">
        <f>IF($AZ18="Yes",AY18,IF(Reinforcements[[#This Row],[Reinforcement]]="","",IF(OR(Reinforcements[[#This Row],[Top End Connection Type]]&lt;&gt;"Welded",Reinforcements[[#This Row],[Top Longitudinal (Vertical) Weld]]="none"),"-",SQRT(2)/2*Reinforcements[[#This Row],[Top Longitudinal Weld Fillet Size (in)]])))</f>
        <v>-</v>
      </c>
      <c r="BZ1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11">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11">
        <f>IF(Reinforcements[[#This Row],[Reinforcement]]="","",IF(Reinforcements[[#This Row],[Top End Connection Type]]&lt;&gt;"Bolted","n/a",(Reinforcements[[#This Row],['# of End Connection Bolts          (Top)]]-1)*Reinforcements[[#This Row],[End Connection Bolt Spacing (in) (T)]]+Reinforcements[[#This Row],[End Connection Edge Distance (in) (T)]]))</f>
        <v>42</v>
      </c>
      <c r="CC1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6">
        <f>IFERROR(IF(Reinforcements[[#This Row],[Type]]="","",Reinforcements[[#This Row],[Effective B (in)]]*Reinforcements[[#This Row],[Effective H (in)]]^3/12),"")</f>
        <v>1.0579427083333333</v>
      </c>
      <c r="CF18" s="6">
        <f>IFERROR(IF(Reinforcements[[#This Row],[Type]]="","",Reinforcements[[#This Row],[Effective B (in)]]^3*Reinforcements[[#This Row],[Effective H (in)]]/12),"")</f>
        <v>28.606770833333332</v>
      </c>
      <c r="CG18" s="126">
        <f>SQRT(2*PI()^2*29000/VLOOKUP(Reinforcements[[#This Row],[Material]],Materials[],2,FALSE))</f>
        <v>93.844147005158973</v>
      </c>
      <c r="CH1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23">
        <f>Reinforcements[[#This Row],[Effective Length Factor Kx]]*Reinforcements[[#This Row],[Lu (in)]]/(Reinforcements[[#This Row],[rx]]*PI())*SQRT(VLOOKUP(Reinforcements[[#This Row],[Material]],Materials[],2,FALSE)/29000)</f>
        <v>0.63479281815212207</v>
      </c>
      <c r="CK18" s="123">
        <f>Reinforcements[[#This Row],[Effective Length Factor Ky]]*Reinforcements[[#This Row],[Lu (in)]]/(Reinforcements[[#This Row],[ry]]*PI())*SQRT(VLOOKUP(Reinforcements[[#This Row],[Material]],Materials[],2,FALSE)/29000)</f>
        <v>0.15259442744041396</v>
      </c>
      <c r="CL18" s="123">
        <f>IF(Reinforcements[[#This Row],[λcx]]&lt;=1.5,0.658^(Reinforcements[[#This Row],[λcx]]^2)*Reinforcements[[#This Row],[F''y]],0.877/(Reinforcements[[#This Row],[λcx]]^2)*Reinforcements[[#This Row],[F''y]])</f>
        <v>54.911753637534716</v>
      </c>
      <c r="CM18" s="123">
        <f>IF(Reinforcements[[#This Row],[λcy]]&lt;=1.5,0.658^(Reinforcements[[#This Row],[λcy]]^2)*Reinforcements[[#This Row],[F''y]],0.877/(Reinforcements[[#This Row],[λcy]]^2)*Reinforcements[[#This Row],[F''y]])</f>
        <v>64.369588945551428</v>
      </c>
      <c r="CN18" s="6">
        <f>VLOOKUP(Reinforcements[[#This Row],[Material]],Materials[],2,FALSE)</f>
        <v>65</v>
      </c>
      <c r="CO18" s="126">
        <f>IF(Reinforcements[[#This Row],[Reinforcement]]="","",Reinforcements[[#This Row],[Fax]]*Reinforcements[[#This Row],[Gross Area (in2)]])</f>
        <v>260.41831252128219</v>
      </c>
      <c r="CP18" s="126">
        <f>IF(Reinforcements[[#This Row],[Reinforcement]]="","",Reinforcements[[#This Row],[Fay]]*Reinforcements[[#This Row],[Gross Area (in2)]])</f>
        <v>307.59176972550898</v>
      </c>
      <c r="CQ18" s="126">
        <f>IF(Reinforcements[[#This Row],[Reinforcement]]="","",0.6*VLOOKUP(Reinforcements[[#This Row],[Material]],Materials[],2,FALSE)*Reinforcements[[#This Row],[Gross Area (in2)]])</f>
        <v>316.875</v>
      </c>
      <c r="CR18" s="126">
        <f>IF(Reinforcements[[#This Row],[Reinforcement]]="","",0.5*VLOOKUP(Reinforcements[[#This Row],[Material]],Materials[],3,FALSE)*Reinforcements[[#This Row],[Net Area (in2)]]*Reinforcements[[#This Row],[Shear Lag (U)]])</f>
        <v>262.5</v>
      </c>
      <c r="CS18" s="126">
        <f>IF(Reinforcements[[#This Row],[Reinforcement]]="","",0.4*VLOOKUP(Reinforcements[[#This Row],[Material]],Materials[],2,FALSE)*Reinforcements[[#This Row],[Gross Area (in2)]])</f>
        <v>211.25</v>
      </c>
      <c r="CT18"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6"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6"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26">
        <f>IF(Reinforcements[[#This Row],[Reinforcement]]="","",φ_c*Reinforcements[[#This Row],[Fcr,x]]*Reinforcements[[#This Row],[Gross Area (in2)]])</f>
        <v>401.54219847447263</v>
      </c>
      <c r="DI18" s="126">
        <f>IF(Reinforcements[[#This Row],[Reinforcement]]="","",φ_c*Reinforcements[[#This Row],[Fcr,y]]*Reinforcements[[#This Row],[Gross Area (in2)]])</f>
        <v>470.70261916434481</v>
      </c>
      <c r="DJ18" s="126">
        <f>IF(Reinforcements[[#This Row],[Reinforcement]]="","",φ_t_y*VLOOKUP(Reinforcements[[#This Row],[Material]],Materials[],2,FALSE)*Reinforcements[[#This Row],[Gross Area (in2)]])</f>
        <v>475.3125</v>
      </c>
      <c r="DK18" s="126">
        <f>IF(Reinforcements[[#This Row],[Reinforcement]]="","",φ_t_r*VLOOKUP(Reinforcements[[#This Row],[Material]],Materials[],3,FALSE)*Reinforcements[[#This Row],[Net Area (in2)]]*Reinforcements[[#This Row],[Shear Lag (U)]])</f>
        <v>393.75</v>
      </c>
      <c r="DL18" s="126">
        <f>IF(Reinforcements[[#This Row],[Reinforcement]]="","",φ_v*0.5*Reinforcements[[#This Row],[F''y]]*Reinforcements[[#This Row],[Gross Area (in2)]])</f>
        <v>237.65625</v>
      </c>
      <c r="DM18"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6"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6"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111" t="str">
        <f>IF(OR(Reinforcements[[#This Row],[Type]]="plate",Reinforcements[[#This Row],[Type]]="solid round"),"N/A",Reinforcements[[#This Row],[B (in)]])</f>
        <v>N/A</v>
      </c>
      <c r="EB18" s="6" t="str">
        <f>IF(OR(Reinforcements[[#This Row],[Type]]="plate",Reinforcements[[#This Row],[Type]]="solid round"),"N/A",Reinforcements[[#This Row],[H (in)]])</f>
        <v>N/A</v>
      </c>
      <c r="EC18" s="6" t="str">
        <f>IF(OR(Reinforcements[[#This Row],[Type]]="plate",Reinforcements[[#This Row],[Type]]="solid round"),"N/A",Reinforcements[[#This Row],[B (in)]]-Reinforcements[[#This Row],['[Channel'] Flange Thickness (in)]])</f>
        <v>N/A</v>
      </c>
      <c r="ED18" s="6" t="str">
        <f>IF(OR(Reinforcements[[#This Row],[Type]]="plate",Reinforcements[[#This Row],[Type]]="solid round"),"N/A",Reinforcements[[#This Row],['[Channel']Web Thickness (in)]])</f>
        <v>N/A</v>
      </c>
      <c r="EE18" s="6" t="str">
        <f>IF(OR(Reinforcements[[#This Row],[Type]]="plate",Reinforcements[[#This Row],[Type]]="solid round"),"N/A",Reinforcements[[#This Row],['[Channel'] Flange Thickness (in)]])</f>
        <v>N/A</v>
      </c>
      <c r="EF18" s="6" t="str">
        <f>IF(Reinforcements[[#This Row],[Type]]="channel",Reinforcements[[#This Row],[Channel Flange Width, b]]/Reinforcements[[#This Row],[Channel flange thickness, tf]],"N/A")</f>
        <v>N/A</v>
      </c>
      <c r="EG18" s="6" t="str">
        <f>IF(Reinforcements[[#This Row],[Type]]="channel",Reinforcements[[#This Row],[Channel inside depth, T]]/Reinforcements[[#This Row],[Channel web thickness, tw]],"N/A")</f>
        <v>N/A</v>
      </c>
      <c r="EH18" s="6">
        <f>29000</f>
        <v>29000</v>
      </c>
      <c r="EI18" s="6" t="str">
        <f>IF(Reinforcements[[#This Row],[Type]]="channel",0.56*SQRT(Reinforcements[[#This Row],[E, (ksi)]]/Reinforcements[[#This Row],[Fy, (ksi)]]),"N/A")</f>
        <v>N/A</v>
      </c>
      <c r="EJ18" s="6" t="str">
        <f>IF(Reinforcements[[#This Row],[Type]]="channel",1.49*SQRT(Reinforcements[[#This Row],[E, (ksi)]]/Reinforcements[[#This Row],[Fy, (ksi)]]),"N/A")</f>
        <v>N/A</v>
      </c>
      <c r="EK18" s="6">
        <f>VLOOKUP(Reinforcements[[#This Row],[Material]],Materials!$B$2:$C$30,2,FALSE)</f>
        <v>65</v>
      </c>
      <c r="EL18" s="6">
        <f>Reinforcements[[#This Row],[Lu (in)]]*Reinforcements[[#This Row],[Effective Length Factor Kx]]</f>
        <v>15.200000000000001</v>
      </c>
      <c r="EM18" s="6">
        <f>Reinforcements[[#This Row],[Lu (in)]]*Reinforcements[[#This Row],[Effective Length Factor Ky]]</f>
        <v>19</v>
      </c>
      <c r="EN18" s="6">
        <f>Reinforcements[[#This Row],[rx]]</f>
        <v>0.36084391824351608</v>
      </c>
      <c r="EO18" s="6">
        <f>Reinforcements[[#This Row],[ry]]</f>
        <v>1.8763883748662837</v>
      </c>
      <c r="EP18" s="6">
        <f>Reinforcements[[#This Row],[Lcx (in)]]/Reinforcements[[#This Row],[rx (in)]]</f>
        <v>42.1234756400751</v>
      </c>
      <c r="EQ18" s="6">
        <f>Reinforcements[[#This Row],[Lcy (in)]]/Reinforcements[[#This Row],[ry (in)]]</f>
        <v>10.125835490402666</v>
      </c>
      <c r="ER18" s="6">
        <f>((PI()^2)*Reinforcements[[#This Row],[E, (ksi)]])/(Reinforcements[[#This Row],[Lcx/rx]]^2)</f>
        <v>161.30556376398079</v>
      </c>
      <c r="ES18" s="6">
        <f>((PI()^2)*Reinforcements[[#This Row],[E, (ksi)]])/(Reinforcements[[#This Row],[Lcy/ry]]^2)</f>
        <v>2791.4895642739466</v>
      </c>
      <c r="ET18" s="6">
        <f>4.71*(SQRT(Reinforcements[[#This Row],[E, (ksi)]]/Reinforcements[[#This Row],[Fy, (ksi)]]))</f>
        <v>99.486288193205496</v>
      </c>
      <c r="EU18" s="6">
        <f>IF(Reinforcements[[#This Row],[Lcx/rx]]&lt;=Reinforcements[[#This Row],[Fcr Limit]],(0.658^(Reinforcements[[#This Row],[Fy, (ksi)]]/Reinforcements[[#This Row],[Fex, FB (ksi)]]))*Reinforcements[[#This Row],[Fy, (ksi)]],0.877*Reinforcements[[#This Row],[Fex, FB (ksi)]])</f>
        <v>54.911753637534716</v>
      </c>
      <c r="EV18" s="6">
        <f>IF(Reinforcements[[#This Row],[Lcy/ry]]&lt;=Reinforcements[[#This Row],[Fcr Limit]],(0.658^(Reinforcements[[#This Row],[Fy, (ksi)]]/Reinforcements[[#This Row],[Fey, FB (ksi)]]))*Reinforcements[[#This Row],[Fy, (ksi)]],0.877*Reinforcements[[#This Row],[Fey, FB (ksi)]])</f>
        <v>64.369588945551428</v>
      </c>
      <c r="EW18" s="6">
        <f>Reinforcements[[#This Row],[Fcrx (ksi)]]*Reinforcements[[#This Row],[Gross Area (in2)]]</f>
        <v>446.15799830496957</v>
      </c>
      <c r="EX18" s="6">
        <f>Reinforcements[[#This Row],[Fcry (ksi)]]*Reinforcements[[#This Row],[Gross Area (in2)]]</f>
        <v>523.00291018260532</v>
      </c>
      <c r="EY18" s="6" t="str">
        <f>IF(Reinforcements[[#This Row],[Type]]="channel",0,"N/A")</f>
        <v>N/A</v>
      </c>
      <c r="EZ18" s="6" t="str">
        <f>IF(Reinforcements[[#This Row],[Type]]="channel",Reinforcements[[#This Row],[Channel Flange Width, b]]-(0.5*Reinforcements[[#This Row],[Channel web thickness, tw]]),"N/A")</f>
        <v>N/A</v>
      </c>
      <c r="FA18" s="6" t="str">
        <f>IF(Reinforcements[[#This Row],[Type]]="channel",Reinforcements[[#This Row],[Channel Height, h]]-Reinforcements[[#This Row],[Channel flange thickness, tf]],"N/A")</f>
        <v>N/A</v>
      </c>
      <c r="FB18" s="6" t="str">
        <f>IF(Reinforcements[[#This Row],[Type]]="channel",Reinforcements[[#This Row],[Channel web thickness, tw]],"N/A")</f>
        <v>N/A</v>
      </c>
      <c r="FC18" s="6" t="str">
        <f>IF(Reinforcements[[#This Row],[Type]]="channel",((3*Reinforcements[[#This Row],[b]]^2)/(Reinforcements[[#This Row],[h]]+(6*Reinforcements[[#This Row],[b]])))-Reinforcements[[#This Row],[t]]/2,"N/A")</f>
        <v>N/A</v>
      </c>
      <c r="FD18" s="6">
        <f>Reinforcements[[#This Row],[Pole Face to Centroid (in)]]</f>
        <v>0.625</v>
      </c>
      <c r="FE18" s="6" t="str">
        <f>IF(Reinforcements[[#This Row],[Type]]="channel",Reinforcements[[#This Row],[x(bar)]]+Reinforcements[[#This Row],['[Channel'] e0 (in)]],"N/A")</f>
        <v>N/A</v>
      </c>
      <c r="FF18" s="6" t="str">
        <f>IF(Reinforcements[[#This Row],[Type]]="channel",Reinforcements[[#This Row],[Ix]],"N/A")</f>
        <v>N/A</v>
      </c>
      <c r="FG18" s="6" t="str">
        <f>IF(Reinforcements[[#This Row],[Type]]="channel",Reinforcements[[#This Row],[Iy]],"N/A")</f>
        <v>N/A</v>
      </c>
      <c r="FH18" s="6" t="str">
        <f>IF(Reinforcements[[#This Row],[Type]]="channel",Reinforcements[[#This Row],[Gross Area (in2)]],"N/A")</f>
        <v>N/A</v>
      </c>
      <c r="FI18" s="6" t="str">
        <f>IF(Reinforcements[[#This Row],[Type]]="channel",(Reinforcements[[#This Row],[xo]]^2)+((Reinforcements[[#This Row],[Ix (FTB)]]+Reinforcements[[#This Row],[Iy (FTB)]])/Reinforcements[[#This Row],[Ag]]),"N/A")</f>
        <v>N/A</v>
      </c>
      <c r="FJ18" s="6" t="str">
        <f>IF(Reinforcements[[#This Row],[Type]]="channel",Reinforcements[[#This Row],[Lu (in)]],"N/A")</f>
        <v>N/A</v>
      </c>
      <c r="FK18" s="6" t="str">
        <f>IF(Reinforcements[[#This Row],[Type]]="channel",Reinforcements[[#This Row],[Effective Length Factor Kx]],"N/A")</f>
        <v>N/A</v>
      </c>
      <c r="FL18" s="6" t="str">
        <f>IF(Reinforcements[[#This Row],[Type]]="channel",Reinforcements[[#This Row],[Kz]]*Reinforcements[[#This Row],[Lz]],"N/A")</f>
        <v>N/A</v>
      </c>
      <c r="FM18" s="6" t="str">
        <f>IF(Reinforcements[[#This Row],[Type]]="channel",(((Reinforcements[[#This Row],[t]]^3)/3)*(Reinforcements[[#This Row],[h]]+(2*Reinforcements[[#This Row],[b]]))),"N/A")</f>
        <v>N/A</v>
      </c>
      <c r="FN18" s="6" t="str">
        <f>IF(Reinforcements[[#This Row],[Type]]="channel",(1-(((Reinforcements[[#This Row],[xo]]^2)+(Reinforcements[[#This Row],[yo]]^2))/Reinforcements[[#This Row],[ro^2(bar)]])),"N/A")</f>
        <v>N/A</v>
      </c>
      <c r="FO18" s="6">
        <v>11200</v>
      </c>
      <c r="FP18" s="6" t="str">
        <f>IF(Reinforcements[[#This Row],[Type]]="channel",(((Reinforcements[[#This Row],[h]]^2)*(Reinforcements[[#This Row],[b]]^3)*Reinforcements[[#This Row],[t]])/12)*(((2*Reinforcements[[#This Row],[h]])+(3*Reinforcements[[#This Row],[b]]))/(Reinforcements[[#This Row],[h]]+(6*Reinforcements[[#This Row],[b]]))),"N/A")</f>
        <v>N/A</v>
      </c>
      <c r="FQ18" s="6" t="str">
        <f>IF(Reinforcements[[#This Row],[Type]]="Channel",((((PI()^2)*Reinforcements[[#This Row],[E, (ksi)]]*Reinforcements[[#This Row],['[Channel'] CW (in6)]])/(Reinforcements[[#This Row],[Lcz]]^2))+(Reinforcements[[#This Row],[G]]*Reinforcements[[#This Row],['[Channel'] J (in4)]]))*(1/(Reinforcements[[#This Row],[Ag]]*Reinforcements[[#This Row],[ro^2(bar)]])),"N/A")</f>
        <v>N/A</v>
      </c>
      <c r="FR18" s="6" t="str">
        <f>IF(Reinforcements[[#This Row],[Type]]="channel",((PI()^2)*Reinforcements[[#This Row],[E, (ksi)]])/(Reinforcements[[#This Row],[Lcy/ry]]^2),"N/A")</f>
        <v>N/A</v>
      </c>
      <c r="FS18" s="6" t="str">
        <f>IF(Reinforcements[[#This Row],[Type]]="channel",((Reinforcements[[#This Row],[Fey]]+Reinforcements[[#This Row],[Fez]])/(2*Reinforcements[[#This Row],[H2]]))*(1-SQRT(1-((4*Reinforcements[[#This Row],[Fey]]*Reinforcements[[#This Row],[Fez]]*Reinforcements[[#This Row],[H2]])/(Reinforcements[[#This Row],[Fey]]+Reinforcements[[#This Row],[Fez]])^2))),"N/A")</f>
        <v>N/A</v>
      </c>
      <c r="FT18" s="6" t="str">
        <f>IF(Reinforcements[[#This Row],[Type]]="channel",IF(Reinforcements[[#This Row],[Lcx/rx]]&gt;(4.71*SQRT(Reinforcements[[#This Row],[E, (ksi)]]/Reinforcements[[#This Row],[Fy, (ksi)]])),0.877*Reinforcements[[#This Row],[Fe (FTB)]],0.658^(Reinforcements[[#This Row],[Fy, (ksi)]]/Reinforcements[[#This Row],[Fe (FTB)]])*Reinforcements[[#This Row],[Fy, (ksi)]]),"N/A")</f>
        <v>N/A</v>
      </c>
      <c r="FU18" s="6" t="str">
        <f>IF(Reinforcements[[#This Row],[Type]]="channel",MIN(Reinforcements[[#This Row],[Fcr(FTB)]],Reinforcements[[#This Row],[Fcry (ksi)]]),"N/A")</f>
        <v>N/A</v>
      </c>
      <c r="FV18" s="6">
        <v>0.22</v>
      </c>
      <c r="FW18" s="6">
        <v>1.49</v>
      </c>
      <c r="FX18" s="6" t="str">
        <f>IF(Reinforcements[[#This Row],[Type]]="channel",((Reinforcements[[#This Row],[c2]]*(Reinforcements[[#This Row],[λrf]]/Reinforcements[[#This Row],[λf]]))^2)*Reinforcements[[#This Row],[Fy, (ksi)]],"N/A")</f>
        <v>N/A</v>
      </c>
      <c r="FY18" s="6" t="str">
        <f>IF(Reinforcements[[#This Row],[Type]]="channel",((Reinforcements[[#This Row],[c2]]*(Reinforcements[[#This Row],[λrw]]/Reinforcements[[#This Row],[λw]]))^2)*Reinforcements[[#This Row],[Fy, (ksi)]],"N/A")</f>
        <v>N/A</v>
      </c>
      <c r="FZ1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6" t="str">
        <f>IF(Reinforcements[[#This Row],[Type]]="channel",Reinforcements[[#This Row],[Fcr]]*Reinforcements[[#This Row],[Ae]],"N/A")</f>
        <v>N/A</v>
      </c>
      <c r="GD18">
        <f>IF(Reinforcements[[#This Row],[Reinforcement]]="","",φ_c*Reinforcements[[#This Row],[Pnx, FB (kip)]])</f>
        <v>401.54219847447263</v>
      </c>
      <c r="GE18">
        <f>IF(Reinforcements[[#This Row],[Reinforcement]]="","",IF(Reinforcements[[#This Row],[Type]]="channel",φ_c*Reinforcements[[#This Row],[Pn]],φ_c*Reinforcements[[#This Row],[Pny, FB (kip)]]))</f>
        <v>470.70261916434481</v>
      </c>
      <c r="GF18">
        <f>Reinforcements[[#This Row],[Rev. G Tension Yield Capacity (kips)]]</f>
        <v>475.3125</v>
      </c>
      <c r="GG18">
        <f>Reinforcements[[#This Row],[Rev. G Tension Rupture Capacity (kips)]]</f>
        <v>393.75</v>
      </c>
      <c r="GH18">
        <f>Reinforcements[[#This Row],[Rev. G Shear Capacity (kips)]]</f>
        <v>237.65625</v>
      </c>
      <c r="GI18">
        <f>IFERROR((Reinforcements[[#This Row],['# of End Connection Bolts          (Bottom)]]-1)*Reinforcements[[#This Row],[End Connection Bolt Spacing (in) (B)]],"-")</f>
        <v>39</v>
      </c>
      <c r="GJ18">
        <f>IFERROR(IF(VLOOKUP(Reinforcements[[#This Row],[Bottom End Connection Bolt Type]],Bolts[],COLUMN(Bolts[[#Headers],[Rev. H Apply Connection Length Reduction Factor (Rb)?]])-1,FALSE)="Yes",(IF(Reinforcements[[#This Row],[Lb(bottom)]]&lt;=16,1,IF(Reinforcements[[#This Row],[Lb(bottom)]]&gt;38,0.75,0.9))),1),"-")</f>
        <v>1</v>
      </c>
      <c r="GK18">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f>IFERROR(IF(Reinforcements[[#This Row],[Top End Connection Same?]]="Yes",Reinforcements[[#This Row],[Lb(bottom)]],(Reinforcements[[#This Row],['# of End Connection Bolts          (Top)]]-1)*Reinforcements[[#This Row],[End Connection Bolt Spacing (in) (T)]]),"-")</f>
        <v>39</v>
      </c>
      <c r="GM18">
        <f>IFERROR(IF(VLOOKUP(Reinforcements[[#This Row],[Top End Connection Bolt Type]],Bolts[],COLUMN(Bolts[[#Headers],[Rev. H Apply Connection Length Reduction Factor (Rb)?]])-1,FALSE)=TRUE,(IF(Reinforcements[[#This Row],[Lb(top)]]&lt;=16,1,IF(Reinforcements[[#This Row],[Lb(top)]]&gt;38,0.75,0.9))),1),"-")</f>
        <v>0.75</v>
      </c>
      <c r="GN1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f>Reinforcements[[#This Row],[Rev. G Bolt-Shaft Bearing Capacity (Bottom)                No Deformation          (*t*Fu kips)]]</f>
        <v>27.59433070866142</v>
      </c>
      <c r="GP18">
        <f>Reinforcements[[#This Row],[Rev. G Bolt-Shaft Bearing Capacity (Bottom)                   Deformation          (*t*Fu kips)]]</f>
        <v>34.492913385826775</v>
      </c>
      <c r="GQ18">
        <f>Reinforcements[[#This Row],[Rev. G Bolt-Shaft Bearing Capacity (Top)                    No Deformation          (*t*Fu kips)]]</f>
        <v>27.59433070866142</v>
      </c>
      <c r="GR18">
        <f>Reinforcements[[#This Row],[Rev. G Bolt-Shaft Bearing Capacity (Top)                        Deformation          (*t*Fu kips)]]</f>
        <v>34.492913385826775</v>
      </c>
      <c r="GS18">
        <f>Reinforcements[[#This Row],[Rev. G Bolt-Reinf. Bearing Capacity (Bottom)            No Deformation (kips)]]</f>
        <v>2759.4330708661419</v>
      </c>
      <c r="GT18">
        <f>Reinforcements[[#This Row],[Rev. G Bolt-Reinf. Bearing Capacity (Bottom)               Deformation (kips)]]</f>
        <v>3449.2913385826778</v>
      </c>
      <c r="GU18">
        <f>Reinforcements[[#This Row],[Rev. G Bolt-Reinf. Bearing Capacity (Top)                  No Deformation (kips)]]</f>
        <v>2759.4330708661419</v>
      </c>
      <c r="GV18">
        <f>Reinforcements[[#This Row],[Rev. G Bolt-Reinf. Bearing Capacity (Top)               Deformation (kips)]]</f>
        <v>3449.2913385826778</v>
      </c>
      <c r="GW18" t="str">
        <f>Reinforcements[[#This Row],[Rev. G Bottom Transverse Weld Strength]]</f>
        <v>-</v>
      </c>
      <c r="GX18" t="str">
        <f>Reinforcements[[#This Row],[Rev. G Bottom Longitudinal Weld Strength]]</f>
        <v>-</v>
      </c>
      <c r="GY18" t="str">
        <f>Reinforcements[[#This Row],[Rev. G Top Transverse Weld Strength]]</f>
        <v>-</v>
      </c>
      <c r="GZ18" t="str">
        <f>Reinforcements[[#This Row],[Rev. G Top Longitudinal Weld Strength]]</f>
        <v>-</v>
      </c>
      <c r="HA18">
        <v>16</v>
      </c>
      <c r="HB1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0" x14ac:dyDescent="0.2">
      <c r="B19" s="49" t="s">
        <v>373</v>
      </c>
      <c r="C19" s="49" t="s">
        <v>352</v>
      </c>
      <c r="D19" s="6">
        <v>8.5</v>
      </c>
      <c r="E19" s="6">
        <v>1.25</v>
      </c>
      <c r="F19" s="6" t="str">
        <f>IF(Reinforcements[[#This Row],[Type]]="","",IF(Reinforcements[[#This Row],[Type]]="solid round","","n/a"))</f>
        <v>n/a</v>
      </c>
      <c r="G19" s="6" t="str">
        <f>IF(Reinforcements[[#This Row],[Type]]="","",IF(Reinforcements[[#This Row],[Type]]&lt;&gt;"channel","n/a",""))</f>
        <v>n/a</v>
      </c>
      <c r="H19" s="6" t="str">
        <f>IF(Reinforcements[[#This Row],[Type]]="","",IF(Reinforcements[[#This Row],[Type]]&lt;&gt;"channel","n/a",""))</f>
        <v>n/a</v>
      </c>
      <c r="I19" s="126" t="str">
        <f>IF(Reinforcements[[#This Row],[Type]]="","",IF(Reinforcements[[#This Row],[Type]]&lt;&gt;"channel","n/a",Reinforcements[[#This Row],[eo]]))</f>
        <v>n/a</v>
      </c>
      <c r="J19" s="126" t="str">
        <f>IF(Reinforcements[[#This Row],[Type]]="","",IF(Reinforcements[[#This Row],[Type]]&lt;&gt;"channel","n/a",Reinforcements[[#This Row],[J]]))</f>
        <v>n/a</v>
      </c>
      <c r="K19" s="126" t="str">
        <f>IF(Reinforcements[[#This Row],[Type]]="","",IF(Reinforcements[[#This Row],[Type]]&lt;&gt;"channel","n/a",Reinforcements[[#This Row],[Cw]]))</f>
        <v>n/a</v>
      </c>
      <c r="L19" s="6">
        <f>IFERROR(IF(Reinforcements[[#This Row],[Type]]="","",IF(Reinforcements[[#This Row],[Type]]="plate",Reinforcements[[#This Row],[B (in)]]*Reinforcements[[#This Row],[H (in)]],IF(Reinforcements[[#This Row],[Type]]="solid round",PI()/4*Reinforcements[[#This Row],[Diameter (in)]]^2,""))),"")</f>
        <v>10.625</v>
      </c>
      <c r="M19" s="6">
        <f>IFERROR(IF(Reinforcements[[#This Row],[Type]]="","",IF(Reinforcements[[#This Row],[Type]]="plate",Reinforcements[[#This Row],[H (in)]]/2,"")),"")</f>
        <v>0.625</v>
      </c>
      <c r="N19" s="16" t="s">
        <v>353</v>
      </c>
      <c r="O19" s="6" t="s">
        <v>138</v>
      </c>
      <c r="P19" s="123">
        <f>IFERROR(IF(Reinforcements[[#This Row],[Type]]="","",IF(Reinforcements[[#This Row],[Type]]="plate",Reinforcements[[#This Row],[B (in)]]*Reinforcements[[#This Row],[H (in)]]^3/12,IF(Reinforcements[[#This Row],[Type]]="solid round",PI()/64*Reinforcements[[#This Row],[Diameter (in)]]^4,""))),"")</f>
        <v>1.3834635416666667</v>
      </c>
      <c r="Q19" s="123">
        <f>IF(Reinforcements[[#This Row],[Reinforcement]]="","",SQRT(Reinforcements[[#This Row],[Ix]]/Reinforcements[[#This Row],[Gross Area (in2)]]))</f>
        <v>0.36084391824351614</v>
      </c>
      <c r="R19" s="123">
        <f>IFERROR(IF(Reinforcements[[#This Row],[Type]]="","",IF(Reinforcements[[#This Row],[Type]]="plate",Reinforcements[[#This Row],[B (in)]]^3*Reinforcements[[#This Row],[H (in)]]/12,IF(Reinforcements[[#This Row],[Type]]="solid round",PI()/64*Reinforcements[[#This Row],[Diameter (in)]]^4,""))),"")</f>
        <v>63.971354166666664</v>
      </c>
      <c r="S19" s="123">
        <f>IF(Reinforcements[[#This Row],[Reinforcement]]="","",SQRT(Reinforcements[[#This Row],[Iy]]/Reinforcements[[#This Row],[Gross Area (in2)]]))</f>
        <v>2.4537386440559095</v>
      </c>
      <c r="T19" s="6">
        <v>17</v>
      </c>
      <c r="U19" s="6">
        <v>0.8</v>
      </c>
      <c r="V19" s="6">
        <v>1</v>
      </c>
      <c r="W19" s="6">
        <v>1.1875</v>
      </c>
      <c r="X19" s="6">
        <f>IF(Reinforcements[[#This Row],[Bolt Hole Size (in)]]="","",IF(Reinforcements[[#This Row],[Bolt Hole Size (in)]]="n/a","n/a",Reinforcements[[#This Row],[Bolt Hole Size (in)]]*25.4))</f>
        <v>30.162499999999998</v>
      </c>
      <c r="Y1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6">
        <f>IFERROR(IF(Reinforcements[[#This Row],[Reinforcement]]="","",IF(OR(Reinforcements[[#This Row],[Type]]="plate",Reinforcements[[#This Row],[Type]]="solid round"),1,IF(Reinforcements[[#This Row],[Type]]="arbitrary","",1-Reinforcements[[#This Row],[Pole Face to Centroid (in)]]/Reinforcements[[#This Row],[Connection Length (in) '[Channels']]]))),"")</f>
        <v>1</v>
      </c>
      <c r="AA19" s="16" t="s">
        <v>354</v>
      </c>
      <c r="AB19" s="16" t="str">
        <f>IF(Reinforcements[[#This Row],[Reinforcement]]="","",IF(Reinforcements[[#This Row],[Bottom End Connection Type]]&lt;&gt;"Capacity Input","-",""))</f>
        <v>-</v>
      </c>
      <c r="AC19" s="16" t="str">
        <f>IF(Reinforcements[[#This Row],[Reinforcement]]="","",IF(Reinforcements[[#This Row],[Bottom End Connection Type]]&lt;&gt;"Capacity Input","-",""))</f>
        <v>-</v>
      </c>
      <c r="AD19" s="16" t="str">
        <f>IF(Reinforcements[[#This Row],[Reinforcement]]="","",IF(Reinforcements[[#This Row],[Bottom End Connection Type]]&lt;&gt;"Capacity Input","-",""))</f>
        <v>-</v>
      </c>
      <c r="AE19" s="74" t="s">
        <v>355</v>
      </c>
      <c r="AF19" s="6" t="s">
        <v>356</v>
      </c>
      <c r="AG19" s="6">
        <v>17</v>
      </c>
      <c r="AH19" s="6">
        <v>3</v>
      </c>
      <c r="AI19" s="6">
        <v>3</v>
      </c>
      <c r="AJ19" s="6">
        <f>Reinforcements[[#This Row],[End Connection Edge Distance (in) (B)]]-(Reinforcements[[#This Row],[Bolt Hole Size (in)]]+1/16)/2</f>
        <v>2.375</v>
      </c>
      <c r="AK19" s="6">
        <f>Reinforcements[[#This Row],[End Connection Bolt Spacing (in) (B)]]-(Reinforcements[[#This Row],[Bolt Hole Size (in)]]+1/16)</f>
        <v>1.75</v>
      </c>
      <c r="AL19" s="6">
        <f>Reinforcements[[#This Row],[End Connection Edge Distance (in) (B)]]</f>
        <v>3</v>
      </c>
      <c r="AM19" s="6">
        <f>Reinforcements[[#This Row],[End Connection Bolt Spacing (in) (B)]]</f>
        <v>3</v>
      </c>
      <c r="AN19" s="6" t="str">
        <f>IF(Reinforcements[[#This Row],[Reinforcement]]="","",IF(OR(Reinforcements[[#This Row],[Bottom End Connection Type]]="Bolted",Reinforcements[[#This Row],[Bottom End Connection Type]]=""),"-",""))</f>
        <v>-</v>
      </c>
      <c r="AO19" s="111" t="str">
        <f>IF(Reinforcements[[#This Row],[Reinforcement]]="","",IF(OR(Reinforcements[[#This Row],[Bottom End Connection Type]]="Bolted",Reinforcements[[#This Row],[Bottom End Connection Type]]=""),"-",""))</f>
        <v>-</v>
      </c>
      <c r="AP19" s="111" t="str">
        <f>IF(Reinforcements[[#This Row],[Reinforcement]]="","",IF(OR(Reinforcements[[#This Row],[Bottom End Connection Type]]="Bolted",Reinforcements[[#This Row],[Bottom End Connection Type]]=""),"-",""))</f>
        <v>-</v>
      </c>
      <c r="AQ19" s="111" t="str">
        <f>IF(OR(Reinforcements[[#This Row],[Bottom End Connection Type]]="Bolted",Reinforcements[[#This Row],[Bottom Transverse (Horizontal) Weld]]="none"),"-","")</f>
        <v>-</v>
      </c>
      <c r="AR1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11" t="str">
        <f>IF(OR(Reinforcements[[#This Row],[Bottom Transverse (Horizontal) Weld]]="none",Reinforcements[[#This Row],[Bottom End Connection Type]]="Bolted"),"-","")</f>
        <v>-</v>
      </c>
      <c r="AU1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11" t="str">
        <f>IF(Reinforcements[[#This Row],[Reinforcement]]="","",IF(OR(Reinforcements[[#This Row],[Bottom End Connection Type]]="Bolted",Reinforcements[[#This Row],[Bottom End Connection Type]]=""),"-",""))</f>
        <v>-</v>
      </c>
      <c r="AW19" s="111" t="str">
        <f>IF(Reinforcements[[#This Row],[Reinforcement]]="","",IF(OR(Reinforcements[[#This Row],[Bottom End Connection Type]]&lt;&gt;"Welded",Reinforcements[[#This Row],[Bottom Longitudinal (Vertical) Weld]]="None",Reinforcements[[#This Row],[Bottom Longitudinal (Vertical) Weld]]=""),"-",""))</f>
        <v>-</v>
      </c>
      <c r="AX19" s="111" t="str">
        <f>IF(Reinforcements[[#This Row],[Reinforcement]]="","",IF(OR(Reinforcements[[#This Row],[Bottom End Connection Type]]&lt;&gt;"Welded",Reinforcements[[#This Row],[Bottom Longitudinal (Vertical) Weld]]="None",Reinforcements[[#This Row],[Bottom Longitudinal (Vertical) Weld]]=""),"-",""))</f>
        <v>-</v>
      </c>
      <c r="AY19" s="6" t="str">
        <f>IF(Reinforcements[[#This Row],[Reinforcement]]="","",IF(OR(Reinforcements[[#This Row],[Bottom End Connection Type]]&lt;&gt;"Welded",Reinforcements[[#This Row],[Bottom Longitudinal (Vertical) Weld]]="None"),"-",SQRT(2)/2*Reinforcements[[#This Row],[Bottom Longitudinal Weld Fillet Size (in)]]))</f>
        <v>-</v>
      </c>
      <c r="AZ19" s="111" t="s">
        <v>357</v>
      </c>
      <c r="BA19" s="16" t="str">
        <f>IF(Reinforcements[[#This Row],[Top End Connection Same?]]="Yes",Reinforcements[[#This Row],[Bottom End Connection Type]],"")</f>
        <v>Bolted</v>
      </c>
      <c r="BB19" s="16" t="str">
        <f>IF(Reinforcements[[#This Row],[Reinforcement]]="","",IF(Reinforcements[[#This Row],[Top End Connection Same?]]="Yes",Reinforcements[[#This Row],[Rev. F Bottom Connection Capacity (kips)]],IF(Reinforcements[[#This Row],[Reinforcement]]="","",IF(Reinforcements[[#This Row],[Top End Connection Type]]&lt;&gt;"Capacity Input","-",""))))</f>
        <v>-</v>
      </c>
      <c r="BC19" s="16" t="str">
        <f>IF(Reinforcements[[#This Row],[Reinforcement]]="","",IF(Reinforcements[[#This Row],[Top End Connection Same?]]="Yes",Reinforcements[[#This Row],[Rev. G Bottom Connection Capacity (kips)]],IF(Reinforcements[[#This Row],[Reinforcement]]="","",IF(Reinforcements[[#This Row],[Top End Connection Type]]&lt;&gt;"Capacity Input","-",""))))</f>
        <v>-</v>
      </c>
      <c r="BD19" s="16" t="str">
        <f>IF(Reinforcements[[#This Row],[Reinforcement]]="","",IF(Reinforcements[[#This Row],[Top End Connection Same?]]="Yes",Reinforcements[[#This Row],[Rev. G Bottom Connection Capacity (kips)]],IF(Reinforcements[[#This Row],[Reinforcement]]="","",IF(Reinforcements[[#This Row],[Top End Connection Type]]&lt;&gt;"Capacity Input","-",""))))</f>
        <v>-</v>
      </c>
      <c r="BE19" s="74" t="str">
        <f>IF(Reinforcements[[#This Row],[Top End Connection Same?]]="Yes",Reinforcements[[#This Row],[Bottom End Connection Bolt Type]],IF(Reinforcements[[#This Row],[Top End Connection Type]]="Welded","-",""))</f>
        <v>PC 8.8 - M20 (100)</v>
      </c>
      <c r="BF19" s="6" t="str">
        <f>IF(Reinforcements[[#This Row],[Top End Connection Same?]]="Yes",Reinforcements[[#This Row],[Threads Included (N) or Excluded (X) (Bottom)]],IF(Reinforcements[[#This Row],[Top End Connection Type]]="Welded","-",""))</f>
        <v>N</v>
      </c>
      <c r="BG19" s="6">
        <f>IF(Reinforcements[[#This Row],[Top End Connection Same?]]="Yes",Reinforcements[[#This Row],['# of End Connection Bolts          (Bottom)]],IF(Reinforcements[[#This Row],[Top End Connection Type]]="Welded","-",""))</f>
        <v>17</v>
      </c>
      <c r="BH19" s="6">
        <f>IF(Reinforcements[[#This Row],[Top End Connection Same?]]="Yes",Reinforcements[[#This Row],[End Connection Bolt Spacing (in) (B)]],IF(Reinforcements[[#This Row],[Top End Connection Type]]="Welded","-",""))</f>
        <v>3</v>
      </c>
      <c r="BI19" s="6">
        <f>IF(Reinforcements[[#This Row],[Top End Connection Same?]]="Yes",Reinforcements[[#This Row],[End Connection Edge Distance (in) (B)]],IF(Reinforcements[[#This Row],[Top End Connection Type]]="Welded","-",""))</f>
        <v>3</v>
      </c>
      <c r="BJ19" s="6">
        <f>Reinforcements[[#This Row],[End Connection Edge Distance (in) (T)]]-(Reinforcements[[#This Row],[Bolt Hole Size (in)]]+1/16)/2</f>
        <v>2.375</v>
      </c>
      <c r="BK19" s="6">
        <f>Reinforcements[[#This Row],[End Connection Bolt Spacing (in) (T)]]-(Reinforcements[[#This Row],[Bolt Hole Size (in)]]+1/16)</f>
        <v>1.75</v>
      </c>
      <c r="BL19" s="6">
        <f>Reinforcements[[#This Row],[End Connection Edge Distance (in) (T)]]</f>
        <v>3</v>
      </c>
      <c r="BM19" s="6">
        <f>Reinforcements[[#This Row],[End Connection Bolt Spacing (in) (T)]]</f>
        <v>3</v>
      </c>
      <c r="BN19" s="6" t="str">
        <f>IF(Reinforcements[[#This Row],[Reinforcement]]="","",IF(Reinforcements[[#This Row],[Top End Connection Same?]]="Yes",Reinforcements[[#This Row],[Bottom Connected to Flange/Base Plate?]],IF(Reinforcements[[#This Row],[Top End Connection Type]]="Bolted","-","")))</f>
        <v>-</v>
      </c>
      <c r="BO19" s="6" t="str">
        <f>IF(Reinforcements[[#This Row],[Reinforcement]]="","",IF(Reinforcements[[#This Row],[Top End Connection Same?]]="Yes",Reinforcements[[#This Row],[Bottom Weld Grade (ksi)]],IF(OR(Reinforcements[[#This Row],[Top End Connection Type]]&lt;&gt;"Welded",Reinforcements[[#This Row],[Top End Connection Type]]=""),"-","")))</f>
        <v>-</v>
      </c>
      <c r="BP19" s="6" t="str">
        <f>IF($AZ19="Yes",AP19,IF(Reinforcements[[#This Row],[Reinforcement]]="","",IF(OR(Reinforcements[[#This Row],[Top End Connection Type]]&lt;&gt;"Welded",Reinforcements[[#This Row],[Top End Connection Type]]=""),"-","")))</f>
        <v>-</v>
      </c>
      <c r="BQ19" s="6" t="str">
        <f>IF(Reinforcements[[#This Row],[Reinforcement]]="","",IF($AZ19="Yes",AQ19,IF(OR(Reinforcements[[#This Row],[Top End Connection Type]]&lt;&gt;"Welded",Reinforcements[[#This Row],[Top Transverse (Horizontal) Weld]]="none",Reinforcements[[#This Row],[Top Transverse (Horizontal) Weld]]=""),"-","")))</f>
        <v>-</v>
      </c>
      <c r="BR19" s="6"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6"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6" t="str">
        <f>IF(Reinforcements[[#This Row],[Reinforcement]]="","",IF($AZ19="Yes",AT19,IF(OR(Reinforcements[[#This Row],[Top Transverse (Horizontal) Weld]]="none",Reinforcements[[#This Row],[Top End Connection Type]]&lt;&gt;"Welded",Reinforcements[[#This Row],[Top Transverse (Horizontal) Weld]]=""),"-","")))</f>
        <v>-</v>
      </c>
      <c r="BU19" s="6"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6" t="str">
        <f>IF($AZ19="Yes",AV19,IF(Reinforcements[[#This Row],[Reinforcement]]="","",IF(OR(Reinforcements[[#This Row],[Top End Connection Type]]&lt;&gt;"Welded",Reinforcements[[#This Row],[Top End Connection Type]]=""),"-","")))</f>
        <v>-</v>
      </c>
      <c r="BW19" s="6"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6"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6" t="str">
        <f>IF($AZ19="Yes",AY19,IF(Reinforcements[[#This Row],[Reinforcement]]="","",IF(OR(Reinforcements[[#This Row],[Top End Connection Type]]&lt;&gt;"Welded",Reinforcements[[#This Row],[Top Longitudinal (Vertical) Weld]]="none"),"-",SQRT(2)/2*Reinforcements[[#This Row],[Top Longitudinal Weld Fillet Size (in)]])))</f>
        <v>-</v>
      </c>
      <c r="BZ1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11">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11">
        <f>IF(Reinforcements[[#This Row],[Reinforcement]]="","",IF(Reinforcements[[#This Row],[Top End Connection Type]]&lt;&gt;"Bolted","n/a",(Reinforcements[[#This Row],['# of End Connection Bolts          (Top)]]-1)*Reinforcements[[#This Row],[End Connection Bolt Spacing (in) (T)]]+Reinforcements[[#This Row],[End Connection Edge Distance (in) (T)]]))</f>
        <v>51</v>
      </c>
      <c r="CC1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6">
        <f>IFERROR(IF(Reinforcements[[#This Row],[Type]]="","",Reinforcements[[#This Row],[Effective B (in)]]*Reinforcements[[#This Row],[Effective H (in)]]^3/12),"")</f>
        <v>1.3834635416666667</v>
      </c>
      <c r="CF19" s="6">
        <f>IFERROR(IF(Reinforcements[[#This Row],[Type]]="","",Reinforcements[[#This Row],[Effective B (in)]]^3*Reinforcements[[#This Row],[Effective H (in)]]/12),"")</f>
        <v>63.971354166666664</v>
      </c>
      <c r="CG19" s="126">
        <f>SQRT(2*PI()^2*29000/VLOOKUP(Reinforcements[[#This Row],[Material]],Materials[],2,FALSE))</f>
        <v>93.844147005158973</v>
      </c>
      <c r="CH1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23">
        <f>Reinforcements[[#This Row],[Effective Length Factor Kx]]*Reinforcements[[#This Row],[Lu (in)]]/(Reinforcements[[#This Row],[rx]]*PI())*SQRT(VLOOKUP(Reinforcements[[#This Row],[Material]],Materials[],2,FALSE)/29000)</f>
        <v>0.56797252150453015</v>
      </c>
      <c r="CK19" s="123">
        <f>Reinforcements[[#This Row],[Effective Length Factor Ky]]*Reinforcements[[#This Row],[Lu (in)]]/(Reinforcements[[#This Row],[ry]]*PI())*SQRT(VLOOKUP(Reinforcements[[#This Row],[Material]],Materials[],2,FALSE)/29000)</f>
        <v>0.10440671351186218</v>
      </c>
      <c r="CL19" s="123">
        <f>IF(Reinforcements[[#This Row],[λcx]]&lt;=1.5,0.658^(Reinforcements[[#This Row],[λcx]]^2)*Reinforcements[[#This Row],[F''y]],0.877/(Reinforcements[[#This Row],[λcx]]^2)*Reinforcements[[#This Row],[F''y]])</f>
        <v>56.790323341365259</v>
      </c>
      <c r="CM19" s="123">
        <f>IF(Reinforcements[[#This Row],[λcy]]&lt;=1.5,0.658^(Reinforcements[[#This Row],[λcy]]^2)*Reinforcements[[#This Row],[F''y]],0.877/(Reinforcements[[#This Row],[λcy]]^2)*Reinforcements[[#This Row],[F''y]])</f>
        <v>64.704111863315191</v>
      </c>
      <c r="CN19" s="6">
        <f>VLOOKUP(Reinforcements[[#This Row],[Material]],Materials[],2,FALSE)</f>
        <v>65</v>
      </c>
      <c r="CO19" s="126">
        <f>IF(Reinforcements[[#This Row],[Reinforcement]]="","",Reinforcements[[#This Row],[Fax]]*Reinforcements[[#This Row],[Gross Area (in2)]])</f>
        <v>350.94841254296813</v>
      </c>
      <c r="CP19" s="126">
        <f>IF(Reinforcements[[#This Row],[Reinforcement]]="","",Reinforcements[[#This Row],[Fay]]*Reinforcements[[#This Row],[Gross Area (in2)]])</f>
        <v>406.50555073613361</v>
      </c>
      <c r="CQ19" s="126">
        <f>IF(Reinforcements[[#This Row],[Reinforcement]]="","",0.6*VLOOKUP(Reinforcements[[#This Row],[Material]],Materials[],2,FALSE)*Reinforcements[[#This Row],[Gross Area (in2)]])</f>
        <v>414.375</v>
      </c>
      <c r="CR19" s="126">
        <f>IF(Reinforcements[[#This Row],[Reinforcement]]="","",0.5*VLOOKUP(Reinforcements[[#This Row],[Material]],Materials[],3,FALSE)*Reinforcements[[#This Row],[Net Area (in2)]]*Reinforcements[[#This Row],[Shear Lag (U)]])</f>
        <v>362.5</v>
      </c>
      <c r="CS19" s="126">
        <f>IF(Reinforcements[[#This Row],[Reinforcement]]="","",0.4*VLOOKUP(Reinforcements[[#This Row],[Material]],Materials[],2,FALSE)*Reinforcements[[#This Row],[Gross Area (in2)]])</f>
        <v>276.25</v>
      </c>
      <c r="CT19"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6"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6"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26">
        <f>IF(Reinforcements[[#This Row],[Reinforcement]]="","",φ_c*Reinforcements[[#This Row],[Fcr,x]]*Reinforcements[[#This Row],[Gross Area (in2)]])</f>
        <v>543.05746695180528</v>
      </c>
      <c r="DI19" s="126">
        <f>IF(Reinforcements[[#This Row],[Reinforcement]]="","",φ_c*Reinforcements[[#This Row],[Fcr,y]]*Reinforcements[[#This Row],[Gross Area (in2)]])</f>
        <v>618.73306969295152</v>
      </c>
      <c r="DJ19" s="126">
        <f>IF(Reinforcements[[#This Row],[Reinforcement]]="","",φ_t_y*VLOOKUP(Reinforcements[[#This Row],[Material]],Materials[],2,FALSE)*Reinforcements[[#This Row],[Gross Area (in2)]])</f>
        <v>621.5625</v>
      </c>
      <c r="DK19" s="126">
        <f>IF(Reinforcements[[#This Row],[Reinforcement]]="","",φ_t_r*VLOOKUP(Reinforcements[[#This Row],[Material]],Materials[],3,FALSE)*Reinforcements[[#This Row],[Net Area (in2)]]*Reinforcements[[#This Row],[Shear Lag (U)]])</f>
        <v>543.75</v>
      </c>
      <c r="DL19" s="126">
        <f>IF(Reinforcements[[#This Row],[Reinforcement]]="","",φ_v*0.5*Reinforcements[[#This Row],[F''y]]*Reinforcements[[#This Row],[Gross Area (in2)]])</f>
        <v>310.78125</v>
      </c>
      <c r="DM19"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6"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6"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111" t="str">
        <f>IF(OR(Reinforcements[[#This Row],[Type]]="plate",Reinforcements[[#This Row],[Type]]="solid round"),"N/A",Reinforcements[[#This Row],[B (in)]])</f>
        <v>N/A</v>
      </c>
      <c r="EB19" s="6" t="str">
        <f>IF(OR(Reinforcements[[#This Row],[Type]]="plate",Reinforcements[[#This Row],[Type]]="solid round"),"N/A",Reinforcements[[#This Row],[H (in)]])</f>
        <v>N/A</v>
      </c>
      <c r="EC19" s="6" t="str">
        <f>IF(OR(Reinforcements[[#This Row],[Type]]="plate",Reinforcements[[#This Row],[Type]]="solid round"),"N/A",Reinforcements[[#This Row],[B (in)]]-Reinforcements[[#This Row],['[Channel'] Flange Thickness (in)]])</f>
        <v>N/A</v>
      </c>
      <c r="ED19" s="6" t="str">
        <f>IF(OR(Reinforcements[[#This Row],[Type]]="plate",Reinforcements[[#This Row],[Type]]="solid round"),"N/A",Reinforcements[[#This Row],['[Channel']Web Thickness (in)]])</f>
        <v>N/A</v>
      </c>
      <c r="EE19" s="6" t="str">
        <f>IF(OR(Reinforcements[[#This Row],[Type]]="plate",Reinforcements[[#This Row],[Type]]="solid round"),"N/A",Reinforcements[[#This Row],['[Channel'] Flange Thickness (in)]])</f>
        <v>N/A</v>
      </c>
      <c r="EF19" s="6" t="str">
        <f>IF(Reinforcements[[#This Row],[Type]]="channel",Reinforcements[[#This Row],[Channel Flange Width, b]]/Reinforcements[[#This Row],[Channel flange thickness, tf]],"N/A")</f>
        <v>N/A</v>
      </c>
      <c r="EG19" s="6" t="str">
        <f>IF(Reinforcements[[#This Row],[Type]]="channel",Reinforcements[[#This Row],[Channel inside depth, T]]/Reinforcements[[#This Row],[Channel web thickness, tw]],"N/A")</f>
        <v>N/A</v>
      </c>
      <c r="EH19" s="6">
        <f>29000</f>
        <v>29000</v>
      </c>
      <c r="EI19" s="6" t="str">
        <f>IF(Reinforcements[[#This Row],[Type]]="channel",0.56*SQRT(Reinforcements[[#This Row],[E, (ksi)]]/Reinforcements[[#This Row],[Fy, (ksi)]]),"N/A")</f>
        <v>N/A</v>
      </c>
      <c r="EJ19" s="6" t="str">
        <f>IF(Reinforcements[[#This Row],[Type]]="channel",1.49*SQRT(Reinforcements[[#This Row],[E, (ksi)]]/Reinforcements[[#This Row],[Fy, (ksi)]]),"N/A")</f>
        <v>N/A</v>
      </c>
      <c r="EK19" s="6">
        <f>VLOOKUP(Reinforcements[[#This Row],[Material]],Materials!$B$2:$C$30,2,FALSE)</f>
        <v>65</v>
      </c>
      <c r="EL19" s="6">
        <f>Reinforcements[[#This Row],[Lu (in)]]*Reinforcements[[#This Row],[Effective Length Factor Kx]]</f>
        <v>13.600000000000001</v>
      </c>
      <c r="EM19" s="6">
        <f>Reinforcements[[#This Row],[Lu (in)]]*Reinforcements[[#This Row],[Effective Length Factor Ky]]</f>
        <v>17</v>
      </c>
      <c r="EN19" s="6">
        <f>Reinforcements[[#This Row],[rx]]</f>
        <v>0.36084391824351614</v>
      </c>
      <c r="EO19" s="6">
        <f>Reinforcements[[#This Row],[ry]]</f>
        <v>2.4537386440559095</v>
      </c>
      <c r="EP19" s="6">
        <f>Reinforcements[[#This Row],[Lcx (in)]]/Reinforcements[[#This Row],[rx (in)]]</f>
        <v>37.689425572698774</v>
      </c>
      <c r="EQ19" s="6">
        <f>Reinforcements[[#This Row],[Lcy (in)]]/Reinforcements[[#This Row],[ry (in)]]</f>
        <v>6.9282032302755097</v>
      </c>
      <c r="ER19" s="6">
        <f>((PI()^2)*Reinforcements[[#This Row],[E, (ksi)]])/(Reinforcements[[#This Row],[Lcx/rx]]^2)</f>
        <v>201.49241702005904</v>
      </c>
      <c r="ES19" s="6">
        <f>((PI()^2)*Reinforcements[[#This Row],[E, (ksi)]])/(Reinforcements[[#This Row],[Lcy/ry]]^2)</f>
        <v>5962.8859923248192</v>
      </c>
      <c r="ET19" s="6">
        <f>4.71*(SQRT(Reinforcements[[#This Row],[E, (ksi)]]/Reinforcements[[#This Row],[Fy, (ksi)]]))</f>
        <v>99.486288193205496</v>
      </c>
      <c r="EU19" s="6">
        <f>IF(Reinforcements[[#This Row],[Lcx/rx]]&lt;=Reinforcements[[#This Row],[Fcr Limit]],(0.658^(Reinforcements[[#This Row],[Fy, (ksi)]]/Reinforcements[[#This Row],[Fex, FB (ksi)]]))*Reinforcements[[#This Row],[Fy, (ksi)]],0.877*Reinforcements[[#This Row],[Fex, FB (ksi)]])</f>
        <v>56.790323341365259</v>
      </c>
      <c r="EV19" s="6">
        <f>IF(Reinforcements[[#This Row],[Lcy/ry]]&lt;=Reinforcements[[#This Row],[Fcr Limit]],(0.658^(Reinforcements[[#This Row],[Fy, (ksi)]]/Reinforcements[[#This Row],[Fey, FB (ksi)]]))*Reinforcements[[#This Row],[Fy, (ksi)]],0.877*Reinforcements[[#This Row],[Fey, FB (ksi)]])</f>
        <v>64.704111863315191</v>
      </c>
      <c r="EW19" s="6">
        <f>Reinforcements[[#This Row],[Fcrx (ksi)]]*Reinforcements[[#This Row],[Gross Area (in2)]]</f>
        <v>603.39718550200587</v>
      </c>
      <c r="EX19" s="6">
        <f>Reinforcements[[#This Row],[Fcry (ksi)]]*Reinforcements[[#This Row],[Gross Area (in2)]]</f>
        <v>687.48118854772395</v>
      </c>
      <c r="EY19" s="6" t="str">
        <f>IF(Reinforcements[[#This Row],[Type]]="channel",0,"N/A")</f>
        <v>N/A</v>
      </c>
      <c r="EZ19" s="6" t="str">
        <f>IF(Reinforcements[[#This Row],[Type]]="channel",Reinforcements[[#This Row],[Channel Flange Width, b]]-(0.5*Reinforcements[[#This Row],[Channel web thickness, tw]]),"N/A")</f>
        <v>N/A</v>
      </c>
      <c r="FA19" s="6" t="str">
        <f>IF(Reinforcements[[#This Row],[Type]]="channel",Reinforcements[[#This Row],[Channel Height, h]]-Reinforcements[[#This Row],[Channel flange thickness, tf]],"N/A")</f>
        <v>N/A</v>
      </c>
      <c r="FB19" s="6" t="str">
        <f>IF(Reinforcements[[#This Row],[Type]]="channel",Reinforcements[[#This Row],[Channel web thickness, tw]],"N/A")</f>
        <v>N/A</v>
      </c>
      <c r="FC19" s="6" t="str">
        <f>IF(Reinforcements[[#This Row],[Type]]="channel",((3*Reinforcements[[#This Row],[b]]^2)/(Reinforcements[[#This Row],[h]]+(6*Reinforcements[[#This Row],[b]])))-Reinforcements[[#This Row],[t]]/2,"N/A")</f>
        <v>N/A</v>
      </c>
      <c r="FD19" s="6">
        <f>Reinforcements[[#This Row],[Pole Face to Centroid (in)]]</f>
        <v>0.625</v>
      </c>
      <c r="FE19" s="6" t="str">
        <f>IF(Reinforcements[[#This Row],[Type]]="channel",Reinforcements[[#This Row],[x(bar)]]+Reinforcements[[#This Row],['[Channel'] e0 (in)]],"N/A")</f>
        <v>N/A</v>
      </c>
      <c r="FF19" s="6" t="str">
        <f>IF(Reinforcements[[#This Row],[Type]]="channel",Reinforcements[[#This Row],[Ix]],"N/A")</f>
        <v>N/A</v>
      </c>
      <c r="FG19" s="6" t="str">
        <f>IF(Reinforcements[[#This Row],[Type]]="channel",Reinforcements[[#This Row],[Iy]],"N/A")</f>
        <v>N/A</v>
      </c>
      <c r="FH19" s="6" t="str">
        <f>IF(Reinforcements[[#This Row],[Type]]="channel",Reinforcements[[#This Row],[Gross Area (in2)]],"N/A")</f>
        <v>N/A</v>
      </c>
      <c r="FI19" s="6" t="str">
        <f>IF(Reinforcements[[#This Row],[Type]]="channel",(Reinforcements[[#This Row],[xo]]^2)+((Reinforcements[[#This Row],[Ix (FTB)]]+Reinforcements[[#This Row],[Iy (FTB)]])/Reinforcements[[#This Row],[Ag]]),"N/A")</f>
        <v>N/A</v>
      </c>
      <c r="FJ19" s="6" t="str">
        <f>IF(Reinforcements[[#This Row],[Type]]="channel",Reinforcements[[#This Row],[Lu (in)]],"N/A")</f>
        <v>N/A</v>
      </c>
      <c r="FK19" s="6" t="str">
        <f>IF(Reinforcements[[#This Row],[Type]]="channel",Reinforcements[[#This Row],[Effective Length Factor Kx]],"N/A")</f>
        <v>N/A</v>
      </c>
      <c r="FL19" s="6" t="str">
        <f>IF(Reinforcements[[#This Row],[Type]]="channel",Reinforcements[[#This Row],[Kz]]*Reinforcements[[#This Row],[Lz]],"N/A")</f>
        <v>N/A</v>
      </c>
      <c r="FM19" s="6" t="str">
        <f>IF(Reinforcements[[#This Row],[Type]]="channel",(((Reinforcements[[#This Row],[t]]^3)/3)*(Reinforcements[[#This Row],[h]]+(2*Reinforcements[[#This Row],[b]]))),"N/A")</f>
        <v>N/A</v>
      </c>
      <c r="FN19" s="6" t="str">
        <f>IF(Reinforcements[[#This Row],[Type]]="channel",(1-(((Reinforcements[[#This Row],[xo]]^2)+(Reinforcements[[#This Row],[yo]]^2))/Reinforcements[[#This Row],[ro^2(bar)]])),"N/A")</f>
        <v>N/A</v>
      </c>
      <c r="FO19" s="6">
        <v>11200</v>
      </c>
      <c r="FP19" s="6" t="str">
        <f>IF(Reinforcements[[#This Row],[Type]]="channel",(((Reinforcements[[#This Row],[h]]^2)*(Reinforcements[[#This Row],[b]]^3)*Reinforcements[[#This Row],[t]])/12)*(((2*Reinforcements[[#This Row],[h]])+(3*Reinforcements[[#This Row],[b]]))/(Reinforcements[[#This Row],[h]]+(6*Reinforcements[[#This Row],[b]]))),"N/A")</f>
        <v>N/A</v>
      </c>
      <c r="FQ19" s="6" t="str">
        <f>IF(Reinforcements[[#This Row],[Type]]="Channel",((((PI()^2)*Reinforcements[[#This Row],[E, (ksi)]]*Reinforcements[[#This Row],['[Channel'] CW (in6)]])/(Reinforcements[[#This Row],[Lcz]]^2))+(Reinforcements[[#This Row],[G]]*Reinforcements[[#This Row],['[Channel'] J (in4)]]))*(1/(Reinforcements[[#This Row],[Ag]]*Reinforcements[[#This Row],[ro^2(bar)]])),"N/A")</f>
        <v>N/A</v>
      </c>
      <c r="FR19" s="6" t="str">
        <f>IF(Reinforcements[[#This Row],[Type]]="channel",((PI()^2)*Reinforcements[[#This Row],[E, (ksi)]])/(Reinforcements[[#This Row],[Lcy/ry]]^2),"N/A")</f>
        <v>N/A</v>
      </c>
      <c r="FS19" s="6" t="str">
        <f>IF(Reinforcements[[#This Row],[Type]]="channel",((Reinforcements[[#This Row],[Fey]]+Reinforcements[[#This Row],[Fez]])/(2*Reinforcements[[#This Row],[H2]]))*(1-SQRT(1-((4*Reinforcements[[#This Row],[Fey]]*Reinforcements[[#This Row],[Fez]]*Reinforcements[[#This Row],[H2]])/(Reinforcements[[#This Row],[Fey]]+Reinforcements[[#This Row],[Fez]])^2))),"N/A")</f>
        <v>N/A</v>
      </c>
      <c r="FT19" s="6" t="str">
        <f>IF(Reinforcements[[#This Row],[Type]]="channel",IF(Reinforcements[[#This Row],[Lcx/rx]]&gt;(4.71*SQRT(Reinforcements[[#This Row],[E, (ksi)]]/Reinforcements[[#This Row],[Fy, (ksi)]])),0.877*Reinforcements[[#This Row],[Fe (FTB)]],0.658^(Reinforcements[[#This Row],[Fy, (ksi)]]/Reinforcements[[#This Row],[Fe (FTB)]])*Reinforcements[[#This Row],[Fy, (ksi)]]),"N/A")</f>
        <v>N/A</v>
      </c>
      <c r="FU19" s="6" t="str">
        <f>IF(Reinforcements[[#This Row],[Type]]="channel",MIN(Reinforcements[[#This Row],[Fcr(FTB)]],Reinforcements[[#This Row],[Fcry (ksi)]]),"N/A")</f>
        <v>N/A</v>
      </c>
      <c r="FV19" s="6">
        <v>0.22</v>
      </c>
      <c r="FW19" s="6">
        <v>1.49</v>
      </c>
      <c r="FX19" s="6" t="str">
        <f>IF(Reinforcements[[#This Row],[Type]]="channel",((Reinforcements[[#This Row],[c2]]*(Reinforcements[[#This Row],[λrf]]/Reinforcements[[#This Row],[λf]]))^2)*Reinforcements[[#This Row],[Fy, (ksi)]],"N/A")</f>
        <v>N/A</v>
      </c>
      <c r="FY19" s="6" t="str">
        <f>IF(Reinforcements[[#This Row],[Type]]="channel",((Reinforcements[[#This Row],[c2]]*(Reinforcements[[#This Row],[λrw]]/Reinforcements[[#This Row],[λw]]))^2)*Reinforcements[[#This Row],[Fy, (ksi)]],"N/A")</f>
        <v>N/A</v>
      </c>
      <c r="FZ1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6" t="str">
        <f>IF(Reinforcements[[#This Row],[Type]]="channel",Reinforcements[[#This Row],[Fcr]]*Reinforcements[[#This Row],[Ae]],"N/A")</f>
        <v>N/A</v>
      </c>
      <c r="GD19">
        <f>IF(Reinforcements[[#This Row],[Reinforcement]]="","",φ_c*Reinforcements[[#This Row],[Pnx, FB (kip)]])</f>
        <v>543.05746695180528</v>
      </c>
      <c r="GE19">
        <f>IF(Reinforcements[[#This Row],[Reinforcement]]="","",IF(Reinforcements[[#This Row],[Type]]="channel",φ_c*Reinforcements[[#This Row],[Pn]],φ_c*Reinforcements[[#This Row],[Pny, FB (kip)]]))</f>
        <v>618.73306969295152</v>
      </c>
      <c r="GF19">
        <f>Reinforcements[[#This Row],[Rev. G Tension Yield Capacity (kips)]]</f>
        <v>621.5625</v>
      </c>
      <c r="GG19">
        <f>Reinforcements[[#This Row],[Rev. G Tension Rupture Capacity (kips)]]</f>
        <v>543.75</v>
      </c>
      <c r="GH19">
        <f>Reinforcements[[#This Row],[Rev. G Shear Capacity (kips)]]</f>
        <v>310.78125</v>
      </c>
      <c r="GI19">
        <f>IFERROR((Reinforcements[[#This Row],['# of End Connection Bolts          (Bottom)]]-1)*Reinforcements[[#This Row],[End Connection Bolt Spacing (in) (B)]],"-")</f>
        <v>48</v>
      </c>
      <c r="GJ19">
        <f>IFERROR(IF(VLOOKUP(Reinforcements[[#This Row],[Bottom End Connection Bolt Type]],Bolts[],COLUMN(Bolts[[#Headers],[Rev. H Apply Connection Length Reduction Factor (Rb)?]])-1,FALSE)="Yes",(IF(Reinforcements[[#This Row],[Lb(bottom)]]&lt;=16,1,IF(Reinforcements[[#This Row],[Lb(bottom)]]&gt;38,0.75,0.9))),1),"-")</f>
        <v>1</v>
      </c>
      <c r="GK1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f>IFERROR(IF(Reinforcements[[#This Row],[Top End Connection Same?]]="Yes",Reinforcements[[#This Row],[Lb(bottom)]],(Reinforcements[[#This Row],['# of End Connection Bolts          (Top)]]-1)*Reinforcements[[#This Row],[End Connection Bolt Spacing (in) (T)]]),"-")</f>
        <v>48</v>
      </c>
      <c r="GM19">
        <f>IFERROR(IF(VLOOKUP(Reinforcements[[#This Row],[Top End Connection Bolt Type]],Bolts[],COLUMN(Bolts[[#Headers],[Rev. H Apply Connection Length Reduction Factor (Rb)?]])-1,FALSE)=TRUE,(IF(Reinforcements[[#This Row],[Lb(top)]]&lt;=16,1,IF(Reinforcements[[#This Row],[Lb(top)]]&gt;38,0.75,0.9))),1),"-")</f>
        <v>0.75</v>
      </c>
      <c r="GN1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f>Reinforcements[[#This Row],[Rev. G Bolt-Shaft Bearing Capacity (Bottom)                No Deformation          (*t*Fu kips)]]</f>
        <v>33.456377952755908</v>
      </c>
      <c r="GP19">
        <f>Reinforcements[[#This Row],[Rev. G Bolt-Shaft Bearing Capacity (Bottom)                   Deformation          (*t*Fu kips)]]</f>
        <v>41.820472440944883</v>
      </c>
      <c r="GQ19">
        <f>Reinforcements[[#This Row],[Rev. G Bolt-Shaft Bearing Capacity (Top)                    No Deformation          (*t*Fu kips)]]</f>
        <v>33.456377952755908</v>
      </c>
      <c r="GR19">
        <f>Reinforcements[[#This Row],[Rev. G Bolt-Shaft Bearing Capacity (Top)                        Deformation          (*t*Fu kips)]]</f>
        <v>41.820472440944883</v>
      </c>
      <c r="GS19">
        <f>Reinforcements[[#This Row],[Rev. G Bolt-Reinf. Bearing Capacity (Bottom)            No Deformation (kips)]]</f>
        <v>3345.6377952755911</v>
      </c>
      <c r="GT19">
        <f>Reinforcements[[#This Row],[Rev. G Bolt-Reinf. Bearing Capacity (Bottom)               Deformation (kips)]]</f>
        <v>4182.0472440944886</v>
      </c>
      <c r="GU19">
        <f>Reinforcements[[#This Row],[Rev. G Bolt-Reinf. Bearing Capacity (Top)                  No Deformation (kips)]]</f>
        <v>3345.6377952755911</v>
      </c>
      <c r="GV19">
        <f>Reinforcements[[#This Row],[Rev. G Bolt-Reinf. Bearing Capacity (Top)               Deformation (kips)]]</f>
        <v>4182.0472440944886</v>
      </c>
      <c r="GW19" t="str">
        <f>Reinforcements[[#This Row],[Rev. G Bottom Transverse Weld Strength]]</f>
        <v>-</v>
      </c>
      <c r="GX19" t="str">
        <f>Reinforcements[[#This Row],[Rev. G Bottom Longitudinal Weld Strength]]</f>
        <v>-</v>
      </c>
      <c r="GY19" t="str">
        <f>Reinforcements[[#This Row],[Rev. G Top Transverse Weld Strength]]</f>
        <v>-</v>
      </c>
      <c r="GZ19" t="str">
        <f>Reinforcements[[#This Row],[Rev. G Top Longitudinal Weld Strength]]</f>
        <v>-</v>
      </c>
      <c r="HA19">
        <v>17</v>
      </c>
      <c r="HB1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0" x14ac:dyDescent="0.2">
      <c r="B20" s="49" t="s">
        <v>374</v>
      </c>
      <c r="C20" s="49" t="s">
        <v>352</v>
      </c>
      <c r="D20" s="6">
        <v>4</v>
      </c>
      <c r="E20" s="6">
        <v>0.75</v>
      </c>
      <c r="F20" s="6" t="str">
        <f>IF(Reinforcements[[#This Row],[Type]]="","",IF(Reinforcements[[#This Row],[Type]]="solid round","","n/a"))</f>
        <v>n/a</v>
      </c>
      <c r="G20" s="6" t="str">
        <f>IF(Reinforcements[[#This Row],[Type]]="","",IF(Reinforcements[[#This Row],[Type]]&lt;&gt;"channel","n/a",""))</f>
        <v>n/a</v>
      </c>
      <c r="H20" s="6" t="str">
        <f>IF(Reinforcements[[#This Row],[Type]]="","",IF(Reinforcements[[#This Row],[Type]]&lt;&gt;"channel","n/a",""))</f>
        <v>n/a</v>
      </c>
      <c r="I20" s="126" t="str">
        <f>IF(Reinforcements[[#This Row],[Type]]="","",IF(Reinforcements[[#This Row],[Type]]&lt;&gt;"channel","n/a",Reinforcements[[#This Row],[eo]]))</f>
        <v>n/a</v>
      </c>
      <c r="J20" s="126" t="str">
        <f>IF(Reinforcements[[#This Row],[Type]]="","",IF(Reinforcements[[#This Row],[Type]]&lt;&gt;"channel","n/a",Reinforcements[[#This Row],[J]]))</f>
        <v>n/a</v>
      </c>
      <c r="K20" s="126" t="str">
        <f>IF(Reinforcements[[#This Row],[Type]]="","",IF(Reinforcements[[#This Row],[Type]]&lt;&gt;"channel","n/a",Reinforcements[[#This Row],[Cw]]))</f>
        <v>n/a</v>
      </c>
      <c r="L20" s="6">
        <f>IFERROR(IF(Reinforcements[[#This Row],[Type]]="","",IF(Reinforcements[[#This Row],[Type]]="plate",Reinforcements[[#This Row],[B (in)]]*Reinforcements[[#This Row],[H (in)]],IF(Reinforcements[[#This Row],[Type]]="solid round",PI()/4*Reinforcements[[#This Row],[Diameter (in)]]^2,""))),"")</f>
        <v>3</v>
      </c>
      <c r="M20" s="6">
        <f>IFERROR(IF(Reinforcements[[#This Row],[Type]]="","",IF(Reinforcements[[#This Row],[Type]]="plate",Reinforcements[[#This Row],[H (in)]]/2,"")),"")</f>
        <v>0.375</v>
      </c>
      <c r="N20" s="16" t="s">
        <v>353</v>
      </c>
      <c r="O20" s="6" t="s">
        <v>138</v>
      </c>
      <c r="P20" s="123">
        <f>IFERROR(IF(Reinforcements[[#This Row],[Type]]="","",IF(Reinforcements[[#This Row],[Type]]="plate",Reinforcements[[#This Row],[B (in)]]*Reinforcements[[#This Row],[H (in)]]^3/12,IF(Reinforcements[[#This Row],[Type]]="solid round",PI()/64*Reinforcements[[#This Row],[Diameter (in)]]^4,""))),"")</f>
        <v>0.140625</v>
      </c>
      <c r="Q20" s="123">
        <f>IF(Reinforcements[[#This Row],[Reinforcement]]="","",SQRT(Reinforcements[[#This Row],[Ix]]/Reinforcements[[#This Row],[Gross Area (in2)]]))</f>
        <v>0.21650635094610965</v>
      </c>
      <c r="R20" s="123">
        <f>IFERROR(IF(Reinforcements[[#This Row],[Type]]="","",IF(Reinforcements[[#This Row],[Type]]="plate",Reinforcements[[#This Row],[B (in)]]^3*Reinforcements[[#This Row],[H (in)]]/12,IF(Reinforcements[[#This Row],[Type]]="solid round",PI()/64*Reinforcements[[#This Row],[Diameter (in)]]^4,""))),"")</f>
        <v>4</v>
      </c>
      <c r="S20" s="123">
        <f>IF(Reinforcements[[#This Row],[Reinforcement]]="","",SQRT(Reinforcements[[#This Row],[Iy]]/Reinforcements[[#This Row],[Gross Area (in2)]]))</f>
        <v>1.1547005383792515</v>
      </c>
      <c r="T20" s="6">
        <v>16</v>
      </c>
      <c r="U20" s="6">
        <v>0.8</v>
      </c>
      <c r="V20" s="6">
        <v>1</v>
      </c>
      <c r="W20" s="6">
        <v>1.1875</v>
      </c>
      <c r="X20" s="6">
        <f>IF(Reinforcements[[#This Row],[Bolt Hole Size (in)]]="","",IF(Reinforcements[[#This Row],[Bolt Hole Size (in)]]="n/a","n/a",Reinforcements[[#This Row],[Bolt Hole Size (in)]]*25.4))</f>
        <v>30.162499999999998</v>
      </c>
      <c r="Y2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6">
        <f>IFERROR(IF(Reinforcements[[#This Row],[Reinforcement]]="","",IF(OR(Reinforcements[[#This Row],[Type]]="plate",Reinforcements[[#This Row],[Type]]="solid round"),1,IF(Reinforcements[[#This Row],[Type]]="arbitrary","",1-Reinforcements[[#This Row],[Pole Face to Centroid (in)]]/Reinforcements[[#This Row],[Connection Length (in) '[Channels']]]))),"")</f>
        <v>1</v>
      </c>
      <c r="AA20" s="16" t="s">
        <v>354</v>
      </c>
      <c r="AB20" s="16" t="str">
        <f>IF(Reinforcements[[#This Row],[Reinforcement]]="","",IF(Reinforcements[[#This Row],[Bottom End Connection Type]]&lt;&gt;"Capacity Input","-",""))</f>
        <v>-</v>
      </c>
      <c r="AC20" s="16" t="str">
        <f>IF(Reinforcements[[#This Row],[Reinforcement]]="","",IF(Reinforcements[[#This Row],[Bottom End Connection Type]]&lt;&gt;"Capacity Input","-",""))</f>
        <v>-</v>
      </c>
      <c r="AD20" s="16" t="str">
        <f>IF(Reinforcements[[#This Row],[Reinforcement]]="","",IF(Reinforcements[[#This Row],[Bottom End Connection Type]]&lt;&gt;"Capacity Input","-",""))</f>
        <v>-</v>
      </c>
      <c r="AE20" s="74" t="s">
        <v>355</v>
      </c>
      <c r="AF20" s="6" t="s">
        <v>356</v>
      </c>
      <c r="AG20" s="6">
        <v>4</v>
      </c>
      <c r="AH20" s="6">
        <v>3</v>
      </c>
      <c r="AI20" s="6">
        <v>3</v>
      </c>
      <c r="AJ20" s="6">
        <f>Reinforcements[[#This Row],[End Connection Edge Distance (in) (B)]]-(Reinforcements[[#This Row],[Bolt Hole Size (in)]]+1/16)/2</f>
        <v>2.375</v>
      </c>
      <c r="AK20" s="6">
        <f>Reinforcements[[#This Row],[End Connection Bolt Spacing (in) (B)]]-(Reinforcements[[#This Row],[Bolt Hole Size (in)]]+1/16)</f>
        <v>1.75</v>
      </c>
      <c r="AL20" s="6">
        <f>Reinforcements[[#This Row],[End Connection Edge Distance (in) (B)]]</f>
        <v>3</v>
      </c>
      <c r="AM20" s="6">
        <f>Reinforcements[[#This Row],[End Connection Bolt Spacing (in) (B)]]</f>
        <v>3</v>
      </c>
      <c r="AN20" s="6" t="str">
        <f>IF(Reinforcements[[#This Row],[Reinforcement]]="","",IF(OR(Reinforcements[[#This Row],[Bottom End Connection Type]]="Bolted",Reinforcements[[#This Row],[Bottom End Connection Type]]=""),"-",""))</f>
        <v>-</v>
      </c>
      <c r="AO20" s="111" t="str">
        <f>IF(Reinforcements[[#This Row],[Reinforcement]]="","",IF(OR(Reinforcements[[#This Row],[Bottom End Connection Type]]="Bolted",Reinforcements[[#This Row],[Bottom End Connection Type]]=""),"-",""))</f>
        <v>-</v>
      </c>
      <c r="AP20" s="111" t="str">
        <f>IF(Reinforcements[[#This Row],[Reinforcement]]="","",IF(OR(Reinforcements[[#This Row],[Bottom End Connection Type]]="Bolted",Reinforcements[[#This Row],[Bottom End Connection Type]]=""),"-",""))</f>
        <v>-</v>
      </c>
      <c r="AQ20" s="111" t="str">
        <f>IF(OR(Reinforcements[[#This Row],[Bottom End Connection Type]]="Bolted",Reinforcements[[#This Row],[Bottom Transverse (Horizontal) Weld]]="none"),"-","")</f>
        <v>-</v>
      </c>
      <c r="AR2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11" t="str">
        <f>IF(OR(Reinforcements[[#This Row],[Bottom Transverse (Horizontal) Weld]]="none",Reinforcements[[#This Row],[Bottom End Connection Type]]="Bolted"),"-","")</f>
        <v>-</v>
      </c>
      <c r="AU2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11" t="str">
        <f>IF(Reinforcements[[#This Row],[Reinforcement]]="","",IF(OR(Reinforcements[[#This Row],[Bottom End Connection Type]]="Bolted",Reinforcements[[#This Row],[Bottom End Connection Type]]=""),"-",""))</f>
        <v>-</v>
      </c>
      <c r="AW20" s="111" t="str">
        <f>IF(Reinforcements[[#This Row],[Reinforcement]]="","",IF(OR(Reinforcements[[#This Row],[Bottom End Connection Type]]&lt;&gt;"Welded",Reinforcements[[#This Row],[Bottom Longitudinal (Vertical) Weld]]="None",Reinforcements[[#This Row],[Bottom Longitudinal (Vertical) Weld]]=""),"-",""))</f>
        <v>-</v>
      </c>
      <c r="AX20" s="111" t="str">
        <f>IF(Reinforcements[[#This Row],[Reinforcement]]="","",IF(OR(Reinforcements[[#This Row],[Bottom End Connection Type]]&lt;&gt;"Welded",Reinforcements[[#This Row],[Bottom Longitudinal (Vertical) Weld]]="None",Reinforcements[[#This Row],[Bottom Longitudinal (Vertical) Weld]]=""),"-",""))</f>
        <v>-</v>
      </c>
      <c r="AY20" s="6" t="str">
        <f>IF(Reinforcements[[#This Row],[Reinforcement]]="","",IF(OR(Reinforcements[[#This Row],[Bottom End Connection Type]]&lt;&gt;"Welded",Reinforcements[[#This Row],[Bottom Longitudinal (Vertical) Weld]]="None"),"-",SQRT(2)/2*Reinforcements[[#This Row],[Bottom Longitudinal Weld Fillet Size (in)]]))</f>
        <v>-</v>
      </c>
      <c r="AZ20" s="6" t="s">
        <v>357</v>
      </c>
      <c r="BA20" s="16" t="str">
        <f>IF(Reinforcements[[#This Row],[Top End Connection Same?]]="Yes",Reinforcements[[#This Row],[Bottom End Connection Type]],"")</f>
        <v>Bolted</v>
      </c>
      <c r="BB20" s="16" t="str">
        <f>IF(Reinforcements[[#This Row],[Reinforcement]]="","",IF(Reinforcements[[#This Row],[Top End Connection Same?]]="Yes",Reinforcements[[#This Row],[Rev. F Bottom Connection Capacity (kips)]],IF(Reinforcements[[#This Row],[Reinforcement]]="","",IF(Reinforcements[[#This Row],[Top End Connection Type]]&lt;&gt;"Capacity Input","-",""))))</f>
        <v>-</v>
      </c>
      <c r="BC20" s="16" t="str">
        <f>IF(Reinforcements[[#This Row],[Reinforcement]]="","",IF(Reinforcements[[#This Row],[Top End Connection Same?]]="Yes",Reinforcements[[#This Row],[Rev. G Bottom Connection Capacity (kips)]],IF(Reinforcements[[#This Row],[Reinforcement]]="","",IF(Reinforcements[[#This Row],[Top End Connection Type]]&lt;&gt;"Capacity Input","-",""))))</f>
        <v>-</v>
      </c>
      <c r="BD20" s="16" t="str">
        <f>IF(Reinforcements[[#This Row],[Reinforcement]]="","",IF(Reinforcements[[#This Row],[Top End Connection Same?]]="Yes",Reinforcements[[#This Row],[Rev. G Bottom Connection Capacity (kips)]],IF(Reinforcements[[#This Row],[Reinforcement]]="","",IF(Reinforcements[[#This Row],[Top End Connection Type]]&lt;&gt;"Capacity Input","-",""))))</f>
        <v>-</v>
      </c>
      <c r="BE20" s="74" t="str">
        <f>IF(Reinforcements[[#This Row],[Top End Connection Same?]]="Yes",Reinforcements[[#This Row],[Bottom End Connection Bolt Type]],IF(Reinforcements[[#This Row],[Top End Connection Type]]="Welded","-",""))</f>
        <v>PC 8.8 - M20 (100)</v>
      </c>
      <c r="BF20" s="6" t="str">
        <f>IF(Reinforcements[[#This Row],[Top End Connection Same?]]="Yes",Reinforcements[[#This Row],[Threads Included (N) or Excluded (X) (Bottom)]],IF(Reinforcements[[#This Row],[Top End Connection Type]]="Welded","-",""))</f>
        <v>N</v>
      </c>
      <c r="BG20" s="6">
        <f>IF(Reinforcements[[#This Row],[Top End Connection Same?]]="Yes",Reinforcements[[#This Row],['# of End Connection Bolts          (Bottom)]],IF(Reinforcements[[#This Row],[Top End Connection Type]]="Welded","-",""))</f>
        <v>4</v>
      </c>
      <c r="BH20" s="6">
        <f>IF(Reinforcements[[#This Row],[Top End Connection Same?]]="Yes",Reinforcements[[#This Row],[End Connection Bolt Spacing (in) (B)]],IF(Reinforcements[[#This Row],[Top End Connection Type]]="Welded","-",""))</f>
        <v>3</v>
      </c>
      <c r="BI20" s="6">
        <f>IF(Reinforcements[[#This Row],[Top End Connection Same?]]="Yes",Reinforcements[[#This Row],[End Connection Edge Distance (in) (B)]],IF(Reinforcements[[#This Row],[Top End Connection Type]]="Welded","-",""))</f>
        <v>3</v>
      </c>
      <c r="BJ20" s="6">
        <f>Reinforcements[[#This Row],[End Connection Edge Distance (in) (T)]]-(Reinforcements[[#This Row],[Bolt Hole Size (in)]]+1/16)/2</f>
        <v>2.375</v>
      </c>
      <c r="BK20" s="6">
        <f>Reinforcements[[#This Row],[End Connection Bolt Spacing (in) (T)]]-(Reinforcements[[#This Row],[Bolt Hole Size (in)]]+1/16)</f>
        <v>1.75</v>
      </c>
      <c r="BL20" s="6">
        <f>Reinforcements[[#This Row],[End Connection Edge Distance (in) (T)]]</f>
        <v>3</v>
      </c>
      <c r="BM20" s="6">
        <f>Reinforcements[[#This Row],[End Connection Bolt Spacing (in) (T)]]</f>
        <v>3</v>
      </c>
      <c r="BN20" s="6" t="str">
        <f>IF(Reinforcements[[#This Row],[Reinforcement]]="","",IF(Reinforcements[[#This Row],[Top End Connection Same?]]="Yes",Reinforcements[[#This Row],[Bottom Connected to Flange/Base Plate?]],IF(Reinforcements[[#This Row],[Top End Connection Type]]="Bolted","-","")))</f>
        <v>-</v>
      </c>
      <c r="BO20" s="6" t="str">
        <f>IF(Reinforcements[[#This Row],[Reinforcement]]="","",IF(Reinforcements[[#This Row],[Top End Connection Same?]]="Yes",Reinforcements[[#This Row],[Bottom Weld Grade (ksi)]],IF(OR(Reinforcements[[#This Row],[Top End Connection Type]]&lt;&gt;"Welded",Reinforcements[[#This Row],[Top End Connection Type]]=""),"-","")))</f>
        <v>-</v>
      </c>
      <c r="BP20" s="6" t="str">
        <f>IF($AZ20="Yes",AP20,IF(Reinforcements[[#This Row],[Reinforcement]]="","",IF(OR(Reinforcements[[#This Row],[Top End Connection Type]]&lt;&gt;"Welded",Reinforcements[[#This Row],[Top End Connection Type]]=""),"-","")))</f>
        <v>-</v>
      </c>
      <c r="BQ20" s="6" t="str">
        <f>IF(Reinforcements[[#This Row],[Reinforcement]]="","",IF($AZ20="Yes",AQ20,IF(OR(Reinforcements[[#This Row],[Top End Connection Type]]&lt;&gt;"Welded",Reinforcements[[#This Row],[Top Transverse (Horizontal) Weld]]="none",Reinforcements[[#This Row],[Top Transverse (Horizontal) Weld]]=""),"-","")))</f>
        <v>-</v>
      </c>
      <c r="BR20" s="6"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6"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6" t="str">
        <f>IF(Reinforcements[[#This Row],[Reinforcement]]="","",IF($AZ20="Yes",AT20,IF(OR(Reinforcements[[#This Row],[Top Transverse (Horizontal) Weld]]="none",Reinforcements[[#This Row],[Top End Connection Type]]&lt;&gt;"Welded",Reinforcements[[#This Row],[Top Transverse (Horizontal) Weld]]=""),"-","")))</f>
        <v>-</v>
      </c>
      <c r="BU20" s="6"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6" t="str">
        <f>IF($AZ20="Yes",AV20,IF(Reinforcements[[#This Row],[Reinforcement]]="","",IF(OR(Reinforcements[[#This Row],[Top End Connection Type]]&lt;&gt;"Welded",Reinforcements[[#This Row],[Top End Connection Type]]=""),"-","")))</f>
        <v>-</v>
      </c>
      <c r="BW20" s="6"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6"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6" t="str">
        <f>IF($AZ20="Yes",AY20,IF(Reinforcements[[#This Row],[Reinforcement]]="","",IF(OR(Reinforcements[[#This Row],[Top End Connection Type]]&lt;&gt;"Welded",Reinforcements[[#This Row],[Top Longitudinal (Vertical) Weld]]="none"),"-",SQRT(2)/2*Reinforcements[[#This Row],[Top Longitudinal Weld Fillet Size (in)]])))</f>
        <v>-</v>
      </c>
      <c r="BZ2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11">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11">
        <f>IF(Reinforcements[[#This Row],[Reinforcement]]="","",IF(Reinforcements[[#This Row],[Top End Connection Type]]&lt;&gt;"Bolted","n/a",(Reinforcements[[#This Row],['# of End Connection Bolts          (Top)]]-1)*Reinforcements[[#This Row],[End Connection Bolt Spacing (in) (T)]]+Reinforcements[[#This Row],[End Connection Edge Distance (in) (T)]]))</f>
        <v>12</v>
      </c>
      <c r="CC2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6">
        <f>IFERROR(IF(Reinforcements[[#This Row],[Type]]="","",Reinforcements[[#This Row],[Effective B (in)]]*Reinforcements[[#This Row],[Effective H (in)]]^3/12),"")</f>
        <v>0.140625</v>
      </c>
      <c r="CF20" s="6">
        <f>IFERROR(IF(Reinforcements[[#This Row],[Type]]="","",Reinforcements[[#This Row],[Effective B (in)]]^3*Reinforcements[[#This Row],[Effective H (in)]]/12),"")</f>
        <v>4</v>
      </c>
      <c r="CG20" s="126">
        <f>SQRT(2*PI()^2*29000/VLOOKUP(Reinforcements[[#This Row],[Material]],Materials[],2,FALSE))</f>
        <v>93.844147005158973</v>
      </c>
      <c r="CH2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23">
        <f>Reinforcements[[#This Row],[Effective Length Factor Kx]]*Reinforcements[[#This Row],[Lu (in)]]/(Reinforcements[[#This Row],[rx]]*PI())*SQRT(VLOOKUP(Reinforcements[[#This Row],[Material]],Materials[],2,FALSE)/29000)</f>
        <v>0.89093728863455735</v>
      </c>
      <c r="CK20" s="123">
        <f>Reinforcements[[#This Row],[Effective Length Factor Ky]]*Reinforcements[[#This Row],[Lu (in)]]/(Reinforcements[[#This Row],[ry]]*PI())*SQRT(VLOOKUP(Reinforcements[[#This Row],[Material]],Materials[],2,FALSE)/29000)</f>
        <v>0.20881342702372435</v>
      </c>
      <c r="CL20" s="123">
        <f>IF(Reinforcements[[#This Row],[λcx]]&lt;=1.5,0.658^(Reinforcements[[#This Row],[λcx]]^2)*Reinforcements[[#This Row],[F''y]],0.877/(Reinforcements[[#This Row],[λcx]]^2)*Reinforcements[[#This Row],[F''y]])</f>
        <v>46.625839044509597</v>
      </c>
      <c r="CM20" s="123">
        <f>IF(Reinforcements[[#This Row],[λcy]]&lt;=1.5,0.658^(Reinforcements[[#This Row],[λcy]]^2)*Reinforcements[[#This Row],[F''y]],0.877/(Reinforcements[[#This Row],[λcy]]^2)*Reinforcements[[#This Row],[F''y]])</f>
        <v>63.824504474805018</v>
      </c>
      <c r="CN20" s="6">
        <f>VLOOKUP(Reinforcements[[#This Row],[Material]],Materials[],2,FALSE)</f>
        <v>65</v>
      </c>
      <c r="CO20" s="126">
        <f>IF(Reinforcements[[#This Row],[Reinforcement]]="","",Reinforcements[[#This Row],[Fax]]*Reinforcements[[#This Row],[Gross Area (in2)]])</f>
        <v>83.51084774656897</v>
      </c>
      <c r="CP20" s="126">
        <f>IF(Reinforcements[[#This Row],[Reinforcement]]="","",Reinforcements[[#This Row],[Fay]]*Reinforcements[[#This Row],[Gross Area (in2)]])</f>
        <v>112.0298027001612</v>
      </c>
      <c r="CQ20" s="126">
        <f>IF(Reinforcements[[#This Row],[Reinforcement]]="","",0.6*VLOOKUP(Reinforcements[[#This Row],[Material]],Materials[],2,FALSE)*Reinforcements[[#This Row],[Gross Area (in2)]])</f>
        <v>117</v>
      </c>
      <c r="CR20" s="126">
        <f>IF(Reinforcements[[#This Row],[Reinforcement]]="","",0.5*VLOOKUP(Reinforcements[[#This Row],[Material]],Materials[],3,FALSE)*Reinforcements[[#This Row],[Net Area (in2)]]*Reinforcements[[#This Row],[Shear Lag (U)]])</f>
        <v>82.5</v>
      </c>
      <c r="CS20" s="126">
        <f>IF(Reinforcements[[#This Row],[Reinforcement]]="","",0.4*VLOOKUP(Reinforcements[[#This Row],[Material]],Materials[],2,FALSE)*Reinforcements[[#This Row],[Gross Area (in2)]])</f>
        <v>78</v>
      </c>
      <c r="CT20"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6"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6"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26">
        <f>IF(Reinforcements[[#This Row],[Reinforcement]]="","",φ_c*Reinforcements[[#This Row],[Fcr,x]]*Reinforcements[[#This Row],[Gross Area (in2)]])</f>
        <v>125.88976542017591</v>
      </c>
      <c r="DI20" s="126">
        <f>IF(Reinforcements[[#This Row],[Reinforcement]]="","",φ_c*Reinforcements[[#This Row],[Fcr,y]]*Reinforcements[[#This Row],[Gross Area (in2)]])</f>
        <v>172.32616208197356</v>
      </c>
      <c r="DJ20" s="126">
        <f>IF(Reinforcements[[#This Row],[Reinforcement]]="","",φ_t_y*VLOOKUP(Reinforcements[[#This Row],[Material]],Materials[],2,FALSE)*Reinforcements[[#This Row],[Gross Area (in2)]])</f>
        <v>175.5</v>
      </c>
      <c r="DK20" s="126">
        <f>IF(Reinforcements[[#This Row],[Reinforcement]]="","",φ_t_r*VLOOKUP(Reinforcements[[#This Row],[Material]],Materials[],3,FALSE)*Reinforcements[[#This Row],[Net Area (in2)]]*Reinforcements[[#This Row],[Shear Lag (U)]])</f>
        <v>123.75</v>
      </c>
      <c r="DL20" s="126">
        <f>IF(Reinforcements[[#This Row],[Reinforcement]]="","",φ_v*0.5*Reinforcements[[#This Row],[F''y]]*Reinforcements[[#This Row],[Gross Area (in2)]])</f>
        <v>87.75</v>
      </c>
      <c r="DM20"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6"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6"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111" t="str">
        <f>IF(OR(Reinforcements[[#This Row],[Type]]="plate",Reinforcements[[#This Row],[Type]]="solid round"),"N/A",Reinforcements[[#This Row],[B (in)]])</f>
        <v>N/A</v>
      </c>
      <c r="EB20" s="6" t="str">
        <f>IF(OR(Reinforcements[[#This Row],[Type]]="plate",Reinforcements[[#This Row],[Type]]="solid round"),"N/A",Reinforcements[[#This Row],[H (in)]])</f>
        <v>N/A</v>
      </c>
      <c r="EC20" s="6" t="str">
        <f>IF(OR(Reinforcements[[#This Row],[Type]]="plate",Reinforcements[[#This Row],[Type]]="solid round"),"N/A",Reinforcements[[#This Row],[B (in)]]-Reinforcements[[#This Row],['[Channel'] Flange Thickness (in)]])</f>
        <v>N/A</v>
      </c>
      <c r="ED20" s="6" t="str">
        <f>IF(OR(Reinforcements[[#This Row],[Type]]="plate",Reinforcements[[#This Row],[Type]]="solid round"),"N/A",Reinforcements[[#This Row],['[Channel']Web Thickness (in)]])</f>
        <v>N/A</v>
      </c>
      <c r="EE20" s="6" t="str">
        <f>IF(OR(Reinforcements[[#This Row],[Type]]="plate",Reinforcements[[#This Row],[Type]]="solid round"),"N/A",Reinforcements[[#This Row],['[Channel'] Flange Thickness (in)]])</f>
        <v>N/A</v>
      </c>
      <c r="EF20" s="6" t="str">
        <f>IF(Reinforcements[[#This Row],[Type]]="channel",Reinforcements[[#This Row],[Channel Flange Width, b]]/Reinforcements[[#This Row],[Channel flange thickness, tf]],"N/A")</f>
        <v>N/A</v>
      </c>
      <c r="EG20" s="6" t="str">
        <f>IF(Reinforcements[[#This Row],[Type]]="channel",Reinforcements[[#This Row],[Channel inside depth, T]]/Reinforcements[[#This Row],[Channel web thickness, tw]],"N/A")</f>
        <v>N/A</v>
      </c>
      <c r="EH20" s="6">
        <f>29000</f>
        <v>29000</v>
      </c>
      <c r="EI20" s="6" t="str">
        <f>IF(Reinforcements[[#This Row],[Type]]="channel",0.56*SQRT(Reinforcements[[#This Row],[E, (ksi)]]/Reinforcements[[#This Row],[Fy, (ksi)]]),"N/A")</f>
        <v>N/A</v>
      </c>
      <c r="EJ20" s="6" t="str">
        <f>IF(Reinforcements[[#This Row],[Type]]="channel",1.49*SQRT(Reinforcements[[#This Row],[E, (ksi)]]/Reinforcements[[#This Row],[Fy, (ksi)]]),"N/A")</f>
        <v>N/A</v>
      </c>
      <c r="EK20" s="6">
        <f>VLOOKUP(Reinforcements[[#This Row],[Material]],Materials!$B$2:$C$30,2,FALSE)</f>
        <v>65</v>
      </c>
      <c r="EL20" s="6">
        <f>Reinforcements[[#This Row],[Lu (in)]]*Reinforcements[[#This Row],[Effective Length Factor Kx]]</f>
        <v>12.8</v>
      </c>
      <c r="EM20" s="6">
        <f>Reinforcements[[#This Row],[Lu (in)]]*Reinforcements[[#This Row],[Effective Length Factor Ky]]</f>
        <v>16</v>
      </c>
      <c r="EN20" s="6">
        <f>Reinforcements[[#This Row],[rx]]</f>
        <v>0.21650635094610965</v>
      </c>
      <c r="EO20" s="6">
        <f>Reinforcements[[#This Row],[ry]]</f>
        <v>1.1547005383792515</v>
      </c>
      <c r="EP20" s="6">
        <f>Reinforcements[[#This Row],[Lcx (in)]]/Reinforcements[[#This Row],[rx (in)]]</f>
        <v>59.120667565017683</v>
      </c>
      <c r="EQ20" s="6">
        <f>Reinforcements[[#This Row],[Lcy (in)]]/Reinforcements[[#This Row],[ry (in)]]</f>
        <v>13.856406460551019</v>
      </c>
      <c r="ER20" s="6">
        <f>((PI()^2)*Reinforcements[[#This Row],[E, (ksi)]])/(Reinforcements[[#This Row],[Lcx/rx]]^2)</f>
        <v>81.887777604558366</v>
      </c>
      <c r="ES20" s="6">
        <f>((PI()^2)*Reinforcements[[#This Row],[E, (ksi)]])/(Reinforcements[[#This Row],[Lcy/ry]]^2)</f>
        <v>1490.7214980812048</v>
      </c>
      <c r="ET20" s="6">
        <f>4.71*(SQRT(Reinforcements[[#This Row],[E, (ksi)]]/Reinforcements[[#This Row],[Fy, (ksi)]]))</f>
        <v>99.486288193205496</v>
      </c>
      <c r="EU20" s="6">
        <f>IF(Reinforcements[[#This Row],[Lcx/rx]]&lt;=Reinforcements[[#This Row],[Fcr Limit]],(0.658^(Reinforcements[[#This Row],[Fy, (ksi)]]/Reinforcements[[#This Row],[Fex, FB (ksi)]]))*Reinforcements[[#This Row],[Fy, (ksi)]],0.877*Reinforcements[[#This Row],[Fex, FB (ksi)]])</f>
        <v>46.625839044509597</v>
      </c>
      <c r="EV20" s="6">
        <f>IF(Reinforcements[[#This Row],[Lcy/ry]]&lt;=Reinforcements[[#This Row],[Fcr Limit]],(0.658^(Reinforcements[[#This Row],[Fy, (ksi)]]/Reinforcements[[#This Row],[Fey, FB (ksi)]]))*Reinforcements[[#This Row],[Fy, (ksi)]],0.877*Reinforcements[[#This Row],[Fey, FB (ksi)]])</f>
        <v>63.824504474805018</v>
      </c>
      <c r="EW20" s="6">
        <f>Reinforcements[[#This Row],[Fcrx (ksi)]]*Reinforcements[[#This Row],[Gross Area (in2)]]</f>
        <v>139.87751713352878</v>
      </c>
      <c r="EX20" s="6">
        <f>Reinforcements[[#This Row],[Fcry (ksi)]]*Reinforcements[[#This Row],[Gross Area (in2)]]</f>
        <v>191.47351342441505</v>
      </c>
      <c r="EY20" s="6" t="str">
        <f>IF(Reinforcements[[#This Row],[Type]]="channel",0,"N/A")</f>
        <v>N/A</v>
      </c>
      <c r="EZ20" s="6" t="str">
        <f>IF(Reinforcements[[#This Row],[Type]]="channel",Reinforcements[[#This Row],[Channel Flange Width, b]]-(0.5*Reinforcements[[#This Row],[Channel web thickness, tw]]),"N/A")</f>
        <v>N/A</v>
      </c>
      <c r="FA20" s="6" t="str">
        <f>IF(Reinforcements[[#This Row],[Type]]="channel",Reinforcements[[#This Row],[Channel Height, h]]-Reinforcements[[#This Row],[Channel flange thickness, tf]],"N/A")</f>
        <v>N/A</v>
      </c>
      <c r="FB20" s="6" t="str">
        <f>IF(Reinforcements[[#This Row],[Type]]="channel",Reinforcements[[#This Row],[Channel web thickness, tw]],"N/A")</f>
        <v>N/A</v>
      </c>
      <c r="FC20" s="6" t="str">
        <f>IF(Reinforcements[[#This Row],[Type]]="channel",((3*Reinforcements[[#This Row],[b]]^2)/(Reinforcements[[#This Row],[h]]+(6*Reinforcements[[#This Row],[b]])))-Reinforcements[[#This Row],[t]]/2,"N/A")</f>
        <v>N/A</v>
      </c>
      <c r="FD20" s="6">
        <f>Reinforcements[[#This Row],[Pole Face to Centroid (in)]]</f>
        <v>0.375</v>
      </c>
      <c r="FE20" s="6" t="str">
        <f>IF(Reinforcements[[#This Row],[Type]]="channel",Reinforcements[[#This Row],[x(bar)]]+Reinforcements[[#This Row],['[Channel'] e0 (in)]],"N/A")</f>
        <v>N/A</v>
      </c>
      <c r="FF20" s="6" t="str">
        <f>IF(Reinforcements[[#This Row],[Type]]="channel",Reinforcements[[#This Row],[Ix]],"N/A")</f>
        <v>N/A</v>
      </c>
      <c r="FG20" s="6" t="str">
        <f>IF(Reinforcements[[#This Row],[Type]]="channel",Reinforcements[[#This Row],[Iy]],"N/A")</f>
        <v>N/A</v>
      </c>
      <c r="FH20" s="6" t="str">
        <f>IF(Reinforcements[[#This Row],[Type]]="channel",Reinforcements[[#This Row],[Gross Area (in2)]],"N/A")</f>
        <v>N/A</v>
      </c>
      <c r="FI20" s="6" t="str">
        <f>IF(Reinforcements[[#This Row],[Type]]="channel",(Reinforcements[[#This Row],[xo]]^2)+((Reinforcements[[#This Row],[Ix (FTB)]]+Reinforcements[[#This Row],[Iy (FTB)]])/Reinforcements[[#This Row],[Ag]]),"N/A")</f>
        <v>N/A</v>
      </c>
      <c r="FJ20" s="6" t="str">
        <f>IF(Reinforcements[[#This Row],[Type]]="channel",Reinforcements[[#This Row],[Lu (in)]],"N/A")</f>
        <v>N/A</v>
      </c>
      <c r="FK20" s="6" t="str">
        <f>IF(Reinforcements[[#This Row],[Type]]="channel",Reinforcements[[#This Row],[Effective Length Factor Kx]],"N/A")</f>
        <v>N/A</v>
      </c>
      <c r="FL20" s="6" t="str">
        <f>IF(Reinforcements[[#This Row],[Type]]="channel",Reinforcements[[#This Row],[Kz]]*Reinforcements[[#This Row],[Lz]],"N/A")</f>
        <v>N/A</v>
      </c>
      <c r="FM20" s="6" t="str">
        <f>IF(Reinforcements[[#This Row],[Type]]="channel",(((Reinforcements[[#This Row],[t]]^3)/3)*(Reinforcements[[#This Row],[h]]+(2*Reinforcements[[#This Row],[b]]))),"N/A")</f>
        <v>N/A</v>
      </c>
      <c r="FN20" s="6" t="str">
        <f>IF(Reinforcements[[#This Row],[Type]]="channel",(1-(((Reinforcements[[#This Row],[xo]]^2)+(Reinforcements[[#This Row],[yo]]^2))/Reinforcements[[#This Row],[ro^2(bar)]])),"N/A")</f>
        <v>N/A</v>
      </c>
      <c r="FO20" s="6">
        <v>11200</v>
      </c>
      <c r="FP20" s="6" t="str">
        <f>IF(Reinforcements[[#This Row],[Type]]="channel",(((Reinforcements[[#This Row],[h]]^2)*(Reinforcements[[#This Row],[b]]^3)*Reinforcements[[#This Row],[t]])/12)*(((2*Reinforcements[[#This Row],[h]])+(3*Reinforcements[[#This Row],[b]]))/(Reinforcements[[#This Row],[h]]+(6*Reinforcements[[#This Row],[b]]))),"N/A")</f>
        <v>N/A</v>
      </c>
      <c r="FQ20" s="6" t="str">
        <f>IF(Reinforcements[[#This Row],[Type]]="Channel",((((PI()^2)*Reinforcements[[#This Row],[E, (ksi)]]*Reinforcements[[#This Row],['[Channel'] CW (in6)]])/(Reinforcements[[#This Row],[Lcz]]^2))+(Reinforcements[[#This Row],[G]]*Reinforcements[[#This Row],['[Channel'] J (in4)]]))*(1/(Reinforcements[[#This Row],[Ag]]*Reinforcements[[#This Row],[ro^2(bar)]])),"N/A")</f>
        <v>N/A</v>
      </c>
      <c r="FR20" s="6" t="str">
        <f>IF(Reinforcements[[#This Row],[Type]]="channel",((PI()^2)*Reinforcements[[#This Row],[E, (ksi)]])/(Reinforcements[[#This Row],[Lcy/ry]]^2),"N/A")</f>
        <v>N/A</v>
      </c>
      <c r="FS20" s="6" t="str">
        <f>IF(Reinforcements[[#This Row],[Type]]="channel",((Reinforcements[[#This Row],[Fey]]+Reinforcements[[#This Row],[Fez]])/(2*Reinforcements[[#This Row],[H2]]))*(1-SQRT(1-((4*Reinforcements[[#This Row],[Fey]]*Reinforcements[[#This Row],[Fez]]*Reinforcements[[#This Row],[H2]])/(Reinforcements[[#This Row],[Fey]]+Reinforcements[[#This Row],[Fez]])^2))),"N/A")</f>
        <v>N/A</v>
      </c>
      <c r="FT20" s="6" t="str">
        <f>IF(Reinforcements[[#This Row],[Type]]="channel",IF(Reinforcements[[#This Row],[Lcx/rx]]&gt;(4.71*SQRT(Reinforcements[[#This Row],[E, (ksi)]]/Reinforcements[[#This Row],[Fy, (ksi)]])),0.877*Reinforcements[[#This Row],[Fe (FTB)]],0.658^(Reinforcements[[#This Row],[Fy, (ksi)]]/Reinforcements[[#This Row],[Fe (FTB)]])*Reinforcements[[#This Row],[Fy, (ksi)]]),"N/A")</f>
        <v>N/A</v>
      </c>
      <c r="FU20" s="6" t="str">
        <f>IF(Reinforcements[[#This Row],[Type]]="channel",MIN(Reinforcements[[#This Row],[Fcr(FTB)]],Reinforcements[[#This Row],[Fcry (ksi)]]),"N/A")</f>
        <v>N/A</v>
      </c>
      <c r="FV20" s="6">
        <v>0.22</v>
      </c>
      <c r="FW20" s="6">
        <v>1.49</v>
      </c>
      <c r="FX20" s="6" t="str">
        <f>IF(Reinforcements[[#This Row],[Type]]="channel",((Reinforcements[[#This Row],[c2]]*(Reinforcements[[#This Row],[λrf]]/Reinforcements[[#This Row],[λf]]))^2)*Reinforcements[[#This Row],[Fy, (ksi)]],"N/A")</f>
        <v>N/A</v>
      </c>
      <c r="FY20" s="6" t="str">
        <f>IF(Reinforcements[[#This Row],[Type]]="channel",((Reinforcements[[#This Row],[c2]]*(Reinforcements[[#This Row],[λrw]]/Reinforcements[[#This Row],[λw]]))^2)*Reinforcements[[#This Row],[Fy, (ksi)]],"N/A")</f>
        <v>N/A</v>
      </c>
      <c r="FZ2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6" t="str">
        <f>IF(Reinforcements[[#This Row],[Type]]="channel",Reinforcements[[#This Row],[Fcr]]*Reinforcements[[#This Row],[Ae]],"N/A")</f>
        <v>N/A</v>
      </c>
      <c r="GD20">
        <f>IF(Reinforcements[[#This Row],[Reinforcement]]="","",φ_c*Reinforcements[[#This Row],[Pnx, FB (kip)]])</f>
        <v>125.88976542017591</v>
      </c>
      <c r="GE20">
        <f>IF(Reinforcements[[#This Row],[Reinforcement]]="","",IF(Reinforcements[[#This Row],[Type]]="channel",φ_c*Reinforcements[[#This Row],[Pn]],φ_c*Reinforcements[[#This Row],[Pny, FB (kip)]]))</f>
        <v>172.32616208197354</v>
      </c>
      <c r="GF20">
        <f>Reinforcements[[#This Row],[Rev. G Tension Yield Capacity (kips)]]</f>
        <v>175.5</v>
      </c>
      <c r="GG20">
        <f>Reinforcements[[#This Row],[Rev. G Tension Rupture Capacity (kips)]]</f>
        <v>123.75</v>
      </c>
      <c r="GH20">
        <f>Reinforcements[[#This Row],[Rev. G Shear Capacity (kips)]]</f>
        <v>87.75</v>
      </c>
      <c r="GI20">
        <f>IFERROR((Reinforcements[[#This Row],['# of End Connection Bolts          (Bottom)]]-1)*Reinforcements[[#This Row],[End Connection Bolt Spacing (in) (B)]],"-")</f>
        <v>9</v>
      </c>
      <c r="GJ20">
        <f>IFERROR(IF(VLOOKUP(Reinforcements[[#This Row],[Bottom End Connection Bolt Type]],Bolts[],COLUMN(Bolts[[#Headers],[Rev. H Apply Connection Length Reduction Factor (Rb)?]])-1,FALSE)="Yes",(IF(Reinforcements[[#This Row],[Lb(bottom)]]&lt;=16,1,IF(Reinforcements[[#This Row],[Lb(bottom)]]&gt;38,0.75,0.9))),1),"-")</f>
        <v>1</v>
      </c>
      <c r="GK2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f>IFERROR(IF(Reinforcements[[#This Row],[Top End Connection Same?]]="Yes",Reinforcements[[#This Row],[Lb(bottom)]],(Reinforcements[[#This Row],['# of End Connection Bolts          (Top)]]-1)*Reinforcements[[#This Row],[End Connection Bolt Spacing (in) (T)]]),"-")</f>
        <v>9</v>
      </c>
      <c r="GM20">
        <f>IFERROR(IF(VLOOKUP(Reinforcements[[#This Row],[Top End Connection Bolt Type]],Bolts[],COLUMN(Bolts[[#Headers],[Rev. H Apply Connection Length Reduction Factor (Rb)?]])-1,FALSE)=TRUE,(IF(Reinforcements[[#This Row],[Lb(top)]]&lt;=16,1,IF(Reinforcements[[#This Row],[Lb(top)]]&gt;38,0.75,0.9))),1),"-")</f>
        <v>1</v>
      </c>
      <c r="GN2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f>Reinforcements[[#This Row],[Rev. G Bolt-Shaft Bearing Capacity (Bottom)                No Deformation          (*t*Fu kips)]]</f>
        <v>8.0541732283464569</v>
      </c>
      <c r="GP20">
        <f>Reinforcements[[#This Row],[Rev. G Bolt-Shaft Bearing Capacity (Bottom)                   Deformation          (*t*Fu kips)]]</f>
        <v>10.067716535433071</v>
      </c>
      <c r="GQ20">
        <f>Reinforcements[[#This Row],[Rev. G Bolt-Shaft Bearing Capacity (Top)                    No Deformation          (*t*Fu kips)]]</f>
        <v>8.0541732283464569</v>
      </c>
      <c r="GR20">
        <f>Reinforcements[[#This Row],[Rev. G Bolt-Shaft Bearing Capacity (Top)                        Deformation          (*t*Fu kips)]]</f>
        <v>10.067716535433071</v>
      </c>
      <c r="GS20">
        <f>Reinforcements[[#This Row],[Rev. G Bolt-Reinf. Bearing Capacity (Bottom)            No Deformation (kips)]]</f>
        <v>483.25039370078741</v>
      </c>
      <c r="GT20">
        <f>Reinforcements[[#This Row],[Rev. G Bolt-Reinf. Bearing Capacity (Bottom)               Deformation (kips)]]</f>
        <v>604.06299212598424</v>
      </c>
      <c r="GU20">
        <f>Reinforcements[[#This Row],[Rev. G Bolt-Reinf. Bearing Capacity (Top)                  No Deformation (kips)]]</f>
        <v>483.25039370078741</v>
      </c>
      <c r="GV20">
        <f>Reinforcements[[#This Row],[Rev. G Bolt-Reinf. Bearing Capacity (Top)               Deformation (kips)]]</f>
        <v>604.06299212598424</v>
      </c>
      <c r="GW20" t="str">
        <f>Reinforcements[[#This Row],[Rev. G Bottom Transverse Weld Strength]]</f>
        <v>-</v>
      </c>
      <c r="GX20" t="str">
        <f>Reinforcements[[#This Row],[Rev. G Bottom Longitudinal Weld Strength]]</f>
        <v>-</v>
      </c>
      <c r="GY20" t="str">
        <f>Reinforcements[[#This Row],[Rev. G Top Transverse Weld Strength]]</f>
        <v>-</v>
      </c>
      <c r="GZ20" t="str">
        <f>Reinforcements[[#This Row],[Rev. G Top Longitudinal Weld Strength]]</f>
        <v>-</v>
      </c>
      <c r="HA20">
        <v>18</v>
      </c>
      <c r="HB2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0" x14ac:dyDescent="0.2">
      <c r="B21" s="49" t="s">
        <v>375</v>
      </c>
      <c r="C21" s="49" t="s">
        <v>352</v>
      </c>
      <c r="D21" s="6">
        <v>4</v>
      </c>
      <c r="E21" s="6">
        <v>1.25</v>
      </c>
      <c r="F21" s="6" t="str">
        <f>IF(Reinforcements[[#This Row],[Type]]="","",IF(Reinforcements[[#This Row],[Type]]="solid round","","n/a"))</f>
        <v>n/a</v>
      </c>
      <c r="G21" s="6" t="str">
        <f>IF(Reinforcements[[#This Row],[Type]]="","",IF(Reinforcements[[#This Row],[Type]]&lt;&gt;"channel","n/a",""))</f>
        <v>n/a</v>
      </c>
      <c r="H21" s="6" t="str">
        <f>IF(Reinforcements[[#This Row],[Type]]="","",IF(Reinforcements[[#This Row],[Type]]&lt;&gt;"channel","n/a",""))</f>
        <v>n/a</v>
      </c>
      <c r="I21" s="126" t="str">
        <f>IF(Reinforcements[[#This Row],[Type]]="","",IF(Reinforcements[[#This Row],[Type]]&lt;&gt;"channel","n/a",Reinforcements[[#This Row],[eo]]))</f>
        <v>n/a</v>
      </c>
      <c r="J21" s="126" t="str">
        <f>IF(Reinforcements[[#This Row],[Type]]="","",IF(Reinforcements[[#This Row],[Type]]&lt;&gt;"channel","n/a",Reinforcements[[#This Row],[J]]))</f>
        <v>n/a</v>
      </c>
      <c r="K21" s="126" t="str">
        <f>IF(Reinforcements[[#This Row],[Type]]="","",IF(Reinforcements[[#This Row],[Type]]&lt;&gt;"channel","n/a",Reinforcements[[#This Row],[Cw]]))</f>
        <v>n/a</v>
      </c>
      <c r="L21" s="6">
        <f>IFERROR(IF(Reinforcements[[#This Row],[Type]]="","",IF(Reinforcements[[#This Row],[Type]]="plate",Reinforcements[[#This Row],[B (in)]]*Reinforcements[[#This Row],[H (in)]],IF(Reinforcements[[#This Row],[Type]]="solid round",PI()/4*Reinforcements[[#This Row],[Diameter (in)]]^2,""))),"")</f>
        <v>5</v>
      </c>
      <c r="M21" s="6">
        <f>IFERROR(IF(Reinforcements[[#This Row],[Type]]="","",IF(Reinforcements[[#This Row],[Type]]="plate",Reinforcements[[#This Row],[H (in)]]/2,"")),"")</f>
        <v>0.625</v>
      </c>
      <c r="N21" s="34" t="s">
        <v>353</v>
      </c>
      <c r="O21" s="111" t="s">
        <v>138</v>
      </c>
      <c r="P21" s="123">
        <f>IFERROR(IF(Reinforcements[[#This Row],[Type]]="","",IF(Reinforcements[[#This Row],[Type]]="plate",Reinforcements[[#This Row],[B (in)]]*Reinforcements[[#This Row],[H (in)]]^3/12,IF(Reinforcements[[#This Row],[Type]]="solid round",PI()/64*Reinforcements[[#This Row],[Diameter (in)]]^4,""))),"")</f>
        <v>0.65104166666666663</v>
      </c>
      <c r="Q21" s="123">
        <f>IF(Reinforcements[[#This Row],[Reinforcement]]="","",SQRT(Reinforcements[[#This Row],[Ix]]/Reinforcements[[#This Row],[Gross Area (in2)]]))</f>
        <v>0.36084391824351608</v>
      </c>
      <c r="R21" s="123">
        <f>IFERROR(IF(Reinforcements[[#This Row],[Type]]="","",IF(Reinforcements[[#This Row],[Type]]="plate",Reinforcements[[#This Row],[B (in)]]^3*Reinforcements[[#This Row],[H (in)]]/12,IF(Reinforcements[[#This Row],[Type]]="solid round",PI()/64*Reinforcements[[#This Row],[Diameter (in)]]^4,""))),"")</f>
        <v>6.666666666666667</v>
      </c>
      <c r="S21" s="123">
        <f>IF(Reinforcements[[#This Row],[Reinforcement]]="","",SQRT(Reinforcements[[#This Row],[Iy]]/Reinforcements[[#This Row],[Gross Area (in2)]]))</f>
        <v>1.1547005383792517</v>
      </c>
      <c r="T21" s="6">
        <v>27</v>
      </c>
      <c r="U21" s="6">
        <v>0.8</v>
      </c>
      <c r="V21" s="6">
        <v>1</v>
      </c>
      <c r="W21" s="6">
        <v>1.1875</v>
      </c>
      <c r="X21" s="6">
        <f>IF(Reinforcements[[#This Row],[Bolt Hole Size (in)]]="","",IF(Reinforcements[[#This Row],[Bolt Hole Size (in)]]="n/a","n/a",Reinforcements[[#This Row],[Bolt Hole Size (in)]]*25.4))</f>
        <v>30.162499999999998</v>
      </c>
      <c r="Y2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6">
        <f>IFERROR(IF(Reinforcements[[#This Row],[Reinforcement]]="","",IF(OR(Reinforcements[[#This Row],[Type]]="plate",Reinforcements[[#This Row],[Type]]="solid round"),1,IF(Reinforcements[[#This Row],[Type]]="arbitrary","",1-Reinforcements[[#This Row],[Pole Face to Centroid (in)]]/Reinforcements[[#This Row],[Connection Length (in) '[Channels']]]))),"")</f>
        <v>1</v>
      </c>
      <c r="AA21" s="16" t="s">
        <v>354</v>
      </c>
      <c r="AB21" s="16" t="str">
        <f>IF(Reinforcements[[#This Row],[Reinforcement]]="","",IF(Reinforcements[[#This Row],[Bottom End Connection Type]]&lt;&gt;"Capacity Input","-",""))</f>
        <v>-</v>
      </c>
      <c r="AC21" s="16" t="str">
        <f>IF(Reinforcements[[#This Row],[Reinforcement]]="","",IF(Reinforcements[[#This Row],[Bottom End Connection Type]]&lt;&gt;"Capacity Input","-",""))</f>
        <v>-</v>
      </c>
      <c r="AD21" s="16" t="str">
        <f>IF(Reinforcements[[#This Row],[Reinforcement]]="","",IF(Reinforcements[[#This Row],[Bottom End Connection Type]]&lt;&gt;"Capacity Input","-",""))</f>
        <v>-</v>
      </c>
      <c r="AE21" s="74" t="s">
        <v>355</v>
      </c>
      <c r="AF21" s="6" t="s">
        <v>356</v>
      </c>
      <c r="AG21" s="6">
        <v>6</v>
      </c>
      <c r="AH21" s="6">
        <v>3</v>
      </c>
      <c r="AI21" s="6">
        <v>3</v>
      </c>
      <c r="AJ21" s="6">
        <f>Reinforcements[[#This Row],[End Connection Edge Distance (in) (B)]]-(Reinforcements[[#This Row],[Bolt Hole Size (in)]]+1/16)/2</f>
        <v>2.375</v>
      </c>
      <c r="AK21" s="6">
        <f>Reinforcements[[#This Row],[End Connection Bolt Spacing (in) (B)]]-(Reinforcements[[#This Row],[Bolt Hole Size (in)]]+1/16)</f>
        <v>1.75</v>
      </c>
      <c r="AL21" s="6">
        <f>Reinforcements[[#This Row],[End Connection Edge Distance (in) (B)]]</f>
        <v>3</v>
      </c>
      <c r="AM21" s="6">
        <f>Reinforcements[[#This Row],[End Connection Bolt Spacing (in) (B)]]</f>
        <v>3</v>
      </c>
      <c r="AN21" s="6" t="str">
        <f>IF(Reinforcements[[#This Row],[Reinforcement]]="","",IF(OR(Reinforcements[[#This Row],[Bottom End Connection Type]]="Bolted",Reinforcements[[#This Row],[Bottom End Connection Type]]=""),"-",""))</f>
        <v>-</v>
      </c>
      <c r="AO21" s="111" t="str">
        <f>IF(Reinforcements[[#This Row],[Reinforcement]]="","",IF(OR(Reinforcements[[#This Row],[Bottom End Connection Type]]="Bolted",Reinforcements[[#This Row],[Bottom End Connection Type]]=""),"-",""))</f>
        <v>-</v>
      </c>
      <c r="AP21" s="111" t="str">
        <f>IF(Reinforcements[[#This Row],[Reinforcement]]="","",IF(OR(Reinforcements[[#This Row],[Bottom End Connection Type]]="Bolted",Reinforcements[[#This Row],[Bottom End Connection Type]]=""),"-",""))</f>
        <v>-</v>
      </c>
      <c r="AQ21" s="111" t="str">
        <f>IF(OR(Reinforcements[[#This Row],[Bottom End Connection Type]]="Bolted",Reinforcements[[#This Row],[Bottom Transverse (Horizontal) Weld]]="none"),"-","")</f>
        <v>-</v>
      </c>
      <c r="AR2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11" t="str">
        <f>IF(OR(Reinforcements[[#This Row],[Bottom Transverse (Horizontal) Weld]]="none",Reinforcements[[#This Row],[Bottom End Connection Type]]="Bolted"),"-","")</f>
        <v>-</v>
      </c>
      <c r="AU2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11" t="str">
        <f>IF(Reinforcements[[#This Row],[Reinforcement]]="","",IF(OR(Reinforcements[[#This Row],[Bottom End Connection Type]]="Bolted",Reinforcements[[#This Row],[Bottom End Connection Type]]=""),"-",""))</f>
        <v>-</v>
      </c>
      <c r="AW21" s="111" t="str">
        <f>IF(Reinforcements[[#This Row],[Reinforcement]]="","",IF(OR(Reinforcements[[#This Row],[Bottom End Connection Type]]&lt;&gt;"Welded",Reinforcements[[#This Row],[Bottom Longitudinal (Vertical) Weld]]="None",Reinforcements[[#This Row],[Bottom Longitudinal (Vertical) Weld]]=""),"-",""))</f>
        <v>-</v>
      </c>
      <c r="AX21" s="111" t="str">
        <f>IF(Reinforcements[[#This Row],[Reinforcement]]="","",IF(OR(Reinforcements[[#This Row],[Bottom End Connection Type]]&lt;&gt;"Welded",Reinforcements[[#This Row],[Bottom Longitudinal (Vertical) Weld]]="None",Reinforcements[[#This Row],[Bottom Longitudinal (Vertical) Weld]]=""),"-",""))</f>
        <v>-</v>
      </c>
      <c r="AY21" s="6" t="str">
        <f>IF(Reinforcements[[#This Row],[Reinforcement]]="","",IF(OR(Reinforcements[[#This Row],[Bottom End Connection Type]]&lt;&gt;"Welded",Reinforcements[[#This Row],[Bottom Longitudinal (Vertical) Weld]]="None"),"-",SQRT(2)/2*Reinforcements[[#This Row],[Bottom Longitudinal Weld Fillet Size (in)]]))</f>
        <v>-</v>
      </c>
      <c r="AZ21" s="6" t="s">
        <v>357</v>
      </c>
      <c r="BA21" s="16" t="str">
        <f>IF(Reinforcements[[#This Row],[Top End Connection Same?]]="Yes",Reinforcements[[#This Row],[Bottom End Connection Type]],"")</f>
        <v>Bolted</v>
      </c>
      <c r="BB21" s="16" t="str">
        <f>IF(Reinforcements[[#This Row],[Reinforcement]]="","",IF(Reinforcements[[#This Row],[Top End Connection Same?]]="Yes",Reinforcements[[#This Row],[Rev. F Bottom Connection Capacity (kips)]],IF(Reinforcements[[#This Row],[Reinforcement]]="","",IF(Reinforcements[[#This Row],[Top End Connection Type]]&lt;&gt;"Capacity Input","-",""))))</f>
        <v>-</v>
      </c>
      <c r="BC21" s="16" t="str">
        <f>IF(Reinforcements[[#This Row],[Reinforcement]]="","",IF(Reinforcements[[#This Row],[Top End Connection Same?]]="Yes",Reinforcements[[#This Row],[Rev. G Bottom Connection Capacity (kips)]],IF(Reinforcements[[#This Row],[Reinforcement]]="","",IF(Reinforcements[[#This Row],[Top End Connection Type]]&lt;&gt;"Capacity Input","-",""))))</f>
        <v>-</v>
      </c>
      <c r="BD21" s="16" t="str">
        <f>IF(Reinforcements[[#This Row],[Reinforcement]]="","",IF(Reinforcements[[#This Row],[Top End Connection Same?]]="Yes",Reinforcements[[#This Row],[Rev. G Bottom Connection Capacity (kips)]],IF(Reinforcements[[#This Row],[Reinforcement]]="","",IF(Reinforcements[[#This Row],[Top End Connection Type]]&lt;&gt;"Capacity Input","-",""))))</f>
        <v>-</v>
      </c>
      <c r="BE21" s="74" t="str">
        <f>IF(Reinforcements[[#This Row],[Top End Connection Same?]]="Yes",Reinforcements[[#This Row],[Bottom End Connection Bolt Type]],IF(Reinforcements[[#This Row],[Top End Connection Type]]="Welded","-",""))</f>
        <v>PC 8.8 - M20 (100)</v>
      </c>
      <c r="BF21" s="6" t="str">
        <f>IF(Reinforcements[[#This Row],[Top End Connection Same?]]="Yes",Reinforcements[[#This Row],[Threads Included (N) or Excluded (X) (Bottom)]],IF(Reinforcements[[#This Row],[Top End Connection Type]]="Welded","-",""))</f>
        <v>N</v>
      </c>
      <c r="BG21" s="6">
        <f>IF(Reinforcements[[#This Row],[Top End Connection Same?]]="Yes",Reinforcements[[#This Row],['# of End Connection Bolts          (Bottom)]],IF(Reinforcements[[#This Row],[Top End Connection Type]]="Welded","-",""))</f>
        <v>6</v>
      </c>
      <c r="BH21" s="6">
        <f>IF(Reinforcements[[#This Row],[Top End Connection Same?]]="Yes",Reinforcements[[#This Row],[End Connection Bolt Spacing (in) (B)]],IF(Reinforcements[[#This Row],[Top End Connection Type]]="Welded","-",""))</f>
        <v>3</v>
      </c>
      <c r="BI21" s="6">
        <f>IF(Reinforcements[[#This Row],[Top End Connection Same?]]="Yes",Reinforcements[[#This Row],[End Connection Edge Distance (in) (B)]],IF(Reinforcements[[#This Row],[Top End Connection Type]]="Welded","-",""))</f>
        <v>3</v>
      </c>
      <c r="BJ21" s="6">
        <f>Reinforcements[[#This Row],[End Connection Edge Distance (in) (T)]]-(Reinforcements[[#This Row],[Bolt Hole Size (in)]]+1/16)/2</f>
        <v>2.375</v>
      </c>
      <c r="BK21" s="6">
        <f>Reinforcements[[#This Row],[End Connection Bolt Spacing (in) (T)]]-(Reinforcements[[#This Row],[Bolt Hole Size (in)]]+1/16)</f>
        <v>1.75</v>
      </c>
      <c r="BL21" s="6">
        <f>Reinforcements[[#This Row],[End Connection Edge Distance (in) (T)]]</f>
        <v>3</v>
      </c>
      <c r="BM21" s="6">
        <f>Reinforcements[[#This Row],[End Connection Bolt Spacing (in) (T)]]</f>
        <v>3</v>
      </c>
      <c r="BN21" s="6" t="str">
        <f>IF(Reinforcements[[#This Row],[Reinforcement]]="","",IF(Reinforcements[[#This Row],[Top End Connection Same?]]="Yes",Reinforcements[[#This Row],[Bottom Connected to Flange/Base Plate?]],IF(Reinforcements[[#This Row],[Top End Connection Type]]="Bolted","-","")))</f>
        <v>-</v>
      </c>
      <c r="BO21" s="6" t="str">
        <f>IF(Reinforcements[[#This Row],[Reinforcement]]="","",IF(Reinforcements[[#This Row],[Top End Connection Same?]]="Yes",Reinforcements[[#This Row],[Bottom Weld Grade (ksi)]],IF(OR(Reinforcements[[#This Row],[Top End Connection Type]]&lt;&gt;"Welded",Reinforcements[[#This Row],[Top End Connection Type]]=""),"-","")))</f>
        <v>-</v>
      </c>
      <c r="BP21" s="6" t="str">
        <f>IF($AZ21="Yes",AP21,IF(Reinforcements[[#This Row],[Reinforcement]]="","",IF(OR(Reinforcements[[#This Row],[Top End Connection Type]]&lt;&gt;"Welded",Reinforcements[[#This Row],[Top End Connection Type]]=""),"-","")))</f>
        <v>-</v>
      </c>
      <c r="BQ21" s="6" t="str">
        <f>IF(Reinforcements[[#This Row],[Reinforcement]]="","",IF($AZ21="Yes",AQ21,IF(OR(Reinforcements[[#This Row],[Top End Connection Type]]&lt;&gt;"Welded",Reinforcements[[#This Row],[Top Transverse (Horizontal) Weld]]="none",Reinforcements[[#This Row],[Top Transverse (Horizontal) Weld]]=""),"-","")))</f>
        <v>-</v>
      </c>
      <c r="BR21" s="6"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6"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6" t="str">
        <f>IF(Reinforcements[[#This Row],[Reinforcement]]="","",IF($AZ21="Yes",AT21,IF(OR(Reinforcements[[#This Row],[Top Transverse (Horizontal) Weld]]="none",Reinforcements[[#This Row],[Top End Connection Type]]&lt;&gt;"Welded",Reinforcements[[#This Row],[Top Transverse (Horizontal) Weld]]=""),"-","")))</f>
        <v>-</v>
      </c>
      <c r="BU21" s="6"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6" t="str">
        <f>IF($AZ21="Yes",AV21,IF(Reinforcements[[#This Row],[Reinforcement]]="","",IF(OR(Reinforcements[[#This Row],[Top End Connection Type]]&lt;&gt;"Welded",Reinforcements[[#This Row],[Top End Connection Type]]=""),"-","")))</f>
        <v>-</v>
      </c>
      <c r="BW21" s="6"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6"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6" t="str">
        <f>IF($AZ21="Yes",AY21,IF(Reinforcements[[#This Row],[Reinforcement]]="","",IF(OR(Reinforcements[[#This Row],[Top End Connection Type]]&lt;&gt;"Welded",Reinforcements[[#This Row],[Top Longitudinal (Vertical) Weld]]="none"),"-",SQRT(2)/2*Reinforcements[[#This Row],[Top Longitudinal Weld Fillet Size (in)]])))</f>
        <v>-</v>
      </c>
      <c r="BZ21"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11">
        <f>IF(Reinforcements[[#This Row],[Reinforcement]]="","",IF(Reinforcements[[#This Row],[Top End Connection Type]]&lt;&gt;"Bolted","n/a",(Reinforcements[[#This Row],['# of End Connection Bolts          (Top)]]-1)*Reinforcements[[#This Row],[End Connection Bolt Spacing (in) (T)]]+Reinforcements[[#This Row],[End Connection Edge Distance (in) (T)]]))</f>
        <v>18</v>
      </c>
      <c r="CC2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6">
        <f>IFERROR(IF(Reinforcements[[#This Row],[Type]]="","",Reinforcements[[#This Row],[Effective B (in)]]*Reinforcements[[#This Row],[Effective H (in)]]^3/12),"")</f>
        <v>0.65104166666666663</v>
      </c>
      <c r="CF21" s="6">
        <f>IFERROR(IF(Reinforcements[[#This Row],[Type]]="","",Reinforcements[[#This Row],[Effective B (in)]]^3*Reinforcements[[#This Row],[Effective H (in)]]/12),"")</f>
        <v>6.666666666666667</v>
      </c>
      <c r="CG21" s="126">
        <f>SQRT(2*PI()^2*29000/VLOOKUP(Reinforcements[[#This Row],[Material]],Materials[],2,FALSE))</f>
        <v>93.844147005158973</v>
      </c>
      <c r="CH2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23">
        <f>Reinforcements[[#This Row],[Effective Length Factor Kx]]*Reinforcements[[#This Row],[Lu (in)]]/(Reinforcements[[#This Row],[rx]]*PI())*SQRT(VLOOKUP(Reinforcements[[#This Row],[Material]],Materials[],2,FALSE)/29000)</f>
        <v>0.90207400474248911</v>
      </c>
      <c r="CK21" s="123">
        <f>Reinforcements[[#This Row],[Effective Length Factor Ky]]*Reinforcements[[#This Row],[Lu (in)]]/(Reinforcements[[#This Row],[ry]]*PI())*SQRT(VLOOKUP(Reinforcements[[#This Row],[Material]],Materials[],2,FALSE)/29000)</f>
        <v>0.35237265810253476</v>
      </c>
      <c r="CL21" s="123">
        <f>IF(Reinforcements[[#This Row],[λcx]]&lt;=1.5,0.658^(Reinforcements[[#This Row],[λcx]]^2)*Reinforcements[[#This Row],[F''y]],0.877/(Reinforcements[[#This Row],[λcx]]^2)*Reinforcements[[#This Row],[F''y]])</f>
        <v>46.237777195184954</v>
      </c>
      <c r="CM21" s="123">
        <f>IF(Reinforcements[[#This Row],[λcy]]&lt;=1.5,0.658^(Reinforcements[[#This Row],[λcy]]^2)*Reinforcements[[#This Row],[F''y]],0.877/(Reinforcements[[#This Row],[λcy]]^2)*Reinforcements[[#This Row],[F''y]])</f>
        <v>61.70823202958254</v>
      </c>
      <c r="CN21" s="6">
        <f>VLOOKUP(Reinforcements[[#This Row],[Material]],Materials[],2,FALSE)</f>
        <v>65</v>
      </c>
      <c r="CO21" s="126">
        <f>IF(Reinforcements[[#This Row],[Reinforcement]]="","",Reinforcements[[#This Row],[Fax]]*Reinforcements[[#This Row],[Gross Area (in2)]])</f>
        <v>138.18749913685605</v>
      </c>
      <c r="CP21" s="126">
        <f>IF(Reinforcements[[#This Row],[Reinforcement]]="","",Reinforcements[[#This Row],[Fay]]*Reinforcements[[#This Row],[Gross Area (in2)]])</f>
        <v>179.11321467721905</v>
      </c>
      <c r="CQ21" s="126">
        <f>IF(Reinforcements[[#This Row],[Reinforcement]]="","",0.6*VLOOKUP(Reinforcements[[#This Row],[Material]],Materials[],2,FALSE)*Reinforcements[[#This Row],[Gross Area (in2)]])</f>
        <v>195</v>
      </c>
      <c r="CR21" s="126">
        <f>IF(Reinforcements[[#This Row],[Reinforcement]]="","",0.5*VLOOKUP(Reinforcements[[#This Row],[Material]],Materials[],3,FALSE)*Reinforcements[[#This Row],[Net Area (in2)]]*Reinforcements[[#This Row],[Shear Lag (U)]])</f>
        <v>137.5</v>
      </c>
      <c r="CS21" s="126">
        <f>IF(Reinforcements[[#This Row],[Reinforcement]]="","",0.4*VLOOKUP(Reinforcements[[#This Row],[Material]],Materials[],2,FALSE)*Reinforcements[[#This Row],[Gross Area (in2)]])</f>
        <v>130</v>
      </c>
      <c r="CT21"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6"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6"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26">
        <f>IF(Reinforcements[[#This Row],[Reinforcement]]="","",φ_c*Reinforcements[[#This Row],[Fcr,x]]*Reinforcements[[#This Row],[Gross Area (in2)]])</f>
        <v>208.06999737833229</v>
      </c>
      <c r="DI21" s="126">
        <f>IF(Reinforcements[[#This Row],[Reinforcement]]="","",φ_c*Reinforcements[[#This Row],[Fcr,y]]*Reinforcements[[#This Row],[Gross Area (in2)]])</f>
        <v>277.68704413312145</v>
      </c>
      <c r="DJ21" s="126">
        <f>IF(Reinforcements[[#This Row],[Reinforcement]]="","",φ_t_y*VLOOKUP(Reinforcements[[#This Row],[Material]],Materials[],2,FALSE)*Reinforcements[[#This Row],[Gross Area (in2)]])</f>
        <v>292.5</v>
      </c>
      <c r="DK21" s="126">
        <f>IF(Reinforcements[[#This Row],[Reinforcement]]="","",φ_t_r*VLOOKUP(Reinforcements[[#This Row],[Material]],Materials[],3,FALSE)*Reinforcements[[#This Row],[Net Area (in2)]]*Reinforcements[[#This Row],[Shear Lag (U)]])</f>
        <v>206.25</v>
      </c>
      <c r="DL21" s="126">
        <f>IF(Reinforcements[[#This Row],[Reinforcement]]="","",φ_v*0.5*Reinforcements[[#This Row],[F''y]]*Reinforcements[[#This Row],[Gross Area (in2)]])</f>
        <v>146.25</v>
      </c>
      <c r="DM21"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6"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6"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111" t="str">
        <f>IF(OR(Reinforcements[[#This Row],[Type]]="plate",Reinforcements[[#This Row],[Type]]="solid round"),"N/A",Reinforcements[[#This Row],[B (in)]])</f>
        <v>N/A</v>
      </c>
      <c r="EB21" s="6" t="str">
        <f>IF(OR(Reinforcements[[#This Row],[Type]]="plate",Reinforcements[[#This Row],[Type]]="solid round"),"N/A",Reinforcements[[#This Row],[H (in)]])</f>
        <v>N/A</v>
      </c>
      <c r="EC21" s="6" t="str">
        <f>IF(OR(Reinforcements[[#This Row],[Type]]="plate",Reinforcements[[#This Row],[Type]]="solid round"),"N/A",Reinforcements[[#This Row],[B (in)]]-Reinforcements[[#This Row],['[Channel'] Flange Thickness (in)]])</f>
        <v>N/A</v>
      </c>
      <c r="ED21" s="6" t="str">
        <f>IF(OR(Reinforcements[[#This Row],[Type]]="plate",Reinforcements[[#This Row],[Type]]="solid round"),"N/A",Reinforcements[[#This Row],['[Channel']Web Thickness (in)]])</f>
        <v>N/A</v>
      </c>
      <c r="EE21" s="6" t="str">
        <f>IF(OR(Reinforcements[[#This Row],[Type]]="plate",Reinforcements[[#This Row],[Type]]="solid round"),"N/A",Reinforcements[[#This Row],['[Channel'] Flange Thickness (in)]])</f>
        <v>N/A</v>
      </c>
      <c r="EF21" s="6" t="str">
        <f>IF(Reinforcements[[#This Row],[Type]]="channel",Reinforcements[[#This Row],[Channel Flange Width, b]]/Reinforcements[[#This Row],[Channel flange thickness, tf]],"N/A")</f>
        <v>N/A</v>
      </c>
      <c r="EG21" s="6" t="str">
        <f>IF(Reinforcements[[#This Row],[Type]]="channel",Reinforcements[[#This Row],[Channel inside depth, T]]/Reinforcements[[#This Row],[Channel web thickness, tw]],"N/A")</f>
        <v>N/A</v>
      </c>
      <c r="EH21" s="6">
        <f>29000</f>
        <v>29000</v>
      </c>
      <c r="EI21" s="6" t="str">
        <f>IF(Reinforcements[[#This Row],[Type]]="channel",0.56*SQRT(Reinforcements[[#This Row],[E, (ksi)]]/Reinforcements[[#This Row],[Fy, (ksi)]]),"N/A")</f>
        <v>N/A</v>
      </c>
      <c r="EJ21" s="6" t="str">
        <f>IF(Reinforcements[[#This Row],[Type]]="channel",1.49*SQRT(Reinforcements[[#This Row],[E, (ksi)]]/Reinforcements[[#This Row],[Fy, (ksi)]]),"N/A")</f>
        <v>N/A</v>
      </c>
      <c r="EK21" s="6">
        <f>VLOOKUP(Reinforcements[[#This Row],[Material]],Materials!$B$2:$C$30,2,FALSE)</f>
        <v>65</v>
      </c>
      <c r="EL21" s="6">
        <f>Reinforcements[[#This Row],[Lu (in)]]*Reinforcements[[#This Row],[Effective Length Factor Kx]]</f>
        <v>21.6</v>
      </c>
      <c r="EM21" s="6">
        <f>Reinforcements[[#This Row],[Lu (in)]]*Reinforcements[[#This Row],[Effective Length Factor Ky]]</f>
        <v>27</v>
      </c>
      <c r="EN21" s="6">
        <f>Reinforcements[[#This Row],[rx]]</f>
        <v>0.36084391824351608</v>
      </c>
      <c r="EO21" s="6">
        <f>Reinforcements[[#This Row],[ry]]</f>
        <v>1.1547005383792517</v>
      </c>
      <c r="EP21" s="6">
        <f>Reinforcements[[#This Row],[Lcx (in)]]/Reinforcements[[#This Row],[rx (in)]]</f>
        <v>59.859675909580403</v>
      </c>
      <c r="EQ21" s="6">
        <f>Reinforcements[[#This Row],[Lcy (in)]]/Reinforcements[[#This Row],[ry (in)]]</f>
        <v>23.382685902179841</v>
      </c>
      <c r="ER21" s="6">
        <f>((PI()^2)*Reinforcements[[#This Row],[E, (ksi)]])/(Reinforcements[[#This Row],[Lcx/rx]]^2)</f>
        <v>79.878338160215449</v>
      </c>
      <c r="ES21" s="6">
        <f>((PI()^2)*Reinforcements[[#This Row],[E, (ksi)]])/(Reinforcements[[#This Row],[Lcy/ry]]^2)</f>
        <v>523.4906769667881</v>
      </c>
      <c r="ET21" s="6">
        <f>4.71*(SQRT(Reinforcements[[#This Row],[E, (ksi)]]/Reinforcements[[#This Row],[Fy, (ksi)]]))</f>
        <v>99.486288193205496</v>
      </c>
      <c r="EU21" s="6">
        <f>IF(Reinforcements[[#This Row],[Lcx/rx]]&lt;=Reinforcements[[#This Row],[Fcr Limit]],(0.658^(Reinforcements[[#This Row],[Fy, (ksi)]]/Reinforcements[[#This Row],[Fex, FB (ksi)]]))*Reinforcements[[#This Row],[Fy, (ksi)]],0.877*Reinforcements[[#This Row],[Fex, FB (ksi)]])</f>
        <v>46.23777719518494</v>
      </c>
      <c r="EV21" s="6">
        <f>IF(Reinforcements[[#This Row],[Lcy/ry]]&lt;=Reinforcements[[#This Row],[Fcr Limit]],(0.658^(Reinforcements[[#This Row],[Fy, (ksi)]]/Reinforcements[[#This Row],[Fey, FB (ksi)]]))*Reinforcements[[#This Row],[Fy, (ksi)]],0.877*Reinforcements[[#This Row],[Fey, FB (ksi)]])</f>
        <v>61.70823202958254</v>
      </c>
      <c r="EW21" s="6">
        <f>Reinforcements[[#This Row],[Fcrx (ksi)]]*Reinforcements[[#This Row],[Gross Area (in2)]]</f>
        <v>231.18888597592471</v>
      </c>
      <c r="EX21" s="6">
        <f>Reinforcements[[#This Row],[Fcry (ksi)]]*Reinforcements[[#This Row],[Gross Area (in2)]]</f>
        <v>308.54116014791271</v>
      </c>
      <c r="EY21" s="6" t="str">
        <f>IF(Reinforcements[[#This Row],[Type]]="channel",0,"N/A")</f>
        <v>N/A</v>
      </c>
      <c r="EZ21" s="6" t="str">
        <f>IF(Reinforcements[[#This Row],[Type]]="channel",Reinforcements[[#This Row],[Channel Flange Width, b]]-(0.5*Reinforcements[[#This Row],[Channel web thickness, tw]]),"N/A")</f>
        <v>N/A</v>
      </c>
      <c r="FA21" s="6" t="str">
        <f>IF(Reinforcements[[#This Row],[Type]]="channel",Reinforcements[[#This Row],[Channel Height, h]]-Reinforcements[[#This Row],[Channel flange thickness, tf]],"N/A")</f>
        <v>N/A</v>
      </c>
      <c r="FB21" s="6" t="str">
        <f>IF(Reinforcements[[#This Row],[Type]]="channel",Reinforcements[[#This Row],[Channel web thickness, tw]],"N/A")</f>
        <v>N/A</v>
      </c>
      <c r="FC21" s="6" t="str">
        <f>IF(Reinforcements[[#This Row],[Type]]="channel",((3*Reinforcements[[#This Row],[b]]^2)/(Reinforcements[[#This Row],[h]]+(6*Reinforcements[[#This Row],[b]])))-Reinforcements[[#This Row],[t]]/2,"N/A")</f>
        <v>N/A</v>
      </c>
      <c r="FD21" s="6">
        <f>Reinforcements[[#This Row],[Pole Face to Centroid (in)]]</f>
        <v>0.625</v>
      </c>
      <c r="FE21" s="6" t="str">
        <f>IF(Reinforcements[[#This Row],[Type]]="channel",Reinforcements[[#This Row],[x(bar)]]+Reinforcements[[#This Row],['[Channel'] e0 (in)]],"N/A")</f>
        <v>N/A</v>
      </c>
      <c r="FF21" s="6" t="str">
        <f>IF(Reinforcements[[#This Row],[Type]]="channel",Reinforcements[[#This Row],[Ix]],"N/A")</f>
        <v>N/A</v>
      </c>
      <c r="FG21" s="6" t="str">
        <f>IF(Reinforcements[[#This Row],[Type]]="channel",Reinforcements[[#This Row],[Iy]],"N/A")</f>
        <v>N/A</v>
      </c>
      <c r="FH21" s="6" t="str">
        <f>IF(Reinforcements[[#This Row],[Type]]="channel",Reinforcements[[#This Row],[Gross Area (in2)]],"N/A")</f>
        <v>N/A</v>
      </c>
      <c r="FI21" s="6" t="str">
        <f>IF(Reinforcements[[#This Row],[Type]]="channel",(Reinforcements[[#This Row],[xo]]^2)+((Reinforcements[[#This Row],[Ix (FTB)]]+Reinforcements[[#This Row],[Iy (FTB)]])/Reinforcements[[#This Row],[Ag]]),"N/A")</f>
        <v>N/A</v>
      </c>
      <c r="FJ21" s="6" t="str">
        <f>IF(Reinforcements[[#This Row],[Type]]="channel",Reinforcements[[#This Row],[Lu (in)]],"N/A")</f>
        <v>N/A</v>
      </c>
      <c r="FK21" s="6" t="str">
        <f>IF(Reinforcements[[#This Row],[Type]]="channel",Reinforcements[[#This Row],[Effective Length Factor Kx]],"N/A")</f>
        <v>N/A</v>
      </c>
      <c r="FL21" s="6" t="str">
        <f>IF(Reinforcements[[#This Row],[Type]]="channel",Reinforcements[[#This Row],[Kz]]*Reinforcements[[#This Row],[Lz]],"N/A")</f>
        <v>N/A</v>
      </c>
      <c r="FM21" s="6" t="str">
        <f>IF(Reinforcements[[#This Row],[Type]]="channel",(((Reinforcements[[#This Row],[t]]^3)/3)*(Reinforcements[[#This Row],[h]]+(2*Reinforcements[[#This Row],[b]]))),"N/A")</f>
        <v>N/A</v>
      </c>
      <c r="FN21" s="6" t="str">
        <f>IF(Reinforcements[[#This Row],[Type]]="channel",(1-(((Reinforcements[[#This Row],[xo]]^2)+(Reinforcements[[#This Row],[yo]]^2))/Reinforcements[[#This Row],[ro^2(bar)]])),"N/A")</f>
        <v>N/A</v>
      </c>
      <c r="FO21" s="6">
        <v>11200</v>
      </c>
      <c r="FP21" s="6" t="str">
        <f>IF(Reinforcements[[#This Row],[Type]]="channel",(((Reinforcements[[#This Row],[h]]^2)*(Reinforcements[[#This Row],[b]]^3)*Reinforcements[[#This Row],[t]])/12)*(((2*Reinforcements[[#This Row],[h]])+(3*Reinforcements[[#This Row],[b]]))/(Reinforcements[[#This Row],[h]]+(6*Reinforcements[[#This Row],[b]]))),"N/A")</f>
        <v>N/A</v>
      </c>
      <c r="FQ21" s="6" t="str">
        <f>IF(Reinforcements[[#This Row],[Type]]="Channel",((((PI()^2)*Reinforcements[[#This Row],[E, (ksi)]]*Reinforcements[[#This Row],['[Channel'] CW (in6)]])/(Reinforcements[[#This Row],[Lcz]]^2))+(Reinforcements[[#This Row],[G]]*Reinforcements[[#This Row],['[Channel'] J (in4)]]))*(1/(Reinforcements[[#This Row],[Ag]]*Reinforcements[[#This Row],[ro^2(bar)]])),"N/A")</f>
        <v>N/A</v>
      </c>
      <c r="FR21" s="6" t="str">
        <f>IF(Reinforcements[[#This Row],[Type]]="channel",((PI()^2)*Reinforcements[[#This Row],[E, (ksi)]])/(Reinforcements[[#This Row],[Lcy/ry]]^2),"N/A")</f>
        <v>N/A</v>
      </c>
      <c r="FS21" s="6" t="str">
        <f>IF(Reinforcements[[#This Row],[Type]]="channel",((Reinforcements[[#This Row],[Fey]]+Reinforcements[[#This Row],[Fez]])/(2*Reinforcements[[#This Row],[H2]]))*(1-SQRT(1-((4*Reinforcements[[#This Row],[Fey]]*Reinforcements[[#This Row],[Fez]]*Reinforcements[[#This Row],[H2]])/(Reinforcements[[#This Row],[Fey]]+Reinforcements[[#This Row],[Fez]])^2))),"N/A")</f>
        <v>N/A</v>
      </c>
      <c r="FT21" s="6" t="str">
        <f>IF(Reinforcements[[#This Row],[Type]]="channel",IF(Reinforcements[[#This Row],[Lcx/rx]]&gt;(4.71*SQRT(Reinforcements[[#This Row],[E, (ksi)]]/Reinforcements[[#This Row],[Fy, (ksi)]])),0.877*Reinforcements[[#This Row],[Fe (FTB)]],0.658^(Reinforcements[[#This Row],[Fy, (ksi)]]/Reinforcements[[#This Row],[Fe (FTB)]])*Reinforcements[[#This Row],[Fy, (ksi)]]),"N/A")</f>
        <v>N/A</v>
      </c>
      <c r="FU21" s="6" t="str">
        <f>IF(Reinforcements[[#This Row],[Type]]="channel",MIN(Reinforcements[[#This Row],[Fcr(FTB)]],Reinforcements[[#This Row],[Fcry (ksi)]]),"N/A")</f>
        <v>N/A</v>
      </c>
      <c r="FV21" s="6">
        <v>0.22</v>
      </c>
      <c r="FW21" s="6">
        <v>1.49</v>
      </c>
      <c r="FX21" s="6" t="str">
        <f>IF(Reinforcements[[#This Row],[Type]]="channel",((Reinforcements[[#This Row],[c2]]*(Reinforcements[[#This Row],[λrf]]/Reinforcements[[#This Row],[λf]]))^2)*Reinforcements[[#This Row],[Fy, (ksi)]],"N/A")</f>
        <v>N/A</v>
      </c>
      <c r="FY21" s="6" t="str">
        <f>IF(Reinforcements[[#This Row],[Type]]="channel",((Reinforcements[[#This Row],[c2]]*(Reinforcements[[#This Row],[λrw]]/Reinforcements[[#This Row],[λw]]))^2)*Reinforcements[[#This Row],[Fy, (ksi)]],"N/A")</f>
        <v>N/A</v>
      </c>
      <c r="FZ21"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6" t="str">
        <f>IF(Reinforcements[[#This Row],[Type]]="channel",Reinforcements[[#This Row],[Fcr]]*Reinforcements[[#This Row],[Ae]],"N/A")</f>
        <v>N/A</v>
      </c>
      <c r="GD21">
        <f>IF(Reinforcements[[#This Row],[Reinforcement]]="","",φ_c*Reinforcements[[#This Row],[Pnx, FB (kip)]])</f>
        <v>208.06999737833223</v>
      </c>
      <c r="GE21">
        <f>IF(Reinforcements[[#This Row],[Reinforcement]]="","",IF(Reinforcements[[#This Row],[Type]]="channel",φ_c*Reinforcements[[#This Row],[Pn]],φ_c*Reinforcements[[#This Row],[Pny, FB (kip)]]))</f>
        <v>277.68704413312145</v>
      </c>
      <c r="GF21">
        <f>Reinforcements[[#This Row],[Rev. G Tension Yield Capacity (kips)]]</f>
        <v>292.5</v>
      </c>
      <c r="GG21">
        <f>Reinforcements[[#This Row],[Rev. G Tension Rupture Capacity (kips)]]</f>
        <v>206.25</v>
      </c>
      <c r="GH21">
        <f>Reinforcements[[#This Row],[Rev. G Shear Capacity (kips)]]</f>
        <v>146.25</v>
      </c>
      <c r="GI21">
        <f>IFERROR((Reinforcements[[#This Row],['# of End Connection Bolts          (Bottom)]]-1)*Reinforcements[[#This Row],[End Connection Bolt Spacing (in) (B)]],"-")</f>
        <v>15</v>
      </c>
      <c r="GJ21">
        <f>IFERROR(IF(VLOOKUP(Reinforcements[[#This Row],[Bottom End Connection Bolt Type]],Bolts[],COLUMN(Bolts[[#Headers],[Rev. H Apply Connection Length Reduction Factor (Rb)?]])-1,FALSE)="Yes",(IF(Reinforcements[[#This Row],[Lb(bottom)]]&lt;=16,1,IF(Reinforcements[[#This Row],[Lb(bottom)]]&gt;38,0.75,0.9))),1),"-")</f>
        <v>1</v>
      </c>
      <c r="GK21">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f>IFERROR(IF(Reinforcements[[#This Row],[Top End Connection Same?]]="Yes",Reinforcements[[#This Row],[Lb(bottom)]],(Reinforcements[[#This Row],['# of End Connection Bolts          (Top)]]-1)*Reinforcements[[#This Row],[End Connection Bolt Spacing (in) (T)]]),"-")</f>
        <v>15</v>
      </c>
      <c r="GM21">
        <f>IFERROR(IF(VLOOKUP(Reinforcements[[#This Row],[Top End Connection Bolt Type]],Bolts[],COLUMN(Bolts[[#Headers],[Rev. H Apply Connection Length Reduction Factor (Rb)?]])-1,FALSE)=TRUE,(IF(Reinforcements[[#This Row],[Lb(top)]]&lt;=16,1,IF(Reinforcements[[#This Row],[Lb(top)]]&gt;38,0.75,0.9))),1),"-")</f>
        <v>1</v>
      </c>
      <c r="GN2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f>Reinforcements[[#This Row],[Rev. G Bolt-Shaft Bearing Capacity (Bottom)                No Deformation          (*t*Fu kips)]]</f>
        <v>11.96220472440945</v>
      </c>
      <c r="GP21">
        <f>Reinforcements[[#This Row],[Rev. G Bolt-Shaft Bearing Capacity (Bottom)                   Deformation          (*t*Fu kips)]]</f>
        <v>14.952755905511811</v>
      </c>
      <c r="GQ21">
        <f>Reinforcements[[#This Row],[Rev. G Bolt-Shaft Bearing Capacity (Top)                    No Deformation          (*t*Fu kips)]]</f>
        <v>11.96220472440945</v>
      </c>
      <c r="GR21">
        <f>Reinforcements[[#This Row],[Rev. G Bolt-Shaft Bearing Capacity (Top)                        Deformation          (*t*Fu kips)]]</f>
        <v>14.952755905511811</v>
      </c>
      <c r="GS21">
        <f>Reinforcements[[#This Row],[Rev. G Bolt-Reinf. Bearing Capacity (Bottom)            No Deformation (kips)]]</f>
        <v>1196.2204724409448</v>
      </c>
      <c r="GT21">
        <f>Reinforcements[[#This Row],[Rev. G Bolt-Reinf. Bearing Capacity (Bottom)               Deformation (kips)]]</f>
        <v>1495.2755905511813</v>
      </c>
      <c r="GU21">
        <f>Reinforcements[[#This Row],[Rev. G Bolt-Reinf. Bearing Capacity (Top)                  No Deformation (kips)]]</f>
        <v>1196.2204724409448</v>
      </c>
      <c r="GV21">
        <f>Reinforcements[[#This Row],[Rev. G Bolt-Reinf. Bearing Capacity (Top)               Deformation (kips)]]</f>
        <v>1495.2755905511813</v>
      </c>
      <c r="GW21" t="str">
        <f>Reinforcements[[#This Row],[Rev. G Bottom Transverse Weld Strength]]</f>
        <v>-</v>
      </c>
      <c r="GX21" t="str">
        <f>Reinforcements[[#This Row],[Rev. G Bottom Longitudinal Weld Strength]]</f>
        <v>-</v>
      </c>
      <c r="GY21" t="str">
        <f>Reinforcements[[#This Row],[Rev. G Top Transverse Weld Strength]]</f>
        <v>-</v>
      </c>
      <c r="GZ21" t="str">
        <f>Reinforcements[[#This Row],[Rev. G Top Longitudinal Weld Strength]]</f>
        <v>-</v>
      </c>
      <c r="HA21">
        <v>19</v>
      </c>
      <c r="HB21"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0" x14ac:dyDescent="0.2">
      <c r="B22" s="49" t="s">
        <v>376</v>
      </c>
      <c r="C22" s="49" t="s">
        <v>352</v>
      </c>
      <c r="D22" s="6">
        <v>4.5</v>
      </c>
      <c r="E22" s="6">
        <v>1</v>
      </c>
      <c r="F22" s="6" t="str">
        <f>IF(Reinforcements[[#This Row],[Type]]="","",IF(Reinforcements[[#This Row],[Type]]="solid round","","n/a"))</f>
        <v>n/a</v>
      </c>
      <c r="G22" s="6" t="str">
        <f>IF(Reinforcements[[#This Row],[Type]]="","",IF(Reinforcements[[#This Row],[Type]]&lt;&gt;"channel","n/a",""))</f>
        <v>n/a</v>
      </c>
      <c r="H22" s="6" t="str">
        <f>IF(Reinforcements[[#This Row],[Type]]="","",IF(Reinforcements[[#This Row],[Type]]&lt;&gt;"channel","n/a",""))</f>
        <v>n/a</v>
      </c>
      <c r="I22" s="126" t="str">
        <f>IF(Reinforcements[[#This Row],[Type]]="","",IF(Reinforcements[[#This Row],[Type]]&lt;&gt;"channel","n/a",Reinforcements[[#This Row],[eo]]))</f>
        <v>n/a</v>
      </c>
      <c r="J22" s="126" t="str">
        <f>IF(Reinforcements[[#This Row],[Type]]="","",IF(Reinforcements[[#This Row],[Type]]&lt;&gt;"channel","n/a",Reinforcements[[#This Row],[J]]))</f>
        <v>n/a</v>
      </c>
      <c r="K22" s="126" t="str">
        <f>IF(Reinforcements[[#This Row],[Type]]="","",IF(Reinforcements[[#This Row],[Type]]&lt;&gt;"channel","n/a",Reinforcements[[#This Row],[Cw]]))</f>
        <v>n/a</v>
      </c>
      <c r="L22" s="6">
        <f>IFERROR(IF(Reinforcements[[#This Row],[Type]]="","",IF(Reinforcements[[#This Row],[Type]]="plate",Reinforcements[[#This Row],[B (in)]]*Reinforcements[[#This Row],[H (in)]],IF(Reinforcements[[#This Row],[Type]]="solid round",PI()/4*Reinforcements[[#This Row],[Diameter (in)]]^2,""))),"")</f>
        <v>4.5</v>
      </c>
      <c r="M22" s="6">
        <f>IFERROR(IF(Reinforcements[[#This Row],[Type]]="","",IF(Reinforcements[[#This Row],[Type]]="plate",Reinforcements[[#This Row],[H (in)]]/2,"")),"")</f>
        <v>0.5</v>
      </c>
      <c r="N22" s="16" t="s">
        <v>353</v>
      </c>
      <c r="O22" s="6" t="s">
        <v>138</v>
      </c>
      <c r="P22" s="123">
        <f>IFERROR(IF(Reinforcements[[#This Row],[Type]]="","",IF(Reinforcements[[#This Row],[Type]]="plate",Reinforcements[[#This Row],[B (in)]]*Reinforcements[[#This Row],[H (in)]]^3/12,IF(Reinforcements[[#This Row],[Type]]="solid round",PI()/64*Reinforcements[[#This Row],[Diameter (in)]]^4,""))),"")</f>
        <v>0.375</v>
      </c>
      <c r="Q22" s="123">
        <f>IF(Reinforcements[[#This Row],[Reinforcement]]="","",SQRT(Reinforcements[[#This Row],[Ix]]/Reinforcements[[#This Row],[Gross Area (in2)]]))</f>
        <v>0.28867513459481287</v>
      </c>
      <c r="R22" s="123">
        <f>IFERROR(IF(Reinforcements[[#This Row],[Type]]="","",IF(Reinforcements[[#This Row],[Type]]="plate",Reinforcements[[#This Row],[B (in)]]^3*Reinforcements[[#This Row],[H (in)]]/12,IF(Reinforcements[[#This Row],[Type]]="solid round",PI()/64*Reinforcements[[#This Row],[Diameter (in)]]^4,""))),"")</f>
        <v>7.59375</v>
      </c>
      <c r="S22" s="123">
        <f>IF(Reinforcements[[#This Row],[Reinforcement]]="","",SQRT(Reinforcements[[#This Row],[Iy]]/Reinforcements[[#This Row],[Gross Area (in2)]]))</f>
        <v>1.299038105676658</v>
      </c>
      <c r="T22" s="6">
        <v>20</v>
      </c>
      <c r="U22" s="6">
        <v>0.8</v>
      </c>
      <c r="V22" s="6">
        <v>1</v>
      </c>
      <c r="W22" s="6">
        <v>1.1875</v>
      </c>
      <c r="X22" s="6">
        <f>IF(Reinforcements[[#This Row],[Bolt Hole Size (in)]]="","",IF(Reinforcements[[#This Row],[Bolt Hole Size (in)]]="n/a","n/a",Reinforcements[[#This Row],[Bolt Hole Size (in)]]*25.4))</f>
        <v>30.162499999999998</v>
      </c>
      <c r="Y2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6">
        <f>IFERROR(IF(Reinforcements[[#This Row],[Reinforcement]]="","",IF(OR(Reinforcements[[#This Row],[Type]]="plate",Reinforcements[[#This Row],[Type]]="solid round"),1,IF(Reinforcements[[#This Row],[Type]]="arbitrary","",1-Reinforcements[[#This Row],[Pole Face to Centroid (in)]]/Reinforcements[[#This Row],[Connection Length (in) '[Channels']]]))),"")</f>
        <v>1</v>
      </c>
      <c r="AA22" s="16" t="s">
        <v>354</v>
      </c>
      <c r="AB22" s="16" t="str">
        <f>IF(Reinforcements[[#This Row],[Reinforcement]]="","",IF(Reinforcements[[#This Row],[Bottom End Connection Type]]&lt;&gt;"Capacity Input","-",""))</f>
        <v>-</v>
      </c>
      <c r="AC22" s="16" t="str">
        <f>IF(Reinforcements[[#This Row],[Reinforcement]]="","",IF(Reinforcements[[#This Row],[Bottom End Connection Type]]&lt;&gt;"Capacity Input","-",""))</f>
        <v>-</v>
      </c>
      <c r="AD22" s="16" t="str">
        <f>IF(Reinforcements[[#This Row],[Reinforcement]]="","",IF(Reinforcements[[#This Row],[Bottom End Connection Type]]&lt;&gt;"Capacity Input","-",""))</f>
        <v>-</v>
      </c>
      <c r="AE22" s="74" t="s">
        <v>355</v>
      </c>
      <c r="AF22" s="6" t="s">
        <v>356</v>
      </c>
      <c r="AG22" s="6">
        <v>6</v>
      </c>
      <c r="AH22" s="6">
        <v>3</v>
      </c>
      <c r="AI22" s="6">
        <v>3</v>
      </c>
      <c r="AJ22" s="6">
        <f>Reinforcements[[#This Row],[End Connection Edge Distance (in) (B)]]-(Reinforcements[[#This Row],[Bolt Hole Size (in)]]+1/16)/2</f>
        <v>2.375</v>
      </c>
      <c r="AK22" s="6">
        <f>Reinforcements[[#This Row],[End Connection Bolt Spacing (in) (B)]]-(Reinforcements[[#This Row],[Bolt Hole Size (in)]]+1/16)</f>
        <v>1.75</v>
      </c>
      <c r="AL22" s="6">
        <f>Reinforcements[[#This Row],[End Connection Edge Distance (in) (B)]]</f>
        <v>3</v>
      </c>
      <c r="AM22" s="6">
        <f>Reinforcements[[#This Row],[End Connection Bolt Spacing (in) (B)]]</f>
        <v>3</v>
      </c>
      <c r="AN22" s="6" t="str">
        <f>IF(Reinforcements[[#This Row],[Reinforcement]]="","",IF(OR(Reinforcements[[#This Row],[Bottom End Connection Type]]="Bolted",Reinforcements[[#This Row],[Bottom End Connection Type]]=""),"-",""))</f>
        <v>-</v>
      </c>
      <c r="AO22" s="111" t="str">
        <f>IF(Reinforcements[[#This Row],[Reinforcement]]="","",IF(OR(Reinforcements[[#This Row],[Bottom End Connection Type]]="Bolted",Reinforcements[[#This Row],[Bottom End Connection Type]]=""),"-",""))</f>
        <v>-</v>
      </c>
      <c r="AP22" s="111" t="str">
        <f>IF(Reinforcements[[#This Row],[Reinforcement]]="","",IF(OR(Reinforcements[[#This Row],[Bottom End Connection Type]]="Bolted",Reinforcements[[#This Row],[Bottom End Connection Type]]=""),"-",""))</f>
        <v>-</v>
      </c>
      <c r="AQ22" s="111" t="str">
        <f>IF(OR(Reinforcements[[#This Row],[Bottom End Connection Type]]="Bolted",Reinforcements[[#This Row],[Bottom Transverse (Horizontal) Weld]]="none"),"-","")</f>
        <v>-</v>
      </c>
      <c r="AR2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11" t="str">
        <f>IF(OR(Reinforcements[[#This Row],[Bottom Transverse (Horizontal) Weld]]="none",Reinforcements[[#This Row],[Bottom End Connection Type]]="Bolted"),"-","")</f>
        <v>-</v>
      </c>
      <c r="AU2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11" t="str">
        <f>IF(Reinforcements[[#This Row],[Reinforcement]]="","",IF(OR(Reinforcements[[#This Row],[Bottom End Connection Type]]="Bolted",Reinforcements[[#This Row],[Bottom End Connection Type]]=""),"-",""))</f>
        <v>-</v>
      </c>
      <c r="AW22" s="111" t="str">
        <f>IF(Reinforcements[[#This Row],[Reinforcement]]="","",IF(OR(Reinforcements[[#This Row],[Bottom End Connection Type]]&lt;&gt;"Welded",Reinforcements[[#This Row],[Bottom Longitudinal (Vertical) Weld]]="None",Reinforcements[[#This Row],[Bottom Longitudinal (Vertical) Weld]]=""),"-",""))</f>
        <v>-</v>
      </c>
      <c r="AX22" s="111" t="str">
        <f>IF(Reinforcements[[#This Row],[Reinforcement]]="","",IF(OR(Reinforcements[[#This Row],[Bottom End Connection Type]]&lt;&gt;"Welded",Reinforcements[[#This Row],[Bottom Longitudinal (Vertical) Weld]]="None",Reinforcements[[#This Row],[Bottom Longitudinal (Vertical) Weld]]=""),"-",""))</f>
        <v>-</v>
      </c>
      <c r="AY22" s="6" t="str">
        <f>IF(Reinforcements[[#This Row],[Reinforcement]]="","",IF(OR(Reinforcements[[#This Row],[Bottom End Connection Type]]&lt;&gt;"Welded",Reinforcements[[#This Row],[Bottom Longitudinal (Vertical) Weld]]="None"),"-",SQRT(2)/2*Reinforcements[[#This Row],[Bottom Longitudinal Weld Fillet Size (in)]]))</f>
        <v>-</v>
      </c>
      <c r="AZ22" s="111" t="s">
        <v>357</v>
      </c>
      <c r="BA22" s="16" t="str">
        <f>IF(Reinforcements[[#This Row],[Top End Connection Same?]]="Yes",Reinforcements[[#This Row],[Bottom End Connection Type]],"")</f>
        <v>Bolted</v>
      </c>
      <c r="BB22" s="16" t="str">
        <f>IF(Reinforcements[[#This Row],[Reinforcement]]="","",IF(Reinforcements[[#This Row],[Top End Connection Same?]]="Yes",Reinforcements[[#This Row],[Rev. F Bottom Connection Capacity (kips)]],IF(Reinforcements[[#This Row],[Reinforcement]]="","",IF(Reinforcements[[#This Row],[Top End Connection Type]]&lt;&gt;"Capacity Input","-",""))))</f>
        <v>-</v>
      </c>
      <c r="BC22" s="16" t="str">
        <f>IF(Reinforcements[[#This Row],[Reinforcement]]="","",IF(Reinforcements[[#This Row],[Top End Connection Same?]]="Yes",Reinforcements[[#This Row],[Rev. G Bottom Connection Capacity (kips)]],IF(Reinforcements[[#This Row],[Reinforcement]]="","",IF(Reinforcements[[#This Row],[Top End Connection Type]]&lt;&gt;"Capacity Input","-",""))))</f>
        <v>-</v>
      </c>
      <c r="BD22" s="16" t="str">
        <f>IF(Reinforcements[[#This Row],[Reinforcement]]="","",IF(Reinforcements[[#This Row],[Top End Connection Same?]]="Yes",Reinforcements[[#This Row],[Rev. G Bottom Connection Capacity (kips)]],IF(Reinforcements[[#This Row],[Reinforcement]]="","",IF(Reinforcements[[#This Row],[Top End Connection Type]]&lt;&gt;"Capacity Input","-",""))))</f>
        <v>-</v>
      </c>
      <c r="BE22" s="74" t="str">
        <f>IF(Reinforcements[[#This Row],[Top End Connection Same?]]="Yes",Reinforcements[[#This Row],[Bottom End Connection Bolt Type]],IF(Reinforcements[[#This Row],[Top End Connection Type]]="Welded","-",""))</f>
        <v>PC 8.8 - M20 (100)</v>
      </c>
      <c r="BF22" s="6" t="str">
        <f>IF(Reinforcements[[#This Row],[Top End Connection Same?]]="Yes",Reinforcements[[#This Row],[Threads Included (N) or Excluded (X) (Bottom)]],IF(Reinforcements[[#This Row],[Top End Connection Type]]="Welded","-",""))</f>
        <v>N</v>
      </c>
      <c r="BG22" s="6">
        <f>IF(Reinforcements[[#This Row],[Top End Connection Same?]]="Yes",Reinforcements[[#This Row],['# of End Connection Bolts          (Bottom)]],IF(Reinforcements[[#This Row],[Top End Connection Type]]="Welded","-",""))</f>
        <v>6</v>
      </c>
      <c r="BH22" s="6">
        <f>IF(Reinforcements[[#This Row],[Top End Connection Same?]]="Yes",Reinforcements[[#This Row],[End Connection Bolt Spacing (in) (B)]],IF(Reinforcements[[#This Row],[Top End Connection Type]]="Welded","-",""))</f>
        <v>3</v>
      </c>
      <c r="BI22" s="6">
        <f>IF(Reinforcements[[#This Row],[Top End Connection Same?]]="Yes",Reinforcements[[#This Row],[End Connection Edge Distance (in) (B)]],IF(Reinforcements[[#This Row],[Top End Connection Type]]="Welded","-",""))</f>
        <v>3</v>
      </c>
      <c r="BJ22" s="6">
        <f>Reinforcements[[#This Row],[End Connection Edge Distance (in) (T)]]-(Reinforcements[[#This Row],[Bolt Hole Size (in)]]+1/16)/2</f>
        <v>2.375</v>
      </c>
      <c r="BK22" s="6">
        <f>Reinforcements[[#This Row],[End Connection Bolt Spacing (in) (T)]]-(Reinforcements[[#This Row],[Bolt Hole Size (in)]]+1/16)</f>
        <v>1.75</v>
      </c>
      <c r="BL22" s="6">
        <f>Reinforcements[[#This Row],[End Connection Edge Distance (in) (T)]]</f>
        <v>3</v>
      </c>
      <c r="BM22" s="6">
        <f>Reinforcements[[#This Row],[End Connection Bolt Spacing (in) (T)]]</f>
        <v>3</v>
      </c>
      <c r="BN22" s="6" t="str">
        <f>IF(Reinforcements[[#This Row],[Reinforcement]]="","",IF(Reinforcements[[#This Row],[Top End Connection Same?]]="Yes",Reinforcements[[#This Row],[Bottom Connected to Flange/Base Plate?]],IF(Reinforcements[[#This Row],[Top End Connection Type]]="Bolted","-","")))</f>
        <v>-</v>
      </c>
      <c r="BO22" s="6" t="str">
        <f>IF(Reinforcements[[#This Row],[Reinforcement]]="","",IF(Reinforcements[[#This Row],[Top End Connection Same?]]="Yes",Reinforcements[[#This Row],[Bottom Weld Grade (ksi)]],IF(OR(Reinforcements[[#This Row],[Top End Connection Type]]&lt;&gt;"Welded",Reinforcements[[#This Row],[Top End Connection Type]]=""),"-","")))</f>
        <v>-</v>
      </c>
      <c r="BP22" s="6" t="str">
        <f>IF($AZ22="Yes",AP22,IF(Reinforcements[[#This Row],[Reinforcement]]="","",IF(OR(Reinforcements[[#This Row],[Top End Connection Type]]&lt;&gt;"Welded",Reinforcements[[#This Row],[Top End Connection Type]]=""),"-","")))</f>
        <v>-</v>
      </c>
      <c r="BQ22" s="6" t="str">
        <f>IF(Reinforcements[[#This Row],[Reinforcement]]="","",IF($AZ22="Yes",AQ22,IF(OR(Reinforcements[[#This Row],[Top End Connection Type]]&lt;&gt;"Welded",Reinforcements[[#This Row],[Top Transverse (Horizontal) Weld]]="none",Reinforcements[[#This Row],[Top Transverse (Horizontal) Weld]]=""),"-","")))</f>
        <v>-</v>
      </c>
      <c r="BR22" s="6"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6"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6" t="str">
        <f>IF(Reinforcements[[#This Row],[Reinforcement]]="","",IF($AZ22="Yes",AT22,IF(OR(Reinforcements[[#This Row],[Top Transverse (Horizontal) Weld]]="none",Reinforcements[[#This Row],[Top End Connection Type]]&lt;&gt;"Welded",Reinforcements[[#This Row],[Top Transverse (Horizontal) Weld]]=""),"-","")))</f>
        <v>-</v>
      </c>
      <c r="BU22" s="6"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6" t="str">
        <f>IF($AZ22="Yes",AV22,IF(Reinforcements[[#This Row],[Reinforcement]]="","",IF(OR(Reinforcements[[#This Row],[Top End Connection Type]]&lt;&gt;"Welded",Reinforcements[[#This Row],[Top End Connection Type]]=""),"-","")))</f>
        <v>-</v>
      </c>
      <c r="BW22" s="6"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6"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6" t="str">
        <f>IF($AZ22="Yes",AY22,IF(Reinforcements[[#This Row],[Reinforcement]]="","",IF(OR(Reinforcements[[#This Row],[Top End Connection Type]]&lt;&gt;"Welded",Reinforcements[[#This Row],[Top Longitudinal (Vertical) Weld]]="none"),"-",SQRT(2)/2*Reinforcements[[#This Row],[Top Longitudinal Weld Fillet Size (in)]])))</f>
        <v>-</v>
      </c>
      <c r="BZ22"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11">
        <f>IF(Reinforcements[[#This Row],[Reinforcement]]="","",IF(Reinforcements[[#This Row],[Top End Connection Type]]&lt;&gt;"Bolted","n/a",(Reinforcements[[#This Row],['# of End Connection Bolts          (Top)]]-1)*Reinforcements[[#This Row],[End Connection Bolt Spacing (in) (T)]]+Reinforcements[[#This Row],[End Connection Edge Distance (in) (T)]]))</f>
        <v>18</v>
      </c>
      <c r="CC2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6">
        <f>IFERROR(IF(Reinforcements[[#This Row],[Type]]="","",Reinforcements[[#This Row],[Effective B (in)]]*Reinforcements[[#This Row],[Effective H (in)]]^3/12),"")</f>
        <v>0.375</v>
      </c>
      <c r="CF22" s="6">
        <f>IFERROR(IF(Reinforcements[[#This Row],[Type]]="","",Reinforcements[[#This Row],[Effective B (in)]]^3*Reinforcements[[#This Row],[Effective H (in)]]/12),"")</f>
        <v>7.59375</v>
      </c>
      <c r="CG22" s="126">
        <f>SQRT(2*PI()^2*29000/VLOOKUP(Reinforcements[[#This Row],[Material]],Materials[],2,FALSE))</f>
        <v>93.844147005158973</v>
      </c>
      <c r="CH2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23">
        <f>Reinforcements[[#This Row],[Effective Length Factor Kx]]*Reinforcements[[#This Row],[Lu (in)]]/(Reinforcements[[#This Row],[rx]]*PI())*SQRT(VLOOKUP(Reinforcements[[#This Row],[Material]],Materials[],2,FALSE)/29000)</f>
        <v>0.83525370809489741</v>
      </c>
      <c r="CK22" s="123">
        <f>Reinforcements[[#This Row],[Effective Length Factor Ky]]*Reinforcements[[#This Row],[Lu (in)]]/(Reinforcements[[#This Row],[ry]]*PI())*SQRT(VLOOKUP(Reinforcements[[#This Row],[Material]],Materials[],2,FALSE)/29000)</f>
        <v>0.23201491891524928</v>
      </c>
      <c r="CL22" s="123">
        <f>IF(Reinforcements[[#This Row],[λcx]]&lt;=1.5,0.658^(Reinforcements[[#This Row],[λcx]]^2)*Reinforcements[[#This Row],[F''y]],0.877/(Reinforcements[[#This Row],[λcx]]^2)*Reinforcements[[#This Row],[F''y]])</f>
        <v>48.539900000911423</v>
      </c>
      <c r="CM22" s="123">
        <f>IF(Reinforcements[[#This Row],[λcy]]&lt;=1.5,0.658^(Reinforcements[[#This Row],[λcy]]^2)*Reinforcements[[#This Row],[F''y]],0.877/(Reinforcements[[#This Row],[λcy]]^2)*Reinforcements[[#This Row],[F''y]])</f>
        <v>63.551863369977021</v>
      </c>
      <c r="CN22" s="6">
        <f>VLOOKUP(Reinforcements[[#This Row],[Material]],Materials[],2,FALSE)</f>
        <v>65</v>
      </c>
      <c r="CO22" s="126">
        <f>IF(Reinforcements[[#This Row],[Reinforcement]]="","",Reinforcements[[#This Row],[Fax]]*Reinforcements[[#This Row],[Gross Area (in2)]])</f>
        <v>129.66343780630632</v>
      </c>
      <c r="CP22" s="126">
        <f>IF(Reinforcements[[#This Row],[Reinforcement]]="","",Reinforcements[[#This Row],[Fay]]*Reinforcements[[#This Row],[Gross Area (in2)]])</f>
        <v>167.02792472849697</v>
      </c>
      <c r="CQ22" s="126">
        <f>IF(Reinforcements[[#This Row],[Reinforcement]]="","",0.6*VLOOKUP(Reinforcements[[#This Row],[Material]],Materials[],2,FALSE)*Reinforcements[[#This Row],[Gross Area (in2)]])</f>
        <v>175.5</v>
      </c>
      <c r="CR22" s="126">
        <f>IF(Reinforcements[[#This Row],[Reinforcement]]="","",0.5*VLOOKUP(Reinforcements[[#This Row],[Material]],Materials[],3,FALSE)*Reinforcements[[#This Row],[Net Area (in2)]]*Reinforcements[[#This Row],[Shear Lag (U)]])</f>
        <v>130</v>
      </c>
      <c r="CS22" s="126">
        <f>IF(Reinforcements[[#This Row],[Reinforcement]]="","",0.4*VLOOKUP(Reinforcements[[#This Row],[Material]],Materials[],2,FALSE)*Reinforcements[[#This Row],[Gross Area (in2)]])</f>
        <v>117</v>
      </c>
      <c r="CT22"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6"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6"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26">
        <f>IF(Reinforcements[[#This Row],[Reinforcement]]="","",φ_c*Reinforcements[[#This Row],[Fcr,x]]*Reinforcements[[#This Row],[Gross Area (in2)]])</f>
        <v>196.58659500369126</v>
      </c>
      <c r="DI22" s="126">
        <f>IF(Reinforcements[[#This Row],[Reinforcement]]="","",φ_c*Reinforcements[[#This Row],[Fcr,y]]*Reinforcements[[#This Row],[Gross Area (in2)]])</f>
        <v>257.3850466484069</v>
      </c>
      <c r="DJ22" s="126">
        <f>IF(Reinforcements[[#This Row],[Reinforcement]]="","",φ_t_y*VLOOKUP(Reinforcements[[#This Row],[Material]],Materials[],2,FALSE)*Reinforcements[[#This Row],[Gross Area (in2)]])</f>
        <v>263.25</v>
      </c>
      <c r="DK22" s="126">
        <f>IF(Reinforcements[[#This Row],[Reinforcement]]="","",φ_t_r*VLOOKUP(Reinforcements[[#This Row],[Material]],Materials[],3,FALSE)*Reinforcements[[#This Row],[Net Area (in2)]]*Reinforcements[[#This Row],[Shear Lag (U)]])</f>
        <v>195</v>
      </c>
      <c r="DL22" s="126">
        <f>IF(Reinforcements[[#This Row],[Reinforcement]]="","",φ_v*0.5*Reinforcements[[#This Row],[F''y]]*Reinforcements[[#This Row],[Gross Area (in2)]])</f>
        <v>131.625</v>
      </c>
      <c r="DM22"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6"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6"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111" t="str">
        <f>IF(OR(Reinforcements[[#This Row],[Type]]="plate",Reinforcements[[#This Row],[Type]]="solid round"),"N/A",Reinforcements[[#This Row],[B (in)]])</f>
        <v>N/A</v>
      </c>
      <c r="EB22" s="6" t="str">
        <f>IF(OR(Reinforcements[[#This Row],[Type]]="plate",Reinforcements[[#This Row],[Type]]="solid round"),"N/A",Reinforcements[[#This Row],[H (in)]])</f>
        <v>N/A</v>
      </c>
      <c r="EC22" s="6" t="str">
        <f>IF(OR(Reinforcements[[#This Row],[Type]]="plate",Reinforcements[[#This Row],[Type]]="solid round"),"N/A",Reinforcements[[#This Row],[B (in)]]-Reinforcements[[#This Row],['[Channel'] Flange Thickness (in)]])</f>
        <v>N/A</v>
      </c>
      <c r="ED22" s="6" t="str">
        <f>IF(OR(Reinforcements[[#This Row],[Type]]="plate",Reinforcements[[#This Row],[Type]]="solid round"),"N/A",Reinforcements[[#This Row],['[Channel']Web Thickness (in)]])</f>
        <v>N/A</v>
      </c>
      <c r="EE22" s="6" t="str">
        <f>IF(OR(Reinforcements[[#This Row],[Type]]="plate",Reinforcements[[#This Row],[Type]]="solid round"),"N/A",Reinforcements[[#This Row],['[Channel'] Flange Thickness (in)]])</f>
        <v>N/A</v>
      </c>
      <c r="EF22" s="6" t="str">
        <f>IF(Reinforcements[[#This Row],[Type]]="channel",Reinforcements[[#This Row],[Channel Flange Width, b]]/Reinforcements[[#This Row],[Channel flange thickness, tf]],"N/A")</f>
        <v>N/A</v>
      </c>
      <c r="EG22" s="6" t="str">
        <f>IF(Reinforcements[[#This Row],[Type]]="channel",Reinforcements[[#This Row],[Channel inside depth, T]]/Reinforcements[[#This Row],[Channel web thickness, tw]],"N/A")</f>
        <v>N/A</v>
      </c>
      <c r="EH22" s="6">
        <f>29000</f>
        <v>29000</v>
      </c>
      <c r="EI22" s="6" t="str">
        <f>IF(Reinforcements[[#This Row],[Type]]="channel",0.56*SQRT(Reinforcements[[#This Row],[E, (ksi)]]/Reinforcements[[#This Row],[Fy, (ksi)]]),"N/A")</f>
        <v>N/A</v>
      </c>
      <c r="EJ22" s="6" t="str">
        <f>IF(Reinforcements[[#This Row],[Type]]="channel",1.49*SQRT(Reinforcements[[#This Row],[E, (ksi)]]/Reinforcements[[#This Row],[Fy, (ksi)]]),"N/A")</f>
        <v>N/A</v>
      </c>
      <c r="EK22" s="6">
        <f>VLOOKUP(Reinforcements[[#This Row],[Material]],Materials!$B$2:$C$30,2,FALSE)</f>
        <v>65</v>
      </c>
      <c r="EL22" s="6">
        <f>Reinforcements[[#This Row],[Lu (in)]]*Reinforcements[[#This Row],[Effective Length Factor Kx]]</f>
        <v>16</v>
      </c>
      <c r="EM22" s="6">
        <f>Reinforcements[[#This Row],[Lu (in)]]*Reinforcements[[#This Row],[Effective Length Factor Ky]]</f>
        <v>20</v>
      </c>
      <c r="EN22" s="6">
        <f>Reinforcements[[#This Row],[rx]]</f>
        <v>0.28867513459481287</v>
      </c>
      <c r="EO22" s="6">
        <f>Reinforcements[[#This Row],[ry]]</f>
        <v>1.299038105676658</v>
      </c>
      <c r="EP22" s="6">
        <f>Reinforcements[[#This Row],[Lcx (in)]]/Reinforcements[[#This Row],[rx (in)]]</f>
        <v>55.425625842204077</v>
      </c>
      <c r="EQ22" s="6">
        <f>Reinforcements[[#This Row],[Lcy (in)]]/Reinforcements[[#This Row],[ry (in)]]</f>
        <v>15.39600717839002</v>
      </c>
      <c r="ER22" s="6">
        <f>((PI()^2)*Reinforcements[[#This Row],[E, (ksi)]])/(Reinforcements[[#This Row],[Lcx/rx]]^2)</f>
        <v>93.1700936300753</v>
      </c>
      <c r="ES22" s="6">
        <f>((PI()^2)*Reinforcements[[#This Row],[E, (ksi)]])/(Reinforcements[[#This Row],[Lcy/ry]]^2)</f>
        <v>1207.484413445776</v>
      </c>
      <c r="ET22" s="6">
        <f>4.71*(SQRT(Reinforcements[[#This Row],[E, (ksi)]]/Reinforcements[[#This Row],[Fy, (ksi)]]))</f>
        <v>99.486288193205496</v>
      </c>
      <c r="EU22" s="6">
        <f>IF(Reinforcements[[#This Row],[Lcx/rx]]&lt;=Reinforcements[[#This Row],[Fcr Limit]],(0.658^(Reinforcements[[#This Row],[Fy, (ksi)]]/Reinforcements[[#This Row],[Fex, FB (ksi)]]))*Reinforcements[[#This Row],[Fy, (ksi)]],0.877*Reinforcements[[#This Row],[Fex, FB (ksi)]])</f>
        <v>48.539900000911416</v>
      </c>
      <c r="EV22" s="6">
        <f>IF(Reinforcements[[#This Row],[Lcy/ry]]&lt;=Reinforcements[[#This Row],[Fcr Limit]],(0.658^(Reinforcements[[#This Row],[Fy, (ksi)]]/Reinforcements[[#This Row],[Fey, FB (ksi)]]))*Reinforcements[[#This Row],[Fy, (ksi)]],0.877*Reinforcements[[#This Row],[Fey, FB (ksi)]])</f>
        <v>63.551863369977021</v>
      </c>
      <c r="EW22" s="6">
        <f>Reinforcements[[#This Row],[Fcrx (ksi)]]*Reinforcements[[#This Row],[Gross Area (in2)]]</f>
        <v>218.42955000410137</v>
      </c>
      <c r="EX22" s="6">
        <f>Reinforcements[[#This Row],[Fcry (ksi)]]*Reinforcements[[#This Row],[Gross Area (in2)]]</f>
        <v>285.98338516489662</v>
      </c>
      <c r="EY22" s="6" t="str">
        <f>IF(Reinforcements[[#This Row],[Type]]="channel",0,"N/A")</f>
        <v>N/A</v>
      </c>
      <c r="EZ22" s="6" t="str">
        <f>IF(Reinforcements[[#This Row],[Type]]="channel",Reinforcements[[#This Row],[Channel Flange Width, b]]-(0.5*Reinforcements[[#This Row],[Channel web thickness, tw]]),"N/A")</f>
        <v>N/A</v>
      </c>
      <c r="FA22" s="6" t="str">
        <f>IF(Reinforcements[[#This Row],[Type]]="channel",Reinforcements[[#This Row],[Channel Height, h]]-Reinforcements[[#This Row],[Channel flange thickness, tf]],"N/A")</f>
        <v>N/A</v>
      </c>
      <c r="FB22" s="6" t="str">
        <f>IF(Reinforcements[[#This Row],[Type]]="channel",Reinforcements[[#This Row],[Channel web thickness, tw]],"N/A")</f>
        <v>N/A</v>
      </c>
      <c r="FC22" s="6" t="str">
        <f>IF(Reinforcements[[#This Row],[Type]]="channel",((3*Reinforcements[[#This Row],[b]]^2)/(Reinforcements[[#This Row],[h]]+(6*Reinforcements[[#This Row],[b]])))-Reinforcements[[#This Row],[t]]/2,"N/A")</f>
        <v>N/A</v>
      </c>
      <c r="FD22" s="6">
        <f>Reinforcements[[#This Row],[Pole Face to Centroid (in)]]</f>
        <v>0.5</v>
      </c>
      <c r="FE22" s="6" t="str">
        <f>IF(Reinforcements[[#This Row],[Type]]="channel",Reinforcements[[#This Row],[x(bar)]]+Reinforcements[[#This Row],['[Channel'] e0 (in)]],"N/A")</f>
        <v>N/A</v>
      </c>
      <c r="FF22" s="6" t="str">
        <f>IF(Reinforcements[[#This Row],[Type]]="channel",Reinforcements[[#This Row],[Ix]],"N/A")</f>
        <v>N/A</v>
      </c>
      <c r="FG22" s="6" t="str">
        <f>IF(Reinforcements[[#This Row],[Type]]="channel",Reinforcements[[#This Row],[Iy]],"N/A")</f>
        <v>N/A</v>
      </c>
      <c r="FH22" s="6" t="str">
        <f>IF(Reinforcements[[#This Row],[Type]]="channel",Reinforcements[[#This Row],[Gross Area (in2)]],"N/A")</f>
        <v>N/A</v>
      </c>
      <c r="FI22" s="6" t="str">
        <f>IF(Reinforcements[[#This Row],[Type]]="channel",(Reinforcements[[#This Row],[xo]]^2)+((Reinforcements[[#This Row],[Ix (FTB)]]+Reinforcements[[#This Row],[Iy (FTB)]])/Reinforcements[[#This Row],[Ag]]),"N/A")</f>
        <v>N/A</v>
      </c>
      <c r="FJ22" s="6" t="str">
        <f>IF(Reinforcements[[#This Row],[Type]]="channel",Reinforcements[[#This Row],[Lu (in)]],"N/A")</f>
        <v>N/A</v>
      </c>
      <c r="FK22" s="6" t="str">
        <f>IF(Reinforcements[[#This Row],[Type]]="channel",Reinforcements[[#This Row],[Effective Length Factor Kx]],"N/A")</f>
        <v>N/A</v>
      </c>
      <c r="FL22" s="6" t="str">
        <f>IF(Reinforcements[[#This Row],[Type]]="channel",Reinforcements[[#This Row],[Kz]]*Reinforcements[[#This Row],[Lz]],"N/A")</f>
        <v>N/A</v>
      </c>
      <c r="FM22" s="6" t="str">
        <f>IF(Reinforcements[[#This Row],[Type]]="channel",(((Reinforcements[[#This Row],[t]]^3)/3)*(Reinforcements[[#This Row],[h]]+(2*Reinforcements[[#This Row],[b]]))),"N/A")</f>
        <v>N/A</v>
      </c>
      <c r="FN22" s="6" t="str">
        <f>IF(Reinforcements[[#This Row],[Type]]="channel",(1-(((Reinforcements[[#This Row],[xo]]^2)+(Reinforcements[[#This Row],[yo]]^2))/Reinforcements[[#This Row],[ro^2(bar)]])),"N/A")</f>
        <v>N/A</v>
      </c>
      <c r="FO22" s="6">
        <v>11200</v>
      </c>
      <c r="FP22" s="6" t="str">
        <f>IF(Reinforcements[[#This Row],[Type]]="channel",(((Reinforcements[[#This Row],[h]]^2)*(Reinforcements[[#This Row],[b]]^3)*Reinforcements[[#This Row],[t]])/12)*(((2*Reinforcements[[#This Row],[h]])+(3*Reinforcements[[#This Row],[b]]))/(Reinforcements[[#This Row],[h]]+(6*Reinforcements[[#This Row],[b]]))),"N/A")</f>
        <v>N/A</v>
      </c>
      <c r="FQ22" s="6" t="str">
        <f>IF(Reinforcements[[#This Row],[Type]]="Channel",((((PI()^2)*Reinforcements[[#This Row],[E, (ksi)]]*Reinforcements[[#This Row],['[Channel'] CW (in6)]])/(Reinforcements[[#This Row],[Lcz]]^2))+(Reinforcements[[#This Row],[G]]*Reinforcements[[#This Row],['[Channel'] J (in4)]]))*(1/(Reinforcements[[#This Row],[Ag]]*Reinforcements[[#This Row],[ro^2(bar)]])),"N/A")</f>
        <v>N/A</v>
      </c>
      <c r="FR22" s="6" t="str">
        <f>IF(Reinforcements[[#This Row],[Type]]="channel",((PI()^2)*Reinforcements[[#This Row],[E, (ksi)]])/(Reinforcements[[#This Row],[Lcy/ry]]^2),"N/A")</f>
        <v>N/A</v>
      </c>
      <c r="FS22" s="6" t="str">
        <f>IF(Reinforcements[[#This Row],[Type]]="channel",((Reinforcements[[#This Row],[Fey]]+Reinforcements[[#This Row],[Fez]])/(2*Reinforcements[[#This Row],[H2]]))*(1-SQRT(1-((4*Reinforcements[[#This Row],[Fey]]*Reinforcements[[#This Row],[Fez]]*Reinforcements[[#This Row],[H2]])/(Reinforcements[[#This Row],[Fey]]+Reinforcements[[#This Row],[Fez]])^2))),"N/A")</f>
        <v>N/A</v>
      </c>
      <c r="FT22" s="6" t="str">
        <f>IF(Reinforcements[[#This Row],[Type]]="channel",IF(Reinforcements[[#This Row],[Lcx/rx]]&gt;(4.71*SQRT(Reinforcements[[#This Row],[E, (ksi)]]/Reinforcements[[#This Row],[Fy, (ksi)]])),0.877*Reinforcements[[#This Row],[Fe (FTB)]],0.658^(Reinforcements[[#This Row],[Fy, (ksi)]]/Reinforcements[[#This Row],[Fe (FTB)]])*Reinforcements[[#This Row],[Fy, (ksi)]]),"N/A")</f>
        <v>N/A</v>
      </c>
      <c r="FU22" s="6" t="str">
        <f>IF(Reinforcements[[#This Row],[Type]]="channel",MIN(Reinforcements[[#This Row],[Fcr(FTB)]],Reinforcements[[#This Row],[Fcry (ksi)]]),"N/A")</f>
        <v>N/A</v>
      </c>
      <c r="FV22" s="6">
        <v>0.22</v>
      </c>
      <c r="FW22" s="6">
        <v>1.49</v>
      </c>
      <c r="FX22" s="6" t="str">
        <f>IF(Reinforcements[[#This Row],[Type]]="channel",((Reinforcements[[#This Row],[c2]]*(Reinforcements[[#This Row],[λrf]]/Reinforcements[[#This Row],[λf]]))^2)*Reinforcements[[#This Row],[Fy, (ksi)]],"N/A")</f>
        <v>N/A</v>
      </c>
      <c r="FY22" s="6" t="str">
        <f>IF(Reinforcements[[#This Row],[Type]]="channel",((Reinforcements[[#This Row],[c2]]*(Reinforcements[[#This Row],[λrw]]/Reinforcements[[#This Row],[λw]]))^2)*Reinforcements[[#This Row],[Fy, (ksi)]],"N/A")</f>
        <v>N/A</v>
      </c>
      <c r="FZ22"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6" t="str">
        <f>IF(Reinforcements[[#This Row],[Type]]="channel",Reinforcements[[#This Row],[Fcr]]*Reinforcements[[#This Row],[Ae]],"N/A")</f>
        <v>N/A</v>
      </c>
      <c r="GD22">
        <f>IF(Reinforcements[[#This Row],[Reinforcement]]="","",φ_c*Reinforcements[[#This Row],[Pnx, FB (kip)]])</f>
        <v>196.58659500369123</v>
      </c>
      <c r="GE22">
        <f>IF(Reinforcements[[#This Row],[Reinforcement]]="","",IF(Reinforcements[[#This Row],[Type]]="channel",φ_c*Reinforcements[[#This Row],[Pn]],φ_c*Reinforcements[[#This Row],[Pny, FB (kip)]]))</f>
        <v>257.38504664840696</v>
      </c>
      <c r="GF22">
        <f>Reinforcements[[#This Row],[Rev. G Tension Yield Capacity (kips)]]</f>
        <v>263.25</v>
      </c>
      <c r="GG22">
        <f>Reinforcements[[#This Row],[Rev. G Tension Rupture Capacity (kips)]]</f>
        <v>195</v>
      </c>
      <c r="GH22">
        <f>Reinforcements[[#This Row],[Rev. G Shear Capacity (kips)]]</f>
        <v>131.625</v>
      </c>
      <c r="GI22">
        <f>IFERROR((Reinforcements[[#This Row],['# of End Connection Bolts          (Bottom)]]-1)*Reinforcements[[#This Row],[End Connection Bolt Spacing (in) (B)]],"-")</f>
        <v>15</v>
      </c>
      <c r="GJ22">
        <f>IFERROR(IF(VLOOKUP(Reinforcements[[#This Row],[Bottom End Connection Bolt Type]],Bolts[],COLUMN(Bolts[[#Headers],[Rev. H Apply Connection Length Reduction Factor (Rb)?]])-1,FALSE)="Yes",(IF(Reinforcements[[#This Row],[Lb(bottom)]]&lt;=16,1,IF(Reinforcements[[#This Row],[Lb(bottom)]]&gt;38,0.75,0.9))),1),"-")</f>
        <v>1</v>
      </c>
      <c r="GK22">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f>IFERROR(IF(Reinforcements[[#This Row],[Top End Connection Same?]]="Yes",Reinforcements[[#This Row],[Lb(bottom)]],(Reinforcements[[#This Row],['# of End Connection Bolts          (Top)]]-1)*Reinforcements[[#This Row],[End Connection Bolt Spacing (in) (T)]]),"-")</f>
        <v>15</v>
      </c>
      <c r="GM22">
        <f>IFERROR(IF(VLOOKUP(Reinforcements[[#This Row],[Top End Connection Bolt Type]],Bolts[],COLUMN(Bolts[[#Headers],[Rev. H Apply Connection Length Reduction Factor (Rb)?]])-1,FALSE)=TRUE,(IF(Reinforcements[[#This Row],[Lb(top)]]&lt;=16,1,IF(Reinforcements[[#This Row],[Lb(top)]]&gt;38,0.75,0.9))),1),"-")</f>
        <v>1</v>
      </c>
      <c r="GN2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f>Reinforcements[[#This Row],[Rev. G Bolt-Shaft Bearing Capacity (Bottom)                No Deformation          (*t*Fu kips)]]</f>
        <v>11.96220472440945</v>
      </c>
      <c r="GP22">
        <f>Reinforcements[[#This Row],[Rev. G Bolt-Shaft Bearing Capacity (Bottom)                   Deformation          (*t*Fu kips)]]</f>
        <v>14.952755905511811</v>
      </c>
      <c r="GQ22">
        <f>Reinforcements[[#This Row],[Rev. G Bolt-Shaft Bearing Capacity (Top)                    No Deformation          (*t*Fu kips)]]</f>
        <v>11.96220472440945</v>
      </c>
      <c r="GR22">
        <f>Reinforcements[[#This Row],[Rev. G Bolt-Shaft Bearing Capacity (Top)                        Deformation          (*t*Fu kips)]]</f>
        <v>14.952755905511811</v>
      </c>
      <c r="GS22">
        <f>Reinforcements[[#This Row],[Rev. G Bolt-Reinf. Bearing Capacity (Bottom)            No Deformation (kips)]]</f>
        <v>956.97637795275591</v>
      </c>
      <c r="GT22">
        <f>Reinforcements[[#This Row],[Rev. G Bolt-Reinf. Bearing Capacity (Bottom)               Deformation (kips)]]</f>
        <v>1196.2204724409448</v>
      </c>
      <c r="GU22">
        <f>Reinforcements[[#This Row],[Rev. G Bolt-Reinf. Bearing Capacity (Top)                  No Deformation (kips)]]</f>
        <v>956.97637795275591</v>
      </c>
      <c r="GV22">
        <f>Reinforcements[[#This Row],[Rev. G Bolt-Reinf. Bearing Capacity (Top)               Deformation (kips)]]</f>
        <v>1196.2204724409448</v>
      </c>
      <c r="GW22" t="str">
        <f>Reinforcements[[#This Row],[Rev. G Bottom Transverse Weld Strength]]</f>
        <v>-</v>
      </c>
      <c r="GX22" t="str">
        <f>Reinforcements[[#This Row],[Rev. G Bottom Longitudinal Weld Strength]]</f>
        <v>-</v>
      </c>
      <c r="GY22" t="str">
        <f>Reinforcements[[#This Row],[Rev. G Top Transverse Weld Strength]]</f>
        <v>-</v>
      </c>
      <c r="GZ22" t="str">
        <f>Reinforcements[[#This Row],[Rev. G Top Longitudinal Weld Strength]]</f>
        <v>-</v>
      </c>
      <c r="HA22">
        <v>20</v>
      </c>
      <c r="HB2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0" x14ac:dyDescent="0.2">
      <c r="B23" s="49" t="s">
        <v>377</v>
      </c>
      <c r="C23" s="49" t="s">
        <v>352</v>
      </c>
      <c r="D23" s="6">
        <v>5</v>
      </c>
      <c r="E23" s="6">
        <v>1.25</v>
      </c>
      <c r="F23" s="6" t="str">
        <f>IF(Reinforcements[[#This Row],[Type]]="","",IF(Reinforcements[[#This Row],[Type]]="solid round","","n/a"))</f>
        <v>n/a</v>
      </c>
      <c r="G23" s="6" t="str">
        <f>IF(Reinforcements[[#This Row],[Type]]="","",IF(Reinforcements[[#This Row],[Type]]&lt;&gt;"channel","n/a",""))</f>
        <v>n/a</v>
      </c>
      <c r="H23" s="6" t="str">
        <f>IF(Reinforcements[[#This Row],[Type]]="","",IF(Reinforcements[[#This Row],[Type]]&lt;&gt;"channel","n/a",""))</f>
        <v>n/a</v>
      </c>
      <c r="I23" s="126" t="str">
        <f>IF(Reinforcements[[#This Row],[Type]]="","",IF(Reinforcements[[#This Row],[Type]]&lt;&gt;"channel","n/a",Reinforcements[[#This Row],[eo]]))</f>
        <v>n/a</v>
      </c>
      <c r="J23" s="126" t="str">
        <f>IF(Reinforcements[[#This Row],[Type]]="","",IF(Reinforcements[[#This Row],[Type]]&lt;&gt;"channel","n/a",Reinforcements[[#This Row],[J]]))</f>
        <v>n/a</v>
      </c>
      <c r="K23" s="126" t="str">
        <f>IF(Reinforcements[[#This Row],[Type]]="","",IF(Reinforcements[[#This Row],[Type]]&lt;&gt;"channel","n/a",Reinforcements[[#This Row],[Cw]]))</f>
        <v>n/a</v>
      </c>
      <c r="L23" s="6">
        <f>IFERROR(IF(Reinforcements[[#This Row],[Type]]="","",IF(Reinforcements[[#This Row],[Type]]="plate",Reinforcements[[#This Row],[B (in)]]*Reinforcements[[#This Row],[H (in)]],IF(Reinforcements[[#This Row],[Type]]="solid round",PI()/4*Reinforcements[[#This Row],[Diameter (in)]]^2,""))),"")</f>
        <v>6.25</v>
      </c>
      <c r="M23" s="6">
        <f>IFERROR(IF(Reinforcements[[#This Row],[Type]]="","",IF(Reinforcements[[#This Row],[Type]]="plate",Reinforcements[[#This Row],[H (in)]]/2,"")),"")</f>
        <v>0.625</v>
      </c>
      <c r="N23" s="34" t="s">
        <v>353</v>
      </c>
      <c r="O23" s="111" t="s">
        <v>138</v>
      </c>
      <c r="P23" s="123">
        <f>IFERROR(IF(Reinforcements[[#This Row],[Type]]="","",IF(Reinforcements[[#This Row],[Type]]="plate",Reinforcements[[#This Row],[B (in)]]*Reinforcements[[#This Row],[H (in)]]^3/12,IF(Reinforcements[[#This Row],[Type]]="solid round",PI()/64*Reinforcements[[#This Row],[Diameter (in)]]^4,""))),"")</f>
        <v>0.81380208333333337</v>
      </c>
      <c r="Q23" s="123">
        <f>IF(Reinforcements[[#This Row],[Reinforcement]]="","",SQRT(Reinforcements[[#This Row],[Ix]]/Reinforcements[[#This Row],[Gross Area (in2)]]))</f>
        <v>0.36084391824351614</v>
      </c>
      <c r="R23" s="123">
        <f>IFERROR(IF(Reinforcements[[#This Row],[Type]]="","",IF(Reinforcements[[#This Row],[Type]]="plate",Reinforcements[[#This Row],[B (in)]]^3*Reinforcements[[#This Row],[H (in)]]/12,IF(Reinforcements[[#This Row],[Type]]="solid round",PI()/64*Reinforcements[[#This Row],[Diameter (in)]]^4,""))),"")</f>
        <v>13.020833333333334</v>
      </c>
      <c r="S23" s="123">
        <f>IF(Reinforcements[[#This Row],[Reinforcement]]="","",SQRT(Reinforcements[[#This Row],[Iy]]/Reinforcements[[#This Row],[Gross Area (in2)]]))</f>
        <v>1.4433756729740645</v>
      </c>
      <c r="T23" s="6">
        <v>23</v>
      </c>
      <c r="U23" s="6">
        <v>0.8</v>
      </c>
      <c r="V23" s="6">
        <v>1</v>
      </c>
      <c r="W23" s="6">
        <v>1.1875</v>
      </c>
      <c r="X23" s="6">
        <f>IF(Reinforcements[[#This Row],[Bolt Hole Size (in)]]="","",IF(Reinforcements[[#This Row],[Bolt Hole Size (in)]]="n/a","n/a",Reinforcements[[#This Row],[Bolt Hole Size (in)]]*25.4))</f>
        <v>30.162499999999998</v>
      </c>
      <c r="Y2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6">
        <f>IFERROR(IF(Reinforcements[[#This Row],[Reinforcement]]="","",IF(OR(Reinforcements[[#This Row],[Type]]="plate",Reinforcements[[#This Row],[Type]]="solid round"),1,IF(Reinforcements[[#This Row],[Type]]="arbitrary","",1-Reinforcements[[#This Row],[Pole Face to Centroid (in)]]/Reinforcements[[#This Row],[Connection Length (in) '[Channels']]]))),"")</f>
        <v>1</v>
      </c>
      <c r="AA23" s="16" t="s">
        <v>354</v>
      </c>
      <c r="AB23" s="16" t="str">
        <f>IF(Reinforcements[[#This Row],[Reinforcement]]="","",IF(Reinforcements[[#This Row],[Bottom End Connection Type]]&lt;&gt;"Capacity Input","-",""))</f>
        <v>-</v>
      </c>
      <c r="AC23" s="16" t="str">
        <f>IF(Reinforcements[[#This Row],[Reinforcement]]="","",IF(Reinforcements[[#This Row],[Bottom End Connection Type]]&lt;&gt;"Capacity Input","-",""))</f>
        <v>-</v>
      </c>
      <c r="AD23" s="16" t="str">
        <f>IF(Reinforcements[[#This Row],[Reinforcement]]="","",IF(Reinforcements[[#This Row],[Bottom End Connection Type]]&lt;&gt;"Capacity Input","-",""))</f>
        <v>-</v>
      </c>
      <c r="AE23" s="74" t="s">
        <v>355</v>
      </c>
      <c r="AF23" s="6" t="s">
        <v>356</v>
      </c>
      <c r="AG23" s="6">
        <v>8</v>
      </c>
      <c r="AH23" s="6">
        <v>3</v>
      </c>
      <c r="AI23" s="6">
        <v>3</v>
      </c>
      <c r="AJ23" s="6">
        <f>Reinforcements[[#This Row],[End Connection Edge Distance (in) (B)]]-(Reinforcements[[#This Row],[Bolt Hole Size (in)]]+1/16)/2</f>
        <v>2.375</v>
      </c>
      <c r="AK23" s="6">
        <f>Reinforcements[[#This Row],[End Connection Bolt Spacing (in) (B)]]-(Reinforcements[[#This Row],[Bolt Hole Size (in)]]+1/16)</f>
        <v>1.75</v>
      </c>
      <c r="AL23" s="6">
        <f>Reinforcements[[#This Row],[End Connection Edge Distance (in) (B)]]</f>
        <v>3</v>
      </c>
      <c r="AM23" s="6">
        <f>Reinforcements[[#This Row],[End Connection Bolt Spacing (in) (B)]]</f>
        <v>3</v>
      </c>
      <c r="AN23" s="6" t="str">
        <f>IF(Reinforcements[[#This Row],[Reinforcement]]="","",IF(OR(Reinforcements[[#This Row],[Bottom End Connection Type]]="Bolted",Reinforcements[[#This Row],[Bottom End Connection Type]]=""),"-",""))</f>
        <v>-</v>
      </c>
      <c r="AO23" s="111" t="str">
        <f>IF(Reinforcements[[#This Row],[Reinforcement]]="","",IF(OR(Reinforcements[[#This Row],[Bottom End Connection Type]]="Bolted",Reinforcements[[#This Row],[Bottom End Connection Type]]=""),"-",""))</f>
        <v>-</v>
      </c>
      <c r="AP23" s="111" t="str">
        <f>IF(Reinforcements[[#This Row],[Reinforcement]]="","",IF(OR(Reinforcements[[#This Row],[Bottom End Connection Type]]="Bolted",Reinforcements[[#This Row],[Bottom End Connection Type]]=""),"-",""))</f>
        <v>-</v>
      </c>
      <c r="AQ23" s="111" t="str">
        <f>IF(OR(Reinforcements[[#This Row],[Bottom End Connection Type]]="Bolted",Reinforcements[[#This Row],[Bottom Transverse (Horizontal) Weld]]="none"),"-","")</f>
        <v>-</v>
      </c>
      <c r="AR2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11" t="str">
        <f>IF(OR(Reinforcements[[#This Row],[Bottom Transverse (Horizontal) Weld]]="none",Reinforcements[[#This Row],[Bottom End Connection Type]]="Bolted"),"-","")</f>
        <v>-</v>
      </c>
      <c r="AU2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11" t="str">
        <f>IF(Reinforcements[[#This Row],[Reinforcement]]="","",IF(OR(Reinforcements[[#This Row],[Bottom End Connection Type]]="Bolted",Reinforcements[[#This Row],[Bottom End Connection Type]]=""),"-",""))</f>
        <v>-</v>
      </c>
      <c r="AW23" s="111" t="str">
        <f>IF(Reinforcements[[#This Row],[Reinforcement]]="","",IF(OR(Reinforcements[[#This Row],[Bottom End Connection Type]]&lt;&gt;"Welded",Reinforcements[[#This Row],[Bottom Longitudinal (Vertical) Weld]]="None",Reinforcements[[#This Row],[Bottom Longitudinal (Vertical) Weld]]=""),"-",""))</f>
        <v>-</v>
      </c>
      <c r="AX23" s="111" t="str">
        <f>IF(Reinforcements[[#This Row],[Reinforcement]]="","",IF(OR(Reinforcements[[#This Row],[Bottom End Connection Type]]&lt;&gt;"Welded",Reinforcements[[#This Row],[Bottom Longitudinal (Vertical) Weld]]="None",Reinforcements[[#This Row],[Bottom Longitudinal (Vertical) Weld]]=""),"-",""))</f>
        <v>-</v>
      </c>
      <c r="AY23" s="6" t="str">
        <f>IF(Reinforcements[[#This Row],[Reinforcement]]="","",IF(OR(Reinforcements[[#This Row],[Bottom End Connection Type]]&lt;&gt;"Welded",Reinforcements[[#This Row],[Bottom Longitudinal (Vertical) Weld]]="None"),"-",SQRT(2)/2*Reinforcements[[#This Row],[Bottom Longitudinal Weld Fillet Size (in)]]))</f>
        <v>-</v>
      </c>
      <c r="AZ23" s="6" t="s">
        <v>357</v>
      </c>
      <c r="BA23" s="16" t="str">
        <f>IF(Reinforcements[[#This Row],[Top End Connection Same?]]="Yes",Reinforcements[[#This Row],[Bottom End Connection Type]],"")</f>
        <v>Bolted</v>
      </c>
      <c r="BB23" s="16" t="str">
        <f>IF(Reinforcements[[#This Row],[Reinforcement]]="","",IF(Reinforcements[[#This Row],[Top End Connection Same?]]="Yes",Reinforcements[[#This Row],[Rev. F Bottom Connection Capacity (kips)]],IF(Reinforcements[[#This Row],[Reinforcement]]="","",IF(Reinforcements[[#This Row],[Top End Connection Type]]&lt;&gt;"Capacity Input","-",""))))</f>
        <v>-</v>
      </c>
      <c r="BC23" s="16" t="str">
        <f>IF(Reinforcements[[#This Row],[Reinforcement]]="","",IF(Reinforcements[[#This Row],[Top End Connection Same?]]="Yes",Reinforcements[[#This Row],[Rev. G Bottom Connection Capacity (kips)]],IF(Reinforcements[[#This Row],[Reinforcement]]="","",IF(Reinforcements[[#This Row],[Top End Connection Type]]&lt;&gt;"Capacity Input","-",""))))</f>
        <v>-</v>
      </c>
      <c r="BD23" s="16" t="str">
        <f>IF(Reinforcements[[#This Row],[Reinforcement]]="","",IF(Reinforcements[[#This Row],[Top End Connection Same?]]="Yes",Reinforcements[[#This Row],[Rev. G Bottom Connection Capacity (kips)]],IF(Reinforcements[[#This Row],[Reinforcement]]="","",IF(Reinforcements[[#This Row],[Top End Connection Type]]&lt;&gt;"Capacity Input","-",""))))</f>
        <v>-</v>
      </c>
      <c r="BE23" s="74" t="str">
        <f>IF(Reinforcements[[#This Row],[Top End Connection Same?]]="Yes",Reinforcements[[#This Row],[Bottom End Connection Bolt Type]],IF(Reinforcements[[#This Row],[Top End Connection Type]]="Welded","-",""))</f>
        <v>PC 8.8 - M20 (100)</v>
      </c>
      <c r="BF23" s="6" t="str">
        <f>IF(Reinforcements[[#This Row],[Top End Connection Same?]]="Yes",Reinforcements[[#This Row],[Threads Included (N) or Excluded (X) (Bottom)]],IF(Reinforcements[[#This Row],[Top End Connection Type]]="Welded","-",""))</f>
        <v>N</v>
      </c>
      <c r="BG23" s="6">
        <f>IF(Reinforcements[[#This Row],[Top End Connection Same?]]="Yes",Reinforcements[[#This Row],['# of End Connection Bolts          (Bottom)]],IF(Reinforcements[[#This Row],[Top End Connection Type]]="Welded","-",""))</f>
        <v>8</v>
      </c>
      <c r="BH23" s="6">
        <f>IF(Reinforcements[[#This Row],[Top End Connection Same?]]="Yes",Reinforcements[[#This Row],[End Connection Bolt Spacing (in) (B)]],IF(Reinforcements[[#This Row],[Top End Connection Type]]="Welded","-",""))</f>
        <v>3</v>
      </c>
      <c r="BI23" s="6">
        <f>IF(Reinforcements[[#This Row],[Top End Connection Same?]]="Yes",Reinforcements[[#This Row],[End Connection Edge Distance (in) (B)]],IF(Reinforcements[[#This Row],[Top End Connection Type]]="Welded","-",""))</f>
        <v>3</v>
      </c>
      <c r="BJ23" s="6">
        <f>Reinforcements[[#This Row],[End Connection Edge Distance (in) (T)]]-(Reinforcements[[#This Row],[Bolt Hole Size (in)]]+1/16)/2</f>
        <v>2.375</v>
      </c>
      <c r="BK23" s="6">
        <f>Reinforcements[[#This Row],[End Connection Bolt Spacing (in) (T)]]-(Reinforcements[[#This Row],[Bolt Hole Size (in)]]+1/16)</f>
        <v>1.75</v>
      </c>
      <c r="BL23" s="6">
        <f>Reinforcements[[#This Row],[End Connection Edge Distance (in) (T)]]</f>
        <v>3</v>
      </c>
      <c r="BM23" s="6">
        <f>Reinforcements[[#This Row],[End Connection Bolt Spacing (in) (T)]]</f>
        <v>3</v>
      </c>
      <c r="BN23" s="6" t="str">
        <f>IF(Reinforcements[[#This Row],[Reinforcement]]="","",IF(Reinforcements[[#This Row],[Top End Connection Same?]]="Yes",Reinforcements[[#This Row],[Bottom Connected to Flange/Base Plate?]],IF(Reinforcements[[#This Row],[Top End Connection Type]]="Bolted","-","")))</f>
        <v>-</v>
      </c>
      <c r="BO23" s="6" t="str">
        <f>IF(Reinforcements[[#This Row],[Reinforcement]]="","",IF(Reinforcements[[#This Row],[Top End Connection Same?]]="Yes",Reinforcements[[#This Row],[Bottom Weld Grade (ksi)]],IF(OR(Reinforcements[[#This Row],[Top End Connection Type]]&lt;&gt;"Welded",Reinforcements[[#This Row],[Top End Connection Type]]=""),"-","")))</f>
        <v>-</v>
      </c>
      <c r="BP23" s="6" t="str">
        <f>IF($AZ23="Yes",AP23,IF(Reinforcements[[#This Row],[Reinforcement]]="","",IF(OR(Reinforcements[[#This Row],[Top End Connection Type]]&lt;&gt;"Welded",Reinforcements[[#This Row],[Top End Connection Type]]=""),"-","")))</f>
        <v>-</v>
      </c>
      <c r="BQ23" s="6" t="str">
        <f>IF(Reinforcements[[#This Row],[Reinforcement]]="","",IF($AZ23="Yes",AQ23,IF(OR(Reinforcements[[#This Row],[Top End Connection Type]]&lt;&gt;"Welded",Reinforcements[[#This Row],[Top Transverse (Horizontal) Weld]]="none",Reinforcements[[#This Row],[Top Transverse (Horizontal) Weld]]=""),"-","")))</f>
        <v>-</v>
      </c>
      <c r="BR23" s="6"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6"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6" t="str">
        <f>IF(Reinforcements[[#This Row],[Reinforcement]]="","",IF($AZ23="Yes",AT23,IF(OR(Reinforcements[[#This Row],[Top Transverse (Horizontal) Weld]]="none",Reinforcements[[#This Row],[Top End Connection Type]]&lt;&gt;"Welded",Reinforcements[[#This Row],[Top Transverse (Horizontal) Weld]]=""),"-","")))</f>
        <v>-</v>
      </c>
      <c r="BU23" s="6"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6" t="str">
        <f>IF($AZ23="Yes",AV23,IF(Reinforcements[[#This Row],[Reinforcement]]="","",IF(OR(Reinforcements[[#This Row],[Top End Connection Type]]&lt;&gt;"Welded",Reinforcements[[#This Row],[Top End Connection Type]]=""),"-","")))</f>
        <v>-</v>
      </c>
      <c r="BW23" s="6"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6"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6" t="str">
        <f>IF($AZ23="Yes",AY23,IF(Reinforcements[[#This Row],[Reinforcement]]="","",IF(OR(Reinforcements[[#This Row],[Top End Connection Type]]&lt;&gt;"Welded",Reinforcements[[#This Row],[Top Longitudinal (Vertical) Weld]]="none"),"-",SQRT(2)/2*Reinforcements[[#This Row],[Top Longitudinal Weld Fillet Size (in)]])))</f>
        <v>-</v>
      </c>
      <c r="BZ2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11">
        <f>IF(Reinforcements[[#This Row],[Reinforcement]]="","",IF(Reinforcements[[#This Row],[Top End Connection Type]]&lt;&gt;"Bolted","n/a",(Reinforcements[[#This Row],['# of End Connection Bolts          (Top)]]-1)*Reinforcements[[#This Row],[End Connection Bolt Spacing (in) (T)]]+Reinforcements[[#This Row],[End Connection Edge Distance (in) (T)]]))</f>
        <v>24</v>
      </c>
      <c r="CC2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6">
        <f>IFERROR(IF(Reinforcements[[#This Row],[Type]]="","",Reinforcements[[#This Row],[Effective B (in)]]*Reinforcements[[#This Row],[Effective H (in)]]^3/12),"")</f>
        <v>0.81380208333333337</v>
      </c>
      <c r="CF23" s="6">
        <f>IFERROR(IF(Reinforcements[[#This Row],[Type]]="","",Reinforcements[[#This Row],[Effective B (in)]]^3*Reinforcements[[#This Row],[Effective H (in)]]/12),"")</f>
        <v>13.020833333333334</v>
      </c>
      <c r="CG23" s="126">
        <f>SQRT(2*PI()^2*29000/VLOOKUP(Reinforcements[[#This Row],[Material]],Materials[],2,FALSE))</f>
        <v>93.844147005158973</v>
      </c>
      <c r="CH2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23">
        <f>Reinforcements[[#This Row],[Effective Length Factor Kx]]*Reinforcements[[#This Row],[Lu (in)]]/(Reinforcements[[#This Row],[rx]]*PI())*SQRT(VLOOKUP(Reinforcements[[#This Row],[Material]],Materials[],2,FALSE)/29000)</f>
        <v>0.76843341144730548</v>
      </c>
      <c r="CK23" s="123">
        <f>Reinforcements[[#This Row],[Effective Length Factor Ky]]*Reinforcements[[#This Row],[Lu (in)]]/(Reinforcements[[#This Row],[ry]]*PI())*SQRT(VLOOKUP(Reinforcements[[#This Row],[Material]],Materials[],2,FALSE)/29000)</f>
        <v>0.24013544107728296</v>
      </c>
      <c r="CL23" s="123">
        <f>IF(Reinforcements[[#This Row],[λcx]]&lt;=1.5,0.658^(Reinforcements[[#This Row],[λcx]]^2)*Reinforcements[[#This Row],[F''y]],0.877/(Reinforcements[[#This Row],[λcx]]^2)*Reinforcements[[#This Row],[F''y]])</f>
        <v>50.766541905358231</v>
      </c>
      <c r="CM23" s="123">
        <f>IF(Reinforcements[[#This Row],[λcy]]&lt;=1.5,0.658^(Reinforcements[[#This Row],[λcy]]^2)*Reinforcements[[#This Row],[F''y]],0.877/(Reinforcements[[#This Row],[λcy]]^2)*Reinforcements[[#This Row],[F''y]])</f>
        <v>63.449959224213764</v>
      </c>
      <c r="CN23" s="6">
        <f>VLOOKUP(Reinforcements[[#This Row],[Material]],Materials[],2,FALSE)</f>
        <v>65</v>
      </c>
      <c r="CO23" s="126">
        <f>IF(Reinforcements[[#This Row],[Reinforcement]]="","",Reinforcements[[#This Row],[Fax]]*Reinforcements[[#This Row],[Gross Area (in2)]])</f>
        <v>187.13954848184918</v>
      </c>
      <c r="CP23" s="126">
        <f>IF(Reinforcements[[#This Row],[Reinforcement]]="","",Reinforcements[[#This Row],[Fay]]*Reinforcements[[#This Row],[Gross Area (in2)]])</f>
        <v>231.47736662721647</v>
      </c>
      <c r="CQ23" s="126">
        <f>IF(Reinforcements[[#This Row],[Reinforcement]]="","",0.6*VLOOKUP(Reinforcements[[#This Row],[Material]],Materials[],2,FALSE)*Reinforcements[[#This Row],[Gross Area (in2)]])</f>
        <v>243.75</v>
      </c>
      <c r="CR23" s="126">
        <f>IF(Reinforcements[[#This Row],[Reinforcement]]="","",0.5*VLOOKUP(Reinforcements[[#This Row],[Material]],Materials[],3,FALSE)*Reinforcements[[#This Row],[Net Area (in2)]]*Reinforcements[[#This Row],[Shear Lag (U)]])</f>
        <v>187.5</v>
      </c>
      <c r="CS23" s="126">
        <f>IF(Reinforcements[[#This Row],[Reinforcement]]="","",0.4*VLOOKUP(Reinforcements[[#This Row],[Material]],Materials[],2,FALSE)*Reinforcements[[#This Row],[Gross Area (in2)]])</f>
        <v>162.5</v>
      </c>
      <c r="CT2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6"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6"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26">
        <f>IF(Reinforcements[[#This Row],[Reinforcement]]="","",φ_c*Reinforcements[[#This Row],[Fcr,x]]*Reinforcements[[#This Row],[Gross Area (in2)]])</f>
        <v>285.56179821764005</v>
      </c>
      <c r="DI23" s="126">
        <f>IF(Reinforcements[[#This Row],[Reinforcement]]="","",φ_c*Reinforcements[[#This Row],[Fcr,y]]*Reinforcements[[#This Row],[Gross Area (in2)]])</f>
        <v>356.90602063620241</v>
      </c>
      <c r="DJ23" s="126">
        <f>IF(Reinforcements[[#This Row],[Reinforcement]]="","",φ_t_y*VLOOKUP(Reinforcements[[#This Row],[Material]],Materials[],2,FALSE)*Reinforcements[[#This Row],[Gross Area (in2)]])</f>
        <v>365.625</v>
      </c>
      <c r="DK23" s="126">
        <f>IF(Reinforcements[[#This Row],[Reinforcement]]="","",φ_t_r*VLOOKUP(Reinforcements[[#This Row],[Material]],Materials[],3,FALSE)*Reinforcements[[#This Row],[Net Area (in2)]]*Reinforcements[[#This Row],[Shear Lag (U)]])</f>
        <v>281.25</v>
      </c>
      <c r="DL23" s="126">
        <f>IF(Reinforcements[[#This Row],[Reinforcement]]="","",φ_v*0.5*Reinforcements[[#This Row],[F''y]]*Reinforcements[[#This Row],[Gross Area (in2)]])</f>
        <v>182.8125</v>
      </c>
      <c r="DM2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6"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6"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111" t="str">
        <f>IF(OR(Reinforcements[[#This Row],[Type]]="plate",Reinforcements[[#This Row],[Type]]="solid round"),"N/A",Reinforcements[[#This Row],[B (in)]])</f>
        <v>N/A</v>
      </c>
      <c r="EB23" s="6" t="str">
        <f>IF(OR(Reinforcements[[#This Row],[Type]]="plate",Reinforcements[[#This Row],[Type]]="solid round"),"N/A",Reinforcements[[#This Row],[H (in)]])</f>
        <v>N/A</v>
      </c>
      <c r="EC23" s="6" t="str">
        <f>IF(OR(Reinforcements[[#This Row],[Type]]="plate",Reinforcements[[#This Row],[Type]]="solid round"),"N/A",Reinforcements[[#This Row],[B (in)]]-Reinforcements[[#This Row],['[Channel'] Flange Thickness (in)]])</f>
        <v>N/A</v>
      </c>
      <c r="ED23" s="6" t="str">
        <f>IF(OR(Reinforcements[[#This Row],[Type]]="plate",Reinforcements[[#This Row],[Type]]="solid round"),"N/A",Reinforcements[[#This Row],['[Channel']Web Thickness (in)]])</f>
        <v>N/A</v>
      </c>
      <c r="EE23" s="6" t="str">
        <f>IF(OR(Reinforcements[[#This Row],[Type]]="plate",Reinforcements[[#This Row],[Type]]="solid round"),"N/A",Reinforcements[[#This Row],['[Channel'] Flange Thickness (in)]])</f>
        <v>N/A</v>
      </c>
      <c r="EF23" s="6" t="str">
        <f>IF(Reinforcements[[#This Row],[Type]]="channel",Reinforcements[[#This Row],[Channel Flange Width, b]]/Reinforcements[[#This Row],[Channel flange thickness, tf]],"N/A")</f>
        <v>N/A</v>
      </c>
      <c r="EG23" s="6" t="str">
        <f>IF(Reinforcements[[#This Row],[Type]]="channel",Reinforcements[[#This Row],[Channel inside depth, T]]/Reinforcements[[#This Row],[Channel web thickness, tw]],"N/A")</f>
        <v>N/A</v>
      </c>
      <c r="EH23" s="6">
        <f>29000</f>
        <v>29000</v>
      </c>
      <c r="EI23" s="6" t="str">
        <f>IF(Reinforcements[[#This Row],[Type]]="channel",0.56*SQRT(Reinforcements[[#This Row],[E, (ksi)]]/Reinforcements[[#This Row],[Fy, (ksi)]]),"N/A")</f>
        <v>N/A</v>
      </c>
      <c r="EJ23" s="6" t="str">
        <f>IF(Reinforcements[[#This Row],[Type]]="channel",1.49*SQRT(Reinforcements[[#This Row],[E, (ksi)]]/Reinforcements[[#This Row],[Fy, (ksi)]]),"N/A")</f>
        <v>N/A</v>
      </c>
      <c r="EK23" s="6">
        <f>VLOOKUP(Reinforcements[[#This Row],[Material]],Materials!$B$2:$C$30,2,FALSE)</f>
        <v>65</v>
      </c>
      <c r="EL23" s="6">
        <f>Reinforcements[[#This Row],[Lu (in)]]*Reinforcements[[#This Row],[Effective Length Factor Kx]]</f>
        <v>18.400000000000002</v>
      </c>
      <c r="EM23" s="6">
        <f>Reinforcements[[#This Row],[Lu (in)]]*Reinforcements[[#This Row],[Effective Length Factor Ky]]</f>
        <v>23</v>
      </c>
      <c r="EN23" s="6">
        <f>Reinforcements[[#This Row],[rx]]</f>
        <v>0.36084391824351614</v>
      </c>
      <c r="EO23" s="6">
        <f>Reinforcements[[#This Row],[ry]]</f>
        <v>1.4433756729740645</v>
      </c>
      <c r="EP23" s="6">
        <f>Reinforcements[[#This Row],[Lcx (in)]]/Reinforcements[[#This Row],[rx (in)]]</f>
        <v>50.991575774827751</v>
      </c>
      <c r="EQ23" s="6">
        <f>Reinforcements[[#This Row],[Lcy (in)]]/Reinforcements[[#This Row],[ry (in)]]</f>
        <v>15.93486742963367</v>
      </c>
      <c r="ER23" s="6">
        <f>((PI()^2)*Reinforcements[[#This Row],[E, (ksi)]])/(Reinforcements[[#This Row],[Lcx/rx]]^2)</f>
        <v>110.07808793723451</v>
      </c>
      <c r="ES23" s="6">
        <f>((PI()^2)*Reinforcements[[#This Row],[E, (ksi)]])/(Reinforcements[[#This Row],[Lcy/ry]]^2)</f>
        <v>1127.1996204772818</v>
      </c>
      <c r="ET23" s="6">
        <f>4.71*(SQRT(Reinforcements[[#This Row],[E, (ksi)]]/Reinforcements[[#This Row],[Fy, (ksi)]]))</f>
        <v>99.486288193205496</v>
      </c>
      <c r="EU23" s="6">
        <f>IF(Reinforcements[[#This Row],[Lcx/rx]]&lt;=Reinforcements[[#This Row],[Fcr Limit]],(0.658^(Reinforcements[[#This Row],[Fy, (ksi)]]/Reinforcements[[#This Row],[Fex, FB (ksi)]]))*Reinforcements[[#This Row],[Fy, (ksi)]],0.877*Reinforcements[[#This Row],[Fex, FB (ksi)]])</f>
        <v>50.766541905358217</v>
      </c>
      <c r="EV23" s="6">
        <f>IF(Reinforcements[[#This Row],[Lcy/ry]]&lt;=Reinforcements[[#This Row],[Fcr Limit]],(0.658^(Reinforcements[[#This Row],[Fy, (ksi)]]/Reinforcements[[#This Row],[Fey, FB (ksi)]]))*Reinforcements[[#This Row],[Fy, (ksi)]],0.877*Reinforcements[[#This Row],[Fey, FB (ksi)]])</f>
        <v>63.449959224213764</v>
      </c>
      <c r="EW23" s="6">
        <f>Reinforcements[[#This Row],[Fcrx (ksi)]]*Reinforcements[[#This Row],[Gross Area (in2)]]</f>
        <v>317.29088690848886</v>
      </c>
      <c r="EX23" s="6">
        <f>Reinforcements[[#This Row],[Fcry (ksi)]]*Reinforcements[[#This Row],[Gross Area (in2)]]</f>
        <v>396.56224515133601</v>
      </c>
      <c r="EY23" s="6" t="str">
        <f>IF(Reinforcements[[#This Row],[Type]]="channel",0,"N/A")</f>
        <v>N/A</v>
      </c>
      <c r="EZ23" s="6" t="str">
        <f>IF(Reinforcements[[#This Row],[Type]]="channel",Reinforcements[[#This Row],[Channel Flange Width, b]]-(0.5*Reinforcements[[#This Row],[Channel web thickness, tw]]),"N/A")</f>
        <v>N/A</v>
      </c>
      <c r="FA23" s="6" t="str">
        <f>IF(Reinforcements[[#This Row],[Type]]="channel",Reinforcements[[#This Row],[Channel Height, h]]-Reinforcements[[#This Row],[Channel flange thickness, tf]],"N/A")</f>
        <v>N/A</v>
      </c>
      <c r="FB23" s="6" t="str">
        <f>IF(Reinforcements[[#This Row],[Type]]="channel",Reinforcements[[#This Row],[Channel web thickness, tw]],"N/A")</f>
        <v>N/A</v>
      </c>
      <c r="FC23" s="6" t="str">
        <f>IF(Reinforcements[[#This Row],[Type]]="channel",((3*Reinforcements[[#This Row],[b]]^2)/(Reinforcements[[#This Row],[h]]+(6*Reinforcements[[#This Row],[b]])))-Reinforcements[[#This Row],[t]]/2,"N/A")</f>
        <v>N/A</v>
      </c>
      <c r="FD23" s="6">
        <f>Reinforcements[[#This Row],[Pole Face to Centroid (in)]]</f>
        <v>0.625</v>
      </c>
      <c r="FE23" s="6" t="str">
        <f>IF(Reinforcements[[#This Row],[Type]]="channel",Reinforcements[[#This Row],[x(bar)]]+Reinforcements[[#This Row],['[Channel'] e0 (in)]],"N/A")</f>
        <v>N/A</v>
      </c>
      <c r="FF23" s="6" t="str">
        <f>IF(Reinforcements[[#This Row],[Type]]="channel",Reinforcements[[#This Row],[Ix]],"N/A")</f>
        <v>N/A</v>
      </c>
      <c r="FG23" s="6" t="str">
        <f>IF(Reinforcements[[#This Row],[Type]]="channel",Reinforcements[[#This Row],[Iy]],"N/A")</f>
        <v>N/A</v>
      </c>
      <c r="FH23" s="6" t="str">
        <f>IF(Reinforcements[[#This Row],[Type]]="channel",Reinforcements[[#This Row],[Gross Area (in2)]],"N/A")</f>
        <v>N/A</v>
      </c>
      <c r="FI23" s="6" t="str">
        <f>IF(Reinforcements[[#This Row],[Type]]="channel",(Reinforcements[[#This Row],[xo]]^2)+((Reinforcements[[#This Row],[Ix (FTB)]]+Reinforcements[[#This Row],[Iy (FTB)]])/Reinforcements[[#This Row],[Ag]]),"N/A")</f>
        <v>N/A</v>
      </c>
      <c r="FJ23" s="6" t="str">
        <f>IF(Reinforcements[[#This Row],[Type]]="channel",Reinforcements[[#This Row],[Lu (in)]],"N/A")</f>
        <v>N/A</v>
      </c>
      <c r="FK23" s="6" t="str">
        <f>IF(Reinforcements[[#This Row],[Type]]="channel",Reinforcements[[#This Row],[Effective Length Factor Kx]],"N/A")</f>
        <v>N/A</v>
      </c>
      <c r="FL23" s="6" t="str">
        <f>IF(Reinforcements[[#This Row],[Type]]="channel",Reinforcements[[#This Row],[Kz]]*Reinforcements[[#This Row],[Lz]],"N/A")</f>
        <v>N/A</v>
      </c>
      <c r="FM23" s="6" t="str">
        <f>IF(Reinforcements[[#This Row],[Type]]="channel",(((Reinforcements[[#This Row],[t]]^3)/3)*(Reinforcements[[#This Row],[h]]+(2*Reinforcements[[#This Row],[b]]))),"N/A")</f>
        <v>N/A</v>
      </c>
      <c r="FN23" s="6" t="str">
        <f>IF(Reinforcements[[#This Row],[Type]]="channel",(1-(((Reinforcements[[#This Row],[xo]]^2)+(Reinforcements[[#This Row],[yo]]^2))/Reinforcements[[#This Row],[ro^2(bar)]])),"N/A")</f>
        <v>N/A</v>
      </c>
      <c r="FO23" s="6">
        <v>11200</v>
      </c>
      <c r="FP23" s="6" t="str">
        <f>IF(Reinforcements[[#This Row],[Type]]="channel",(((Reinforcements[[#This Row],[h]]^2)*(Reinforcements[[#This Row],[b]]^3)*Reinforcements[[#This Row],[t]])/12)*(((2*Reinforcements[[#This Row],[h]])+(3*Reinforcements[[#This Row],[b]]))/(Reinforcements[[#This Row],[h]]+(6*Reinforcements[[#This Row],[b]]))),"N/A")</f>
        <v>N/A</v>
      </c>
      <c r="FQ23" s="6" t="str">
        <f>IF(Reinforcements[[#This Row],[Type]]="Channel",((((PI()^2)*Reinforcements[[#This Row],[E, (ksi)]]*Reinforcements[[#This Row],['[Channel'] CW (in6)]])/(Reinforcements[[#This Row],[Lcz]]^2))+(Reinforcements[[#This Row],[G]]*Reinforcements[[#This Row],['[Channel'] J (in4)]]))*(1/(Reinforcements[[#This Row],[Ag]]*Reinforcements[[#This Row],[ro^2(bar)]])),"N/A")</f>
        <v>N/A</v>
      </c>
      <c r="FR23" s="6" t="str">
        <f>IF(Reinforcements[[#This Row],[Type]]="channel",((PI()^2)*Reinforcements[[#This Row],[E, (ksi)]])/(Reinforcements[[#This Row],[Lcy/ry]]^2),"N/A")</f>
        <v>N/A</v>
      </c>
      <c r="FS23" s="6" t="str">
        <f>IF(Reinforcements[[#This Row],[Type]]="channel",((Reinforcements[[#This Row],[Fey]]+Reinforcements[[#This Row],[Fez]])/(2*Reinforcements[[#This Row],[H2]]))*(1-SQRT(1-((4*Reinforcements[[#This Row],[Fey]]*Reinforcements[[#This Row],[Fez]]*Reinforcements[[#This Row],[H2]])/(Reinforcements[[#This Row],[Fey]]+Reinforcements[[#This Row],[Fez]])^2))),"N/A")</f>
        <v>N/A</v>
      </c>
      <c r="FT23" s="6" t="str">
        <f>IF(Reinforcements[[#This Row],[Type]]="channel",IF(Reinforcements[[#This Row],[Lcx/rx]]&gt;(4.71*SQRT(Reinforcements[[#This Row],[E, (ksi)]]/Reinforcements[[#This Row],[Fy, (ksi)]])),0.877*Reinforcements[[#This Row],[Fe (FTB)]],0.658^(Reinforcements[[#This Row],[Fy, (ksi)]]/Reinforcements[[#This Row],[Fe (FTB)]])*Reinforcements[[#This Row],[Fy, (ksi)]]),"N/A")</f>
        <v>N/A</v>
      </c>
      <c r="FU23" s="6" t="str">
        <f>IF(Reinforcements[[#This Row],[Type]]="channel",MIN(Reinforcements[[#This Row],[Fcr(FTB)]],Reinforcements[[#This Row],[Fcry (ksi)]]),"N/A")</f>
        <v>N/A</v>
      </c>
      <c r="FV23" s="6">
        <v>0.22</v>
      </c>
      <c r="FW23" s="6">
        <v>1.49</v>
      </c>
      <c r="FX23" s="6" t="str">
        <f>IF(Reinforcements[[#This Row],[Type]]="channel",((Reinforcements[[#This Row],[c2]]*(Reinforcements[[#This Row],[λrf]]/Reinforcements[[#This Row],[λf]]))^2)*Reinforcements[[#This Row],[Fy, (ksi)]],"N/A")</f>
        <v>N/A</v>
      </c>
      <c r="FY23" s="6" t="str">
        <f>IF(Reinforcements[[#This Row],[Type]]="channel",((Reinforcements[[#This Row],[c2]]*(Reinforcements[[#This Row],[λrw]]/Reinforcements[[#This Row],[λw]]))^2)*Reinforcements[[#This Row],[Fy, (ksi)]],"N/A")</f>
        <v>N/A</v>
      </c>
      <c r="FZ2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6" t="str">
        <f>IF(Reinforcements[[#This Row],[Type]]="channel",Reinforcements[[#This Row],[Fcr]]*Reinforcements[[#This Row],[Ae]],"N/A")</f>
        <v>N/A</v>
      </c>
      <c r="GD23">
        <f>IF(Reinforcements[[#This Row],[Reinforcement]]="","",φ_c*Reinforcements[[#This Row],[Pnx, FB (kip)]])</f>
        <v>285.56179821763999</v>
      </c>
      <c r="GE23">
        <f>IF(Reinforcements[[#This Row],[Reinforcement]]="","",IF(Reinforcements[[#This Row],[Type]]="channel",φ_c*Reinforcements[[#This Row],[Pn]],φ_c*Reinforcements[[#This Row],[Pny, FB (kip)]]))</f>
        <v>356.90602063620241</v>
      </c>
      <c r="GF23">
        <f>Reinforcements[[#This Row],[Rev. G Tension Yield Capacity (kips)]]</f>
        <v>365.625</v>
      </c>
      <c r="GG23">
        <f>Reinforcements[[#This Row],[Rev. G Tension Rupture Capacity (kips)]]</f>
        <v>281.25</v>
      </c>
      <c r="GH23">
        <f>Reinforcements[[#This Row],[Rev. G Shear Capacity (kips)]]</f>
        <v>182.8125</v>
      </c>
      <c r="GI23">
        <f>IFERROR((Reinforcements[[#This Row],['# of End Connection Bolts          (Bottom)]]-1)*Reinforcements[[#This Row],[End Connection Bolt Spacing (in) (B)]],"-")</f>
        <v>21</v>
      </c>
      <c r="GJ23">
        <f>IFERROR(IF(VLOOKUP(Reinforcements[[#This Row],[Bottom End Connection Bolt Type]],Bolts[],COLUMN(Bolts[[#Headers],[Rev. H Apply Connection Length Reduction Factor (Rb)?]])-1,FALSE)="Yes",(IF(Reinforcements[[#This Row],[Lb(bottom)]]&lt;=16,1,IF(Reinforcements[[#This Row],[Lb(bottom)]]&gt;38,0.75,0.9))),1),"-")</f>
        <v>1</v>
      </c>
      <c r="GK2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f>IFERROR(IF(Reinforcements[[#This Row],[Top End Connection Same?]]="Yes",Reinforcements[[#This Row],[Lb(bottom)]],(Reinforcements[[#This Row],['# of End Connection Bolts          (Top)]]-1)*Reinforcements[[#This Row],[End Connection Bolt Spacing (in) (T)]]),"-")</f>
        <v>21</v>
      </c>
      <c r="GM23">
        <f>IFERROR(IF(VLOOKUP(Reinforcements[[#This Row],[Top End Connection Bolt Type]],Bolts[],COLUMN(Bolts[[#Headers],[Rev. H Apply Connection Length Reduction Factor (Rb)?]])-1,FALSE)=TRUE,(IF(Reinforcements[[#This Row],[Lb(top)]]&lt;=16,1,IF(Reinforcements[[#This Row],[Lb(top)]]&gt;38,0.75,0.9))),1),"-")</f>
        <v>0.9</v>
      </c>
      <c r="GN2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f>Reinforcements[[#This Row],[Rev. G Bolt-Shaft Bearing Capacity (Bottom)                No Deformation          (*t*Fu kips)]]</f>
        <v>15.870236220472439</v>
      </c>
      <c r="GP23">
        <f>Reinforcements[[#This Row],[Rev. G Bolt-Shaft Bearing Capacity (Bottom)                   Deformation          (*t*Fu kips)]]</f>
        <v>19.837795275590551</v>
      </c>
      <c r="GQ23">
        <f>Reinforcements[[#This Row],[Rev. G Bolt-Shaft Bearing Capacity (Top)                    No Deformation          (*t*Fu kips)]]</f>
        <v>15.870236220472439</v>
      </c>
      <c r="GR23">
        <f>Reinforcements[[#This Row],[Rev. G Bolt-Shaft Bearing Capacity (Top)                        Deformation          (*t*Fu kips)]]</f>
        <v>19.837795275590551</v>
      </c>
      <c r="GS23">
        <f>Reinforcements[[#This Row],[Rev. G Bolt-Reinf. Bearing Capacity (Bottom)            No Deformation (kips)]]</f>
        <v>1587.0236220472443</v>
      </c>
      <c r="GT23">
        <f>Reinforcements[[#This Row],[Rev. G Bolt-Reinf. Bearing Capacity (Bottom)               Deformation (kips)]]</f>
        <v>1983.7795275590552</v>
      </c>
      <c r="GU23">
        <f>Reinforcements[[#This Row],[Rev. G Bolt-Reinf. Bearing Capacity (Top)                  No Deformation (kips)]]</f>
        <v>1587.0236220472443</v>
      </c>
      <c r="GV23">
        <f>Reinforcements[[#This Row],[Rev. G Bolt-Reinf. Bearing Capacity (Top)               Deformation (kips)]]</f>
        <v>1983.7795275590552</v>
      </c>
      <c r="GW23" t="str">
        <f>Reinforcements[[#This Row],[Rev. G Bottom Transverse Weld Strength]]</f>
        <v>-</v>
      </c>
      <c r="GX23" t="str">
        <f>Reinforcements[[#This Row],[Rev. G Bottom Longitudinal Weld Strength]]</f>
        <v>-</v>
      </c>
      <c r="GY23" t="str">
        <f>Reinforcements[[#This Row],[Rev. G Top Transverse Weld Strength]]</f>
        <v>-</v>
      </c>
      <c r="GZ23" t="str">
        <f>Reinforcements[[#This Row],[Rev. G Top Longitudinal Weld Strength]]</f>
        <v>-</v>
      </c>
      <c r="HA23">
        <v>21</v>
      </c>
      <c r="HB2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0" x14ac:dyDescent="0.2">
      <c r="B24" s="49" t="s">
        <v>378</v>
      </c>
      <c r="C24" s="49" t="s">
        <v>352</v>
      </c>
      <c r="D24" s="6">
        <v>6</v>
      </c>
      <c r="E24" s="6">
        <v>1</v>
      </c>
      <c r="F24" s="6" t="str">
        <f>IF(Reinforcements[[#This Row],[Type]]="","",IF(Reinforcements[[#This Row],[Type]]="solid round","","n/a"))</f>
        <v>n/a</v>
      </c>
      <c r="G24" s="6" t="str">
        <f>IF(Reinforcements[[#This Row],[Type]]="","",IF(Reinforcements[[#This Row],[Type]]&lt;&gt;"channel","n/a",""))</f>
        <v>n/a</v>
      </c>
      <c r="H24" s="6" t="str">
        <f>IF(Reinforcements[[#This Row],[Type]]="","",IF(Reinforcements[[#This Row],[Type]]&lt;&gt;"channel","n/a",""))</f>
        <v>n/a</v>
      </c>
      <c r="I24" s="126" t="str">
        <f>IF(Reinforcements[[#This Row],[Type]]="","",IF(Reinforcements[[#This Row],[Type]]&lt;&gt;"channel","n/a",Reinforcements[[#This Row],[eo]]))</f>
        <v>n/a</v>
      </c>
      <c r="J24" s="126" t="str">
        <f>IF(Reinforcements[[#This Row],[Type]]="","",IF(Reinforcements[[#This Row],[Type]]&lt;&gt;"channel","n/a",Reinforcements[[#This Row],[J]]))</f>
        <v>n/a</v>
      </c>
      <c r="K24" s="126" t="str">
        <f>IF(Reinforcements[[#This Row],[Type]]="","",IF(Reinforcements[[#This Row],[Type]]&lt;&gt;"channel","n/a",Reinforcements[[#This Row],[Cw]]))</f>
        <v>n/a</v>
      </c>
      <c r="L24" s="6">
        <f>IFERROR(IF(Reinforcements[[#This Row],[Type]]="","",IF(Reinforcements[[#This Row],[Type]]="plate",Reinforcements[[#This Row],[B (in)]]*Reinforcements[[#This Row],[H (in)]],IF(Reinforcements[[#This Row],[Type]]="solid round",PI()/4*Reinforcements[[#This Row],[Diameter (in)]]^2,""))),"")</f>
        <v>6</v>
      </c>
      <c r="M24" s="6">
        <f>IFERROR(IF(Reinforcements[[#This Row],[Type]]="","",IF(Reinforcements[[#This Row],[Type]]="plate",Reinforcements[[#This Row],[H (in)]]/2,"")),"")</f>
        <v>0.5</v>
      </c>
      <c r="N24" s="16" t="s">
        <v>353</v>
      </c>
      <c r="O24" s="6" t="s">
        <v>138</v>
      </c>
      <c r="P24" s="123">
        <f>IFERROR(IF(Reinforcements[[#This Row],[Type]]="","",IF(Reinforcements[[#This Row],[Type]]="plate",Reinforcements[[#This Row],[B (in)]]*Reinforcements[[#This Row],[H (in)]]^3/12,IF(Reinforcements[[#This Row],[Type]]="solid round",PI()/64*Reinforcements[[#This Row],[Diameter (in)]]^4,""))),"")</f>
        <v>0.5</v>
      </c>
      <c r="Q24" s="123">
        <f>IF(Reinforcements[[#This Row],[Reinforcement]]="","",SQRT(Reinforcements[[#This Row],[Ix]]/Reinforcements[[#This Row],[Gross Area (in2)]]))</f>
        <v>0.28867513459481287</v>
      </c>
      <c r="R24" s="123">
        <f>IFERROR(IF(Reinforcements[[#This Row],[Type]]="","",IF(Reinforcements[[#This Row],[Type]]="plate",Reinforcements[[#This Row],[B (in)]]^3*Reinforcements[[#This Row],[H (in)]]/12,IF(Reinforcements[[#This Row],[Type]]="solid round",PI()/64*Reinforcements[[#This Row],[Diameter (in)]]^4,""))),"")</f>
        <v>18</v>
      </c>
      <c r="S24" s="123">
        <f>IF(Reinforcements[[#This Row],[Reinforcement]]="","",SQRT(Reinforcements[[#This Row],[Iy]]/Reinforcements[[#This Row],[Gross Area (in2)]]))</f>
        <v>1.7320508075688772</v>
      </c>
      <c r="T24" s="6">
        <v>16</v>
      </c>
      <c r="U24" s="6">
        <v>0.8</v>
      </c>
      <c r="V24" s="6">
        <v>1</v>
      </c>
      <c r="W24" s="6">
        <v>1.1875</v>
      </c>
      <c r="X24" s="6">
        <f>IF(Reinforcements[[#This Row],[Bolt Hole Size (in)]]="","",IF(Reinforcements[[#This Row],[Bolt Hole Size (in)]]="n/a","n/a",Reinforcements[[#This Row],[Bolt Hole Size (in)]]*25.4))</f>
        <v>30.162499999999998</v>
      </c>
      <c r="Y2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6">
        <f>IFERROR(IF(Reinforcements[[#This Row],[Reinforcement]]="","",IF(OR(Reinforcements[[#This Row],[Type]]="plate",Reinforcements[[#This Row],[Type]]="solid round"),1,IF(Reinforcements[[#This Row],[Type]]="arbitrary","",1-Reinforcements[[#This Row],[Pole Face to Centroid (in)]]/Reinforcements[[#This Row],[Connection Length (in) '[Channels']]]))),"")</f>
        <v>1</v>
      </c>
      <c r="AA24" s="16" t="s">
        <v>354</v>
      </c>
      <c r="AB24" s="16" t="str">
        <f>IF(Reinforcements[[#This Row],[Reinforcement]]="","",IF(Reinforcements[[#This Row],[Bottom End Connection Type]]&lt;&gt;"Capacity Input","-",""))</f>
        <v>-</v>
      </c>
      <c r="AC24" s="16" t="str">
        <f>IF(Reinforcements[[#This Row],[Reinforcement]]="","",IF(Reinforcements[[#This Row],[Bottom End Connection Type]]&lt;&gt;"Capacity Input","-",""))</f>
        <v>-</v>
      </c>
      <c r="AD24" s="16" t="str">
        <f>IF(Reinforcements[[#This Row],[Reinforcement]]="","",IF(Reinforcements[[#This Row],[Bottom End Connection Type]]&lt;&gt;"Capacity Input","-",""))</f>
        <v>-</v>
      </c>
      <c r="AE24" s="74" t="s">
        <v>355</v>
      </c>
      <c r="AF24" s="6" t="s">
        <v>356</v>
      </c>
      <c r="AG24" s="6">
        <v>8</v>
      </c>
      <c r="AH24" s="6">
        <v>3</v>
      </c>
      <c r="AI24" s="6">
        <v>3</v>
      </c>
      <c r="AJ24" s="6">
        <f>Reinforcements[[#This Row],[End Connection Edge Distance (in) (B)]]-(Reinforcements[[#This Row],[Bolt Hole Size (in)]]+1/16)/2</f>
        <v>2.375</v>
      </c>
      <c r="AK24" s="6">
        <f>Reinforcements[[#This Row],[End Connection Bolt Spacing (in) (B)]]-(Reinforcements[[#This Row],[Bolt Hole Size (in)]]+1/16)</f>
        <v>1.75</v>
      </c>
      <c r="AL24" s="6">
        <f>Reinforcements[[#This Row],[End Connection Edge Distance (in) (B)]]</f>
        <v>3</v>
      </c>
      <c r="AM24" s="6">
        <f>Reinforcements[[#This Row],[End Connection Bolt Spacing (in) (B)]]</f>
        <v>3</v>
      </c>
      <c r="AN24" s="6" t="str">
        <f>IF(Reinforcements[[#This Row],[Reinforcement]]="","",IF(OR(Reinforcements[[#This Row],[Bottom End Connection Type]]="Bolted",Reinforcements[[#This Row],[Bottom End Connection Type]]=""),"-",""))</f>
        <v>-</v>
      </c>
      <c r="AO24" s="111" t="str">
        <f>IF(Reinforcements[[#This Row],[Reinforcement]]="","",IF(OR(Reinforcements[[#This Row],[Bottom End Connection Type]]="Bolted",Reinforcements[[#This Row],[Bottom End Connection Type]]=""),"-",""))</f>
        <v>-</v>
      </c>
      <c r="AP24" s="111" t="str">
        <f>IF(Reinforcements[[#This Row],[Reinforcement]]="","",IF(OR(Reinforcements[[#This Row],[Bottom End Connection Type]]="Bolted",Reinforcements[[#This Row],[Bottom End Connection Type]]=""),"-",""))</f>
        <v>-</v>
      </c>
      <c r="AQ24" s="111" t="str">
        <f>IF(OR(Reinforcements[[#This Row],[Bottom End Connection Type]]="Bolted",Reinforcements[[#This Row],[Bottom Transverse (Horizontal) Weld]]="none"),"-","")</f>
        <v>-</v>
      </c>
      <c r="AR2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11" t="str">
        <f>IF(OR(Reinforcements[[#This Row],[Bottom Transverse (Horizontal) Weld]]="none",Reinforcements[[#This Row],[Bottom End Connection Type]]="Bolted"),"-","")</f>
        <v>-</v>
      </c>
      <c r="AU2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11" t="str">
        <f>IF(Reinforcements[[#This Row],[Reinforcement]]="","",IF(OR(Reinforcements[[#This Row],[Bottom End Connection Type]]="Bolted",Reinforcements[[#This Row],[Bottom End Connection Type]]=""),"-",""))</f>
        <v>-</v>
      </c>
      <c r="AW24" s="111" t="str">
        <f>IF(Reinforcements[[#This Row],[Reinforcement]]="","",IF(OR(Reinforcements[[#This Row],[Bottom End Connection Type]]&lt;&gt;"Welded",Reinforcements[[#This Row],[Bottom Longitudinal (Vertical) Weld]]="None",Reinforcements[[#This Row],[Bottom Longitudinal (Vertical) Weld]]=""),"-",""))</f>
        <v>-</v>
      </c>
      <c r="AX24" s="111" t="str">
        <f>IF(Reinforcements[[#This Row],[Reinforcement]]="","",IF(OR(Reinforcements[[#This Row],[Bottom End Connection Type]]&lt;&gt;"Welded",Reinforcements[[#This Row],[Bottom Longitudinal (Vertical) Weld]]="None",Reinforcements[[#This Row],[Bottom Longitudinal (Vertical) Weld]]=""),"-",""))</f>
        <v>-</v>
      </c>
      <c r="AY24" s="6" t="str">
        <f>IF(Reinforcements[[#This Row],[Reinforcement]]="","",IF(OR(Reinforcements[[#This Row],[Bottom End Connection Type]]&lt;&gt;"Welded",Reinforcements[[#This Row],[Bottom Longitudinal (Vertical) Weld]]="None"),"-",SQRT(2)/2*Reinforcements[[#This Row],[Bottom Longitudinal Weld Fillet Size (in)]]))</f>
        <v>-</v>
      </c>
      <c r="AZ24" s="6" t="s">
        <v>357</v>
      </c>
      <c r="BA24" s="16" t="str">
        <f>IF(Reinforcements[[#This Row],[Top End Connection Same?]]="Yes",Reinforcements[[#This Row],[Bottom End Connection Type]],"")</f>
        <v>Bolted</v>
      </c>
      <c r="BB24" s="16" t="str">
        <f>IF(Reinforcements[[#This Row],[Reinforcement]]="","",IF(Reinforcements[[#This Row],[Top End Connection Same?]]="Yes",Reinforcements[[#This Row],[Rev. F Bottom Connection Capacity (kips)]],IF(Reinforcements[[#This Row],[Reinforcement]]="","",IF(Reinforcements[[#This Row],[Top End Connection Type]]&lt;&gt;"Capacity Input","-",""))))</f>
        <v>-</v>
      </c>
      <c r="BC24" s="16" t="str">
        <f>IF(Reinforcements[[#This Row],[Reinforcement]]="","",IF(Reinforcements[[#This Row],[Top End Connection Same?]]="Yes",Reinforcements[[#This Row],[Rev. G Bottom Connection Capacity (kips)]],IF(Reinforcements[[#This Row],[Reinforcement]]="","",IF(Reinforcements[[#This Row],[Top End Connection Type]]&lt;&gt;"Capacity Input","-",""))))</f>
        <v>-</v>
      </c>
      <c r="BD24" s="16" t="str">
        <f>IF(Reinforcements[[#This Row],[Reinforcement]]="","",IF(Reinforcements[[#This Row],[Top End Connection Same?]]="Yes",Reinforcements[[#This Row],[Rev. G Bottom Connection Capacity (kips)]],IF(Reinforcements[[#This Row],[Reinforcement]]="","",IF(Reinforcements[[#This Row],[Top End Connection Type]]&lt;&gt;"Capacity Input","-",""))))</f>
        <v>-</v>
      </c>
      <c r="BE24" s="74" t="s">
        <v>355</v>
      </c>
      <c r="BF24" s="6" t="str">
        <f>IF(Reinforcements[[#This Row],[Top End Connection Same?]]="Yes",Reinforcements[[#This Row],[Threads Included (N) or Excluded (X) (Bottom)]],IF(Reinforcements[[#This Row],[Top End Connection Type]]="Welded","-",""))</f>
        <v>N</v>
      </c>
      <c r="BG24" s="6">
        <f>IF(Reinforcements[[#This Row],[Top End Connection Same?]]="Yes",Reinforcements[[#This Row],['# of End Connection Bolts          (Bottom)]],IF(Reinforcements[[#This Row],[Top End Connection Type]]="Welded","-",""))</f>
        <v>8</v>
      </c>
      <c r="BH24" s="6">
        <f>IF(Reinforcements[[#This Row],[Top End Connection Same?]]="Yes",Reinforcements[[#This Row],[End Connection Bolt Spacing (in) (B)]],IF(Reinforcements[[#This Row],[Top End Connection Type]]="Welded","-",""))</f>
        <v>3</v>
      </c>
      <c r="BI24" s="6">
        <f>IF(Reinforcements[[#This Row],[Top End Connection Same?]]="Yes",Reinforcements[[#This Row],[End Connection Edge Distance (in) (B)]],IF(Reinforcements[[#This Row],[Top End Connection Type]]="Welded","-",""))</f>
        <v>3</v>
      </c>
      <c r="BJ24" s="6">
        <f>Reinforcements[[#This Row],[End Connection Edge Distance (in) (T)]]-(Reinforcements[[#This Row],[Bolt Hole Size (in)]]+1/16)/2</f>
        <v>2.375</v>
      </c>
      <c r="BK24" s="6">
        <f>Reinforcements[[#This Row],[End Connection Bolt Spacing (in) (T)]]-(Reinforcements[[#This Row],[Bolt Hole Size (in)]]+1/16)</f>
        <v>1.75</v>
      </c>
      <c r="BL24" s="6">
        <f>Reinforcements[[#This Row],[End Connection Edge Distance (in) (T)]]</f>
        <v>3</v>
      </c>
      <c r="BM24" s="6">
        <f>Reinforcements[[#This Row],[End Connection Bolt Spacing (in) (T)]]</f>
        <v>3</v>
      </c>
      <c r="BN24" s="6" t="str">
        <f>IF(Reinforcements[[#This Row],[Reinforcement]]="","",IF(Reinforcements[[#This Row],[Top End Connection Same?]]="Yes",Reinforcements[[#This Row],[Bottom Connected to Flange/Base Plate?]],IF(Reinforcements[[#This Row],[Top End Connection Type]]="Bolted","-","")))</f>
        <v>-</v>
      </c>
      <c r="BO24" s="6" t="str">
        <f>IF(Reinforcements[[#This Row],[Reinforcement]]="","",IF(Reinforcements[[#This Row],[Top End Connection Same?]]="Yes",Reinforcements[[#This Row],[Bottom Weld Grade (ksi)]],IF(OR(Reinforcements[[#This Row],[Top End Connection Type]]&lt;&gt;"Welded",Reinforcements[[#This Row],[Top End Connection Type]]=""),"-","")))</f>
        <v>-</v>
      </c>
      <c r="BP24" s="6" t="str">
        <f>IF($AZ24="Yes",AP24,IF(Reinforcements[[#This Row],[Reinforcement]]="","",IF(OR(Reinforcements[[#This Row],[Top End Connection Type]]&lt;&gt;"Welded",Reinforcements[[#This Row],[Top End Connection Type]]=""),"-","")))</f>
        <v>-</v>
      </c>
      <c r="BQ24" s="6" t="str">
        <f>IF(Reinforcements[[#This Row],[Reinforcement]]="","",IF($AZ24="Yes",AQ24,IF(OR(Reinforcements[[#This Row],[Top End Connection Type]]&lt;&gt;"Welded",Reinforcements[[#This Row],[Top Transverse (Horizontal) Weld]]="none",Reinforcements[[#This Row],[Top Transverse (Horizontal) Weld]]=""),"-","")))</f>
        <v>-</v>
      </c>
      <c r="BR24" s="6"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6"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6" t="str">
        <f>IF(Reinforcements[[#This Row],[Reinforcement]]="","",IF($AZ24="Yes",AT24,IF(OR(Reinforcements[[#This Row],[Top Transverse (Horizontal) Weld]]="none",Reinforcements[[#This Row],[Top End Connection Type]]&lt;&gt;"Welded",Reinforcements[[#This Row],[Top Transverse (Horizontal) Weld]]=""),"-","")))</f>
        <v>-</v>
      </c>
      <c r="BU24" s="6"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6" t="str">
        <f>IF($AZ24="Yes",AV24,IF(Reinforcements[[#This Row],[Reinforcement]]="","",IF(OR(Reinforcements[[#This Row],[Top End Connection Type]]&lt;&gt;"Welded",Reinforcements[[#This Row],[Top End Connection Type]]=""),"-","")))</f>
        <v>-</v>
      </c>
      <c r="BW24" s="6"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6"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6" t="str">
        <f>IF($AZ24="Yes",AY24,IF(Reinforcements[[#This Row],[Reinforcement]]="","",IF(OR(Reinforcements[[#This Row],[Top End Connection Type]]&lt;&gt;"Welded",Reinforcements[[#This Row],[Top Longitudinal (Vertical) Weld]]="none"),"-",SQRT(2)/2*Reinforcements[[#This Row],[Top Longitudinal Weld Fillet Size (in)]])))</f>
        <v>-</v>
      </c>
      <c r="BZ2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11">
        <f>IF(Reinforcements[[#This Row],[Reinforcement]]="","",IF(Reinforcements[[#This Row],[Top End Connection Type]]&lt;&gt;"Bolted","n/a",(Reinforcements[[#This Row],['# of End Connection Bolts          (Top)]]-1)*Reinforcements[[#This Row],[End Connection Bolt Spacing (in) (T)]]+Reinforcements[[#This Row],[End Connection Edge Distance (in) (T)]]))</f>
        <v>24</v>
      </c>
      <c r="CC2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6">
        <f>IFERROR(IF(Reinforcements[[#This Row],[Type]]="","",Reinforcements[[#This Row],[Effective B (in)]]*Reinforcements[[#This Row],[Effective H (in)]]^3/12),"")</f>
        <v>0.5</v>
      </c>
      <c r="CF24" s="6">
        <f>IFERROR(IF(Reinforcements[[#This Row],[Type]]="","",Reinforcements[[#This Row],[Effective B (in)]]^3*Reinforcements[[#This Row],[Effective H (in)]]/12),"")</f>
        <v>18</v>
      </c>
      <c r="CG24" s="126">
        <f>SQRT(2*PI()^2*29000/VLOOKUP(Reinforcements[[#This Row],[Material]],Materials[],2,FALSE))</f>
        <v>93.844147005158973</v>
      </c>
      <c r="CH2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23">
        <f>Reinforcements[[#This Row],[Effective Length Factor Kx]]*Reinforcements[[#This Row],[Lu (in)]]/(Reinforcements[[#This Row],[rx]]*PI())*SQRT(VLOOKUP(Reinforcements[[#This Row],[Material]],Materials[],2,FALSE)/29000)</f>
        <v>0.66820296647591804</v>
      </c>
      <c r="CK24" s="123">
        <f>Reinforcements[[#This Row],[Effective Length Factor Ky]]*Reinforcements[[#This Row],[Lu (in)]]/(Reinforcements[[#This Row],[ry]]*PI())*SQRT(VLOOKUP(Reinforcements[[#This Row],[Material]],Materials[],2,FALSE)/29000)</f>
        <v>0.13920895134914957</v>
      </c>
      <c r="CL24" s="123">
        <f>IF(Reinforcements[[#This Row],[λcx]]&lt;=1.5,0.658^(Reinforcements[[#This Row],[λcx]]^2)*Reinforcements[[#This Row],[F''y]],0.877/(Reinforcements[[#This Row],[λcx]]^2)*Reinforcements[[#This Row],[F''y]])</f>
        <v>53.9202739283065</v>
      </c>
      <c r="CM24" s="123">
        <f>IF(Reinforcements[[#This Row],[λcy]]&lt;=1.5,0.658^(Reinforcements[[#This Row],[λcy]]^2)*Reinforcements[[#This Row],[F''y]],0.877/(Reinforcements[[#This Row],[λcy]]^2)*Reinforcements[[#This Row],[F''y]])</f>
        <v>64.474908164166294</v>
      </c>
      <c r="CN24" s="6">
        <f>VLOOKUP(Reinforcements[[#This Row],[Material]],Materials[],2,FALSE)</f>
        <v>65</v>
      </c>
      <c r="CO24" s="126">
        <f>IF(Reinforcements[[#This Row],[Reinforcement]]="","",Reinforcements[[#This Row],[Fax]]*Reinforcements[[#This Row],[Gross Area (in2)]])</f>
        <v>189.25725701315989</v>
      </c>
      <c r="CP24" s="126">
        <f>IF(Reinforcements[[#This Row],[Reinforcement]]="","",Reinforcements[[#This Row],[Fay]]*Reinforcements[[#This Row],[Gross Area (in2)]])</f>
        <v>227.83649439954195</v>
      </c>
      <c r="CQ24" s="126">
        <f>IF(Reinforcements[[#This Row],[Reinforcement]]="","",0.6*VLOOKUP(Reinforcements[[#This Row],[Material]],Materials[],2,FALSE)*Reinforcements[[#This Row],[Gross Area (in2)]])</f>
        <v>234</v>
      </c>
      <c r="CR24" s="126">
        <f>IF(Reinforcements[[#This Row],[Reinforcement]]="","",0.5*VLOOKUP(Reinforcements[[#This Row],[Material]],Materials[],3,FALSE)*Reinforcements[[#This Row],[Net Area (in2)]]*Reinforcements[[#This Row],[Shear Lag (U)]])</f>
        <v>190</v>
      </c>
      <c r="CS24" s="126">
        <f>IF(Reinforcements[[#This Row],[Reinforcement]]="","",0.4*VLOOKUP(Reinforcements[[#This Row],[Material]],Materials[],2,FALSE)*Reinforcements[[#This Row],[Gross Area (in2)]])</f>
        <v>156</v>
      </c>
      <c r="CT2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6"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6"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26">
        <f>IF(Reinforcements[[#This Row],[Reinforcement]]="","",φ_c*Reinforcements[[#This Row],[Fcr,x]]*Reinforcements[[#This Row],[Gross Area (in2)]])</f>
        <v>291.16947921285509</v>
      </c>
      <c r="DI24" s="126">
        <f>IF(Reinforcements[[#This Row],[Reinforcement]]="","",φ_c*Reinforcements[[#This Row],[Fcr,y]]*Reinforcements[[#This Row],[Gross Area (in2)]])</f>
        <v>348.16450408649803</v>
      </c>
      <c r="DJ24" s="126">
        <f>IF(Reinforcements[[#This Row],[Reinforcement]]="","",φ_t_y*VLOOKUP(Reinforcements[[#This Row],[Material]],Materials[],2,FALSE)*Reinforcements[[#This Row],[Gross Area (in2)]])</f>
        <v>351</v>
      </c>
      <c r="DK24" s="126">
        <f>IF(Reinforcements[[#This Row],[Reinforcement]]="","",φ_t_r*VLOOKUP(Reinforcements[[#This Row],[Material]],Materials[],3,FALSE)*Reinforcements[[#This Row],[Net Area (in2)]]*Reinforcements[[#This Row],[Shear Lag (U)]])</f>
        <v>285</v>
      </c>
      <c r="DL24" s="126">
        <f>IF(Reinforcements[[#This Row],[Reinforcement]]="","",φ_v*0.5*Reinforcements[[#This Row],[F''y]]*Reinforcements[[#This Row],[Gross Area (in2)]])</f>
        <v>175.5</v>
      </c>
      <c r="DM2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6"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6"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111" t="str">
        <f>IF(OR(Reinforcements[[#This Row],[Type]]="plate",Reinforcements[[#This Row],[Type]]="solid round"),"N/A",Reinforcements[[#This Row],[B (in)]])</f>
        <v>N/A</v>
      </c>
      <c r="EB24" s="6" t="str">
        <f>IF(OR(Reinforcements[[#This Row],[Type]]="plate",Reinforcements[[#This Row],[Type]]="solid round"),"N/A",Reinforcements[[#This Row],[H (in)]])</f>
        <v>N/A</v>
      </c>
      <c r="EC24" s="6" t="str">
        <f>IF(OR(Reinforcements[[#This Row],[Type]]="plate",Reinforcements[[#This Row],[Type]]="solid round"),"N/A",Reinforcements[[#This Row],[B (in)]]-Reinforcements[[#This Row],['[Channel'] Flange Thickness (in)]])</f>
        <v>N/A</v>
      </c>
      <c r="ED24" s="6" t="str">
        <f>IF(OR(Reinforcements[[#This Row],[Type]]="plate",Reinforcements[[#This Row],[Type]]="solid round"),"N/A",Reinforcements[[#This Row],['[Channel']Web Thickness (in)]])</f>
        <v>N/A</v>
      </c>
      <c r="EE24" s="6" t="str">
        <f>IF(OR(Reinforcements[[#This Row],[Type]]="plate",Reinforcements[[#This Row],[Type]]="solid round"),"N/A",Reinforcements[[#This Row],['[Channel'] Flange Thickness (in)]])</f>
        <v>N/A</v>
      </c>
      <c r="EF24" s="6" t="str">
        <f>IF(Reinforcements[[#This Row],[Type]]="channel",Reinforcements[[#This Row],[Channel Flange Width, b]]/Reinforcements[[#This Row],[Channel flange thickness, tf]],"N/A")</f>
        <v>N/A</v>
      </c>
      <c r="EG24" s="6" t="str">
        <f>IF(Reinforcements[[#This Row],[Type]]="channel",Reinforcements[[#This Row],[Channel inside depth, T]]/Reinforcements[[#This Row],[Channel web thickness, tw]],"N/A")</f>
        <v>N/A</v>
      </c>
      <c r="EH24" s="6">
        <f>29000</f>
        <v>29000</v>
      </c>
      <c r="EI24" s="6" t="str">
        <f>IF(Reinforcements[[#This Row],[Type]]="channel",0.56*SQRT(Reinforcements[[#This Row],[E, (ksi)]]/Reinforcements[[#This Row],[Fy, (ksi)]]),"N/A")</f>
        <v>N/A</v>
      </c>
      <c r="EJ24" s="6" t="str">
        <f>IF(Reinforcements[[#This Row],[Type]]="channel",1.49*SQRT(Reinforcements[[#This Row],[E, (ksi)]]/Reinforcements[[#This Row],[Fy, (ksi)]]),"N/A")</f>
        <v>N/A</v>
      </c>
      <c r="EK24" s="6">
        <f>VLOOKUP(Reinforcements[[#This Row],[Material]],Materials!$B$2:$C$30,2,FALSE)</f>
        <v>65</v>
      </c>
      <c r="EL24" s="6">
        <f>Reinforcements[[#This Row],[Lu (in)]]*Reinforcements[[#This Row],[Effective Length Factor Kx]]</f>
        <v>12.8</v>
      </c>
      <c r="EM24" s="6">
        <f>Reinforcements[[#This Row],[Lu (in)]]*Reinforcements[[#This Row],[Effective Length Factor Ky]]</f>
        <v>16</v>
      </c>
      <c r="EN24" s="6">
        <f>Reinforcements[[#This Row],[rx]]</f>
        <v>0.28867513459481287</v>
      </c>
      <c r="EO24" s="6">
        <f>Reinforcements[[#This Row],[ry]]</f>
        <v>1.7320508075688772</v>
      </c>
      <c r="EP24" s="6">
        <f>Reinforcements[[#This Row],[Lcx (in)]]/Reinforcements[[#This Row],[rx (in)]]</f>
        <v>44.340500673763266</v>
      </c>
      <c r="EQ24" s="6">
        <f>Reinforcements[[#This Row],[Lcy (in)]]/Reinforcements[[#This Row],[ry (in)]]</f>
        <v>9.2376043070340135</v>
      </c>
      <c r="ER24" s="6">
        <f>((PI()^2)*Reinforcements[[#This Row],[E, (ksi)]])/(Reinforcements[[#This Row],[Lcx/rx]]^2)</f>
        <v>145.57827129699263</v>
      </c>
      <c r="ES24" s="6">
        <f>((PI()^2)*Reinforcements[[#This Row],[E, (ksi)]])/(Reinforcements[[#This Row],[Lcy/ry]]^2)</f>
        <v>3354.1233706827102</v>
      </c>
      <c r="ET24" s="6">
        <f>4.71*(SQRT(Reinforcements[[#This Row],[E, (ksi)]]/Reinforcements[[#This Row],[Fy, (ksi)]]))</f>
        <v>99.486288193205496</v>
      </c>
      <c r="EU24" s="6">
        <f>IF(Reinforcements[[#This Row],[Lcx/rx]]&lt;=Reinforcements[[#This Row],[Fcr Limit]],(0.658^(Reinforcements[[#This Row],[Fy, (ksi)]]/Reinforcements[[#This Row],[Fex, FB (ksi)]]))*Reinforcements[[#This Row],[Fy, (ksi)]],0.877*Reinforcements[[#This Row],[Fex, FB (ksi)]])</f>
        <v>53.9202739283065</v>
      </c>
      <c r="EV24" s="6">
        <f>IF(Reinforcements[[#This Row],[Lcy/ry]]&lt;=Reinforcements[[#This Row],[Fcr Limit]],(0.658^(Reinforcements[[#This Row],[Fy, (ksi)]]/Reinforcements[[#This Row],[Fey, FB (ksi)]]))*Reinforcements[[#This Row],[Fy, (ksi)]],0.877*Reinforcements[[#This Row],[Fey, FB (ksi)]])</f>
        <v>64.474908164166294</v>
      </c>
      <c r="EW24" s="6">
        <f>Reinforcements[[#This Row],[Fcrx (ksi)]]*Reinforcements[[#This Row],[Gross Area (in2)]]</f>
        <v>323.521643569839</v>
      </c>
      <c r="EX24" s="6">
        <f>Reinforcements[[#This Row],[Fcry (ksi)]]*Reinforcements[[#This Row],[Gross Area (in2)]]</f>
        <v>386.84944898499776</v>
      </c>
      <c r="EY24" s="6" t="str">
        <f>IF(Reinforcements[[#This Row],[Type]]="channel",0,"N/A")</f>
        <v>N/A</v>
      </c>
      <c r="EZ24" s="6" t="str">
        <f>IF(Reinforcements[[#This Row],[Type]]="channel",Reinforcements[[#This Row],[Channel Flange Width, b]]-(0.5*Reinforcements[[#This Row],[Channel web thickness, tw]]),"N/A")</f>
        <v>N/A</v>
      </c>
      <c r="FA24" s="6" t="str">
        <f>IF(Reinforcements[[#This Row],[Type]]="channel",Reinforcements[[#This Row],[Channel Height, h]]-Reinforcements[[#This Row],[Channel flange thickness, tf]],"N/A")</f>
        <v>N/A</v>
      </c>
      <c r="FB24" s="6" t="str">
        <f>IF(Reinforcements[[#This Row],[Type]]="channel",Reinforcements[[#This Row],[Channel web thickness, tw]],"N/A")</f>
        <v>N/A</v>
      </c>
      <c r="FC24" s="6" t="str">
        <f>IF(Reinforcements[[#This Row],[Type]]="channel",((3*Reinforcements[[#This Row],[b]]^2)/(Reinforcements[[#This Row],[h]]+(6*Reinforcements[[#This Row],[b]])))-Reinforcements[[#This Row],[t]]/2,"N/A")</f>
        <v>N/A</v>
      </c>
      <c r="FD24" s="6">
        <f>Reinforcements[[#This Row],[Pole Face to Centroid (in)]]</f>
        <v>0.5</v>
      </c>
      <c r="FE24" s="6" t="str">
        <f>IF(Reinforcements[[#This Row],[Type]]="channel",Reinforcements[[#This Row],[x(bar)]]+Reinforcements[[#This Row],['[Channel'] e0 (in)]],"N/A")</f>
        <v>N/A</v>
      </c>
      <c r="FF24" s="6" t="str">
        <f>IF(Reinforcements[[#This Row],[Type]]="channel",Reinforcements[[#This Row],[Ix]],"N/A")</f>
        <v>N/A</v>
      </c>
      <c r="FG24" s="6" t="str">
        <f>IF(Reinforcements[[#This Row],[Type]]="channel",Reinforcements[[#This Row],[Iy]],"N/A")</f>
        <v>N/A</v>
      </c>
      <c r="FH24" s="6" t="str">
        <f>IF(Reinforcements[[#This Row],[Type]]="channel",Reinforcements[[#This Row],[Gross Area (in2)]],"N/A")</f>
        <v>N/A</v>
      </c>
      <c r="FI24" s="6" t="str">
        <f>IF(Reinforcements[[#This Row],[Type]]="channel",(Reinforcements[[#This Row],[xo]]^2)+((Reinforcements[[#This Row],[Ix (FTB)]]+Reinforcements[[#This Row],[Iy (FTB)]])/Reinforcements[[#This Row],[Ag]]),"N/A")</f>
        <v>N/A</v>
      </c>
      <c r="FJ24" s="6" t="str">
        <f>IF(Reinforcements[[#This Row],[Type]]="channel",Reinforcements[[#This Row],[Lu (in)]],"N/A")</f>
        <v>N/A</v>
      </c>
      <c r="FK24" s="6" t="str">
        <f>IF(Reinforcements[[#This Row],[Type]]="channel",Reinforcements[[#This Row],[Effective Length Factor Kx]],"N/A")</f>
        <v>N/A</v>
      </c>
      <c r="FL24" s="6" t="str">
        <f>IF(Reinforcements[[#This Row],[Type]]="channel",Reinforcements[[#This Row],[Kz]]*Reinforcements[[#This Row],[Lz]],"N/A")</f>
        <v>N/A</v>
      </c>
      <c r="FM24" s="6" t="str">
        <f>IF(Reinforcements[[#This Row],[Type]]="channel",(((Reinforcements[[#This Row],[t]]^3)/3)*(Reinforcements[[#This Row],[h]]+(2*Reinforcements[[#This Row],[b]]))),"N/A")</f>
        <v>N/A</v>
      </c>
      <c r="FN24" s="6" t="str">
        <f>IF(Reinforcements[[#This Row],[Type]]="channel",(1-(((Reinforcements[[#This Row],[xo]]^2)+(Reinforcements[[#This Row],[yo]]^2))/Reinforcements[[#This Row],[ro^2(bar)]])),"N/A")</f>
        <v>N/A</v>
      </c>
      <c r="FO24" s="6">
        <v>11200</v>
      </c>
      <c r="FP24" s="6" t="str">
        <f>IF(Reinforcements[[#This Row],[Type]]="channel",(((Reinforcements[[#This Row],[h]]^2)*(Reinforcements[[#This Row],[b]]^3)*Reinforcements[[#This Row],[t]])/12)*(((2*Reinforcements[[#This Row],[h]])+(3*Reinforcements[[#This Row],[b]]))/(Reinforcements[[#This Row],[h]]+(6*Reinforcements[[#This Row],[b]]))),"N/A")</f>
        <v>N/A</v>
      </c>
      <c r="FQ24" s="6" t="str">
        <f>IF(Reinforcements[[#This Row],[Type]]="Channel",((((PI()^2)*Reinforcements[[#This Row],[E, (ksi)]]*Reinforcements[[#This Row],['[Channel'] CW (in6)]])/(Reinforcements[[#This Row],[Lcz]]^2))+(Reinforcements[[#This Row],[G]]*Reinforcements[[#This Row],['[Channel'] J (in4)]]))*(1/(Reinforcements[[#This Row],[Ag]]*Reinforcements[[#This Row],[ro^2(bar)]])),"N/A")</f>
        <v>N/A</v>
      </c>
      <c r="FR24" s="6" t="str">
        <f>IF(Reinforcements[[#This Row],[Type]]="channel",((PI()^2)*Reinforcements[[#This Row],[E, (ksi)]])/(Reinforcements[[#This Row],[Lcy/ry]]^2),"N/A")</f>
        <v>N/A</v>
      </c>
      <c r="FS24" s="6" t="str">
        <f>IF(Reinforcements[[#This Row],[Type]]="channel",((Reinforcements[[#This Row],[Fey]]+Reinforcements[[#This Row],[Fez]])/(2*Reinforcements[[#This Row],[H2]]))*(1-SQRT(1-((4*Reinforcements[[#This Row],[Fey]]*Reinforcements[[#This Row],[Fez]]*Reinforcements[[#This Row],[H2]])/(Reinforcements[[#This Row],[Fey]]+Reinforcements[[#This Row],[Fez]])^2))),"N/A")</f>
        <v>N/A</v>
      </c>
      <c r="FT24" s="6" t="str">
        <f>IF(Reinforcements[[#This Row],[Type]]="channel",IF(Reinforcements[[#This Row],[Lcx/rx]]&gt;(4.71*SQRT(Reinforcements[[#This Row],[E, (ksi)]]/Reinforcements[[#This Row],[Fy, (ksi)]])),0.877*Reinforcements[[#This Row],[Fe (FTB)]],0.658^(Reinforcements[[#This Row],[Fy, (ksi)]]/Reinforcements[[#This Row],[Fe (FTB)]])*Reinforcements[[#This Row],[Fy, (ksi)]]),"N/A")</f>
        <v>N/A</v>
      </c>
      <c r="FU24" s="6" t="str">
        <f>IF(Reinforcements[[#This Row],[Type]]="channel",MIN(Reinforcements[[#This Row],[Fcr(FTB)]],Reinforcements[[#This Row],[Fcry (ksi)]]),"N/A")</f>
        <v>N/A</v>
      </c>
      <c r="FV24" s="6">
        <v>0.22</v>
      </c>
      <c r="FW24" s="6">
        <v>1.49</v>
      </c>
      <c r="FX24" s="6" t="str">
        <f>IF(Reinforcements[[#This Row],[Type]]="channel",((Reinforcements[[#This Row],[c2]]*(Reinforcements[[#This Row],[λrf]]/Reinforcements[[#This Row],[λf]]))^2)*Reinforcements[[#This Row],[Fy, (ksi)]],"N/A")</f>
        <v>N/A</v>
      </c>
      <c r="FY24" s="6" t="str">
        <f>IF(Reinforcements[[#This Row],[Type]]="channel",((Reinforcements[[#This Row],[c2]]*(Reinforcements[[#This Row],[λrw]]/Reinforcements[[#This Row],[λw]]))^2)*Reinforcements[[#This Row],[Fy, (ksi)]],"N/A")</f>
        <v>N/A</v>
      </c>
      <c r="FZ2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6" t="str">
        <f>IF(Reinforcements[[#This Row],[Type]]="channel",Reinforcements[[#This Row],[Fcr]]*Reinforcements[[#This Row],[Ae]],"N/A")</f>
        <v>N/A</v>
      </c>
      <c r="GD24">
        <f>IF(Reinforcements[[#This Row],[Reinforcement]]="","",φ_c*Reinforcements[[#This Row],[Pnx, FB (kip)]])</f>
        <v>291.16947921285509</v>
      </c>
      <c r="GE24">
        <f>IF(Reinforcements[[#This Row],[Reinforcement]]="","",IF(Reinforcements[[#This Row],[Type]]="channel",φ_c*Reinforcements[[#This Row],[Pn]],φ_c*Reinforcements[[#This Row],[Pny, FB (kip)]]))</f>
        <v>348.16450408649797</v>
      </c>
      <c r="GF24">
        <f>Reinforcements[[#This Row],[Rev. G Tension Yield Capacity (kips)]]</f>
        <v>351</v>
      </c>
      <c r="GG24">
        <f>Reinforcements[[#This Row],[Rev. G Tension Rupture Capacity (kips)]]</f>
        <v>285</v>
      </c>
      <c r="GH24">
        <f>Reinforcements[[#This Row],[Rev. G Shear Capacity (kips)]]</f>
        <v>175.5</v>
      </c>
      <c r="GI24">
        <f>IFERROR((Reinforcements[[#This Row],['# of End Connection Bolts          (Bottom)]]-1)*Reinforcements[[#This Row],[End Connection Bolt Spacing (in) (B)]],"-")</f>
        <v>21</v>
      </c>
      <c r="GJ24">
        <f>IFERROR(IF(VLOOKUP(Reinforcements[[#This Row],[Bottom End Connection Bolt Type]],Bolts[],COLUMN(Bolts[[#Headers],[Rev. H Apply Connection Length Reduction Factor (Rb)?]])-1,FALSE)="Yes",(IF(Reinforcements[[#This Row],[Lb(bottom)]]&lt;=16,1,IF(Reinforcements[[#This Row],[Lb(bottom)]]&gt;38,0.75,0.9))),1),"-")</f>
        <v>1</v>
      </c>
      <c r="GK2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f>IFERROR(IF(Reinforcements[[#This Row],[Top End Connection Same?]]="Yes",Reinforcements[[#This Row],[Lb(bottom)]],(Reinforcements[[#This Row],['# of End Connection Bolts          (Top)]]-1)*Reinforcements[[#This Row],[End Connection Bolt Spacing (in) (T)]]),"-")</f>
        <v>21</v>
      </c>
      <c r="GM24">
        <f>IFERROR(IF(VLOOKUP(Reinforcements[[#This Row],[Top End Connection Bolt Type]],Bolts[],COLUMN(Bolts[[#Headers],[Rev. H Apply Connection Length Reduction Factor (Rb)?]])-1,FALSE)=TRUE,(IF(Reinforcements[[#This Row],[Lb(top)]]&lt;=16,1,IF(Reinforcements[[#This Row],[Lb(top)]]&gt;38,0.75,0.9))),1),"-")</f>
        <v>0.9</v>
      </c>
      <c r="GN2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f>Reinforcements[[#This Row],[Rev. G Bolt-Shaft Bearing Capacity (Bottom)                No Deformation          (*t*Fu kips)]]</f>
        <v>15.870236220472439</v>
      </c>
      <c r="GP24">
        <f>Reinforcements[[#This Row],[Rev. G Bolt-Shaft Bearing Capacity (Bottom)                   Deformation          (*t*Fu kips)]]</f>
        <v>19.837795275590551</v>
      </c>
      <c r="GQ24">
        <f>Reinforcements[[#This Row],[Rev. G Bolt-Shaft Bearing Capacity (Top)                    No Deformation          (*t*Fu kips)]]</f>
        <v>15.870236220472439</v>
      </c>
      <c r="GR24">
        <f>Reinforcements[[#This Row],[Rev. G Bolt-Shaft Bearing Capacity (Top)                        Deformation          (*t*Fu kips)]]</f>
        <v>19.837795275590551</v>
      </c>
      <c r="GS24">
        <f>Reinforcements[[#This Row],[Rev. G Bolt-Reinf. Bearing Capacity (Bottom)            No Deformation (kips)]]</f>
        <v>1269.6188976377953</v>
      </c>
      <c r="GT24">
        <f>Reinforcements[[#This Row],[Rev. G Bolt-Reinf. Bearing Capacity (Bottom)               Deformation (kips)]]</f>
        <v>1587.0236220472443</v>
      </c>
      <c r="GU24">
        <f>Reinforcements[[#This Row],[Rev. G Bolt-Reinf. Bearing Capacity (Top)                  No Deformation (kips)]]</f>
        <v>1269.6188976377953</v>
      </c>
      <c r="GV24">
        <f>Reinforcements[[#This Row],[Rev. G Bolt-Reinf. Bearing Capacity (Top)               Deformation (kips)]]</f>
        <v>1587.0236220472443</v>
      </c>
      <c r="GW24" t="str">
        <f>Reinforcements[[#This Row],[Rev. G Bottom Transverse Weld Strength]]</f>
        <v>-</v>
      </c>
      <c r="GX24" t="str">
        <f>Reinforcements[[#This Row],[Rev. G Bottom Longitudinal Weld Strength]]</f>
        <v>-</v>
      </c>
      <c r="GY24" t="str">
        <f>Reinforcements[[#This Row],[Rev. G Top Transverse Weld Strength]]</f>
        <v>-</v>
      </c>
      <c r="GZ24" t="str">
        <f>Reinforcements[[#This Row],[Rev. G Top Longitudinal Weld Strength]]</f>
        <v>-</v>
      </c>
      <c r="HA24">
        <v>22</v>
      </c>
      <c r="HB2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0" x14ac:dyDescent="0.2">
      <c r="B25" s="49" t="s">
        <v>379</v>
      </c>
      <c r="C25" s="49" t="s">
        <v>352</v>
      </c>
      <c r="D25" s="6">
        <v>6.5</v>
      </c>
      <c r="E25" s="6">
        <v>1.25</v>
      </c>
      <c r="F25" s="6" t="str">
        <f>IF(Reinforcements[[#This Row],[Type]]="","",IF(Reinforcements[[#This Row],[Type]]="solid round","","n/a"))</f>
        <v>n/a</v>
      </c>
      <c r="G25" s="6" t="str">
        <f>IF(Reinforcements[[#This Row],[Type]]="","",IF(Reinforcements[[#This Row],[Type]]&lt;&gt;"channel","n/a",""))</f>
        <v>n/a</v>
      </c>
      <c r="H25" s="6" t="str">
        <f>IF(Reinforcements[[#This Row],[Type]]="","",IF(Reinforcements[[#This Row],[Type]]&lt;&gt;"channel","n/a",""))</f>
        <v>n/a</v>
      </c>
      <c r="I25" s="126" t="str">
        <f>IF(Reinforcements[[#This Row],[Type]]="","",IF(Reinforcements[[#This Row],[Type]]&lt;&gt;"channel","n/a",Reinforcements[[#This Row],[eo]]))</f>
        <v>n/a</v>
      </c>
      <c r="J25" s="126" t="str">
        <f>IF(Reinforcements[[#This Row],[Type]]="","",IF(Reinforcements[[#This Row],[Type]]&lt;&gt;"channel","n/a",Reinforcements[[#This Row],[J]]))</f>
        <v>n/a</v>
      </c>
      <c r="K25" s="126" t="str">
        <f>IF(Reinforcements[[#This Row],[Type]]="","",IF(Reinforcements[[#This Row],[Type]]&lt;&gt;"channel","n/a",Reinforcements[[#This Row],[Cw]]))</f>
        <v>n/a</v>
      </c>
      <c r="L25" s="6">
        <f>IFERROR(IF(Reinforcements[[#This Row],[Type]]="","",IF(Reinforcements[[#This Row],[Type]]="plate",Reinforcements[[#This Row],[B (in)]]*Reinforcements[[#This Row],[H (in)]],IF(Reinforcements[[#This Row],[Type]]="solid round",PI()/4*Reinforcements[[#This Row],[Diameter (in)]]^2,""))),"")</f>
        <v>8.125</v>
      </c>
      <c r="M25" s="6">
        <f>IFERROR(IF(Reinforcements[[#This Row],[Type]]="","",IF(Reinforcements[[#This Row],[Type]]="plate",Reinforcements[[#This Row],[H (in)]]/2,"")),"")</f>
        <v>0.625</v>
      </c>
      <c r="N25" s="16" t="s">
        <v>353</v>
      </c>
      <c r="O25" s="6" t="s">
        <v>138</v>
      </c>
      <c r="P25" s="123">
        <f>IFERROR(IF(Reinforcements[[#This Row],[Type]]="","",IF(Reinforcements[[#This Row],[Type]]="plate",Reinforcements[[#This Row],[B (in)]]*Reinforcements[[#This Row],[H (in)]]^3/12,IF(Reinforcements[[#This Row],[Type]]="solid round",PI()/64*Reinforcements[[#This Row],[Diameter (in)]]^4,""))),"")</f>
        <v>1.0579427083333333</v>
      </c>
      <c r="Q25" s="123">
        <f>IF(Reinforcements[[#This Row],[Reinforcement]]="","",SQRT(Reinforcements[[#This Row],[Ix]]/Reinforcements[[#This Row],[Gross Area (in2)]]))</f>
        <v>0.36084391824351608</v>
      </c>
      <c r="R25" s="123">
        <f>IFERROR(IF(Reinforcements[[#This Row],[Type]]="","",IF(Reinforcements[[#This Row],[Type]]="plate",Reinforcements[[#This Row],[B (in)]]^3*Reinforcements[[#This Row],[H (in)]]/12,IF(Reinforcements[[#This Row],[Type]]="solid round",PI()/64*Reinforcements[[#This Row],[Diameter (in)]]^4,""))),"")</f>
        <v>28.606770833333332</v>
      </c>
      <c r="S25" s="123">
        <f>IF(Reinforcements[[#This Row],[Reinforcement]]="","",SQRT(Reinforcements[[#This Row],[Iy]]/Reinforcements[[#This Row],[Gross Area (in2)]]))</f>
        <v>1.8763883748662837</v>
      </c>
      <c r="T25" s="6">
        <v>19</v>
      </c>
      <c r="U25" s="6">
        <v>0.8</v>
      </c>
      <c r="V25" s="6">
        <v>1</v>
      </c>
      <c r="W25" s="6">
        <v>1.1875</v>
      </c>
      <c r="X25" s="6">
        <f>IF(Reinforcements[[#This Row],[Bolt Hole Size (in)]]="","",IF(Reinforcements[[#This Row],[Bolt Hole Size (in)]]="n/a","n/a",Reinforcements[[#This Row],[Bolt Hole Size (in)]]*25.4))</f>
        <v>30.162499999999998</v>
      </c>
      <c r="Y2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6">
        <f>IFERROR(IF(Reinforcements[[#This Row],[Reinforcement]]="","",IF(OR(Reinforcements[[#This Row],[Type]]="plate",Reinforcements[[#This Row],[Type]]="solid round"),1,IF(Reinforcements[[#This Row],[Type]]="arbitrary","",1-Reinforcements[[#This Row],[Pole Face to Centroid (in)]]/Reinforcements[[#This Row],[Connection Length (in) '[Channels']]]))),"")</f>
        <v>1</v>
      </c>
      <c r="AA25" s="16" t="s">
        <v>354</v>
      </c>
      <c r="AB25" s="16" t="str">
        <f>IF(Reinforcements[[#This Row],[Reinforcement]]="","",IF(Reinforcements[[#This Row],[Bottom End Connection Type]]&lt;&gt;"Capacity Input","-",""))</f>
        <v>-</v>
      </c>
      <c r="AC25" s="16" t="str">
        <f>IF(Reinforcements[[#This Row],[Reinforcement]]="","",IF(Reinforcements[[#This Row],[Bottom End Connection Type]]&lt;&gt;"Capacity Input","-",""))</f>
        <v>-</v>
      </c>
      <c r="AD25" s="16" t="str">
        <f>IF(Reinforcements[[#This Row],[Reinforcement]]="","",IF(Reinforcements[[#This Row],[Bottom End Connection Type]]&lt;&gt;"Capacity Input","-",""))</f>
        <v>-</v>
      </c>
      <c r="AE25" s="74" t="s">
        <v>355</v>
      </c>
      <c r="AF25" s="6" t="s">
        <v>356</v>
      </c>
      <c r="AG25" s="6">
        <v>11</v>
      </c>
      <c r="AH25" s="6">
        <v>3</v>
      </c>
      <c r="AI25" s="6">
        <v>3</v>
      </c>
      <c r="AJ25" s="6">
        <f>Reinforcements[[#This Row],[End Connection Edge Distance (in) (B)]]-(Reinforcements[[#This Row],[Bolt Hole Size (in)]]+1/16)/2</f>
        <v>2.375</v>
      </c>
      <c r="AK25" s="6">
        <f>Reinforcements[[#This Row],[End Connection Bolt Spacing (in) (B)]]-(Reinforcements[[#This Row],[Bolt Hole Size (in)]]+1/16)</f>
        <v>1.75</v>
      </c>
      <c r="AL25" s="6">
        <f>Reinforcements[[#This Row],[End Connection Edge Distance (in) (B)]]</f>
        <v>3</v>
      </c>
      <c r="AM25" s="6">
        <f>Reinforcements[[#This Row],[End Connection Bolt Spacing (in) (B)]]</f>
        <v>3</v>
      </c>
      <c r="AN25" s="6" t="str">
        <f>IF(Reinforcements[[#This Row],[Reinforcement]]="","",IF(OR(Reinforcements[[#This Row],[Bottom End Connection Type]]="Bolted",Reinforcements[[#This Row],[Bottom End Connection Type]]=""),"-",""))</f>
        <v>-</v>
      </c>
      <c r="AO25" s="111" t="str">
        <f>IF(Reinforcements[[#This Row],[Reinforcement]]="","",IF(OR(Reinforcements[[#This Row],[Bottom End Connection Type]]="Bolted",Reinforcements[[#This Row],[Bottom End Connection Type]]=""),"-",""))</f>
        <v>-</v>
      </c>
      <c r="AP25" s="111" t="str">
        <f>IF(Reinforcements[[#This Row],[Reinforcement]]="","",IF(OR(Reinforcements[[#This Row],[Bottom End Connection Type]]="Bolted",Reinforcements[[#This Row],[Bottom End Connection Type]]=""),"-",""))</f>
        <v>-</v>
      </c>
      <c r="AQ25" s="111" t="str">
        <f>IF(OR(Reinforcements[[#This Row],[Bottom End Connection Type]]="Bolted",Reinforcements[[#This Row],[Bottom Transverse (Horizontal) Weld]]="none"),"-","")</f>
        <v>-</v>
      </c>
      <c r="AR2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11" t="str">
        <f>IF(OR(Reinforcements[[#This Row],[Bottom Transverse (Horizontal) Weld]]="none",Reinforcements[[#This Row],[Bottom End Connection Type]]="Bolted"),"-","")</f>
        <v>-</v>
      </c>
      <c r="AU2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11" t="str">
        <f>IF(Reinforcements[[#This Row],[Reinforcement]]="","",IF(OR(Reinforcements[[#This Row],[Bottom End Connection Type]]="Bolted",Reinforcements[[#This Row],[Bottom End Connection Type]]=""),"-",""))</f>
        <v>-</v>
      </c>
      <c r="AW25" s="111" t="str">
        <f>IF(Reinforcements[[#This Row],[Reinforcement]]="","",IF(OR(Reinforcements[[#This Row],[Bottom End Connection Type]]&lt;&gt;"Welded",Reinforcements[[#This Row],[Bottom Longitudinal (Vertical) Weld]]="None",Reinforcements[[#This Row],[Bottom Longitudinal (Vertical) Weld]]=""),"-",""))</f>
        <v>-</v>
      </c>
      <c r="AX25" s="111" t="str">
        <f>IF(Reinforcements[[#This Row],[Reinforcement]]="","",IF(OR(Reinforcements[[#This Row],[Bottom End Connection Type]]&lt;&gt;"Welded",Reinforcements[[#This Row],[Bottom Longitudinal (Vertical) Weld]]="None",Reinforcements[[#This Row],[Bottom Longitudinal (Vertical) Weld]]=""),"-",""))</f>
        <v>-</v>
      </c>
      <c r="AY25" s="6" t="str">
        <f>IF(Reinforcements[[#This Row],[Reinforcement]]="","",IF(OR(Reinforcements[[#This Row],[Bottom End Connection Type]]&lt;&gt;"Welded",Reinforcements[[#This Row],[Bottom Longitudinal (Vertical) Weld]]="None"),"-",SQRT(2)/2*Reinforcements[[#This Row],[Bottom Longitudinal Weld Fillet Size (in)]]))</f>
        <v>-</v>
      </c>
      <c r="AZ25" s="111" t="s">
        <v>357</v>
      </c>
      <c r="BA25" s="16" t="str">
        <f>IF(Reinforcements[[#This Row],[Top End Connection Same?]]="Yes",Reinforcements[[#This Row],[Bottom End Connection Type]],"")</f>
        <v>Bolted</v>
      </c>
      <c r="BB25" s="16" t="str">
        <f>IF(Reinforcements[[#This Row],[Reinforcement]]="","",IF(Reinforcements[[#This Row],[Top End Connection Same?]]="Yes",Reinforcements[[#This Row],[Rev. F Bottom Connection Capacity (kips)]],IF(Reinforcements[[#This Row],[Reinforcement]]="","",IF(Reinforcements[[#This Row],[Top End Connection Type]]&lt;&gt;"Capacity Input","-",""))))</f>
        <v>-</v>
      </c>
      <c r="BC25" s="16" t="str">
        <f>IF(Reinforcements[[#This Row],[Reinforcement]]="","",IF(Reinforcements[[#This Row],[Top End Connection Same?]]="Yes",Reinforcements[[#This Row],[Rev. G Bottom Connection Capacity (kips)]],IF(Reinforcements[[#This Row],[Reinforcement]]="","",IF(Reinforcements[[#This Row],[Top End Connection Type]]&lt;&gt;"Capacity Input","-",""))))</f>
        <v>-</v>
      </c>
      <c r="BD25" s="16" t="str">
        <f>IF(Reinforcements[[#This Row],[Reinforcement]]="","",IF(Reinforcements[[#This Row],[Top End Connection Same?]]="Yes",Reinforcements[[#This Row],[Rev. G Bottom Connection Capacity (kips)]],IF(Reinforcements[[#This Row],[Reinforcement]]="","",IF(Reinforcements[[#This Row],[Top End Connection Type]]&lt;&gt;"Capacity Input","-",""))))</f>
        <v>-</v>
      </c>
      <c r="BE25" s="74" t="str">
        <f>IF(Reinforcements[[#This Row],[Top End Connection Same?]]="Yes",Reinforcements[[#This Row],[Bottom End Connection Bolt Type]],IF(Reinforcements[[#This Row],[Top End Connection Type]]="Welded","-",""))</f>
        <v>PC 8.8 - M20 (100)</v>
      </c>
      <c r="BF25" s="6" t="str">
        <f>IF(Reinforcements[[#This Row],[Top End Connection Same?]]="Yes",Reinforcements[[#This Row],[Threads Included (N) or Excluded (X) (Bottom)]],IF(Reinforcements[[#This Row],[Top End Connection Type]]="Welded","-",""))</f>
        <v>N</v>
      </c>
      <c r="BG25" s="6">
        <f>IF(Reinforcements[[#This Row],[Top End Connection Same?]]="Yes",Reinforcements[[#This Row],['# of End Connection Bolts          (Bottom)]],IF(Reinforcements[[#This Row],[Top End Connection Type]]="Welded","-",""))</f>
        <v>11</v>
      </c>
      <c r="BH25" s="6">
        <f>IF(Reinforcements[[#This Row],[Top End Connection Same?]]="Yes",Reinforcements[[#This Row],[End Connection Bolt Spacing (in) (B)]],IF(Reinforcements[[#This Row],[Top End Connection Type]]="Welded","-",""))</f>
        <v>3</v>
      </c>
      <c r="BI25" s="6">
        <f>IF(Reinforcements[[#This Row],[Top End Connection Same?]]="Yes",Reinforcements[[#This Row],[End Connection Edge Distance (in) (B)]],IF(Reinforcements[[#This Row],[Top End Connection Type]]="Welded","-",""))</f>
        <v>3</v>
      </c>
      <c r="BJ25" s="6">
        <f>Reinforcements[[#This Row],[End Connection Edge Distance (in) (T)]]-(Reinforcements[[#This Row],[Bolt Hole Size (in)]]+1/16)/2</f>
        <v>2.375</v>
      </c>
      <c r="BK25" s="6">
        <f>Reinforcements[[#This Row],[End Connection Bolt Spacing (in) (T)]]-(Reinforcements[[#This Row],[Bolt Hole Size (in)]]+1/16)</f>
        <v>1.75</v>
      </c>
      <c r="BL25" s="6">
        <f>Reinforcements[[#This Row],[End Connection Edge Distance (in) (T)]]</f>
        <v>3</v>
      </c>
      <c r="BM25" s="6">
        <f>Reinforcements[[#This Row],[End Connection Bolt Spacing (in) (T)]]</f>
        <v>3</v>
      </c>
      <c r="BN25" s="6" t="str">
        <f>IF(Reinforcements[[#This Row],[Reinforcement]]="","",IF(Reinforcements[[#This Row],[Top End Connection Same?]]="Yes",Reinforcements[[#This Row],[Bottom Connected to Flange/Base Plate?]],IF(Reinforcements[[#This Row],[Top End Connection Type]]="Bolted","-","")))</f>
        <v>-</v>
      </c>
      <c r="BO25" s="6" t="str">
        <f>IF(Reinforcements[[#This Row],[Reinforcement]]="","",IF(Reinforcements[[#This Row],[Top End Connection Same?]]="Yes",Reinforcements[[#This Row],[Bottom Weld Grade (ksi)]],IF(OR(Reinforcements[[#This Row],[Top End Connection Type]]&lt;&gt;"Welded",Reinforcements[[#This Row],[Top End Connection Type]]=""),"-","")))</f>
        <v>-</v>
      </c>
      <c r="BP25" s="6" t="str">
        <f>IF($AZ25="Yes",AP25,IF(Reinforcements[[#This Row],[Reinforcement]]="","",IF(OR(Reinforcements[[#This Row],[Top End Connection Type]]&lt;&gt;"Welded",Reinforcements[[#This Row],[Top End Connection Type]]=""),"-","")))</f>
        <v>-</v>
      </c>
      <c r="BQ25" s="6" t="str">
        <f>IF(Reinforcements[[#This Row],[Reinforcement]]="","",IF($AZ25="Yes",AQ25,IF(OR(Reinforcements[[#This Row],[Top End Connection Type]]&lt;&gt;"Welded",Reinforcements[[#This Row],[Top Transverse (Horizontal) Weld]]="none",Reinforcements[[#This Row],[Top Transverse (Horizontal) Weld]]=""),"-","")))</f>
        <v>-</v>
      </c>
      <c r="BR25" s="6"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6"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6" t="str">
        <f>IF(Reinforcements[[#This Row],[Reinforcement]]="","",IF($AZ25="Yes",AT25,IF(OR(Reinforcements[[#This Row],[Top Transverse (Horizontal) Weld]]="none",Reinforcements[[#This Row],[Top End Connection Type]]&lt;&gt;"Welded",Reinforcements[[#This Row],[Top Transverse (Horizontal) Weld]]=""),"-","")))</f>
        <v>-</v>
      </c>
      <c r="BU25" s="6"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6" t="str">
        <f>IF($AZ25="Yes",AV25,IF(Reinforcements[[#This Row],[Reinforcement]]="","",IF(OR(Reinforcements[[#This Row],[Top End Connection Type]]&lt;&gt;"Welded",Reinforcements[[#This Row],[Top End Connection Type]]=""),"-","")))</f>
        <v>-</v>
      </c>
      <c r="BW25" s="6"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6"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6" t="str">
        <f>IF($AZ25="Yes",AY25,IF(Reinforcements[[#This Row],[Reinforcement]]="","",IF(OR(Reinforcements[[#This Row],[Top End Connection Type]]&lt;&gt;"Welded",Reinforcements[[#This Row],[Top Longitudinal (Vertical) Weld]]="none"),"-",SQRT(2)/2*Reinforcements[[#This Row],[Top Longitudinal Weld Fillet Size (in)]])))</f>
        <v>-</v>
      </c>
      <c r="BZ2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11">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11">
        <f>IF(Reinforcements[[#This Row],[Reinforcement]]="","",IF(Reinforcements[[#This Row],[Top End Connection Type]]&lt;&gt;"Bolted","n/a",(Reinforcements[[#This Row],['# of End Connection Bolts          (Top)]]-1)*Reinforcements[[#This Row],[End Connection Bolt Spacing (in) (T)]]+Reinforcements[[#This Row],[End Connection Edge Distance (in) (T)]]))</f>
        <v>33</v>
      </c>
      <c r="CC2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6">
        <f>IFERROR(IF(Reinforcements[[#This Row],[Type]]="","",Reinforcements[[#This Row],[Effective B (in)]]*Reinforcements[[#This Row],[Effective H (in)]]^3/12),"")</f>
        <v>1.0579427083333333</v>
      </c>
      <c r="CF25" s="6">
        <f>IFERROR(IF(Reinforcements[[#This Row],[Type]]="","",Reinforcements[[#This Row],[Effective B (in)]]^3*Reinforcements[[#This Row],[Effective H (in)]]/12),"")</f>
        <v>28.606770833333332</v>
      </c>
      <c r="CG25" s="126">
        <f>SQRT(2*PI()^2*29000/VLOOKUP(Reinforcements[[#This Row],[Material]],Materials[],2,FALSE))</f>
        <v>93.844147005158973</v>
      </c>
      <c r="CH2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23">
        <f>Reinforcements[[#This Row],[Effective Length Factor Kx]]*Reinforcements[[#This Row],[Lu (in)]]/(Reinforcements[[#This Row],[rx]]*PI())*SQRT(VLOOKUP(Reinforcements[[#This Row],[Material]],Materials[],2,FALSE)/29000)</f>
        <v>0.63479281815212207</v>
      </c>
      <c r="CK25" s="123">
        <f>Reinforcements[[#This Row],[Effective Length Factor Ky]]*Reinforcements[[#This Row],[Lu (in)]]/(Reinforcements[[#This Row],[ry]]*PI())*SQRT(VLOOKUP(Reinforcements[[#This Row],[Material]],Materials[],2,FALSE)/29000)</f>
        <v>0.15259442744041396</v>
      </c>
      <c r="CL25" s="123">
        <f>IF(Reinforcements[[#This Row],[λcx]]&lt;=1.5,0.658^(Reinforcements[[#This Row],[λcx]]^2)*Reinforcements[[#This Row],[F''y]],0.877/(Reinforcements[[#This Row],[λcx]]^2)*Reinforcements[[#This Row],[F''y]])</f>
        <v>54.911753637534716</v>
      </c>
      <c r="CM25" s="123">
        <f>IF(Reinforcements[[#This Row],[λcy]]&lt;=1.5,0.658^(Reinforcements[[#This Row],[λcy]]^2)*Reinforcements[[#This Row],[F''y]],0.877/(Reinforcements[[#This Row],[λcy]]^2)*Reinforcements[[#This Row],[F''y]])</f>
        <v>64.369588945551428</v>
      </c>
      <c r="CN25" s="6">
        <f>VLOOKUP(Reinforcements[[#This Row],[Material]],Materials[],2,FALSE)</f>
        <v>65</v>
      </c>
      <c r="CO25" s="126">
        <f>IF(Reinforcements[[#This Row],[Reinforcement]]="","",Reinforcements[[#This Row],[Fax]]*Reinforcements[[#This Row],[Gross Area (in2)]])</f>
        <v>260.41831252128219</v>
      </c>
      <c r="CP25" s="126">
        <f>IF(Reinforcements[[#This Row],[Reinforcement]]="","",Reinforcements[[#This Row],[Fay]]*Reinforcements[[#This Row],[Gross Area (in2)]])</f>
        <v>307.59176972550898</v>
      </c>
      <c r="CQ25" s="126">
        <f>IF(Reinforcements[[#This Row],[Reinforcement]]="","",0.6*VLOOKUP(Reinforcements[[#This Row],[Material]],Materials[],2,FALSE)*Reinforcements[[#This Row],[Gross Area (in2)]])</f>
        <v>316.875</v>
      </c>
      <c r="CR25" s="126">
        <f>IF(Reinforcements[[#This Row],[Reinforcement]]="","",0.5*VLOOKUP(Reinforcements[[#This Row],[Material]],Materials[],3,FALSE)*Reinforcements[[#This Row],[Net Area (in2)]]*Reinforcements[[#This Row],[Shear Lag (U)]])</f>
        <v>262.5</v>
      </c>
      <c r="CS25" s="126">
        <f>IF(Reinforcements[[#This Row],[Reinforcement]]="","",0.4*VLOOKUP(Reinforcements[[#This Row],[Material]],Materials[],2,FALSE)*Reinforcements[[#This Row],[Gross Area (in2)]])</f>
        <v>211.25</v>
      </c>
      <c r="CT2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6"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6"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26">
        <f>IF(Reinforcements[[#This Row],[Reinforcement]]="","",φ_c*Reinforcements[[#This Row],[Fcr,x]]*Reinforcements[[#This Row],[Gross Area (in2)]])</f>
        <v>401.54219847447263</v>
      </c>
      <c r="DI25" s="126">
        <f>IF(Reinforcements[[#This Row],[Reinforcement]]="","",φ_c*Reinforcements[[#This Row],[Fcr,y]]*Reinforcements[[#This Row],[Gross Area (in2)]])</f>
        <v>470.70261916434481</v>
      </c>
      <c r="DJ25" s="126">
        <f>IF(Reinforcements[[#This Row],[Reinforcement]]="","",φ_t_y*VLOOKUP(Reinforcements[[#This Row],[Material]],Materials[],2,FALSE)*Reinforcements[[#This Row],[Gross Area (in2)]])</f>
        <v>475.3125</v>
      </c>
      <c r="DK25" s="126">
        <f>IF(Reinforcements[[#This Row],[Reinforcement]]="","",φ_t_r*VLOOKUP(Reinforcements[[#This Row],[Material]],Materials[],3,FALSE)*Reinforcements[[#This Row],[Net Area (in2)]]*Reinforcements[[#This Row],[Shear Lag (U)]])</f>
        <v>393.75</v>
      </c>
      <c r="DL25" s="126">
        <f>IF(Reinforcements[[#This Row],[Reinforcement]]="","",φ_v*0.5*Reinforcements[[#This Row],[F''y]]*Reinforcements[[#This Row],[Gross Area (in2)]])</f>
        <v>237.65625</v>
      </c>
      <c r="DM2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6"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6"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111" t="str">
        <f>IF(OR(Reinforcements[[#This Row],[Type]]="plate",Reinforcements[[#This Row],[Type]]="solid round"),"N/A",Reinforcements[[#This Row],[B (in)]])</f>
        <v>N/A</v>
      </c>
      <c r="EB25" s="6" t="str">
        <f>IF(OR(Reinforcements[[#This Row],[Type]]="plate",Reinforcements[[#This Row],[Type]]="solid round"),"N/A",Reinforcements[[#This Row],[H (in)]])</f>
        <v>N/A</v>
      </c>
      <c r="EC25" s="6" t="str">
        <f>IF(OR(Reinforcements[[#This Row],[Type]]="plate",Reinforcements[[#This Row],[Type]]="solid round"),"N/A",Reinforcements[[#This Row],[B (in)]]-Reinforcements[[#This Row],['[Channel'] Flange Thickness (in)]])</f>
        <v>N/A</v>
      </c>
      <c r="ED25" s="6" t="str">
        <f>IF(OR(Reinforcements[[#This Row],[Type]]="plate",Reinforcements[[#This Row],[Type]]="solid round"),"N/A",Reinforcements[[#This Row],['[Channel']Web Thickness (in)]])</f>
        <v>N/A</v>
      </c>
      <c r="EE25" s="6" t="str">
        <f>IF(OR(Reinforcements[[#This Row],[Type]]="plate",Reinforcements[[#This Row],[Type]]="solid round"),"N/A",Reinforcements[[#This Row],['[Channel'] Flange Thickness (in)]])</f>
        <v>N/A</v>
      </c>
      <c r="EF25" s="6" t="str">
        <f>IF(Reinforcements[[#This Row],[Type]]="channel",Reinforcements[[#This Row],[Channel Flange Width, b]]/Reinforcements[[#This Row],[Channel flange thickness, tf]],"N/A")</f>
        <v>N/A</v>
      </c>
      <c r="EG25" s="6" t="str">
        <f>IF(Reinforcements[[#This Row],[Type]]="channel",Reinforcements[[#This Row],[Channel inside depth, T]]/Reinforcements[[#This Row],[Channel web thickness, tw]],"N/A")</f>
        <v>N/A</v>
      </c>
      <c r="EH25" s="6">
        <f>29000</f>
        <v>29000</v>
      </c>
      <c r="EI25" s="6" t="str">
        <f>IF(Reinforcements[[#This Row],[Type]]="channel",0.56*SQRT(Reinforcements[[#This Row],[E, (ksi)]]/Reinforcements[[#This Row],[Fy, (ksi)]]),"N/A")</f>
        <v>N/A</v>
      </c>
      <c r="EJ25" s="6" t="str">
        <f>IF(Reinforcements[[#This Row],[Type]]="channel",1.49*SQRT(Reinforcements[[#This Row],[E, (ksi)]]/Reinforcements[[#This Row],[Fy, (ksi)]]),"N/A")</f>
        <v>N/A</v>
      </c>
      <c r="EK25" s="6">
        <f>VLOOKUP(Reinforcements[[#This Row],[Material]],Materials!$B$2:$C$30,2,FALSE)</f>
        <v>65</v>
      </c>
      <c r="EL25" s="6">
        <f>Reinforcements[[#This Row],[Lu (in)]]*Reinforcements[[#This Row],[Effective Length Factor Kx]]</f>
        <v>15.200000000000001</v>
      </c>
      <c r="EM25" s="6">
        <f>Reinforcements[[#This Row],[Lu (in)]]*Reinforcements[[#This Row],[Effective Length Factor Ky]]</f>
        <v>19</v>
      </c>
      <c r="EN25" s="6">
        <f>Reinforcements[[#This Row],[rx]]</f>
        <v>0.36084391824351608</v>
      </c>
      <c r="EO25" s="6">
        <f>Reinforcements[[#This Row],[ry]]</f>
        <v>1.8763883748662837</v>
      </c>
      <c r="EP25" s="6">
        <f>Reinforcements[[#This Row],[Lcx (in)]]/Reinforcements[[#This Row],[rx (in)]]</f>
        <v>42.1234756400751</v>
      </c>
      <c r="EQ25" s="6">
        <f>Reinforcements[[#This Row],[Lcy (in)]]/Reinforcements[[#This Row],[ry (in)]]</f>
        <v>10.125835490402666</v>
      </c>
      <c r="ER25" s="6">
        <f>((PI()^2)*Reinforcements[[#This Row],[E, (ksi)]])/(Reinforcements[[#This Row],[Lcx/rx]]^2)</f>
        <v>161.30556376398079</v>
      </c>
      <c r="ES25" s="6">
        <f>((PI()^2)*Reinforcements[[#This Row],[E, (ksi)]])/(Reinforcements[[#This Row],[Lcy/ry]]^2)</f>
        <v>2791.4895642739466</v>
      </c>
      <c r="ET25" s="6">
        <f>4.71*(SQRT(Reinforcements[[#This Row],[E, (ksi)]]/Reinforcements[[#This Row],[Fy, (ksi)]]))</f>
        <v>99.486288193205496</v>
      </c>
      <c r="EU25" s="6">
        <f>IF(Reinforcements[[#This Row],[Lcx/rx]]&lt;=Reinforcements[[#This Row],[Fcr Limit]],(0.658^(Reinforcements[[#This Row],[Fy, (ksi)]]/Reinforcements[[#This Row],[Fex, FB (ksi)]]))*Reinforcements[[#This Row],[Fy, (ksi)]],0.877*Reinforcements[[#This Row],[Fex, FB (ksi)]])</f>
        <v>54.911753637534716</v>
      </c>
      <c r="EV25" s="6">
        <f>IF(Reinforcements[[#This Row],[Lcy/ry]]&lt;=Reinforcements[[#This Row],[Fcr Limit]],(0.658^(Reinforcements[[#This Row],[Fy, (ksi)]]/Reinforcements[[#This Row],[Fey, FB (ksi)]]))*Reinforcements[[#This Row],[Fy, (ksi)]],0.877*Reinforcements[[#This Row],[Fey, FB (ksi)]])</f>
        <v>64.369588945551428</v>
      </c>
      <c r="EW25" s="6">
        <f>Reinforcements[[#This Row],[Fcrx (ksi)]]*Reinforcements[[#This Row],[Gross Area (in2)]]</f>
        <v>446.15799830496957</v>
      </c>
      <c r="EX25" s="6">
        <f>Reinforcements[[#This Row],[Fcry (ksi)]]*Reinforcements[[#This Row],[Gross Area (in2)]]</f>
        <v>523.00291018260532</v>
      </c>
      <c r="EY25" s="6" t="str">
        <f>IF(Reinforcements[[#This Row],[Type]]="channel",0,"N/A")</f>
        <v>N/A</v>
      </c>
      <c r="EZ25" s="6" t="str">
        <f>IF(Reinforcements[[#This Row],[Type]]="channel",Reinforcements[[#This Row],[Channel Flange Width, b]]-(0.5*Reinforcements[[#This Row],[Channel web thickness, tw]]),"N/A")</f>
        <v>N/A</v>
      </c>
      <c r="FA25" s="6" t="str">
        <f>IF(Reinforcements[[#This Row],[Type]]="channel",Reinforcements[[#This Row],[Channel Height, h]]-Reinforcements[[#This Row],[Channel flange thickness, tf]],"N/A")</f>
        <v>N/A</v>
      </c>
      <c r="FB25" s="6" t="str">
        <f>IF(Reinforcements[[#This Row],[Type]]="channel",Reinforcements[[#This Row],[Channel web thickness, tw]],"N/A")</f>
        <v>N/A</v>
      </c>
      <c r="FC25" s="6" t="str">
        <f>IF(Reinforcements[[#This Row],[Type]]="channel",((3*Reinforcements[[#This Row],[b]]^2)/(Reinforcements[[#This Row],[h]]+(6*Reinforcements[[#This Row],[b]])))-Reinforcements[[#This Row],[t]]/2,"N/A")</f>
        <v>N/A</v>
      </c>
      <c r="FD25" s="6">
        <f>Reinforcements[[#This Row],[Pole Face to Centroid (in)]]</f>
        <v>0.625</v>
      </c>
      <c r="FE25" s="6" t="str">
        <f>IF(Reinforcements[[#This Row],[Type]]="channel",Reinforcements[[#This Row],[x(bar)]]+Reinforcements[[#This Row],['[Channel'] e0 (in)]],"N/A")</f>
        <v>N/A</v>
      </c>
      <c r="FF25" s="6" t="str">
        <f>IF(Reinforcements[[#This Row],[Type]]="channel",Reinforcements[[#This Row],[Ix]],"N/A")</f>
        <v>N/A</v>
      </c>
      <c r="FG25" s="6" t="str">
        <f>IF(Reinforcements[[#This Row],[Type]]="channel",Reinforcements[[#This Row],[Iy]],"N/A")</f>
        <v>N/A</v>
      </c>
      <c r="FH25" s="6" t="str">
        <f>IF(Reinforcements[[#This Row],[Type]]="channel",Reinforcements[[#This Row],[Gross Area (in2)]],"N/A")</f>
        <v>N/A</v>
      </c>
      <c r="FI25" s="6" t="str">
        <f>IF(Reinforcements[[#This Row],[Type]]="channel",(Reinforcements[[#This Row],[xo]]^2)+((Reinforcements[[#This Row],[Ix (FTB)]]+Reinforcements[[#This Row],[Iy (FTB)]])/Reinforcements[[#This Row],[Ag]]),"N/A")</f>
        <v>N/A</v>
      </c>
      <c r="FJ25" s="6" t="str">
        <f>IF(Reinforcements[[#This Row],[Type]]="channel",Reinforcements[[#This Row],[Lu (in)]],"N/A")</f>
        <v>N/A</v>
      </c>
      <c r="FK25" s="6" t="str">
        <f>IF(Reinforcements[[#This Row],[Type]]="channel",Reinforcements[[#This Row],[Effective Length Factor Kx]],"N/A")</f>
        <v>N/A</v>
      </c>
      <c r="FL25" s="6" t="str">
        <f>IF(Reinforcements[[#This Row],[Type]]="channel",Reinforcements[[#This Row],[Kz]]*Reinforcements[[#This Row],[Lz]],"N/A")</f>
        <v>N/A</v>
      </c>
      <c r="FM25" s="6" t="str">
        <f>IF(Reinforcements[[#This Row],[Type]]="channel",(((Reinforcements[[#This Row],[t]]^3)/3)*(Reinforcements[[#This Row],[h]]+(2*Reinforcements[[#This Row],[b]]))),"N/A")</f>
        <v>N/A</v>
      </c>
      <c r="FN25" s="6" t="str">
        <f>IF(Reinforcements[[#This Row],[Type]]="channel",(1-(((Reinforcements[[#This Row],[xo]]^2)+(Reinforcements[[#This Row],[yo]]^2))/Reinforcements[[#This Row],[ro^2(bar)]])),"N/A")</f>
        <v>N/A</v>
      </c>
      <c r="FO25" s="6">
        <v>11200</v>
      </c>
      <c r="FP25" s="6" t="str">
        <f>IF(Reinforcements[[#This Row],[Type]]="channel",(((Reinforcements[[#This Row],[h]]^2)*(Reinforcements[[#This Row],[b]]^3)*Reinforcements[[#This Row],[t]])/12)*(((2*Reinforcements[[#This Row],[h]])+(3*Reinforcements[[#This Row],[b]]))/(Reinforcements[[#This Row],[h]]+(6*Reinforcements[[#This Row],[b]]))),"N/A")</f>
        <v>N/A</v>
      </c>
      <c r="FQ25" s="6" t="str">
        <f>IF(Reinforcements[[#This Row],[Type]]="Channel",((((PI()^2)*Reinforcements[[#This Row],[E, (ksi)]]*Reinforcements[[#This Row],['[Channel'] CW (in6)]])/(Reinforcements[[#This Row],[Lcz]]^2))+(Reinforcements[[#This Row],[G]]*Reinforcements[[#This Row],['[Channel'] J (in4)]]))*(1/(Reinforcements[[#This Row],[Ag]]*Reinforcements[[#This Row],[ro^2(bar)]])),"N/A")</f>
        <v>N/A</v>
      </c>
      <c r="FR25" s="6" t="str">
        <f>IF(Reinforcements[[#This Row],[Type]]="channel",((PI()^2)*Reinforcements[[#This Row],[E, (ksi)]])/(Reinforcements[[#This Row],[Lcy/ry]]^2),"N/A")</f>
        <v>N/A</v>
      </c>
      <c r="FS25" s="6" t="str">
        <f>IF(Reinforcements[[#This Row],[Type]]="channel",((Reinforcements[[#This Row],[Fey]]+Reinforcements[[#This Row],[Fez]])/(2*Reinforcements[[#This Row],[H2]]))*(1-SQRT(1-((4*Reinforcements[[#This Row],[Fey]]*Reinforcements[[#This Row],[Fez]]*Reinforcements[[#This Row],[H2]])/(Reinforcements[[#This Row],[Fey]]+Reinforcements[[#This Row],[Fez]])^2))),"N/A")</f>
        <v>N/A</v>
      </c>
      <c r="FT25" s="6" t="str">
        <f>IF(Reinforcements[[#This Row],[Type]]="channel",IF(Reinforcements[[#This Row],[Lcx/rx]]&gt;(4.71*SQRT(Reinforcements[[#This Row],[E, (ksi)]]/Reinforcements[[#This Row],[Fy, (ksi)]])),0.877*Reinforcements[[#This Row],[Fe (FTB)]],0.658^(Reinforcements[[#This Row],[Fy, (ksi)]]/Reinforcements[[#This Row],[Fe (FTB)]])*Reinforcements[[#This Row],[Fy, (ksi)]]),"N/A")</f>
        <v>N/A</v>
      </c>
      <c r="FU25" s="6" t="str">
        <f>IF(Reinforcements[[#This Row],[Type]]="channel",MIN(Reinforcements[[#This Row],[Fcr(FTB)]],Reinforcements[[#This Row],[Fcry (ksi)]]),"N/A")</f>
        <v>N/A</v>
      </c>
      <c r="FV25" s="6">
        <v>0.22</v>
      </c>
      <c r="FW25" s="6">
        <v>1.49</v>
      </c>
      <c r="FX25" s="6" t="str">
        <f>IF(Reinforcements[[#This Row],[Type]]="channel",((Reinforcements[[#This Row],[c2]]*(Reinforcements[[#This Row],[λrf]]/Reinforcements[[#This Row],[λf]]))^2)*Reinforcements[[#This Row],[Fy, (ksi)]],"N/A")</f>
        <v>N/A</v>
      </c>
      <c r="FY25" s="6" t="str">
        <f>IF(Reinforcements[[#This Row],[Type]]="channel",((Reinforcements[[#This Row],[c2]]*(Reinforcements[[#This Row],[λrw]]/Reinforcements[[#This Row],[λw]]))^2)*Reinforcements[[#This Row],[Fy, (ksi)]],"N/A")</f>
        <v>N/A</v>
      </c>
      <c r="FZ2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6" t="str">
        <f>IF(Reinforcements[[#This Row],[Type]]="channel",Reinforcements[[#This Row],[Fcr]]*Reinforcements[[#This Row],[Ae]],"N/A")</f>
        <v>N/A</v>
      </c>
      <c r="GD25">
        <f>IF(Reinforcements[[#This Row],[Reinforcement]]="","",φ_c*Reinforcements[[#This Row],[Pnx, FB (kip)]])</f>
        <v>401.54219847447263</v>
      </c>
      <c r="GE25">
        <f>IF(Reinforcements[[#This Row],[Reinforcement]]="","",IF(Reinforcements[[#This Row],[Type]]="channel",φ_c*Reinforcements[[#This Row],[Pn]],φ_c*Reinforcements[[#This Row],[Pny, FB (kip)]]))</f>
        <v>470.70261916434481</v>
      </c>
      <c r="GF25">
        <f>Reinforcements[[#This Row],[Rev. G Tension Yield Capacity (kips)]]</f>
        <v>475.3125</v>
      </c>
      <c r="GG25">
        <f>Reinforcements[[#This Row],[Rev. G Tension Rupture Capacity (kips)]]</f>
        <v>393.75</v>
      </c>
      <c r="GH25">
        <f>Reinforcements[[#This Row],[Rev. G Shear Capacity (kips)]]</f>
        <v>237.65625</v>
      </c>
      <c r="GI25">
        <f>IFERROR((Reinforcements[[#This Row],['# of End Connection Bolts          (Bottom)]]-1)*Reinforcements[[#This Row],[End Connection Bolt Spacing (in) (B)]],"-")</f>
        <v>30</v>
      </c>
      <c r="GJ25">
        <f>IFERROR(IF(VLOOKUP(Reinforcements[[#This Row],[Bottom End Connection Bolt Type]],Bolts[],COLUMN(Bolts[[#Headers],[Rev. H Apply Connection Length Reduction Factor (Rb)?]])-1,FALSE)="Yes",(IF(Reinforcements[[#This Row],[Lb(bottom)]]&lt;=16,1,IF(Reinforcements[[#This Row],[Lb(bottom)]]&gt;38,0.75,0.9))),1),"-")</f>
        <v>1</v>
      </c>
      <c r="GK2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f>IFERROR(IF(Reinforcements[[#This Row],[Top End Connection Same?]]="Yes",Reinforcements[[#This Row],[Lb(bottom)]],(Reinforcements[[#This Row],['# of End Connection Bolts          (Top)]]-1)*Reinforcements[[#This Row],[End Connection Bolt Spacing (in) (T)]]),"-")</f>
        <v>30</v>
      </c>
      <c r="GM25">
        <f>IFERROR(IF(VLOOKUP(Reinforcements[[#This Row],[Top End Connection Bolt Type]],Bolts[],COLUMN(Bolts[[#Headers],[Rev. H Apply Connection Length Reduction Factor (Rb)?]])-1,FALSE)=TRUE,(IF(Reinforcements[[#This Row],[Lb(top)]]&lt;=16,1,IF(Reinforcements[[#This Row],[Lb(top)]]&gt;38,0.75,0.9))),1),"-")</f>
        <v>0.9</v>
      </c>
      <c r="GN2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f>Reinforcements[[#This Row],[Rev. G Bolt-Shaft Bearing Capacity (Bottom)                No Deformation          (*t*Fu kips)]]</f>
        <v>21.73228346456693</v>
      </c>
      <c r="GP25">
        <f>Reinforcements[[#This Row],[Rev. G Bolt-Shaft Bearing Capacity (Bottom)                   Deformation          (*t*Fu kips)]]</f>
        <v>27.165354330708666</v>
      </c>
      <c r="GQ25">
        <f>Reinforcements[[#This Row],[Rev. G Bolt-Shaft Bearing Capacity (Top)                    No Deformation          (*t*Fu kips)]]</f>
        <v>21.73228346456693</v>
      </c>
      <c r="GR25">
        <f>Reinforcements[[#This Row],[Rev. G Bolt-Shaft Bearing Capacity (Top)                        Deformation          (*t*Fu kips)]]</f>
        <v>27.165354330708666</v>
      </c>
      <c r="GS25">
        <f>Reinforcements[[#This Row],[Rev. G Bolt-Reinf. Bearing Capacity (Bottom)            No Deformation (kips)]]</f>
        <v>2173.2283464566931</v>
      </c>
      <c r="GT25">
        <f>Reinforcements[[#This Row],[Rev. G Bolt-Reinf. Bearing Capacity (Bottom)               Deformation (kips)]]</f>
        <v>2716.535433070866</v>
      </c>
      <c r="GU25">
        <f>Reinforcements[[#This Row],[Rev. G Bolt-Reinf. Bearing Capacity (Top)                  No Deformation (kips)]]</f>
        <v>2173.2283464566931</v>
      </c>
      <c r="GV25">
        <f>Reinforcements[[#This Row],[Rev. G Bolt-Reinf. Bearing Capacity (Top)               Deformation (kips)]]</f>
        <v>2716.535433070866</v>
      </c>
      <c r="GW25" t="str">
        <f>Reinforcements[[#This Row],[Rev. G Bottom Transverse Weld Strength]]</f>
        <v>-</v>
      </c>
      <c r="GX25" t="str">
        <f>Reinforcements[[#This Row],[Rev. G Bottom Longitudinal Weld Strength]]</f>
        <v>-</v>
      </c>
      <c r="GY25" t="str">
        <f>Reinforcements[[#This Row],[Rev. G Top Transverse Weld Strength]]</f>
        <v>-</v>
      </c>
      <c r="GZ25" t="str">
        <f>Reinforcements[[#This Row],[Rev. G Top Longitudinal Weld Strength]]</f>
        <v>-</v>
      </c>
      <c r="HA25">
        <v>23</v>
      </c>
      <c r="HB2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0" x14ac:dyDescent="0.2">
      <c r="B26" s="49" t="s">
        <v>380</v>
      </c>
      <c r="C26" s="49" t="s">
        <v>352</v>
      </c>
      <c r="D26" s="6">
        <v>8.5</v>
      </c>
      <c r="E26" s="6">
        <v>1.25</v>
      </c>
      <c r="F26" s="6" t="str">
        <f>IF(Reinforcements[[#This Row],[Type]]="","",IF(Reinforcements[[#This Row],[Type]]="solid round","","n/a"))</f>
        <v>n/a</v>
      </c>
      <c r="G26" s="6" t="str">
        <f>IF(Reinforcements[[#This Row],[Type]]="","",IF(Reinforcements[[#This Row],[Type]]&lt;&gt;"channel","n/a",""))</f>
        <v>n/a</v>
      </c>
      <c r="H26" s="6" t="str">
        <f>IF(Reinforcements[[#This Row],[Type]]="","",IF(Reinforcements[[#This Row],[Type]]&lt;&gt;"channel","n/a",""))</f>
        <v>n/a</v>
      </c>
      <c r="I26" s="126" t="str">
        <f>IF(Reinforcements[[#This Row],[Type]]="","",IF(Reinforcements[[#This Row],[Type]]&lt;&gt;"channel","n/a",Reinforcements[[#This Row],[eo]]))</f>
        <v>n/a</v>
      </c>
      <c r="J26" s="126" t="str">
        <f>IF(Reinforcements[[#This Row],[Type]]="","",IF(Reinforcements[[#This Row],[Type]]&lt;&gt;"channel","n/a",Reinforcements[[#This Row],[J]]))</f>
        <v>n/a</v>
      </c>
      <c r="K26" s="126" t="str">
        <f>IF(Reinforcements[[#This Row],[Type]]="","",IF(Reinforcements[[#This Row],[Type]]&lt;&gt;"channel","n/a",Reinforcements[[#This Row],[Cw]]))</f>
        <v>n/a</v>
      </c>
      <c r="L26" s="6">
        <f>IFERROR(IF(Reinforcements[[#This Row],[Type]]="","",IF(Reinforcements[[#This Row],[Type]]="plate",Reinforcements[[#This Row],[B (in)]]*Reinforcements[[#This Row],[H (in)]],IF(Reinforcements[[#This Row],[Type]]="solid round",PI()/4*Reinforcements[[#This Row],[Diameter (in)]]^2,""))),"")</f>
        <v>10.625</v>
      </c>
      <c r="M26" s="6">
        <f>IFERROR(IF(Reinforcements[[#This Row],[Type]]="","",IF(Reinforcements[[#This Row],[Type]]="plate",Reinforcements[[#This Row],[H (in)]]/2,"")),"")</f>
        <v>0.625</v>
      </c>
      <c r="N26" s="16" t="s">
        <v>353</v>
      </c>
      <c r="O26" s="6" t="s">
        <v>138</v>
      </c>
      <c r="P26" s="123">
        <f>IFERROR(IF(Reinforcements[[#This Row],[Type]]="","",IF(Reinforcements[[#This Row],[Type]]="plate",Reinforcements[[#This Row],[B (in)]]*Reinforcements[[#This Row],[H (in)]]^3/12,IF(Reinforcements[[#This Row],[Type]]="solid round",PI()/64*Reinforcements[[#This Row],[Diameter (in)]]^4,""))),"")</f>
        <v>1.3834635416666667</v>
      </c>
      <c r="Q26" s="123">
        <f>IF(Reinforcements[[#This Row],[Reinforcement]]="","",SQRT(Reinforcements[[#This Row],[Ix]]/Reinforcements[[#This Row],[Gross Area (in2)]]))</f>
        <v>0.36084391824351614</v>
      </c>
      <c r="R26" s="123">
        <f>IFERROR(IF(Reinforcements[[#This Row],[Type]]="","",IF(Reinforcements[[#This Row],[Type]]="plate",Reinforcements[[#This Row],[B (in)]]^3*Reinforcements[[#This Row],[H (in)]]/12,IF(Reinforcements[[#This Row],[Type]]="solid round",PI()/64*Reinforcements[[#This Row],[Diameter (in)]]^4,""))),"")</f>
        <v>63.971354166666664</v>
      </c>
      <c r="S26" s="123">
        <f>IF(Reinforcements[[#This Row],[Reinforcement]]="","",SQRT(Reinforcements[[#This Row],[Iy]]/Reinforcements[[#This Row],[Gross Area (in2)]]))</f>
        <v>2.4537386440559095</v>
      </c>
      <c r="T26" s="6">
        <v>17</v>
      </c>
      <c r="U26" s="6">
        <v>0.8</v>
      </c>
      <c r="V26" s="6">
        <v>1</v>
      </c>
      <c r="W26" s="6">
        <v>1.1875</v>
      </c>
      <c r="X26" s="6">
        <f>IF(Reinforcements[[#This Row],[Bolt Hole Size (in)]]="","",IF(Reinforcements[[#This Row],[Bolt Hole Size (in)]]="n/a","n/a",Reinforcements[[#This Row],[Bolt Hole Size (in)]]*25.4))</f>
        <v>30.162499999999998</v>
      </c>
      <c r="Y2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6">
        <f>IFERROR(IF(Reinforcements[[#This Row],[Reinforcement]]="","",IF(OR(Reinforcements[[#This Row],[Type]]="plate",Reinforcements[[#This Row],[Type]]="solid round"),1,IF(Reinforcements[[#This Row],[Type]]="arbitrary","",1-Reinforcements[[#This Row],[Pole Face to Centroid (in)]]/Reinforcements[[#This Row],[Connection Length (in) '[Channels']]]))),"")</f>
        <v>1</v>
      </c>
      <c r="AA26" s="16" t="s">
        <v>354</v>
      </c>
      <c r="AB26" s="16" t="str">
        <f>IF(Reinforcements[[#This Row],[Reinforcement]]="","",IF(Reinforcements[[#This Row],[Bottom End Connection Type]]&lt;&gt;"Capacity Input","-",""))</f>
        <v>-</v>
      </c>
      <c r="AC26" s="16" t="str">
        <f>IF(Reinforcements[[#This Row],[Reinforcement]]="","",IF(Reinforcements[[#This Row],[Bottom End Connection Type]]&lt;&gt;"Capacity Input","-",""))</f>
        <v>-</v>
      </c>
      <c r="AD26" s="16" t="str">
        <f>IF(Reinforcements[[#This Row],[Reinforcement]]="","",IF(Reinforcements[[#This Row],[Bottom End Connection Type]]&lt;&gt;"Capacity Input","-",""))</f>
        <v>-</v>
      </c>
      <c r="AE26" s="74" t="s">
        <v>355</v>
      </c>
      <c r="AF26" s="6" t="s">
        <v>356</v>
      </c>
      <c r="AG26" s="6">
        <v>15</v>
      </c>
      <c r="AH26" s="6">
        <v>3</v>
      </c>
      <c r="AI26" s="6">
        <v>3</v>
      </c>
      <c r="AJ26" s="6">
        <f>Reinforcements[[#This Row],[End Connection Edge Distance (in) (B)]]-(Reinforcements[[#This Row],[Bolt Hole Size (in)]]+1/16)/2</f>
        <v>2.375</v>
      </c>
      <c r="AK26" s="6">
        <f>Reinforcements[[#This Row],[End Connection Bolt Spacing (in) (B)]]-(Reinforcements[[#This Row],[Bolt Hole Size (in)]]+1/16)</f>
        <v>1.75</v>
      </c>
      <c r="AL26" s="6">
        <f>Reinforcements[[#This Row],[End Connection Edge Distance (in) (B)]]</f>
        <v>3</v>
      </c>
      <c r="AM26" s="6">
        <f>Reinforcements[[#This Row],[End Connection Bolt Spacing (in) (B)]]</f>
        <v>3</v>
      </c>
      <c r="AN26" s="6" t="str">
        <f>IF(Reinforcements[[#This Row],[Reinforcement]]="","",IF(OR(Reinforcements[[#This Row],[Bottom End Connection Type]]="Bolted",Reinforcements[[#This Row],[Bottom End Connection Type]]=""),"-",""))</f>
        <v>-</v>
      </c>
      <c r="AO26" s="111" t="str">
        <f>IF(Reinforcements[[#This Row],[Reinforcement]]="","",IF(OR(Reinforcements[[#This Row],[Bottom End Connection Type]]="Bolted",Reinforcements[[#This Row],[Bottom End Connection Type]]=""),"-",""))</f>
        <v>-</v>
      </c>
      <c r="AP26" s="111" t="str">
        <f>IF(Reinforcements[[#This Row],[Reinforcement]]="","",IF(OR(Reinforcements[[#This Row],[Bottom End Connection Type]]="Bolted",Reinforcements[[#This Row],[Bottom End Connection Type]]=""),"-",""))</f>
        <v>-</v>
      </c>
      <c r="AQ26" s="111" t="str">
        <f>IF(OR(Reinforcements[[#This Row],[Bottom End Connection Type]]="Bolted",Reinforcements[[#This Row],[Bottom Transverse (Horizontal) Weld]]="none"),"-","")</f>
        <v>-</v>
      </c>
      <c r="AR2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11" t="str">
        <f>IF(OR(Reinforcements[[#This Row],[Bottom Transverse (Horizontal) Weld]]="none",Reinforcements[[#This Row],[Bottom End Connection Type]]="Bolted"),"-","")</f>
        <v>-</v>
      </c>
      <c r="AU2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11" t="str">
        <f>IF(Reinforcements[[#This Row],[Reinforcement]]="","",IF(OR(Reinforcements[[#This Row],[Bottom End Connection Type]]="Bolted",Reinforcements[[#This Row],[Bottom End Connection Type]]=""),"-",""))</f>
        <v>-</v>
      </c>
      <c r="AW26" s="111" t="str">
        <f>IF(Reinforcements[[#This Row],[Reinforcement]]="","",IF(OR(Reinforcements[[#This Row],[Bottom End Connection Type]]&lt;&gt;"Welded",Reinforcements[[#This Row],[Bottom Longitudinal (Vertical) Weld]]="None",Reinforcements[[#This Row],[Bottom Longitudinal (Vertical) Weld]]=""),"-",""))</f>
        <v>-</v>
      </c>
      <c r="AX26" s="111" t="str">
        <f>IF(Reinforcements[[#This Row],[Reinforcement]]="","",IF(OR(Reinforcements[[#This Row],[Bottom End Connection Type]]&lt;&gt;"Welded",Reinforcements[[#This Row],[Bottom Longitudinal (Vertical) Weld]]="None",Reinforcements[[#This Row],[Bottom Longitudinal (Vertical) Weld]]=""),"-",""))</f>
        <v>-</v>
      </c>
      <c r="AY26" s="6" t="str">
        <f>IF(Reinforcements[[#This Row],[Reinforcement]]="","",IF(OR(Reinforcements[[#This Row],[Bottom End Connection Type]]&lt;&gt;"Welded",Reinforcements[[#This Row],[Bottom Longitudinal (Vertical) Weld]]="None"),"-",SQRT(2)/2*Reinforcements[[#This Row],[Bottom Longitudinal Weld Fillet Size (in)]]))</f>
        <v>-</v>
      </c>
      <c r="AZ26" s="6" t="s">
        <v>357</v>
      </c>
      <c r="BA26" s="16" t="str">
        <f>IF(Reinforcements[[#This Row],[Top End Connection Same?]]="Yes",Reinforcements[[#This Row],[Bottom End Connection Type]],"")</f>
        <v>Bolted</v>
      </c>
      <c r="BB26" s="16" t="str">
        <f>IF(Reinforcements[[#This Row],[Reinforcement]]="","",IF(Reinforcements[[#This Row],[Top End Connection Same?]]="Yes",Reinforcements[[#This Row],[Rev. F Bottom Connection Capacity (kips)]],IF(Reinforcements[[#This Row],[Reinforcement]]="","",IF(Reinforcements[[#This Row],[Top End Connection Type]]&lt;&gt;"Capacity Input","-",""))))</f>
        <v>-</v>
      </c>
      <c r="BC26" s="16" t="str">
        <f>IF(Reinforcements[[#This Row],[Reinforcement]]="","",IF(Reinforcements[[#This Row],[Top End Connection Same?]]="Yes",Reinforcements[[#This Row],[Rev. G Bottom Connection Capacity (kips)]],IF(Reinforcements[[#This Row],[Reinforcement]]="","",IF(Reinforcements[[#This Row],[Top End Connection Type]]&lt;&gt;"Capacity Input","-",""))))</f>
        <v>-</v>
      </c>
      <c r="BD26" s="16" t="str">
        <f>IF(Reinforcements[[#This Row],[Reinforcement]]="","",IF(Reinforcements[[#This Row],[Top End Connection Same?]]="Yes",Reinforcements[[#This Row],[Rev. G Bottom Connection Capacity (kips)]],IF(Reinforcements[[#This Row],[Reinforcement]]="","",IF(Reinforcements[[#This Row],[Top End Connection Type]]&lt;&gt;"Capacity Input","-",""))))</f>
        <v>-</v>
      </c>
      <c r="BE26" s="74" t="str">
        <f>IF(Reinforcements[[#This Row],[Top End Connection Same?]]="Yes",Reinforcements[[#This Row],[Bottom End Connection Bolt Type]],IF(Reinforcements[[#This Row],[Top End Connection Type]]="Welded","-",""))</f>
        <v>PC 8.8 - M20 (100)</v>
      </c>
      <c r="BF26" s="6" t="str">
        <f>IF(Reinforcements[[#This Row],[Top End Connection Same?]]="Yes",Reinforcements[[#This Row],[Threads Included (N) or Excluded (X) (Bottom)]],IF(Reinforcements[[#This Row],[Top End Connection Type]]="Welded","-",""))</f>
        <v>N</v>
      </c>
      <c r="BG26" s="6">
        <f>IF(Reinforcements[[#This Row],[Top End Connection Same?]]="Yes",Reinforcements[[#This Row],['# of End Connection Bolts          (Bottom)]],IF(Reinforcements[[#This Row],[Top End Connection Type]]="Welded","-",""))</f>
        <v>15</v>
      </c>
      <c r="BH26" s="6">
        <f>IF(Reinforcements[[#This Row],[Top End Connection Same?]]="Yes",Reinforcements[[#This Row],[End Connection Bolt Spacing (in) (B)]],IF(Reinforcements[[#This Row],[Top End Connection Type]]="Welded","-",""))</f>
        <v>3</v>
      </c>
      <c r="BI26" s="6">
        <f>IF(Reinforcements[[#This Row],[Top End Connection Same?]]="Yes",Reinforcements[[#This Row],[End Connection Edge Distance (in) (B)]],IF(Reinforcements[[#This Row],[Top End Connection Type]]="Welded","-",""))</f>
        <v>3</v>
      </c>
      <c r="BJ26" s="6">
        <f>Reinforcements[[#This Row],[End Connection Edge Distance (in) (T)]]-(Reinforcements[[#This Row],[Bolt Hole Size (in)]]+1/16)/2</f>
        <v>2.375</v>
      </c>
      <c r="BK26" s="6">
        <f>Reinforcements[[#This Row],[End Connection Bolt Spacing (in) (T)]]-(Reinforcements[[#This Row],[Bolt Hole Size (in)]]+1/16)</f>
        <v>1.75</v>
      </c>
      <c r="BL26" s="6">
        <f>Reinforcements[[#This Row],[End Connection Edge Distance (in) (T)]]</f>
        <v>3</v>
      </c>
      <c r="BM26" s="6">
        <f>Reinforcements[[#This Row],[End Connection Bolt Spacing (in) (T)]]</f>
        <v>3</v>
      </c>
      <c r="BN26" s="6" t="str">
        <f>IF(Reinforcements[[#This Row],[Reinforcement]]="","",IF(Reinforcements[[#This Row],[Top End Connection Same?]]="Yes",Reinforcements[[#This Row],[Bottom Connected to Flange/Base Plate?]],IF(Reinforcements[[#This Row],[Top End Connection Type]]="Bolted","-","")))</f>
        <v>-</v>
      </c>
      <c r="BO26" s="6" t="str">
        <f>IF(Reinforcements[[#This Row],[Reinforcement]]="","",IF(Reinforcements[[#This Row],[Top End Connection Same?]]="Yes",Reinforcements[[#This Row],[Bottom Weld Grade (ksi)]],IF(OR(Reinforcements[[#This Row],[Top End Connection Type]]&lt;&gt;"Welded",Reinforcements[[#This Row],[Top End Connection Type]]=""),"-","")))</f>
        <v>-</v>
      </c>
      <c r="BP26" s="6" t="str">
        <f>IF($AZ26="Yes",AP26,IF(Reinforcements[[#This Row],[Reinforcement]]="","",IF(OR(Reinforcements[[#This Row],[Top End Connection Type]]&lt;&gt;"Welded",Reinforcements[[#This Row],[Top End Connection Type]]=""),"-","")))</f>
        <v>-</v>
      </c>
      <c r="BQ26" s="6" t="str">
        <f>IF(Reinforcements[[#This Row],[Reinforcement]]="","",IF($AZ26="Yes",AQ26,IF(OR(Reinforcements[[#This Row],[Top End Connection Type]]&lt;&gt;"Welded",Reinforcements[[#This Row],[Top Transverse (Horizontal) Weld]]="none",Reinforcements[[#This Row],[Top Transverse (Horizontal) Weld]]=""),"-","")))</f>
        <v>-</v>
      </c>
      <c r="BR26" s="6"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6"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6" t="str">
        <f>IF(Reinforcements[[#This Row],[Reinforcement]]="","",IF($AZ26="Yes",AT26,IF(OR(Reinforcements[[#This Row],[Top Transverse (Horizontal) Weld]]="none",Reinforcements[[#This Row],[Top End Connection Type]]&lt;&gt;"Welded",Reinforcements[[#This Row],[Top Transverse (Horizontal) Weld]]=""),"-","")))</f>
        <v>-</v>
      </c>
      <c r="BU26" s="6"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6" t="str">
        <f>IF($AZ26="Yes",AV26,IF(Reinforcements[[#This Row],[Reinforcement]]="","",IF(OR(Reinforcements[[#This Row],[Top End Connection Type]]&lt;&gt;"Welded",Reinforcements[[#This Row],[Top End Connection Type]]=""),"-","")))</f>
        <v>-</v>
      </c>
      <c r="BW26" s="6"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6"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6" t="str">
        <f>IF($AZ26="Yes",AY26,IF(Reinforcements[[#This Row],[Reinforcement]]="","",IF(OR(Reinforcements[[#This Row],[Top End Connection Type]]&lt;&gt;"Welded",Reinforcements[[#This Row],[Top Longitudinal (Vertical) Weld]]="none"),"-",SQRT(2)/2*Reinforcements[[#This Row],[Top Longitudinal Weld Fillet Size (in)]])))</f>
        <v>-</v>
      </c>
      <c r="BZ2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11">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11">
        <f>IF(Reinforcements[[#This Row],[Reinforcement]]="","",IF(Reinforcements[[#This Row],[Top End Connection Type]]&lt;&gt;"Bolted","n/a",(Reinforcements[[#This Row],['# of End Connection Bolts          (Top)]]-1)*Reinforcements[[#This Row],[End Connection Bolt Spacing (in) (T)]]+Reinforcements[[#This Row],[End Connection Edge Distance (in) (T)]]))</f>
        <v>45</v>
      </c>
      <c r="CC2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6">
        <f>IFERROR(IF(Reinforcements[[#This Row],[Type]]="","",Reinforcements[[#This Row],[Effective B (in)]]*Reinforcements[[#This Row],[Effective H (in)]]^3/12),"")</f>
        <v>1.3834635416666667</v>
      </c>
      <c r="CF26" s="6">
        <f>IFERROR(IF(Reinforcements[[#This Row],[Type]]="","",Reinforcements[[#This Row],[Effective B (in)]]^3*Reinforcements[[#This Row],[Effective H (in)]]/12),"")</f>
        <v>63.971354166666664</v>
      </c>
      <c r="CG26" s="126">
        <f>SQRT(2*PI()^2*29000/VLOOKUP(Reinforcements[[#This Row],[Material]],Materials[],2,FALSE))</f>
        <v>93.844147005158973</v>
      </c>
      <c r="CH2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23">
        <f>Reinforcements[[#This Row],[Effective Length Factor Kx]]*Reinforcements[[#This Row],[Lu (in)]]/(Reinforcements[[#This Row],[rx]]*PI())*SQRT(VLOOKUP(Reinforcements[[#This Row],[Material]],Materials[],2,FALSE)/29000)</f>
        <v>0.56797252150453015</v>
      </c>
      <c r="CK26" s="123">
        <f>Reinforcements[[#This Row],[Effective Length Factor Ky]]*Reinforcements[[#This Row],[Lu (in)]]/(Reinforcements[[#This Row],[ry]]*PI())*SQRT(VLOOKUP(Reinforcements[[#This Row],[Material]],Materials[],2,FALSE)/29000)</f>
        <v>0.10440671351186218</v>
      </c>
      <c r="CL26" s="123">
        <f>IF(Reinforcements[[#This Row],[λcx]]&lt;=1.5,0.658^(Reinforcements[[#This Row],[λcx]]^2)*Reinforcements[[#This Row],[F''y]],0.877/(Reinforcements[[#This Row],[λcx]]^2)*Reinforcements[[#This Row],[F''y]])</f>
        <v>56.790323341365259</v>
      </c>
      <c r="CM26" s="123">
        <f>IF(Reinforcements[[#This Row],[λcy]]&lt;=1.5,0.658^(Reinforcements[[#This Row],[λcy]]^2)*Reinforcements[[#This Row],[F''y]],0.877/(Reinforcements[[#This Row],[λcy]]^2)*Reinforcements[[#This Row],[F''y]])</f>
        <v>64.704111863315191</v>
      </c>
      <c r="CN26" s="6">
        <f>VLOOKUP(Reinforcements[[#This Row],[Material]],Materials[],2,FALSE)</f>
        <v>65</v>
      </c>
      <c r="CO26" s="126">
        <f>IF(Reinforcements[[#This Row],[Reinforcement]]="","",Reinforcements[[#This Row],[Fax]]*Reinforcements[[#This Row],[Gross Area (in2)]])</f>
        <v>350.94841254296813</v>
      </c>
      <c r="CP26" s="126">
        <f>IF(Reinforcements[[#This Row],[Reinforcement]]="","",Reinforcements[[#This Row],[Fay]]*Reinforcements[[#This Row],[Gross Area (in2)]])</f>
        <v>406.50555073613361</v>
      </c>
      <c r="CQ26" s="126">
        <f>IF(Reinforcements[[#This Row],[Reinforcement]]="","",0.6*VLOOKUP(Reinforcements[[#This Row],[Material]],Materials[],2,FALSE)*Reinforcements[[#This Row],[Gross Area (in2)]])</f>
        <v>414.375</v>
      </c>
      <c r="CR26" s="126">
        <f>IF(Reinforcements[[#This Row],[Reinforcement]]="","",0.5*VLOOKUP(Reinforcements[[#This Row],[Material]],Materials[],3,FALSE)*Reinforcements[[#This Row],[Net Area (in2)]]*Reinforcements[[#This Row],[Shear Lag (U)]])</f>
        <v>362.5</v>
      </c>
      <c r="CS26" s="126">
        <f>IF(Reinforcements[[#This Row],[Reinforcement]]="","",0.4*VLOOKUP(Reinforcements[[#This Row],[Material]],Materials[],2,FALSE)*Reinforcements[[#This Row],[Gross Area (in2)]])</f>
        <v>276.25</v>
      </c>
      <c r="CT2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6"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6"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26">
        <f>IF(Reinforcements[[#This Row],[Reinforcement]]="","",φ_c*Reinforcements[[#This Row],[Fcr,x]]*Reinforcements[[#This Row],[Gross Area (in2)]])</f>
        <v>543.05746695180528</v>
      </c>
      <c r="DI26" s="126">
        <f>IF(Reinforcements[[#This Row],[Reinforcement]]="","",φ_c*Reinforcements[[#This Row],[Fcr,y]]*Reinforcements[[#This Row],[Gross Area (in2)]])</f>
        <v>618.73306969295152</v>
      </c>
      <c r="DJ26" s="126">
        <f>IF(Reinforcements[[#This Row],[Reinforcement]]="","",φ_t_y*VLOOKUP(Reinforcements[[#This Row],[Material]],Materials[],2,FALSE)*Reinforcements[[#This Row],[Gross Area (in2)]])</f>
        <v>621.5625</v>
      </c>
      <c r="DK26" s="126">
        <f>IF(Reinforcements[[#This Row],[Reinforcement]]="","",φ_t_r*VLOOKUP(Reinforcements[[#This Row],[Material]],Materials[],3,FALSE)*Reinforcements[[#This Row],[Net Area (in2)]]*Reinforcements[[#This Row],[Shear Lag (U)]])</f>
        <v>543.75</v>
      </c>
      <c r="DL26" s="126">
        <f>IF(Reinforcements[[#This Row],[Reinforcement]]="","",φ_v*0.5*Reinforcements[[#This Row],[F''y]]*Reinforcements[[#This Row],[Gross Area (in2)]])</f>
        <v>310.78125</v>
      </c>
      <c r="DM2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6"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6"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111" t="str">
        <f>IF(OR(Reinforcements[[#This Row],[Type]]="plate",Reinforcements[[#This Row],[Type]]="solid round"),"N/A",Reinforcements[[#This Row],[B (in)]])</f>
        <v>N/A</v>
      </c>
      <c r="EB26" s="6" t="str">
        <f>IF(OR(Reinforcements[[#This Row],[Type]]="plate",Reinforcements[[#This Row],[Type]]="solid round"),"N/A",Reinforcements[[#This Row],[H (in)]])</f>
        <v>N/A</v>
      </c>
      <c r="EC26" s="6" t="str">
        <f>IF(OR(Reinforcements[[#This Row],[Type]]="plate",Reinforcements[[#This Row],[Type]]="solid round"),"N/A",Reinforcements[[#This Row],[B (in)]]-Reinforcements[[#This Row],['[Channel'] Flange Thickness (in)]])</f>
        <v>N/A</v>
      </c>
      <c r="ED26" s="6" t="str">
        <f>IF(OR(Reinforcements[[#This Row],[Type]]="plate",Reinforcements[[#This Row],[Type]]="solid round"),"N/A",Reinforcements[[#This Row],['[Channel']Web Thickness (in)]])</f>
        <v>N/A</v>
      </c>
      <c r="EE26" s="6" t="str">
        <f>IF(OR(Reinforcements[[#This Row],[Type]]="plate",Reinforcements[[#This Row],[Type]]="solid round"),"N/A",Reinforcements[[#This Row],['[Channel'] Flange Thickness (in)]])</f>
        <v>N/A</v>
      </c>
      <c r="EF26" s="6" t="str">
        <f>IF(Reinforcements[[#This Row],[Type]]="channel",Reinforcements[[#This Row],[Channel Flange Width, b]]/Reinforcements[[#This Row],[Channel flange thickness, tf]],"N/A")</f>
        <v>N/A</v>
      </c>
      <c r="EG26" s="6" t="str">
        <f>IF(Reinforcements[[#This Row],[Type]]="channel",Reinforcements[[#This Row],[Channel inside depth, T]]/Reinforcements[[#This Row],[Channel web thickness, tw]],"N/A")</f>
        <v>N/A</v>
      </c>
      <c r="EH26" s="6">
        <f>29000</f>
        <v>29000</v>
      </c>
      <c r="EI26" s="6" t="str">
        <f>IF(Reinforcements[[#This Row],[Type]]="channel",0.56*SQRT(Reinforcements[[#This Row],[E, (ksi)]]/Reinforcements[[#This Row],[Fy, (ksi)]]),"N/A")</f>
        <v>N/A</v>
      </c>
      <c r="EJ26" s="6" t="str">
        <f>IF(Reinforcements[[#This Row],[Type]]="channel",1.49*SQRT(Reinforcements[[#This Row],[E, (ksi)]]/Reinforcements[[#This Row],[Fy, (ksi)]]),"N/A")</f>
        <v>N/A</v>
      </c>
      <c r="EK26" s="6">
        <f>VLOOKUP(Reinforcements[[#This Row],[Material]],Materials!$B$2:$C$30,2,FALSE)</f>
        <v>65</v>
      </c>
      <c r="EL26" s="6">
        <f>Reinforcements[[#This Row],[Lu (in)]]*Reinforcements[[#This Row],[Effective Length Factor Kx]]</f>
        <v>13.600000000000001</v>
      </c>
      <c r="EM26" s="6">
        <f>Reinforcements[[#This Row],[Lu (in)]]*Reinforcements[[#This Row],[Effective Length Factor Ky]]</f>
        <v>17</v>
      </c>
      <c r="EN26" s="6">
        <f>Reinforcements[[#This Row],[rx]]</f>
        <v>0.36084391824351614</v>
      </c>
      <c r="EO26" s="6">
        <f>Reinforcements[[#This Row],[ry]]</f>
        <v>2.4537386440559095</v>
      </c>
      <c r="EP26" s="6">
        <f>Reinforcements[[#This Row],[Lcx (in)]]/Reinforcements[[#This Row],[rx (in)]]</f>
        <v>37.689425572698774</v>
      </c>
      <c r="EQ26" s="6">
        <f>Reinforcements[[#This Row],[Lcy (in)]]/Reinforcements[[#This Row],[ry (in)]]</f>
        <v>6.9282032302755097</v>
      </c>
      <c r="ER26" s="6">
        <f>((PI()^2)*Reinforcements[[#This Row],[E, (ksi)]])/(Reinforcements[[#This Row],[Lcx/rx]]^2)</f>
        <v>201.49241702005904</v>
      </c>
      <c r="ES26" s="6">
        <f>((PI()^2)*Reinforcements[[#This Row],[E, (ksi)]])/(Reinforcements[[#This Row],[Lcy/ry]]^2)</f>
        <v>5962.8859923248192</v>
      </c>
      <c r="ET26" s="6">
        <f>4.71*(SQRT(Reinforcements[[#This Row],[E, (ksi)]]/Reinforcements[[#This Row],[Fy, (ksi)]]))</f>
        <v>99.486288193205496</v>
      </c>
      <c r="EU26" s="6">
        <f>IF(Reinforcements[[#This Row],[Lcx/rx]]&lt;=Reinforcements[[#This Row],[Fcr Limit]],(0.658^(Reinforcements[[#This Row],[Fy, (ksi)]]/Reinforcements[[#This Row],[Fex, FB (ksi)]]))*Reinforcements[[#This Row],[Fy, (ksi)]],0.877*Reinforcements[[#This Row],[Fex, FB (ksi)]])</f>
        <v>56.790323341365259</v>
      </c>
      <c r="EV26" s="6">
        <f>IF(Reinforcements[[#This Row],[Lcy/ry]]&lt;=Reinforcements[[#This Row],[Fcr Limit]],(0.658^(Reinforcements[[#This Row],[Fy, (ksi)]]/Reinforcements[[#This Row],[Fey, FB (ksi)]]))*Reinforcements[[#This Row],[Fy, (ksi)]],0.877*Reinforcements[[#This Row],[Fey, FB (ksi)]])</f>
        <v>64.704111863315191</v>
      </c>
      <c r="EW26" s="6">
        <f>Reinforcements[[#This Row],[Fcrx (ksi)]]*Reinforcements[[#This Row],[Gross Area (in2)]]</f>
        <v>603.39718550200587</v>
      </c>
      <c r="EX26" s="6">
        <f>Reinforcements[[#This Row],[Fcry (ksi)]]*Reinforcements[[#This Row],[Gross Area (in2)]]</f>
        <v>687.48118854772395</v>
      </c>
      <c r="EY26" s="6" t="str">
        <f>IF(Reinforcements[[#This Row],[Type]]="channel",0,"N/A")</f>
        <v>N/A</v>
      </c>
      <c r="EZ26" s="6" t="str">
        <f>IF(Reinforcements[[#This Row],[Type]]="channel",Reinforcements[[#This Row],[Channel Flange Width, b]]-(0.5*Reinforcements[[#This Row],[Channel web thickness, tw]]),"N/A")</f>
        <v>N/A</v>
      </c>
      <c r="FA26" s="6" t="str">
        <f>IF(Reinforcements[[#This Row],[Type]]="channel",Reinforcements[[#This Row],[Channel Height, h]]-Reinforcements[[#This Row],[Channel flange thickness, tf]],"N/A")</f>
        <v>N/A</v>
      </c>
      <c r="FB26" s="6" t="str">
        <f>IF(Reinforcements[[#This Row],[Type]]="channel",Reinforcements[[#This Row],[Channel web thickness, tw]],"N/A")</f>
        <v>N/A</v>
      </c>
      <c r="FC26" s="6" t="str">
        <f>IF(Reinforcements[[#This Row],[Type]]="channel",((3*Reinforcements[[#This Row],[b]]^2)/(Reinforcements[[#This Row],[h]]+(6*Reinforcements[[#This Row],[b]])))-Reinforcements[[#This Row],[t]]/2,"N/A")</f>
        <v>N/A</v>
      </c>
      <c r="FD26" s="6">
        <f>Reinforcements[[#This Row],[Pole Face to Centroid (in)]]</f>
        <v>0.625</v>
      </c>
      <c r="FE26" s="6" t="str">
        <f>IF(Reinforcements[[#This Row],[Type]]="channel",Reinforcements[[#This Row],[x(bar)]]+Reinforcements[[#This Row],['[Channel'] e0 (in)]],"N/A")</f>
        <v>N/A</v>
      </c>
      <c r="FF26" s="6" t="str">
        <f>IF(Reinforcements[[#This Row],[Type]]="channel",Reinforcements[[#This Row],[Ix]],"N/A")</f>
        <v>N/A</v>
      </c>
      <c r="FG26" s="6" t="str">
        <f>IF(Reinforcements[[#This Row],[Type]]="channel",Reinforcements[[#This Row],[Iy]],"N/A")</f>
        <v>N/A</v>
      </c>
      <c r="FH26" s="6" t="str">
        <f>IF(Reinforcements[[#This Row],[Type]]="channel",Reinforcements[[#This Row],[Gross Area (in2)]],"N/A")</f>
        <v>N/A</v>
      </c>
      <c r="FI26" s="6" t="str">
        <f>IF(Reinforcements[[#This Row],[Type]]="channel",(Reinforcements[[#This Row],[xo]]^2)+((Reinforcements[[#This Row],[Ix (FTB)]]+Reinforcements[[#This Row],[Iy (FTB)]])/Reinforcements[[#This Row],[Ag]]),"N/A")</f>
        <v>N/A</v>
      </c>
      <c r="FJ26" s="6" t="str">
        <f>IF(Reinforcements[[#This Row],[Type]]="channel",Reinforcements[[#This Row],[Lu (in)]],"N/A")</f>
        <v>N/A</v>
      </c>
      <c r="FK26" s="6" t="str">
        <f>IF(Reinforcements[[#This Row],[Type]]="channel",Reinforcements[[#This Row],[Effective Length Factor Kx]],"N/A")</f>
        <v>N/A</v>
      </c>
      <c r="FL26" s="6" t="str">
        <f>IF(Reinforcements[[#This Row],[Type]]="channel",Reinforcements[[#This Row],[Kz]]*Reinforcements[[#This Row],[Lz]],"N/A")</f>
        <v>N/A</v>
      </c>
      <c r="FM26" s="6" t="str">
        <f>IF(Reinforcements[[#This Row],[Type]]="channel",(((Reinforcements[[#This Row],[t]]^3)/3)*(Reinforcements[[#This Row],[h]]+(2*Reinforcements[[#This Row],[b]]))),"N/A")</f>
        <v>N/A</v>
      </c>
      <c r="FN26" s="6" t="str">
        <f>IF(Reinforcements[[#This Row],[Type]]="channel",(1-(((Reinforcements[[#This Row],[xo]]^2)+(Reinforcements[[#This Row],[yo]]^2))/Reinforcements[[#This Row],[ro^2(bar)]])),"N/A")</f>
        <v>N/A</v>
      </c>
      <c r="FO26" s="6">
        <v>11200</v>
      </c>
      <c r="FP26" s="6" t="str">
        <f>IF(Reinforcements[[#This Row],[Type]]="channel",(((Reinforcements[[#This Row],[h]]^2)*(Reinforcements[[#This Row],[b]]^3)*Reinforcements[[#This Row],[t]])/12)*(((2*Reinforcements[[#This Row],[h]])+(3*Reinforcements[[#This Row],[b]]))/(Reinforcements[[#This Row],[h]]+(6*Reinforcements[[#This Row],[b]]))),"N/A")</f>
        <v>N/A</v>
      </c>
      <c r="FQ26" s="6" t="str">
        <f>IF(Reinforcements[[#This Row],[Type]]="Channel",((((PI()^2)*Reinforcements[[#This Row],[E, (ksi)]]*Reinforcements[[#This Row],['[Channel'] CW (in6)]])/(Reinforcements[[#This Row],[Lcz]]^2))+(Reinforcements[[#This Row],[G]]*Reinforcements[[#This Row],['[Channel'] J (in4)]]))*(1/(Reinforcements[[#This Row],[Ag]]*Reinforcements[[#This Row],[ro^2(bar)]])),"N/A")</f>
        <v>N/A</v>
      </c>
      <c r="FR26" s="6" t="str">
        <f>IF(Reinforcements[[#This Row],[Type]]="channel",((PI()^2)*Reinforcements[[#This Row],[E, (ksi)]])/(Reinforcements[[#This Row],[Lcy/ry]]^2),"N/A")</f>
        <v>N/A</v>
      </c>
      <c r="FS26" s="6" t="str">
        <f>IF(Reinforcements[[#This Row],[Type]]="channel",((Reinforcements[[#This Row],[Fey]]+Reinforcements[[#This Row],[Fez]])/(2*Reinforcements[[#This Row],[H2]]))*(1-SQRT(1-((4*Reinforcements[[#This Row],[Fey]]*Reinforcements[[#This Row],[Fez]]*Reinforcements[[#This Row],[H2]])/(Reinforcements[[#This Row],[Fey]]+Reinforcements[[#This Row],[Fez]])^2))),"N/A")</f>
        <v>N/A</v>
      </c>
      <c r="FT26" s="6" t="str">
        <f>IF(Reinforcements[[#This Row],[Type]]="channel",IF(Reinforcements[[#This Row],[Lcx/rx]]&gt;(4.71*SQRT(Reinforcements[[#This Row],[E, (ksi)]]/Reinforcements[[#This Row],[Fy, (ksi)]])),0.877*Reinforcements[[#This Row],[Fe (FTB)]],0.658^(Reinforcements[[#This Row],[Fy, (ksi)]]/Reinforcements[[#This Row],[Fe (FTB)]])*Reinforcements[[#This Row],[Fy, (ksi)]]),"N/A")</f>
        <v>N/A</v>
      </c>
      <c r="FU26" s="6" t="str">
        <f>IF(Reinforcements[[#This Row],[Type]]="channel",MIN(Reinforcements[[#This Row],[Fcr(FTB)]],Reinforcements[[#This Row],[Fcry (ksi)]]),"N/A")</f>
        <v>N/A</v>
      </c>
      <c r="FV26" s="6">
        <v>0.22</v>
      </c>
      <c r="FW26" s="6">
        <v>1.49</v>
      </c>
      <c r="FX26" s="6" t="str">
        <f>IF(Reinforcements[[#This Row],[Type]]="channel",((Reinforcements[[#This Row],[c2]]*(Reinforcements[[#This Row],[λrf]]/Reinforcements[[#This Row],[λf]]))^2)*Reinforcements[[#This Row],[Fy, (ksi)]],"N/A")</f>
        <v>N/A</v>
      </c>
      <c r="FY26" s="6" t="str">
        <f>IF(Reinforcements[[#This Row],[Type]]="channel",((Reinforcements[[#This Row],[c2]]*(Reinforcements[[#This Row],[λrw]]/Reinforcements[[#This Row],[λw]]))^2)*Reinforcements[[#This Row],[Fy, (ksi)]],"N/A")</f>
        <v>N/A</v>
      </c>
      <c r="FZ2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6" t="str">
        <f>IF(Reinforcements[[#This Row],[Type]]="channel",Reinforcements[[#This Row],[Fcr]]*Reinforcements[[#This Row],[Ae]],"N/A")</f>
        <v>N/A</v>
      </c>
      <c r="GD26">
        <f>IF(Reinforcements[[#This Row],[Reinforcement]]="","",φ_c*Reinforcements[[#This Row],[Pnx, FB (kip)]])</f>
        <v>543.05746695180528</v>
      </c>
      <c r="GE26">
        <f>IF(Reinforcements[[#This Row],[Reinforcement]]="","",IF(Reinforcements[[#This Row],[Type]]="channel",φ_c*Reinforcements[[#This Row],[Pn]],φ_c*Reinforcements[[#This Row],[Pny, FB (kip)]]))</f>
        <v>618.73306969295152</v>
      </c>
      <c r="GF26">
        <f>Reinforcements[[#This Row],[Rev. G Tension Yield Capacity (kips)]]</f>
        <v>621.5625</v>
      </c>
      <c r="GG26">
        <f>Reinforcements[[#This Row],[Rev. G Tension Rupture Capacity (kips)]]</f>
        <v>543.75</v>
      </c>
      <c r="GH26">
        <f>Reinforcements[[#This Row],[Rev. G Shear Capacity (kips)]]</f>
        <v>310.78125</v>
      </c>
      <c r="GI26">
        <f>IFERROR((Reinforcements[[#This Row],['# of End Connection Bolts          (Bottom)]]-1)*Reinforcements[[#This Row],[End Connection Bolt Spacing (in) (B)]],"-")</f>
        <v>42</v>
      </c>
      <c r="GJ26">
        <f>IFERROR(IF(VLOOKUP(Reinforcements[[#This Row],[Bottom End Connection Bolt Type]],Bolts[],COLUMN(Bolts[[#Headers],[Rev. H Apply Connection Length Reduction Factor (Rb)?]])-1,FALSE)="Yes",(IF(Reinforcements[[#This Row],[Lb(bottom)]]&lt;=16,1,IF(Reinforcements[[#This Row],[Lb(bottom)]]&gt;38,0.75,0.9))),1),"-")</f>
        <v>1</v>
      </c>
      <c r="GK2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f>IFERROR(IF(Reinforcements[[#This Row],[Top End Connection Same?]]="Yes",Reinforcements[[#This Row],[Lb(bottom)]],(Reinforcements[[#This Row],['# of End Connection Bolts          (Top)]]-1)*Reinforcements[[#This Row],[End Connection Bolt Spacing (in) (T)]]),"-")</f>
        <v>42</v>
      </c>
      <c r="GM26">
        <f>IFERROR(IF(VLOOKUP(Reinforcements[[#This Row],[Top End Connection Bolt Type]],Bolts[],COLUMN(Bolts[[#Headers],[Rev. H Apply Connection Length Reduction Factor (Rb)?]])-1,FALSE)=TRUE,(IF(Reinforcements[[#This Row],[Lb(top)]]&lt;=16,1,IF(Reinforcements[[#This Row],[Lb(top)]]&gt;38,0.75,0.9))),1),"-")</f>
        <v>0.75</v>
      </c>
      <c r="GN2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f>Reinforcements[[#This Row],[Rev. G Bolt-Shaft Bearing Capacity (Bottom)                No Deformation          (*t*Fu kips)]]</f>
        <v>29.548346456692911</v>
      </c>
      <c r="GP26">
        <f>Reinforcements[[#This Row],[Rev. G Bolt-Shaft Bearing Capacity (Bottom)                   Deformation          (*t*Fu kips)]]</f>
        <v>36.935433070866146</v>
      </c>
      <c r="GQ26">
        <f>Reinforcements[[#This Row],[Rev. G Bolt-Shaft Bearing Capacity (Top)                    No Deformation          (*t*Fu kips)]]</f>
        <v>29.548346456692911</v>
      </c>
      <c r="GR26">
        <f>Reinforcements[[#This Row],[Rev. G Bolt-Shaft Bearing Capacity (Top)                        Deformation          (*t*Fu kips)]]</f>
        <v>36.935433070866146</v>
      </c>
      <c r="GS26">
        <f>Reinforcements[[#This Row],[Rev. G Bolt-Reinf. Bearing Capacity (Bottom)            No Deformation (kips)]]</f>
        <v>2954.8346456692916</v>
      </c>
      <c r="GT26">
        <f>Reinforcements[[#This Row],[Rev. G Bolt-Reinf. Bearing Capacity (Bottom)               Deformation (kips)]]</f>
        <v>3693.5433070866147</v>
      </c>
      <c r="GU26">
        <f>Reinforcements[[#This Row],[Rev. G Bolt-Reinf. Bearing Capacity (Top)                  No Deformation (kips)]]</f>
        <v>2954.8346456692916</v>
      </c>
      <c r="GV26">
        <f>Reinforcements[[#This Row],[Rev. G Bolt-Reinf. Bearing Capacity (Top)               Deformation (kips)]]</f>
        <v>3693.5433070866147</v>
      </c>
      <c r="GW26" t="str">
        <f>Reinforcements[[#This Row],[Rev. G Bottom Transverse Weld Strength]]</f>
        <v>-</v>
      </c>
      <c r="GX26" t="str">
        <f>Reinforcements[[#This Row],[Rev. G Bottom Longitudinal Weld Strength]]</f>
        <v>-</v>
      </c>
      <c r="GY26" t="str">
        <f>Reinforcements[[#This Row],[Rev. G Top Transverse Weld Strength]]</f>
        <v>-</v>
      </c>
      <c r="GZ26" t="str">
        <f>Reinforcements[[#This Row],[Rev. G Top Longitudinal Weld Strength]]</f>
        <v>-</v>
      </c>
      <c r="HA26">
        <v>24</v>
      </c>
      <c r="HB2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0" s="49" customFormat="1" x14ac:dyDescent="0.2">
      <c r="B27" s="49" t="s">
        <v>381</v>
      </c>
      <c r="C27" s="49" t="s">
        <v>352</v>
      </c>
      <c r="D27" s="6">
        <v>4</v>
      </c>
      <c r="E27" s="6">
        <v>0.75</v>
      </c>
      <c r="F27" s="6" t="str">
        <f>IF(Reinforcements[[#This Row],[Type]]="","",IF(Reinforcements[[#This Row],[Type]]="solid round","","n/a"))</f>
        <v>n/a</v>
      </c>
      <c r="G27" s="6" t="str">
        <f>IF(Reinforcements[[#This Row],[Type]]="","",IF(Reinforcements[[#This Row],[Type]]&lt;&gt;"channel","n/a",""))</f>
        <v>n/a</v>
      </c>
      <c r="H27" s="6" t="str">
        <f>IF(Reinforcements[[#This Row],[Type]]="","",IF(Reinforcements[[#This Row],[Type]]&lt;&gt;"channel","n/a",""))</f>
        <v>n/a</v>
      </c>
      <c r="I27" s="126" t="str">
        <f>IF(Reinforcements[[#This Row],[Type]]="","",IF(Reinforcements[[#This Row],[Type]]&lt;&gt;"channel","n/a",Reinforcements[[#This Row],[eo]]))</f>
        <v>n/a</v>
      </c>
      <c r="J27" s="126" t="str">
        <f>IF(Reinforcements[[#This Row],[Type]]="","",IF(Reinforcements[[#This Row],[Type]]&lt;&gt;"channel","n/a",Reinforcements[[#This Row],[J]]))</f>
        <v>n/a</v>
      </c>
      <c r="K27" s="126" t="str">
        <f>IF(Reinforcements[[#This Row],[Type]]="","",IF(Reinforcements[[#This Row],[Type]]&lt;&gt;"channel","n/a",Reinforcements[[#This Row],[Cw]]))</f>
        <v>n/a</v>
      </c>
      <c r="L27" s="6">
        <f>IFERROR(IF(Reinforcements[[#This Row],[Type]]="","",IF(Reinforcements[[#This Row],[Type]]="plate",Reinforcements[[#This Row],[B (in)]]*Reinforcements[[#This Row],[H (in)]],IF(Reinforcements[[#This Row],[Type]]="solid round",PI()/4*Reinforcements[[#This Row],[Diameter (in)]]^2,""))),"")</f>
        <v>3</v>
      </c>
      <c r="M27" s="6">
        <f>IFERROR(IF(Reinforcements[[#This Row],[Type]]="","",IF(Reinforcements[[#This Row],[Type]]="plate",Reinforcements[[#This Row],[H (in)]]/2,"")),"")</f>
        <v>0.375</v>
      </c>
      <c r="N27" s="34" t="s">
        <v>353</v>
      </c>
      <c r="O27" s="6" t="s">
        <v>138</v>
      </c>
      <c r="P27" s="123">
        <f>IFERROR(IF(Reinforcements[[#This Row],[Type]]="","",IF(Reinforcements[[#This Row],[Type]]="plate",Reinforcements[[#This Row],[B (in)]]*Reinforcements[[#This Row],[H (in)]]^3/12,IF(Reinforcements[[#This Row],[Type]]="solid round",PI()/64*Reinforcements[[#This Row],[Diameter (in)]]^4,""))),"")</f>
        <v>0.140625</v>
      </c>
      <c r="Q27" s="123">
        <f>IF(Reinforcements[[#This Row],[Reinforcement]]="","",SQRT(Reinforcements[[#This Row],[Ix]]/Reinforcements[[#This Row],[Gross Area (in2)]]))</f>
        <v>0.21650635094610965</v>
      </c>
      <c r="R27" s="123">
        <f>IFERROR(IF(Reinforcements[[#This Row],[Type]]="","",IF(Reinforcements[[#This Row],[Type]]="plate",Reinforcements[[#This Row],[B (in)]]^3*Reinforcements[[#This Row],[H (in)]]/12,IF(Reinforcements[[#This Row],[Type]]="solid round",PI()/64*Reinforcements[[#This Row],[Diameter (in)]]^4,""))),"")</f>
        <v>4</v>
      </c>
      <c r="S27" s="123">
        <f>IF(Reinforcements[[#This Row],[Reinforcement]]="","",SQRT(Reinforcements[[#This Row],[Iy]]/Reinforcements[[#This Row],[Gross Area (in2)]]))</f>
        <v>1.1547005383792515</v>
      </c>
      <c r="T27" s="6">
        <v>16</v>
      </c>
      <c r="U27" s="6">
        <v>0.8</v>
      </c>
      <c r="V27" s="6">
        <v>1</v>
      </c>
      <c r="W27" s="6">
        <v>1.1875</v>
      </c>
      <c r="X27" s="6">
        <f>IF(Reinforcements[[#This Row],[Bolt Hole Size (in)]]="","",IF(Reinforcements[[#This Row],[Bolt Hole Size (in)]]="n/a","n/a",Reinforcements[[#This Row],[Bolt Hole Size (in)]]*25.4))</f>
        <v>30.162499999999998</v>
      </c>
      <c r="Y2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6">
        <f>IFERROR(IF(Reinforcements[[#This Row],[Reinforcement]]="","",IF(OR(Reinforcements[[#This Row],[Type]]="plate",Reinforcements[[#This Row],[Type]]="solid round"),1,IF(Reinforcements[[#This Row],[Type]]="arbitrary","",1-Reinforcements[[#This Row],[Pole Face to Centroid (in)]]/Reinforcements[[#This Row],[Connection Length (in) '[Channels']]]))),"")</f>
        <v>1</v>
      </c>
      <c r="AA27" s="34" t="s">
        <v>382</v>
      </c>
      <c r="AB27" s="34" t="str">
        <f>IF(Reinforcements[[#This Row],[Reinforcement]]="","",IF(Reinforcements[[#This Row],[Bottom End Connection Type]]&lt;&gt;"Capacity Input","-",""))</f>
        <v>-</v>
      </c>
      <c r="AC27" s="34" t="str">
        <f>IF(Reinforcements[[#This Row],[Reinforcement]]="","",IF(Reinforcements[[#This Row],[Bottom End Connection Type]]&lt;&gt;"Capacity Input","-",""))</f>
        <v>-</v>
      </c>
      <c r="AD27" s="16" t="str">
        <f>IF(Reinforcements[[#This Row],[Reinforcement]]="","",IF(Reinforcements[[#This Row],[Bottom End Connection Type]]&lt;&gt;"Capacity Input","-",""))</f>
        <v>-</v>
      </c>
      <c r="AE27" s="74" t="str">
        <f>IF(Reinforcements[[#This Row],[Reinforcement]]="","",IF(Reinforcements[[#This Row],[Bottom End Connection Type]]="","-",IF(Reinforcements[[#This Row],[Bottom End Connection Type]]&lt;&gt;"Bolted","-","")))</f>
        <v>-</v>
      </c>
      <c r="AF27" s="6" t="str">
        <f>IF(Reinforcements[[#This Row],[Bottom End Connection Type]]="Welded","-","")</f>
        <v>-</v>
      </c>
      <c r="AG27" s="6" t="str">
        <f>IF(Reinforcements[[#This Row],[Bottom End Connection Type]]="Welded","-","")</f>
        <v>-</v>
      </c>
      <c r="AH27" s="6" t="str">
        <f>IF(Reinforcements[[#This Row],[Bottom End Connection Type]]="Welded","-","")</f>
        <v>-</v>
      </c>
      <c r="AI27" s="6" t="str">
        <f>IF(Reinforcements[[#This Row],[Bottom End Connection Type]]="Welded","-","")</f>
        <v>-</v>
      </c>
      <c r="AJ27" s="6" t="e">
        <f>Reinforcements[[#This Row],[End Connection Edge Distance (in) (B)]]-(Reinforcements[[#This Row],[Bolt Hole Size (in)]]+1/16)/2</f>
        <v>#VALUE!</v>
      </c>
      <c r="AK27" s="6" t="e">
        <f>Reinforcements[[#This Row],[End Connection Bolt Spacing (in) (B)]]-(Reinforcements[[#This Row],[Bolt Hole Size (in)]]+1/16)</f>
        <v>#VALUE!</v>
      </c>
      <c r="AL27" s="6" t="str">
        <f>Reinforcements[[#This Row],[End Connection Edge Distance (in) (B)]]</f>
        <v>-</v>
      </c>
      <c r="AM27" s="6" t="str">
        <f>Reinforcements[[#This Row],[End Connection Bolt Spacing (in) (B)]]</f>
        <v>-</v>
      </c>
      <c r="AN27" s="111" t="s">
        <v>357</v>
      </c>
      <c r="AO27" s="111">
        <v>70</v>
      </c>
      <c r="AP27" s="111" t="s">
        <v>383</v>
      </c>
      <c r="AQ27" s="111">
        <v>4</v>
      </c>
      <c r="AR27" s="6">
        <v>0.75</v>
      </c>
      <c r="AS27" s="6">
        <v>45</v>
      </c>
      <c r="AT27" s="111">
        <v>0.25</v>
      </c>
      <c r="AU2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11" t="s">
        <v>384</v>
      </c>
      <c r="AW27" s="111" t="str">
        <f>IF(Reinforcements[[#This Row],[Reinforcement]]="","",IF(OR(Reinforcements[[#This Row],[Bottom End Connection Type]]&lt;&gt;"Welded",Reinforcements[[#This Row],[Bottom Longitudinal (Vertical) Weld]]="None",Reinforcements[[#This Row],[Bottom Longitudinal (Vertical) Weld]]=""),"-",""))</f>
        <v>-</v>
      </c>
      <c r="AX27" s="111" t="str">
        <f>IF(Reinforcements[[#This Row],[Reinforcement]]="","",IF(OR(Reinforcements[[#This Row],[Bottom End Connection Type]]&lt;&gt;"Welded",Reinforcements[[#This Row],[Bottom Longitudinal (Vertical) Weld]]="None",Reinforcements[[#This Row],[Bottom Longitudinal (Vertical) Weld]]=""),"-",""))</f>
        <v>-</v>
      </c>
      <c r="AY27" s="6" t="str">
        <f>IF(Reinforcements[[#This Row],[Reinforcement]]="","",IF(OR(Reinforcements[[#This Row],[Bottom End Connection Type]]&lt;&gt;"Welded",Reinforcements[[#This Row],[Bottom Longitudinal (Vertical) Weld]]="None"),"-",SQRT(2)/2*Reinforcements[[#This Row],[Bottom Longitudinal Weld Fillet Size (in)]]))</f>
        <v>-</v>
      </c>
      <c r="AZ27" s="111" t="s">
        <v>353</v>
      </c>
      <c r="BA27" s="34" t="s">
        <v>354</v>
      </c>
      <c r="BB27" s="34" t="str">
        <f>IF(Reinforcements[[#This Row],[Reinforcement]]="","",IF(Reinforcements[[#This Row],[Top End Connection Same?]]="Yes",Reinforcements[[#This Row],[Rev. F Bottom Connection Capacity (kips)]],IF(Reinforcements[[#This Row],[Reinforcement]]="","",IF(Reinforcements[[#This Row],[Top End Connection Type]]&lt;&gt;"Capacity Input","-",""))))</f>
        <v>-</v>
      </c>
      <c r="BC27" s="34" t="str">
        <f>IF(Reinforcements[[#This Row],[Reinforcement]]="","",IF(Reinforcements[[#This Row],[Top End Connection Same?]]="Yes",Reinforcements[[#This Row],[Rev. G Bottom Connection Capacity (kips)]],IF(Reinforcements[[#This Row],[Reinforcement]]="","",IF(Reinforcements[[#This Row],[Top End Connection Type]]&lt;&gt;"Capacity Input","-",""))))</f>
        <v>-</v>
      </c>
      <c r="BD27" s="16" t="str">
        <f>IF(Reinforcements[[#This Row],[Reinforcement]]="","",IF(Reinforcements[[#This Row],[Top End Connection Same?]]="Yes",Reinforcements[[#This Row],[Rev. G Bottom Connection Capacity (kips)]],IF(Reinforcements[[#This Row],[Reinforcement]]="","",IF(Reinforcements[[#This Row],[Top End Connection Type]]&lt;&gt;"Capacity Input","-",""))))</f>
        <v>-</v>
      </c>
      <c r="BE27" s="128" t="s">
        <v>355</v>
      </c>
      <c r="BF27" s="111" t="s">
        <v>356</v>
      </c>
      <c r="BG27" s="6">
        <v>6</v>
      </c>
      <c r="BH27" s="6">
        <v>3</v>
      </c>
      <c r="BI27" s="6">
        <v>3</v>
      </c>
      <c r="BJ27" s="6">
        <f>Reinforcements[[#This Row],[End Connection Edge Distance (in) (T)]]-(Reinforcements[[#This Row],[Bolt Hole Size (in)]]+1/16)/2</f>
        <v>2.375</v>
      </c>
      <c r="BK27" s="6">
        <f>Reinforcements[[#This Row],[End Connection Bolt Spacing (in) (T)]]-(Reinforcements[[#This Row],[Bolt Hole Size (in)]]+1/16)</f>
        <v>1.75</v>
      </c>
      <c r="BL27" s="6">
        <f>Reinforcements[[#This Row],[End Connection Edge Distance (in) (T)]]</f>
        <v>3</v>
      </c>
      <c r="BM27" s="6">
        <f>Reinforcements[[#This Row],[End Connection Bolt Spacing (in) (T)]]</f>
        <v>3</v>
      </c>
      <c r="BN27" s="6" t="str">
        <f>IF(Reinforcements[[#This Row],[Reinforcement]]="","",IF(Reinforcements[[#This Row],[Top End Connection Same?]]="Yes",Reinforcements[[#This Row],[Bottom Connected to Flange/Base Plate?]],IF(Reinforcements[[#This Row],[Top End Connection Type]]="Bolted","-","")))</f>
        <v>-</v>
      </c>
      <c r="BO27" s="6" t="str">
        <f>IF(Reinforcements[[#This Row],[Reinforcement]]="","",IF(Reinforcements[[#This Row],[Top End Connection Same?]]="Yes",Reinforcements[[#This Row],[Bottom Weld Grade (ksi)]],IF(OR(Reinforcements[[#This Row],[Top End Connection Type]]&lt;&gt;"Welded",Reinforcements[[#This Row],[Top End Connection Type]]=""),"-","")))</f>
        <v>-</v>
      </c>
      <c r="BP27" s="6" t="str">
        <f>IF($AZ27="Yes",AP27,IF(Reinforcements[[#This Row],[Reinforcement]]="","",IF(OR(Reinforcements[[#This Row],[Top End Connection Type]]&lt;&gt;"Welded",Reinforcements[[#This Row],[Top End Connection Type]]=""),"-","")))</f>
        <v>-</v>
      </c>
      <c r="BQ27" s="6" t="str">
        <f>IF(Reinforcements[[#This Row],[Reinforcement]]="","",IF($AZ27="Yes",AQ27,IF(OR(Reinforcements[[#This Row],[Top End Connection Type]]&lt;&gt;"Welded",Reinforcements[[#This Row],[Top Transverse (Horizontal) Weld]]="none",Reinforcements[[#This Row],[Top Transverse (Horizontal) Weld]]=""),"-","")))</f>
        <v>-</v>
      </c>
      <c r="BR27" s="6"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6"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6" t="str">
        <f>IF(Reinforcements[[#This Row],[Reinforcement]]="","",IF($AZ27="Yes",AT27,IF(OR(Reinforcements[[#This Row],[Top Transverse (Horizontal) Weld]]="none",Reinforcements[[#This Row],[Top End Connection Type]]&lt;&gt;"Welded",Reinforcements[[#This Row],[Top Transverse (Horizontal) Weld]]=""),"-","")))</f>
        <v>-</v>
      </c>
      <c r="BU27" s="6"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6" t="str">
        <f>IF($AZ27="Yes",AV27,IF(Reinforcements[[#This Row],[Reinforcement]]="","",IF(OR(Reinforcements[[#This Row],[Top End Connection Type]]&lt;&gt;"Welded",Reinforcements[[#This Row],[Top End Connection Type]]=""),"-","")))</f>
        <v>-</v>
      </c>
      <c r="BW27" s="6"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6"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6" t="str">
        <f>IF($AZ27="Yes",AY27,IF(Reinforcements[[#This Row],[Reinforcement]]="","",IF(OR(Reinforcements[[#This Row],[Top End Connection Type]]&lt;&gt;"Welded",Reinforcements[[#This Row],[Top Longitudinal (Vertical) Weld]]="none"),"-",SQRT(2)/2*Reinforcements[[#This Row],[Top Longitudinal Weld Fillet Size (in)]])))</f>
        <v>-</v>
      </c>
      <c r="BZ2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111">
        <f>IF(Reinforcements[[#This Row],[Reinforcement]]="","",IF(Reinforcements[[#This Row],[Top End Connection Type]]&lt;&gt;"Bolted","n/a",(Reinforcements[[#This Row],['# of End Connection Bolts          (Top)]]-1)*Reinforcements[[#This Row],[End Connection Bolt Spacing (in) (T)]]+Reinforcements[[#This Row],[End Connection Edge Distance (in) (T)]]))</f>
        <v>18</v>
      </c>
      <c r="CC2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6">
        <f>IFERROR(IF(Reinforcements[[#This Row],[Type]]="","",Reinforcements[[#This Row],[Effective B (in)]]*Reinforcements[[#This Row],[Effective H (in)]]^3/12),"")</f>
        <v>0.140625</v>
      </c>
      <c r="CF27" s="6">
        <f>IFERROR(IF(Reinforcements[[#This Row],[Type]]="","",Reinforcements[[#This Row],[Effective B (in)]]^3*Reinforcements[[#This Row],[Effective H (in)]]/12),"")</f>
        <v>4</v>
      </c>
      <c r="CG27" s="126">
        <f>SQRT(2*PI()^2*29000/VLOOKUP(Reinforcements[[#This Row],[Material]],Materials[],2,FALSE))</f>
        <v>93.844147005158973</v>
      </c>
      <c r="CH2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123">
        <f>Reinforcements[[#This Row],[Effective Length Factor Kx]]*Reinforcements[[#This Row],[Lu (in)]]/(Reinforcements[[#This Row],[rx]]*PI())*SQRT(VLOOKUP(Reinforcements[[#This Row],[Material]],Materials[],2,FALSE)/29000)</f>
        <v>0.89093728863455735</v>
      </c>
      <c r="CK27" s="123">
        <f>Reinforcements[[#This Row],[Effective Length Factor Ky]]*Reinforcements[[#This Row],[Lu (in)]]/(Reinforcements[[#This Row],[ry]]*PI())*SQRT(VLOOKUP(Reinforcements[[#This Row],[Material]],Materials[],2,FALSE)/29000)</f>
        <v>0.20881342702372435</v>
      </c>
      <c r="CL27" s="123">
        <f>IF(Reinforcements[[#This Row],[λcx]]&lt;=1.5,0.658^(Reinforcements[[#This Row],[λcx]]^2)*Reinforcements[[#This Row],[F''y]],0.877/(Reinforcements[[#This Row],[λcx]]^2)*Reinforcements[[#This Row],[F''y]])</f>
        <v>46.625839044509597</v>
      </c>
      <c r="CM27" s="123">
        <f>IF(Reinforcements[[#This Row],[λcy]]&lt;=1.5,0.658^(Reinforcements[[#This Row],[λcy]]^2)*Reinforcements[[#This Row],[F''y]],0.877/(Reinforcements[[#This Row],[λcy]]^2)*Reinforcements[[#This Row],[F''y]])</f>
        <v>63.824504474805018</v>
      </c>
      <c r="CN27" s="6">
        <f>VLOOKUP(Reinforcements[[#This Row],[Material]],Materials[],2,FALSE)</f>
        <v>65</v>
      </c>
      <c r="CO27" s="126">
        <f>IF(Reinforcements[[#This Row],[Reinforcement]]="","",Reinforcements[[#This Row],[Fax]]*Reinforcements[[#This Row],[Gross Area (in2)]])</f>
        <v>83.51084774656897</v>
      </c>
      <c r="CP27" s="126">
        <f>IF(Reinforcements[[#This Row],[Reinforcement]]="","",Reinforcements[[#This Row],[Fay]]*Reinforcements[[#This Row],[Gross Area (in2)]])</f>
        <v>112.0298027001612</v>
      </c>
      <c r="CQ27" s="126">
        <f>IF(Reinforcements[[#This Row],[Reinforcement]]="","",0.6*VLOOKUP(Reinforcements[[#This Row],[Material]],Materials[],2,FALSE)*Reinforcements[[#This Row],[Gross Area (in2)]])</f>
        <v>117</v>
      </c>
      <c r="CR27" s="126">
        <f>IF(Reinforcements[[#This Row],[Reinforcement]]="","",0.5*VLOOKUP(Reinforcements[[#This Row],[Material]],Materials[],3,FALSE)*Reinforcements[[#This Row],[Net Area (in2)]]*Reinforcements[[#This Row],[Shear Lag (U)]])</f>
        <v>82.5</v>
      </c>
      <c r="CS27" s="126">
        <f>IF(Reinforcements[[#This Row],[Reinforcement]]="","",0.4*VLOOKUP(Reinforcements[[#This Row],[Material]],Materials[],2,FALSE)*Reinforcements[[#This Row],[Gross Area (in2)]])</f>
        <v>78</v>
      </c>
      <c r="CT27"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126">
        <f>IF(Reinforcements[[#This Row],[Reinforcement]]="","",φ_c*Reinforcements[[#This Row],[Fcr,x]]*Reinforcements[[#This Row],[Gross Area (in2)]])</f>
        <v>125.88976542017591</v>
      </c>
      <c r="DI27" s="126">
        <f>IF(Reinforcements[[#This Row],[Reinforcement]]="","",φ_c*Reinforcements[[#This Row],[Fcr,y]]*Reinforcements[[#This Row],[Gross Area (in2)]])</f>
        <v>172.32616208197356</v>
      </c>
      <c r="DJ27" s="126">
        <f>IF(Reinforcements[[#This Row],[Reinforcement]]="","",φ_t_y*VLOOKUP(Reinforcements[[#This Row],[Material]],Materials[],2,FALSE)*Reinforcements[[#This Row],[Gross Area (in2)]])</f>
        <v>175.5</v>
      </c>
      <c r="DK27" s="126">
        <f>IF(Reinforcements[[#This Row],[Reinforcement]]="","",φ_t_r*VLOOKUP(Reinforcements[[#This Row],[Material]],Materials[],3,FALSE)*Reinforcements[[#This Row],[Net Area (in2)]]*Reinforcements[[#This Row],[Shear Lag (U)]])</f>
        <v>123.75</v>
      </c>
      <c r="DL27" s="126">
        <f>IF(Reinforcements[[#This Row],[Reinforcement]]="","",φ_v*0.5*Reinforcements[[#This Row],[F''y]]*Reinforcements[[#This Row],[Gross Area (in2)]])</f>
        <v>87.75</v>
      </c>
      <c r="DM27"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111" t="str">
        <f>IF(OR(Reinforcements[[#This Row],[Type]]="plate",Reinforcements[[#This Row],[Type]]="solid round"),"N/A",Reinforcements[[#This Row],[B (in)]])</f>
        <v>N/A</v>
      </c>
      <c r="EB27" s="6" t="str">
        <f>IF(OR(Reinforcements[[#This Row],[Type]]="plate",Reinforcements[[#This Row],[Type]]="solid round"),"N/A",Reinforcements[[#This Row],[H (in)]])</f>
        <v>N/A</v>
      </c>
      <c r="EC27" s="6" t="str">
        <f>IF(OR(Reinforcements[[#This Row],[Type]]="plate",Reinforcements[[#This Row],[Type]]="solid round"),"N/A",Reinforcements[[#This Row],[B (in)]]-Reinforcements[[#This Row],['[Channel'] Flange Thickness (in)]])</f>
        <v>N/A</v>
      </c>
      <c r="ED27" s="6" t="str">
        <f>IF(OR(Reinforcements[[#This Row],[Type]]="plate",Reinforcements[[#This Row],[Type]]="solid round"),"N/A",Reinforcements[[#This Row],['[Channel']Web Thickness (in)]])</f>
        <v>N/A</v>
      </c>
      <c r="EE27" s="6" t="str">
        <f>IF(OR(Reinforcements[[#This Row],[Type]]="plate",Reinforcements[[#This Row],[Type]]="solid round"),"N/A",Reinforcements[[#This Row],['[Channel'] Flange Thickness (in)]])</f>
        <v>N/A</v>
      </c>
      <c r="EF27" s="6" t="str">
        <f>IF(Reinforcements[[#This Row],[Type]]="channel",Reinforcements[[#This Row],[Channel Flange Width, b]]/Reinforcements[[#This Row],[Channel flange thickness, tf]],"N/A")</f>
        <v>N/A</v>
      </c>
      <c r="EG27" s="6" t="str">
        <f>IF(Reinforcements[[#This Row],[Type]]="channel",Reinforcements[[#This Row],[Channel inside depth, T]]/Reinforcements[[#This Row],[Channel web thickness, tw]],"N/A")</f>
        <v>N/A</v>
      </c>
      <c r="EH27" s="6">
        <f>29000</f>
        <v>29000</v>
      </c>
      <c r="EI27" s="6" t="str">
        <f>IF(Reinforcements[[#This Row],[Type]]="channel",0.56*SQRT(Reinforcements[[#This Row],[E, (ksi)]]/Reinforcements[[#This Row],[Fy, (ksi)]]),"N/A")</f>
        <v>N/A</v>
      </c>
      <c r="EJ27" s="6" t="str">
        <f>IF(Reinforcements[[#This Row],[Type]]="channel",1.49*SQRT(Reinforcements[[#This Row],[E, (ksi)]]/Reinforcements[[#This Row],[Fy, (ksi)]]),"N/A")</f>
        <v>N/A</v>
      </c>
      <c r="EK27" s="6">
        <f>VLOOKUP(Reinforcements[[#This Row],[Material]],Materials!$B$2:$C$30,2,FALSE)</f>
        <v>65</v>
      </c>
      <c r="EL27" s="6">
        <f>Reinforcements[[#This Row],[Lu (in)]]*Reinforcements[[#This Row],[Effective Length Factor Kx]]</f>
        <v>12.8</v>
      </c>
      <c r="EM27" s="6">
        <f>Reinforcements[[#This Row],[Lu (in)]]*Reinforcements[[#This Row],[Effective Length Factor Ky]]</f>
        <v>16</v>
      </c>
      <c r="EN27" s="6">
        <f>Reinforcements[[#This Row],[rx]]</f>
        <v>0.21650635094610965</v>
      </c>
      <c r="EO27" s="6">
        <f>Reinforcements[[#This Row],[ry]]</f>
        <v>1.1547005383792515</v>
      </c>
      <c r="EP27" s="6">
        <f>Reinforcements[[#This Row],[Lcx (in)]]/Reinforcements[[#This Row],[rx (in)]]</f>
        <v>59.120667565017683</v>
      </c>
      <c r="EQ27" s="6">
        <f>Reinforcements[[#This Row],[Lcy (in)]]/Reinforcements[[#This Row],[ry (in)]]</f>
        <v>13.856406460551019</v>
      </c>
      <c r="ER27" s="6">
        <f>((PI()^2)*Reinforcements[[#This Row],[E, (ksi)]])/(Reinforcements[[#This Row],[Lcx/rx]]^2)</f>
        <v>81.887777604558366</v>
      </c>
      <c r="ES27" s="6">
        <f>((PI()^2)*Reinforcements[[#This Row],[E, (ksi)]])/(Reinforcements[[#This Row],[Lcy/ry]]^2)</f>
        <v>1490.7214980812048</v>
      </c>
      <c r="ET27" s="6">
        <f>4.71*(SQRT(Reinforcements[[#This Row],[E, (ksi)]]/Reinforcements[[#This Row],[Fy, (ksi)]]))</f>
        <v>99.486288193205496</v>
      </c>
      <c r="EU27" s="6">
        <f>IF(Reinforcements[[#This Row],[Lcx/rx]]&lt;=Reinforcements[[#This Row],[Fcr Limit]],(0.658^(Reinforcements[[#This Row],[Fy, (ksi)]]/Reinforcements[[#This Row],[Fex, FB (ksi)]]))*Reinforcements[[#This Row],[Fy, (ksi)]],0.877*Reinforcements[[#This Row],[Fex, FB (ksi)]])</f>
        <v>46.625839044509597</v>
      </c>
      <c r="EV27" s="6">
        <f>IF(Reinforcements[[#This Row],[Lcy/ry]]&lt;=Reinforcements[[#This Row],[Fcr Limit]],(0.658^(Reinforcements[[#This Row],[Fy, (ksi)]]/Reinforcements[[#This Row],[Fey, FB (ksi)]]))*Reinforcements[[#This Row],[Fy, (ksi)]],0.877*Reinforcements[[#This Row],[Fey, FB (ksi)]])</f>
        <v>63.824504474805018</v>
      </c>
      <c r="EW27" s="6">
        <f>Reinforcements[[#This Row],[Fcrx (ksi)]]*Reinforcements[[#This Row],[Gross Area (in2)]]</f>
        <v>139.87751713352878</v>
      </c>
      <c r="EX27" s="6">
        <f>Reinforcements[[#This Row],[Fcry (ksi)]]*Reinforcements[[#This Row],[Gross Area (in2)]]</f>
        <v>191.47351342441505</v>
      </c>
      <c r="EY27" s="6" t="str">
        <f>IF(Reinforcements[[#This Row],[Type]]="channel",0,"N/A")</f>
        <v>N/A</v>
      </c>
      <c r="EZ27" s="6" t="str">
        <f>IF(Reinforcements[[#This Row],[Type]]="channel",Reinforcements[[#This Row],[Channel Flange Width, b]]-(0.5*Reinforcements[[#This Row],[Channel web thickness, tw]]),"N/A")</f>
        <v>N/A</v>
      </c>
      <c r="FA27" s="6" t="str">
        <f>IF(Reinforcements[[#This Row],[Type]]="channel",Reinforcements[[#This Row],[Channel Height, h]]-Reinforcements[[#This Row],[Channel flange thickness, tf]],"N/A")</f>
        <v>N/A</v>
      </c>
      <c r="FB27" s="6" t="str">
        <f>IF(Reinforcements[[#This Row],[Type]]="channel",Reinforcements[[#This Row],[Channel web thickness, tw]],"N/A")</f>
        <v>N/A</v>
      </c>
      <c r="FC27" s="6" t="str">
        <f>IF(Reinforcements[[#This Row],[Type]]="channel",((3*Reinforcements[[#This Row],[b]]^2)/(Reinforcements[[#This Row],[h]]+(6*Reinforcements[[#This Row],[b]])))-Reinforcements[[#This Row],[t]]/2,"N/A")</f>
        <v>N/A</v>
      </c>
      <c r="FD27" s="6">
        <f>Reinforcements[[#This Row],[Pole Face to Centroid (in)]]</f>
        <v>0.375</v>
      </c>
      <c r="FE27" s="6" t="str">
        <f>IF(Reinforcements[[#This Row],[Type]]="channel",Reinforcements[[#This Row],[x(bar)]]+Reinforcements[[#This Row],['[Channel'] e0 (in)]],"N/A")</f>
        <v>N/A</v>
      </c>
      <c r="FF27" s="6" t="str">
        <f>IF(Reinforcements[[#This Row],[Type]]="channel",Reinforcements[[#This Row],[Ix]],"N/A")</f>
        <v>N/A</v>
      </c>
      <c r="FG27" s="6" t="str">
        <f>IF(Reinforcements[[#This Row],[Type]]="channel",Reinforcements[[#This Row],[Iy]],"N/A")</f>
        <v>N/A</v>
      </c>
      <c r="FH27" s="6" t="str">
        <f>IF(Reinforcements[[#This Row],[Type]]="channel",Reinforcements[[#This Row],[Gross Area (in2)]],"N/A")</f>
        <v>N/A</v>
      </c>
      <c r="FI27" s="6" t="str">
        <f>IF(Reinforcements[[#This Row],[Type]]="channel",(Reinforcements[[#This Row],[xo]]^2)+((Reinforcements[[#This Row],[Ix (FTB)]]+Reinforcements[[#This Row],[Iy (FTB)]])/Reinforcements[[#This Row],[Ag]]),"N/A")</f>
        <v>N/A</v>
      </c>
      <c r="FJ27" s="6" t="str">
        <f>IF(Reinforcements[[#This Row],[Type]]="channel",Reinforcements[[#This Row],[Lu (in)]],"N/A")</f>
        <v>N/A</v>
      </c>
      <c r="FK27" s="6" t="str">
        <f>IF(Reinforcements[[#This Row],[Type]]="channel",Reinforcements[[#This Row],[Effective Length Factor Kx]],"N/A")</f>
        <v>N/A</v>
      </c>
      <c r="FL27" s="6" t="str">
        <f>IF(Reinforcements[[#This Row],[Type]]="channel",Reinforcements[[#This Row],[Kz]]*Reinforcements[[#This Row],[Lz]],"N/A")</f>
        <v>N/A</v>
      </c>
      <c r="FM27" s="6" t="str">
        <f>IF(Reinforcements[[#This Row],[Type]]="channel",(((Reinforcements[[#This Row],[t]]^3)/3)*(Reinforcements[[#This Row],[h]]+(2*Reinforcements[[#This Row],[b]]))),"N/A")</f>
        <v>N/A</v>
      </c>
      <c r="FN27" s="6" t="str">
        <f>IF(Reinforcements[[#This Row],[Type]]="channel",(1-(((Reinforcements[[#This Row],[xo]]^2)+(Reinforcements[[#This Row],[yo]]^2))/Reinforcements[[#This Row],[ro^2(bar)]])),"N/A")</f>
        <v>N/A</v>
      </c>
      <c r="FO27" s="6">
        <v>11200</v>
      </c>
      <c r="FP27" s="6" t="str">
        <f>IF(Reinforcements[[#This Row],[Type]]="channel",(((Reinforcements[[#This Row],[h]]^2)*(Reinforcements[[#This Row],[b]]^3)*Reinforcements[[#This Row],[t]])/12)*(((2*Reinforcements[[#This Row],[h]])+(3*Reinforcements[[#This Row],[b]]))/(Reinforcements[[#This Row],[h]]+(6*Reinforcements[[#This Row],[b]]))),"N/A")</f>
        <v>N/A</v>
      </c>
      <c r="FQ27" s="6" t="str">
        <f>IF(Reinforcements[[#This Row],[Type]]="Channel",((((PI()^2)*Reinforcements[[#This Row],[E, (ksi)]]*Reinforcements[[#This Row],['[Channel'] CW (in6)]])/(Reinforcements[[#This Row],[Lcz]]^2))+(Reinforcements[[#This Row],[G]]*Reinforcements[[#This Row],['[Channel'] J (in4)]]))*(1/(Reinforcements[[#This Row],[Ag]]*Reinforcements[[#This Row],[ro^2(bar)]])),"N/A")</f>
        <v>N/A</v>
      </c>
      <c r="FR27" s="6" t="str">
        <f>IF(Reinforcements[[#This Row],[Type]]="channel",((PI()^2)*Reinforcements[[#This Row],[E, (ksi)]])/(Reinforcements[[#This Row],[Lcy/ry]]^2),"N/A")</f>
        <v>N/A</v>
      </c>
      <c r="FS27" s="6" t="str">
        <f>IF(Reinforcements[[#This Row],[Type]]="channel",((Reinforcements[[#This Row],[Fey]]+Reinforcements[[#This Row],[Fez]])/(2*Reinforcements[[#This Row],[H2]]))*(1-SQRT(1-((4*Reinforcements[[#This Row],[Fey]]*Reinforcements[[#This Row],[Fez]]*Reinforcements[[#This Row],[H2]])/(Reinforcements[[#This Row],[Fey]]+Reinforcements[[#This Row],[Fez]])^2))),"N/A")</f>
        <v>N/A</v>
      </c>
      <c r="FT27" s="6" t="str">
        <f>IF(Reinforcements[[#This Row],[Type]]="channel",IF(Reinforcements[[#This Row],[Lcx/rx]]&gt;(4.71*SQRT(Reinforcements[[#This Row],[E, (ksi)]]/Reinforcements[[#This Row],[Fy, (ksi)]])),0.877*Reinforcements[[#This Row],[Fe (FTB)]],0.658^(Reinforcements[[#This Row],[Fy, (ksi)]]/Reinforcements[[#This Row],[Fe (FTB)]])*Reinforcements[[#This Row],[Fy, (ksi)]]),"N/A")</f>
        <v>N/A</v>
      </c>
      <c r="FU27" s="6" t="str">
        <f>IF(Reinforcements[[#This Row],[Type]]="channel",MIN(Reinforcements[[#This Row],[Fcr(FTB)]],Reinforcements[[#This Row],[Fcry (ksi)]]),"N/A")</f>
        <v>N/A</v>
      </c>
      <c r="FV27" s="6">
        <v>0.22</v>
      </c>
      <c r="FW27" s="6">
        <v>1.49</v>
      </c>
      <c r="FX27" s="6" t="str">
        <f>IF(Reinforcements[[#This Row],[Type]]="channel",((Reinforcements[[#This Row],[c2]]*(Reinforcements[[#This Row],[λrf]]/Reinforcements[[#This Row],[λf]]))^2)*Reinforcements[[#This Row],[Fy, (ksi)]],"N/A")</f>
        <v>N/A</v>
      </c>
      <c r="FY27" s="6" t="str">
        <f>IF(Reinforcements[[#This Row],[Type]]="channel",((Reinforcements[[#This Row],[c2]]*(Reinforcements[[#This Row],[λrw]]/Reinforcements[[#This Row],[λw]]))^2)*Reinforcements[[#This Row],[Fy, (ksi)]],"N/A")</f>
        <v>N/A</v>
      </c>
      <c r="FZ2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6" t="str">
        <f>IF(Reinforcements[[#This Row],[Type]]="channel",Reinforcements[[#This Row],[Fcr]]*Reinforcements[[#This Row],[Ae]],"N/A")</f>
        <v>N/A</v>
      </c>
      <c r="GD27">
        <f>IF(Reinforcements[[#This Row],[Reinforcement]]="","",φ_c*Reinforcements[[#This Row],[Pnx, FB (kip)]])</f>
        <v>125.88976542017591</v>
      </c>
      <c r="GE27">
        <f>IF(Reinforcements[[#This Row],[Reinforcement]]="","",IF(Reinforcements[[#This Row],[Type]]="channel",φ_c*Reinforcements[[#This Row],[Pn]],φ_c*Reinforcements[[#This Row],[Pny, FB (kip)]]))</f>
        <v>172.32616208197354</v>
      </c>
      <c r="GF27">
        <f>Reinforcements[[#This Row],[Rev. G Tension Yield Capacity (kips)]]</f>
        <v>175.5</v>
      </c>
      <c r="GG27">
        <f>Reinforcements[[#This Row],[Rev. G Tension Rupture Capacity (kips)]]</f>
        <v>123.75</v>
      </c>
      <c r="GH27">
        <f>Reinforcements[[#This Row],[Rev. G Shear Capacity (kips)]]</f>
        <v>87.75</v>
      </c>
      <c r="GI27" t="str">
        <f>IFERROR((Reinforcements[[#This Row],['# of End Connection Bolts          (Bottom)]]-1)*Reinforcements[[#This Row],[End Connection Bolt Spacing (in) (B)]],"-")</f>
        <v>-</v>
      </c>
      <c r="GJ27">
        <f>IFERROR(IF(VLOOKUP(Reinforcements[[#This Row],[Bottom End Connection Bolt Type]],Bolts[],COLUMN(Bolts[[#Headers],[Rev. H Apply Connection Length Reduction Factor (Rb)?]])-1,FALSE)="Yes",(IF(Reinforcements[[#This Row],[Lb(bottom)]]&lt;=16,1,IF(Reinforcements[[#This Row],[Lb(bottom)]]&gt;38,0.75,0.9))),1),"-")</f>
        <v>1</v>
      </c>
      <c r="GK27"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f>IFERROR(IF(Reinforcements[[#This Row],[Top End Connection Same?]]="Yes",Reinforcements[[#This Row],[Lb(bottom)]],(Reinforcements[[#This Row],['# of End Connection Bolts          (Top)]]-1)*Reinforcements[[#This Row],[End Connection Bolt Spacing (in) (T)]]),"-")</f>
        <v>15</v>
      </c>
      <c r="GM27">
        <f>IFERROR(IF(VLOOKUP(Reinforcements[[#This Row],[Top End Connection Bolt Type]],Bolts[],COLUMN(Bolts[[#Headers],[Rev. H Apply Connection Length Reduction Factor (Rb)?]])-1,FALSE)=TRUE,(IF(Reinforcements[[#This Row],[Lb(top)]]&lt;=16,1,IF(Reinforcements[[#This Row],[Lb(top)]]&gt;38,0.75,0.9))),1),"-")</f>
        <v>1</v>
      </c>
      <c r="GN2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t="str">
        <f>Reinforcements[[#This Row],[Rev. G Bolt-Shaft Bearing Capacity (Bottom)                No Deformation          (*t*Fu kips)]]</f>
        <v>-</v>
      </c>
      <c r="GP27" t="str">
        <f>Reinforcements[[#This Row],[Rev. G Bolt-Shaft Bearing Capacity (Bottom)                   Deformation          (*t*Fu kips)]]</f>
        <v>-</v>
      </c>
      <c r="GQ27">
        <f>Reinforcements[[#This Row],[Rev. G Bolt-Shaft Bearing Capacity (Top)                    No Deformation          (*t*Fu kips)]]</f>
        <v>11.96220472440945</v>
      </c>
      <c r="GR27">
        <f>Reinforcements[[#This Row],[Rev. G Bolt-Shaft Bearing Capacity (Top)                        Deformation          (*t*Fu kips)]]</f>
        <v>14.952755905511811</v>
      </c>
      <c r="GS27" t="str">
        <f>Reinforcements[[#This Row],[Rev. G Bolt-Reinf. Bearing Capacity (Bottom)            No Deformation (kips)]]</f>
        <v>-</v>
      </c>
      <c r="GT27" t="str">
        <f>Reinforcements[[#This Row],[Rev. G Bolt-Reinf. Bearing Capacity (Bottom)               Deformation (kips)]]</f>
        <v>-</v>
      </c>
      <c r="GU27">
        <f>Reinforcements[[#This Row],[Rev. G Bolt-Reinf. Bearing Capacity (Top)                  No Deformation (kips)]]</f>
        <v>717.73228346456699</v>
      </c>
      <c r="GV27">
        <f>Reinforcements[[#This Row],[Rev. G Bolt-Reinf. Bearing Capacity (Top)               Deformation (kips)]]</f>
        <v>897.16535433070862</v>
      </c>
      <c r="GW27" t="str">
        <f>Reinforcements[[#This Row],[Rev. G Bottom Transverse Weld Strength]]</f>
        <v>-</v>
      </c>
      <c r="GX27" t="str">
        <f>Reinforcements[[#This Row],[Rev. G Bottom Longitudinal Weld Strength]]</f>
        <v>-</v>
      </c>
      <c r="GY27" t="str">
        <f>Reinforcements[[#This Row],[Rev. G Top Transverse Weld Strength]]</f>
        <v>-</v>
      </c>
      <c r="GZ27" t="str">
        <f>Reinforcements[[#This Row],[Rev. G Top Longitudinal Weld Strength]]</f>
        <v>-</v>
      </c>
      <c r="HA27">
        <v>25</v>
      </c>
      <c r="HB27" s="4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8" spans="2:210" x14ac:dyDescent="0.2">
      <c r="B28" s="49" t="s">
        <v>385</v>
      </c>
      <c r="C28" s="49" t="s">
        <v>352</v>
      </c>
      <c r="D28" s="6">
        <v>4</v>
      </c>
      <c r="E28" s="6">
        <v>1.25</v>
      </c>
      <c r="F28" s="6" t="str">
        <f>IF(Reinforcements[[#This Row],[Type]]="","",IF(Reinforcements[[#This Row],[Type]]="solid round","","n/a"))</f>
        <v>n/a</v>
      </c>
      <c r="G28" s="6" t="str">
        <f>IF(Reinforcements[[#This Row],[Type]]="","",IF(Reinforcements[[#This Row],[Type]]&lt;&gt;"channel","n/a",""))</f>
        <v>n/a</v>
      </c>
      <c r="H28" s="6" t="str">
        <f>IF(Reinforcements[[#This Row],[Type]]="","",IF(Reinforcements[[#This Row],[Type]]&lt;&gt;"channel","n/a",""))</f>
        <v>n/a</v>
      </c>
      <c r="I28" s="126" t="str">
        <f>IF(Reinforcements[[#This Row],[Type]]="","",IF(Reinforcements[[#This Row],[Type]]&lt;&gt;"channel","n/a",Reinforcements[[#This Row],[eo]]))</f>
        <v>n/a</v>
      </c>
      <c r="J28" s="126" t="str">
        <f>IF(Reinforcements[[#This Row],[Type]]="","",IF(Reinforcements[[#This Row],[Type]]&lt;&gt;"channel","n/a",Reinforcements[[#This Row],[J]]))</f>
        <v>n/a</v>
      </c>
      <c r="K28" s="126" t="str">
        <f>IF(Reinforcements[[#This Row],[Type]]="","",IF(Reinforcements[[#This Row],[Type]]&lt;&gt;"channel","n/a",Reinforcements[[#This Row],[Cw]]))</f>
        <v>n/a</v>
      </c>
      <c r="L28" s="6">
        <f>IFERROR(IF(Reinforcements[[#This Row],[Type]]="","",IF(Reinforcements[[#This Row],[Type]]="plate",Reinforcements[[#This Row],[B (in)]]*Reinforcements[[#This Row],[H (in)]],IF(Reinforcements[[#This Row],[Type]]="solid round",PI()/4*Reinforcements[[#This Row],[Diameter (in)]]^2,""))),"")</f>
        <v>5</v>
      </c>
      <c r="M28" s="6">
        <f>IFERROR(IF(Reinforcements[[#This Row],[Type]]="","",IF(Reinforcements[[#This Row],[Type]]="plate",Reinforcements[[#This Row],[H (in)]]/2,"")),"")</f>
        <v>0.625</v>
      </c>
      <c r="N28" s="34" t="s">
        <v>353</v>
      </c>
      <c r="O28" s="111" t="s">
        <v>138</v>
      </c>
      <c r="P28" s="123">
        <f>IFERROR(IF(Reinforcements[[#This Row],[Type]]="","",IF(Reinforcements[[#This Row],[Type]]="plate",Reinforcements[[#This Row],[B (in)]]*Reinforcements[[#This Row],[H (in)]]^3/12,IF(Reinforcements[[#This Row],[Type]]="solid round",PI()/64*Reinforcements[[#This Row],[Diameter (in)]]^4,""))),"")</f>
        <v>0.65104166666666663</v>
      </c>
      <c r="Q28" s="123">
        <f>IF(Reinforcements[[#This Row],[Reinforcement]]="","",SQRT(Reinforcements[[#This Row],[Ix]]/Reinforcements[[#This Row],[Gross Area (in2)]]))</f>
        <v>0.36084391824351608</v>
      </c>
      <c r="R28" s="123">
        <f>IFERROR(IF(Reinforcements[[#This Row],[Type]]="","",IF(Reinforcements[[#This Row],[Type]]="plate",Reinforcements[[#This Row],[B (in)]]^3*Reinforcements[[#This Row],[H (in)]]/12,IF(Reinforcements[[#This Row],[Type]]="solid round",PI()/64*Reinforcements[[#This Row],[Diameter (in)]]^4,""))),"")</f>
        <v>6.666666666666667</v>
      </c>
      <c r="S28" s="123">
        <f>IF(Reinforcements[[#This Row],[Reinforcement]]="","",SQRT(Reinforcements[[#This Row],[Iy]]/Reinforcements[[#This Row],[Gross Area (in2)]]))</f>
        <v>1.1547005383792517</v>
      </c>
      <c r="T28" s="6">
        <v>27</v>
      </c>
      <c r="U28" s="6">
        <v>0.8</v>
      </c>
      <c r="V28" s="6">
        <v>1</v>
      </c>
      <c r="W28" s="6">
        <v>1.1875</v>
      </c>
      <c r="X28" s="6">
        <f>IF(Reinforcements[[#This Row],[Bolt Hole Size (in)]]="","",IF(Reinforcements[[#This Row],[Bolt Hole Size (in)]]="n/a","n/a",Reinforcements[[#This Row],[Bolt Hole Size (in)]]*25.4))</f>
        <v>30.162499999999998</v>
      </c>
      <c r="Y2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6">
        <f>IFERROR(IF(Reinforcements[[#This Row],[Reinforcement]]="","",IF(OR(Reinforcements[[#This Row],[Type]]="plate",Reinforcements[[#This Row],[Type]]="solid round"),1,IF(Reinforcements[[#This Row],[Type]]="arbitrary","",1-Reinforcements[[#This Row],[Pole Face to Centroid (in)]]/Reinforcements[[#This Row],[Connection Length (in) '[Channels']]]))),"")</f>
        <v>1</v>
      </c>
      <c r="AA28" s="16" t="s">
        <v>382</v>
      </c>
      <c r="AB28" s="16" t="str">
        <f>IF(Reinforcements[[#This Row],[Reinforcement]]="","",IF(Reinforcements[[#This Row],[Bottom End Connection Type]]&lt;&gt;"Capacity Input","-",""))</f>
        <v>-</v>
      </c>
      <c r="AC28" s="16" t="str">
        <f>IF(Reinforcements[[#This Row],[Reinforcement]]="","",IF(Reinforcements[[#This Row],[Bottom End Connection Type]]&lt;&gt;"Capacity Input","-",""))</f>
        <v>-</v>
      </c>
      <c r="AD28" s="16" t="str">
        <f>IF(Reinforcements[[#This Row],[Reinforcement]]="","",IF(Reinforcements[[#This Row],[Bottom End Connection Type]]&lt;&gt;"Capacity Input","-",""))</f>
        <v>-</v>
      </c>
      <c r="AE28" s="74" t="str">
        <f>IF(Reinforcements[[#This Row],[Reinforcement]]="","",IF(Reinforcements[[#This Row],[Bottom End Connection Type]]="","-",IF(Reinforcements[[#This Row],[Bottom End Connection Type]]&lt;&gt;"Bolted","-","")))</f>
        <v>-</v>
      </c>
      <c r="AF28" s="6" t="str">
        <f>IF(Reinforcements[[#This Row],[Reinforcement]]="","",IF(Reinforcements[[#This Row],[Bottom End Connection Type]]="","-",IF(Reinforcements[[#This Row],[Bottom End Connection Type]]&lt;&gt;"Bolted","-","")))</f>
        <v>-</v>
      </c>
      <c r="AG28" s="6" t="str">
        <f>IF(Reinforcements[[#This Row],[Reinforcement]]="","",IF(Reinforcements[[#This Row],[Bottom End Connection Type]]="","-",IF(Reinforcements[[#This Row],[Bottom End Connection Type]]&lt;&gt;"Bolted","-","")))</f>
        <v>-</v>
      </c>
      <c r="AH28" s="6" t="str">
        <f>IF(Reinforcements[[#This Row],[Reinforcement]]="","",IF(Reinforcements[[#This Row],[Bottom End Connection Type]]="","-",IF(Reinforcements[[#This Row],[Bottom End Connection Type]]&lt;&gt;"Bolted","-","")))</f>
        <v>-</v>
      </c>
      <c r="AI28" s="6" t="str">
        <f>IF(Reinforcements[[#This Row],[Reinforcement]]="","",IF(Reinforcements[[#This Row],[Bottom End Connection Type]]="","-",IF(Reinforcements[[#This Row],[Bottom End Connection Type]]&lt;&gt;"Bolted","-","")))</f>
        <v>-</v>
      </c>
      <c r="AJ28" s="6" t="e">
        <f>Reinforcements[[#This Row],[End Connection Edge Distance (in) (B)]]-(Reinforcements[[#This Row],[Bolt Hole Size (in)]]+1/16)/2</f>
        <v>#VALUE!</v>
      </c>
      <c r="AK28" s="6" t="e">
        <f>Reinforcements[[#This Row],[End Connection Bolt Spacing (in) (B)]]-(Reinforcements[[#This Row],[Bolt Hole Size (in)]]+1/16)</f>
        <v>#VALUE!</v>
      </c>
      <c r="AL28" s="6" t="str">
        <f>Reinforcements[[#This Row],[End Connection Edge Distance (in) (B)]]</f>
        <v>-</v>
      </c>
      <c r="AM28" s="6" t="str">
        <f>Reinforcements[[#This Row],[End Connection Bolt Spacing (in) (B)]]</f>
        <v>-</v>
      </c>
      <c r="AN28" s="111" t="s">
        <v>357</v>
      </c>
      <c r="AO28" s="111">
        <v>70</v>
      </c>
      <c r="AP28" s="111" t="s">
        <v>383</v>
      </c>
      <c r="AQ28" s="111">
        <v>4</v>
      </c>
      <c r="AR28" s="6">
        <v>1.25</v>
      </c>
      <c r="AS28" s="6">
        <v>45</v>
      </c>
      <c r="AT28" s="111">
        <v>0.25</v>
      </c>
      <c r="AU2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11" t="s">
        <v>384</v>
      </c>
      <c r="AW28" s="111" t="str">
        <f>IF(Reinforcements[[#This Row],[Reinforcement]]="","",IF(OR(Reinforcements[[#This Row],[Bottom End Connection Type]]&lt;&gt;"Welded",Reinforcements[[#This Row],[Bottom Longitudinal (Vertical) Weld]]="None",Reinforcements[[#This Row],[Bottom Longitudinal (Vertical) Weld]]=""),"-",""))</f>
        <v>-</v>
      </c>
      <c r="AX28" s="111" t="str">
        <f>IF(Reinforcements[[#This Row],[Reinforcement]]="","",IF(OR(Reinforcements[[#This Row],[Bottom End Connection Type]]&lt;&gt;"Welded",Reinforcements[[#This Row],[Bottom Longitudinal (Vertical) Weld]]="None",Reinforcements[[#This Row],[Bottom Longitudinal (Vertical) Weld]]=""),"-",""))</f>
        <v>-</v>
      </c>
      <c r="AY28" s="6" t="str">
        <f>IF(Reinforcements[[#This Row],[Reinforcement]]="","",IF(OR(Reinforcements[[#This Row],[Bottom End Connection Type]]&lt;&gt;"Welded",Reinforcements[[#This Row],[Bottom Longitudinal (Vertical) Weld]]="None"),"-",SQRT(2)/2*Reinforcements[[#This Row],[Bottom Longitudinal Weld Fillet Size (in)]]))</f>
        <v>-</v>
      </c>
      <c r="AZ28" s="111" t="s">
        <v>353</v>
      </c>
      <c r="BA28" s="34" t="s">
        <v>354</v>
      </c>
      <c r="BB28" s="16" t="str">
        <f>IF(Reinforcements[[#This Row],[Reinforcement]]="","",IF(Reinforcements[[#This Row],[Top End Connection Same?]]="Yes",Reinforcements[[#This Row],[Rev. F Bottom Connection Capacity (kips)]],IF(Reinforcements[[#This Row],[Reinforcement]]="","",IF(Reinforcements[[#This Row],[Top End Connection Type]]&lt;&gt;"Capacity Input","-",""))))</f>
        <v>-</v>
      </c>
      <c r="BC28" s="16" t="str">
        <f>IF(Reinforcements[[#This Row],[Reinforcement]]="","",IF(Reinforcements[[#This Row],[Top End Connection Same?]]="Yes",Reinforcements[[#This Row],[Rev. G Bottom Connection Capacity (kips)]],IF(Reinforcements[[#This Row],[Reinforcement]]="","",IF(Reinforcements[[#This Row],[Top End Connection Type]]&lt;&gt;"Capacity Input","-",""))))</f>
        <v>-</v>
      </c>
      <c r="BD28" s="16" t="str">
        <f>IF(Reinforcements[[#This Row],[Reinforcement]]="","",IF(Reinforcements[[#This Row],[Top End Connection Same?]]="Yes",Reinforcements[[#This Row],[Rev. G Bottom Connection Capacity (kips)]],IF(Reinforcements[[#This Row],[Reinforcement]]="","",IF(Reinforcements[[#This Row],[Top End Connection Type]]&lt;&gt;"Capacity Input","-",""))))</f>
        <v>-</v>
      </c>
      <c r="BE28" s="128" t="s">
        <v>355</v>
      </c>
      <c r="BF28" s="111" t="s">
        <v>356</v>
      </c>
      <c r="BG28" s="6">
        <v>8</v>
      </c>
      <c r="BH28" s="6">
        <v>3</v>
      </c>
      <c r="BI28" s="6">
        <v>3</v>
      </c>
      <c r="BJ28" s="6">
        <f>Reinforcements[[#This Row],[End Connection Edge Distance (in) (T)]]-(Reinforcements[[#This Row],[Bolt Hole Size (in)]]+1/16)/2</f>
        <v>2.375</v>
      </c>
      <c r="BK28" s="6">
        <f>Reinforcements[[#This Row],[End Connection Bolt Spacing (in) (T)]]-(Reinforcements[[#This Row],[Bolt Hole Size (in)]]+1/16)</f>
        <v>1.75</v>
      </c>
      <c r="BL28" s="6">
        <f>Reinforcements[[#This Row],[End Connection Edge Distance (in) (T)]]</f>
        <v>3</v>
      </c>
      <c r="BM28" s="6">
        <f>Reinforcements[[#This Row],[End Connection Bolt Spacing (in) (T)]]</f>
        <v>3</v>
      </c>
      <c r="BN28" s="6" t="str">
        <f>IF(Reinforcements[[#This Row],[Reinforcement]]="","",IF(Reinforcements[[#This Row],[Top End Connection Same?]]="Yes",Reinforcements[[#This Row],[Bottom Connected to Flange/Base Plate?]],IF(Reinforcements[[#This Row],[Top End Connection Type]]="Bolted","-","")))</f>
        <v>-</v>
      </c>
      <c r="BO28" s="6" t="str">
        <f>IF(Reinforcements[[#This Row],[Reinforcement]]="","",IF(Reinforcements[[#This Row],[Top End Connection Same?]]="Yes",Reinforcements[[#This Row],[Bottom Weld Grade (ksi)]],IF(OR(Reinforcements[[#This Row],[Top End Connection Type]]&lt;&gt;"Welded",Reinforcements[[#This Row],[Top End Connection Type]]=""),"-","")))</f>
        <v>-</v>
      </c>
      <c r="BP28" s="6" t="str">
        <f>IF($AZ28="Yes",AP28,IF(Reinforcements[[#This Row],[Reinforcement]]="","",IF(OR(Reinforcements[[#This Row],[Top End Connection Type]]&lt;&gt;"Welded",Reinforcements[[#This Row],[Top End Connection Type]]=""),"-","")))</f>
        <v>-</v>
      </c>
      <c r="BQ28" s="6" t="str">
        <f>IF(Reinforcements[[#This Row],[Reinforcement]]="","",IF($AZ28="Yes",AQ28,IF(OR(Reinforcements[[#This Row],[Top End Connection Type]]&lt;&gt;"Welded",Reinforcements[[#This Row],[Top Transverse (Horizontal) Weld]]="none",Reinforcements[[#This Row],[Top Transverse (Horizontal) Weld]]=""),"-","")))</f>
        <v>-</v>
      </c>
      <c r="BR28" s="6"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6"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6" t="str">
        <f>IF(Reinforcements[[#This Row],[Reinforcement]]="","",IF($AZ28="Yes",AT28,IF(OR(Reinforcements[[#This Row],[Top Transverse (Horizontal) Weld]]="none",Reinforcements[[#This Row],[Top End Connection Type]]&lt;&gt;"Welded",Reinforcements[[#This Row],[Top Transverse (Horizontal) Weld]]=""),"-","")))</f>
        <v>-</v>
      </c>
      <c r="BU28" s="6"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6" t="str">
        <f>IF($AZ28="Yes",AV28,IF(Reinforcements[[#This Row],[Reinforcement]]="","",IF(OR(Reinforcements[[#This Row],[Top End Connection Type]]&lt;&gt;"Welded",Reinforcements[[#This Row],[Top End Connection Type]]=""),"-","")))</f>
        <v>-</v>
      </c>
      <c r="BW28" s="6"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6"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6" t="str">
        <f>IF($AZ28="Yes",AY28,IF(Reinforcements[[#This Row],[Reinforcement]]="","",IF(OR(Reinforcements[[#This Row],[Top End Connection Type]]&lt;&gt;"Welded",Reinforcements[[#This Row],[Top Longitudinal (Vertical) Weld]]="none"),"-",SQRT(2)/2*Reinforcements[[#This Row],[Top Longitudinal Weld Fillet Size (in)]])))</f>
        <v>-</v>
      </c>
      <c r="BZ2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11">
        <f>IF(Reinforcements[[#This Row],[Reinforcement]]="","",IF(Reinforcements[[#This Row],[Top End Connection Type]]&lt;&gt;"Bolted","n/a",(Reinforcements[[#This Row],['# of End Connection Bolts          (Top)]]-1)*Reinforcements[[#This Row],[End Connection Bolt Spacing (in) (T)]]+Reinforcements[[#This Row],[End Connection Edge Distance (in) (T)]]))</f>
        <v>24</v>
      </c>
      <c r="CC2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6">
        <f>IFERROR(IF(Reinforcements[[#This Row],[Type]]="","",Reinforcements[[#This Row],[Effective B (in)]]*Reinforcements[[#This Row],[Effective H (in)]]^3/12),"")</f>
        <v>0.65104166666666663</v>
      </c>
      <c r="CF28" s="6">
        <f>IFERROR(IF(Reinforcements[[#This Row],[Type]]="","",Reinforcements[[#This Row],[Effective B (in)]]^3*Reinforcements[[#This Row],[Effective H (in)]]/12),"")</f>
        <v>6.666666666666667</v>
      </c>
      <c r="CG28" s="126">
        <f>SQRT(2*PI()^2*29000/VLOOKUP(Reinforcements[[#This Row],[Material]],Materials[],2,FALSE))</f>
        <v>93.844147005158973</v>
      </c>
      <c r="CH2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23">
        <f>Reinforcements[[#This Row],[Effective Length Factor Kx]]*Reinforcements[[#This Row],[Lu (in)]]/(Reinforcements[[#This Row],[rx]]*PI())*SQRT(VLOOKUP(Reinforcements[[#This Row],[Material]],Materials[],2,FALSE)/29000)</f>
        <v>0.90207400474248911</v>
      </c>
      <c r="CK28" s="123">
        <f>Reinforcements[[#This Row],[Effective Length Factor Ky]]*Reinforcements[[#This Row],[Lu (in)]]/(Reinforcements[[#This Row],[ry]]*PI())*SQRT(VLOOKUP(Reinforcements[[#This Row],[Material]],Materials[],2,FALSE)/29000)</f>
        <v>0.35237265810253476</v>
      </c>
      <c r="CL28" s="123">
        <f>IF(Reinforcements[[#This Row],[λcx]]&lt;=1.5,0.658^(Reinforcements[[#This Row],[λcx]]^2)*Reinforcements[[#This Row],[F''y]],0.877/(Reinforcements[[#This Row],[λcx]]^2)*Reinforcements[[#This Row],[F''y]])</f>
        <v>46.237777195184954</v>
      </c>
      <c r="CM28" s="123">
        <f>IF(Reinforcements[[#This Row],[λcy]]&lt;=1.5,0.658^(Reinforcements[[#This Row],[λcy]]^2)*Reinforcements[[#This Row],[F''y]],0.877/(Reinforcements[[#This Row],[λcy]]^2)*Reinforcements[[#This Row],[F''y]])</f>
        <v>61.70823202958254</v>
      </c>
      <c r="CN28" s="6">
        <f>VLOOKUP(Reinforcements[[#This Row],[Material]],Materials[],2,FALSE)</f>
        <v>65</v>
      </c>
      <c r="CO28" s="126">
        <f>IF(Reinforcements[[#This Row],[Reinforcement]]="","",Reinforcements[[#This Row],[Fax]]*Reinforcements[[#This Row],[Gross Area (in2)]])</f>
        <v>138.18749913685605</v>
      </c>
      <c r="CP28" s="126">
        <f>IF(Reinforcements[[#This Row],[Reinforcement]]="","",Reinforcements[[#This Row],[Fay]]*Reinforcements[[#This Row],[Gross Area (in2)]])</f>
        <v>179.11321467721905</v>
      </c>
      <c r="CQ28" s="126">
        <f>IF(Reinforcements[[#This Row],[Reinforcement]]="","",0.6*VLOOKUP(Reinforcements[[#This Row],[Material]],Materials[],2,FALSE)*Reinforcements[[#This Row],[Gross Area (in2)]])</f>
        <v>195</v>
      </c>
      <c r="CR28" s="126">
        <f>IF(Reinforcements[[#This Row],[Reinforcement]]="","",0.5*VLOOKUP(Reinforcements[[#This Row],[Material]],Materials[],3,FALSE)*Reinforcements[[#This Row],[Net Area (in2)]]*Reinforcements[[#This Row],[Shear Lag (U)]])</f>
        <v>137.5</v>
      </c>
      <c r="CS28" s="126">
        <f>IF(Reinforcements[[#This Row],[Reinforcement]]="","",0.4*VLOOKUP(Reinforcements[[#This Row],[Material]],Materials[],2,FALSE)*Reinforcements[[#This Row],[Gross Area (in2)]])</f>
        <v>130</v>
      </c>
      <c r="CT28"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6"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6"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26">
        <f>IF(Reinforcements[[#This Row],[Reinforcement]]="","",φ_c*Reinforcements[[#This Row],[Fcr,x]]*Reinforcements[[#This Row],[Gross Area (in2)]])</f>
        <v>208.06999737833229</v>
      </c>
      <c r="DI28" s="126">
        <f>IF(Reinforcements[[#This Row],[Reinforcement]]="","",φ_c*Reinforcements[[#This Row],[Fcr,y]]*Reinforcements[[#This Row],[Gross Area (in2)]])</f>
        <v>277.68704413312145</v>
      </c>
      <c r="DJ28" s="126">
        <f>IF(Reinforcements[[#This Row],[Reinforcement]]="","",φ_t_y*VLOOKUP(Reinforcements[[#This Row],[Material]],Materials[],2,FALSE)*Reinforcements[[#This Row],[Gross Area (in2)]])</f>
        <v>292.5</v>
      </c>
      <c r="DK28" s="126">
        <f>IF(Reinforcements[[#This Row],[Reinforcement]]="","",φ_t_r*VLOOKUP(Reinforcements[[#This Row],[Material]],Materials[],3,FALSE)*Reinforcements[[#This Row],[Net Area (in2)]]*Reinforcements[[#This Row],[Shear Lag (U)]])</f>
        <v>206.25</v>
      </c>
      <c r="DL28" s="126">
        <f>IF(Reinforcements[[#This Row],[Reinforcement]]="","",φ_v*0.5*Reinforcements[[#This Row],[F''y]]*Reinforcements[[#This Row],[Gross Area (in2)]])</f>
        <v>146.25</v>
      </c>
      <c r="DM28"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6"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6"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111" t="str">
        <f>IF(OR(Reinforcements[[#This Row],[Type]]="plate",Reinforcements[[#This Row],[Type]]="solid round"),"N/A",Reinforcements[[#This Row],[B (in)]])</f>
        <v>N/A</v>
      </c>
      <c r="EB28" s="6" t="str">
        <f>IF(OR(Reinforcements[[#This Row],[Type]]="plate",Reinforcements[[#This Row],[Type]]="solid round"),"N/A",Reinforcements[[#This Row],[H (in)]])</f>
        <v>N/A</v>
      </c>
      <c r="EC28" s="6" t="str">
        <f>IF(OR(Reinforcements[[#This Row],[Type]]="plate",Reinforcements[[#This Row],[Type]]="solid round"),"N/A",Reinforcements[[#This Row],[B (in)]]-Reinforcements[[#This Row],['[Channel'] Flange Thickness (in)]])</f>
        <v>N/A</v>
      </c>
      <c r="ED28" s="6" t="str">
        <f>IF(OR(Reinforcements[[#This Row],[Type]]="plate",Reinforcements[[#This Row],[Type]]="solid round"),"N/A",Reinforcements[[#This Row],['[Channel']Web Thickness (in)]])</f>
        <v>N/A</v>
      </c>
      <c r="EE28" s="6" t="str">
        <f>IF(OR(Reinforcements[[#This Row],[Type]]="plate",Reinforcements[[#This Row],[Type]]="solid round"),"N/A",Reinforcements[[#This Row],['[Channel'] Flange Thickness (in)]])</f>
        <v>N/A</v>
      </c>
      <c r="EF28" s="6" t="str">
        <f>IF(Reinforcements[[#This Row],[Type]]="channel",Reinforcements[[#This Row],[Channel Flange Width, b]]/Reinforcements[[#This Row],[Channel flange thickness, tf]],"N/A")</f>
        <v>N/A</v>
      </c>
      <c r="EG28" s="6" t="str">
        <f>IF(Reinforcements[[#This Row],[Type]]="channel",Reinforcements[[#This Row],[Channel inside depth, T]]/Reinforcements[[#This Row],[Channel web thickness, tw]],"N/A")</f>
        <v>N/A</v>
      </c>
      <c r="EH28" s="6">
        <f>29000</f>
        <v>29000</v>
      </c>
      <c r="EI28" s="6" t="str">
        <f>IF(Reinforcements[[#This Row],[Type]]="channel",0.56*SQRT(Reinforcements[[#This Row],[E, (ksi)]]/Reinforcements[[#This Row],[Fy, (ksi)]]),"N/A")</f>
        <v>N/A</v>
      </c>
      <c r="EJ28" s="6" t="str">
        <f>IF(Reinforcements[[#This Row],[Type]]="channel",1.49*SQRT(Reinforcements[[#This Row],[E, (ksi)]]/Reinforcements[[#This Row],[Fy, (ksi)]]),"N/A")</f>
        <v>N/A</v>
      </c>
      <c r="EK28" s="6">
        <f>VLOOKUP(Reinforcements[[#This Row],[Material]],Materials!$B$2:$C$30,2,FALSE)</f>
        <v>65</v>
      </c>
      <c r="EL28" s="6">
        <f>Reinforcements[[#This Row],[Lu (in)]]*Reinforcements[[#This Row],[Effective Length Factor Kx]]</f>
        <v>21.6</v>
      </c>
      <c r="EM28" s="6">
        <f>Reinforcements[[#This Row],[Lu (in)]]*Reinforcements[[#This Row],[Effective Length Factor Ky]]</f>
        <v>27</v>
      </c>
      <c r="EN28" s="6">
        <f>Reinforcements[[#This Row],[rx]]</f>
        <v>0.36084391824351608</v>
      </c>
      <c r="EO28" s="6">
        <f>Reinforcements[[#This Row],[ry]]</f>
        <v>1.1547005383792517</v>
      </c>
      <c r="EP28" s="6">
        <f>Reinforcements[[#This Row],[Lcx (in)]]/Reinforcements[[#This Row],[rx (in)]]</f>
        <v>59.859675909580403</v>
      </c>
      <c r="EQ28" s="6">
        <f>Reinforcements[[#This Row],[Lcy (in)]]/Reinforcements[[#This Row],[ry (in)]]</f>
        <v>23.382685902179841</v>
      </c>
      <c r="ER28" s="6">
        <f>((PI()^2)*Reinforcements[[#This Row],[E, (ksi)]])/(Reinforcements[[#This Row],[Lcx/rx]]^2)</f>
        <v>79.878338160215449</v>
      </c>
      <c r="ES28" s="6">
        <f>((PI()^2)*Reinforcements[[#This Row],[E, (ksi)]])/(Reinforcements[[#This Row],[Lcy/ry]]^2)</f>
        <v>523.4906769667881</v>
      </c>
      <c r="ET28" s="6">
        <f>4.71*(SQRT(Reinforcements[[#This Row],[E, (ksi)]]/Reinforcements[[#This Row],[Fy, (ksi)]]))</f>
        <v>99.486288193205496</v>
      </c>
      <c r="EU28" s="6">
        <f>IF(Reinforcements[[#This Row],[Lcx/rx]]&lt;=Reinforcements[[#This Row],[Fcr Limit]],(0.658^(Reinforcements[[#This Row],[Fy, (ksi)]]/Reinforcements[[#This Row],[Fex, FB (ksi)]]))*Reinforcements[[#This Row],[Fy, (ksi)]],0.877*Reinforcements[[#This Row],[Fex, FB (ksi)]])</f>
        <v>46.23777719518494</v>
      </c>
      <c r="EV28" s="6">
        <f>IF(Reinforcements[[#This Row],[Lcy/ry]]&lt;=Reinforcements[[#This Row],[Fcr Limit]],(0.658^(Reinforcements[[#This Row],[Fy, (ksi)]]/Reinforcements[[#This Row],[Fey, FB (ksi)]]))*Reinforcements[[#This Row],[Fy, (ksi)]],0.877*Reinforcements[[#This Row],[Fey, FB (ksi)]])</f>
        <v>61.70823202958254</v>
      </c>
      <c r="EW28" s="6">
        <f>Reinforcements[[#This Row],[Fcrx (ksi)]]*Reinforcements[[#This Row],[Gross Area (in2)]]</f>
        <v>231.18888597592471</v>
      </c>
      <c r="EX28" s="6">
        <f>Reinforcements[[#This Row],[Fcry (ksi)]]*Reinforcements[[#This Row],[Gross Area (in2)]]</f>
        <v>308.54116014791271</v>
      </c>
      <c r="EY28" s="6" t="str">
        <f>IF(Reinforcements[[#This Row],[Type]]="channel",0,"N/A")</f>
        <v>N/A</v>
      </c>
      <c r="EZ28" s="6" t="str">
        <f>IF(Reinforcements[[#This Row],[Type]]="channel",Reinforcements[[#This Row],[Channel Flange Width, b]]-(0.5*Reinforcements[[#This Row],[Channel web thickness, tw]]),"N/A")</f>
        <v>N/A</v>
      </c>
      <c r="FA28" s="6" t="str">
        <f>IF(Reinforcements[[#This Row],[Type]]="channel",Reinforcements[[#This Row],[Channel Height, h]]-Reinforcements[[#This Row],[Channel flange thickness, tf]],"N/A")</f>
        <v>N/A</v>
      </c>
      <c r="FB28" s="6" t="str">
        <f>IF(Reinforcements[[#This Row],[Type]]="channel",Reinforcements[[#This Row],[Channel web thickness, tw]],"N/A")</f>
        <v>N/A</v>
      </c>
      <c r="FC28" s="6" t="str">
        <f>IF(Reinforcements[[#This Row],[Type]]="channel",((3*Reinforcements[[#This Row],[b]]^2)/(Reinforcements[[#This Row],[h]]+(6*Reinforcements[[#This Row],[b]])))-Reinforcements[[#This Row],[t]]/2,"N/A")</f>
        <v>N/A</v>
      </c>
      <c r="FD28" s="6">
        <f>Reinforcements[[#This Row],[Pole Face to Centroid (in)]]</f>
        <v>0.625</v>
      </c>
      <c r="FE28" s="6" t="str">
        <f>IF(Reinforcements[[#This Row],[Type]]="channel",Reinforcements[[#This Row],[x(bar)]]+Reinforcements[[#This Row],['[Channel'] e0 (in)]],"N/A")</f>
        <v>N/A</v>
      </c>
      <c r="FF28" s="6" t="str">
        <f>IF(Reinforcements[[#This Row],[Type]]="channel",Reinforcements[[#This Row],[Ix]],"N/A")</f>
        <v>N/A</v>
      </c>
      <c r="FG28" s="6" t="str">
        <f>IF(Reinforcements[[#This Row],[Type]]="channel",Reinforcements[[#This Row],[Iy]],"N/A")</f>
        <v>N/A</v>
      </c>
      <c r="FH28" s="6" t="str">
        <f>IF(Reinforcements[[#This Row],[Type]]="channel",Reinforcements[[#This Row],[Gross Area (in2)]],"N/A")</f>
        <v>N/A</v>
      </c>
      <c r="FI28" s="6" t="str">
        <f>IF(Reinforcements[[#This Row],[Type]]="channel",(Reinforcements[[#This Row],[xo]]^2)+((Reinforcements[[#This Row],[Ix (FTB)]]+Reinforcements[[#This Row],[Iy (FTB)]])/Reinforcements[[#This Row],[Ag]]),"N/A")</f>
        <v>N/A</v>
      </c>
      <c r="FJ28" s="6" t="str">
        <f>IF(Reinforcements[[#This Row],[Type]]="channel",Reinforcements[[#This Row],[Lu (in)]],"N/A")</f>
        <v>N/A</v>
      </c>
      <c r="FK28" s="6" t="str">
        <f>IF(Reinforcements[[#This Row],[Type]]="channel",Reinforcements[[#This Row],[Effective Length Factor Kx]],"N/A")</f>
        <v>N/A</v>
      </c>
      <c r="FL28" s="6" t="str">
        <f>IF(Reinforcements[[#This Row],[Type]]="channel",Reinforcements[[#This Row],[Kz]]*Reinforcements[[#This Row],[Lz]],"N/A")</f>
        <v>N/A</v>
      </c>
      <c r="FM28" s="6" t="str">
        <f>IF(Reinforcements[[#This Row],[Type]]="channel",(((Reinforcements[[#This Row],[t]]^3)/3)*(Reinforcements[[#This Row],[h]]+(2*Reinforcements[[#This Row],[b]]))),"N/A")</f>
        <v>N/A</v>
      </c>
      <c r="FN28" s="6" t="str">
        <f>IF(Reinforcements[[#This Row],[Type]]="channel",(1-(((Reinforcements[[#This Row],[xo]]^2)+(Reinforcements[[#This Row],[yo]]^2))/Reinforcements[[#This Row],[ro^2(bar)]])),"N/A")</f>
        <v>N/A</v>
      </c>
      <c r="FO28" s="6">
        <v>11200</v>
      </c>
      <c r="FP28" s="6" t="str">
        <f>IF(Reinforcements[[#This Row],[Type]]="channel",(((Reinforcements[[#This Row],[h]]^2)*(Reinforcements[[#This Row],[b]]^3)*Reinforcements[[#This Row],[t]])/12)*(((2*Reinforcements[[#This Row],[h]])+(3*Reinforcements[[#This Row],[b]]))/(Reinforcements[[#This Row],[h]]+(6*Reinforcements[[#This Row],[b]]))),"N/A")</f>
        <v>N/A</v>
      </c>
      <c r="FQ28" s="6" t="str">
        <f>IF(Reinforcements[[#This Row],[Type]]="Channel",((((PI()^2)*Reinforcements[[#This Row],[E, (ksi)]]*Reinforcements[[#This Row],['[Channel'] CW (in6)]])/(Reinforcements[[#This Row],[Lcz]]^2))+(Reinforcements[[#This Row],[G]]*Reinforcements[[#This Row],['[Channel'] J (in4)]]))*(1/(Reinforcements[[#This Row],[Ag]]*Reinforcements[[#This Row],[ro^2(bar)]])),"N/A")</f>
        <v>N/A</v>
      </c>
      <c r="FR28" s="6" t="str">
        <f>IF(Reinforcements[[#This Row],[Type]]="channel",((PI()^2)*Reinforcements[[#This Row],[E, (ksi)]])/(Reinforcements[[#This Row],[Lcy/ry]]^2),"N/A")</f>
        <v>N/A</v>
      </c>
      <c r="FS28" s="6" t="str">
        <f>IF(Reinforcements[[#This Row],[Type]]="channel",((Reinforcements[[#This Row],[Fey]]+Reinforcements[[#This Row],[Fez]])/(2*Reinforcements[[#This Row],[H2]]))*(1-SQRT(1-((4*Reinforcements[[#This Row],[Fey]]*Reinforcements[[#This Row],[Fez]]*Reinforcements[[#This Row],[H2]])/(Reinforcements[[#This Row],[Fey]]+Reinforcements[[#This Row],[Fez]])^2))),"N/A")</f>
        <v>N/A</v>
      </c>
      <c r="FT28" s="6" t="str">
        <f>IF(Reinforcements[[#This Row],[Type]]="channel",IF(Reinforcements[[#This Row],[Lcx/rx]]&gt;(4.71*SQRT(Reinforcements[[#This Row],[E, (ksi)]]/Reinforcements[[#This Row],[Fy, (ksi)]])),0.877*Reinforcements[[#This Row],[Fe (FTB)]],0.658^(Reinforcements[[#This Row],[Fy, (ksi)]]/Reinforcements[[#This Row],[Fe (FTB)]])*Reinforcements[[#This Row],[Fy, (ksi)]]),"N/A")</f>
        <v>N/A</v>
      </c>
      <c r="FU28" s="6" t="str">
        <f>IF(Reinforcements[[#This Row],[Type]]="channel",MIN(Reinforcements[[#This Row],[Fcr(FTB)]],Reinforcements[[#This Row],[Fcry (ksi)]]),"N/A")</f>
        <v>N/A</v>
      </c>
      <c r="FV28" s="6">
        <v>0.22</v>
      </c>
      <c r="FW28" s="6">
        <v>1.49</v>
      </c>
      <c r="FX28" s="6" t="str">
        <f>IF(Reinforcements[[#This Row],[Type]]="channel",((Reinforcements[[#This Row],[c2]]*(Reinforcements[[#This Row],[λrf]]/Reinforcements[[#This Row],[λf]]))^2)*Reinforcements[[#This Row],[Fy, (ksi)]],"N/A")</f>
        <v>N/A</v>
      </c>
      <c r="FY28" s="6" t="str">
        <f>IF(Reinforcements[[#This Row],[Type]]="channel",((Reinforcements[[#This Row],[c2]]*(Reinforcements[[#This Row],[λrw]]/Reinforcements[[#This Row],[λw]]))^2)*Reinforcements[[#This Row],[Fy, (ksi)]],"N/A")</f>
        <v>N/A</v>
      </c>
      <c r="FZ2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6" t="str">
        <f>IF(Reinforcements[[#This Row],[Type]]="channel",Reinforcements[[#This Row],[Fcr]]*Reinforcements[[#This Row],[Ae]],"N/A")</f>
        <v>N/A</v>
      </c>
      <c r="GD28">
        <f>IF(Reinforcements[[#This Row],[Reinforcement]]="","",φ_c*Reinforcements[[#This Row],[Pnx, FB (kip)]])</f>
        <v>208.06999737833223</v>
      </c>
      <c r="GE28">
        <f>IF(Reinforcements[[#This Row],[Reinforcement]]="","",IF(Reinforcements[[#This Row],[Type]]="channel",φ_c*Reinforcements[[#This Row],[Pn]],φ_c*Reinforcements[[#This Row],[Pny, FB (kip)]]))</f>
        <v>277.68704413312145</v>
      </c>
      <c r="GF28">
        <f>Reinforcements[[#This Row],[Rev. G Tension Yield Capacity (kips)]]</f>
        <v>292.5</v>
      </c>
      <c r="GG28">
        <f>Reinforcements[[#This Row],[Rev. G Tension Rupture Capacity (kips)]]</f>
        <v>206.25</v>
      </c>
      <c r="GH28">
        <f>Reinforcements[[#This Row],[Rev. G Shear Capacity (kips)]]</f>
        <v>146.25</v>
      </c>
      <c r="GI28" t="str">
        <f>IFERROR((Reinforcements[[#This Row],['# of End Connection Bolts          (Bottom)]]-1)*Reinforcements[[#This Row],[End Connection Bolt Spacing (in) (B)]],"-")</f>
        <v>-</v>
      </c>
      <c r="GJ28">
        <f>IFERROR(IF(VLOOKUP(Reinforcements[[#This Row],[Bottom End Connection Bolt Type]],Bolts[],COLUMN(Bolts[[#Headers],[Rev. H Apply Connection Length Reduction Factor (Rb)?]])-1,FALSE)="Yes",(IF(Reinforcements[[#This Row],[Lb(bottom)]]&lt;=16,1,IF(Reinforcements[[#This Row],[Lb(bottom)]]&gt;38,0.75,0.9))),1),"-")</f>
        <v>1</v>
      </c>
      <c r="GK28"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f>IFERROR(IF(Reinforcements[[#This Row],[Top End Connection Same?]]="Yes",Reinforcements[[#This Row],[Lb(bottom)]],(Reinforcements[[#This Row],['# of End Connection Bolts          (Top)]]-1)*Reinforcements[[#This Row],[End Connection Bolt Spacing (in) (T)]]),"-")</f>
        <v>21</v>
      </c>
      <c r="GM28">
        <f>IFERROR(IF(VLOOKUP(Reinforcements[[#This Row],[Top End Connection Bolt Type]],Bolts[],COLUMN(Bolts[[#Headers],[Rev. H Apply Connection Length Reduction Factor (Rb)?]])-1,FALSE)=TRUE,(IF(Reinforcements[[#This Row],[Lb(top)]]&lt;=16,1,IF(Reinforcements[[#This Row],[Lb(top)]]&gt;38,0.75,0.9))),1),"-")</f>
        <v>0.9</v>
      </c>
      <c r="GN2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t="str">
        <f>Reinforcements[[#This Row],[Rev. G Bolt-Shaft Bearing Capacity (Bottom)                No Deformation          (*t*Fu kips)]]</f>
        <v>-</v>
      </c>
      <c r="GP28" t="str">
        <f>Reinforcements[[#This Row],[Rev. G Bolt-Shaft Bearing Capacity (Bottom)                   Deformation          (*t*Fu kips)]]</f>
        <v>-</v>
      </c>
      <c r="GQ28">
        <f>Reinforcements[[#This Row],[Rev. G Bolt-Shaft Bearing Capacity (Top)                    No Deformation          (*t*Fu kips)]]</f>
        <v>15.870236220472439</v>
      </c>
      <c r="GR28">
        <f>Reinforcements[[#This Row],[Rev. G Bolt-Shaft Bearing Capacity (Top)                        Deformation          (*t*Fu kips)]]</f>
        <v>19.837795275590551</v>
      </c>
      <c r="GS28" t="str">
        <f>Reinforcements[[#This Row],[Rev. G Bolt-Reinf. Bearing Capacity (Bottom)            No Deformation (kips)]]</f>
        <v>-</v>
      </c>
      <c r="GT28" t="str">
        <f>Reinforcements[[#This Row],[Rev. G Bolt-Reinf. Bearing Capacity (Bottom)               Deformation (kips)]]</f>
        <v>-</v>
      </c>
      <c r="GU28">
        <f>Reinforcements[[#This Row],[Rev. G Bolt-Reinf. Bearing Capacity (Top)                  No Deformation (kips)]]</f>
        <v>1587.0236220472443</v>
      </c>
      <c r="GV28">
        <f>Reinforcements[[#This Row],[Rev. G Bolt-Reinf. Bearing Capacity (Top)               Deformation (kips)]]</f>
        <v>1983.7795275590552</v>
      </c>
      <c r="GW28" t="str">
        <f>Reinforcements[[#This Row],[Rev. G Bottom Transverse Weld Strength]]</f>
        <v>-</v>
      </c>
      <c r="GX28" t="str">
        <f>Reinforcements[[#This Row],[Rev. G Bottom Longitudinal Weld Strength]]</f>
        <v>-</v>
      </c>
      <c r="GY28" t="str">
        <f>Reinforcements[[#This Row],[Rev. G Top Transverse Weld Strength]]</f>
        <v>-</v>
      </c>
      <c r="GZ28" t="str">
        <f>Reinforcements[[#This Row],[Rev. G Top Longitudinal Weld Strength]]</f>
        <v>-</v>
      </c>
      <c r="HA28">
        <v>26</v>
      </c>
      <c r="HB2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0" x14ac:dyDescent="0.2">
      <c r="B29" s="49" t="s">
        <v>386</v>
      </c>
      <c r="C29" s="49" t="s">
        <v>352</v>
      </c>
      <c r="D29" s="6">
        <v>4.5</v>
      </c>
      <c r="E29" s="6">
        <v>1</v>
      </c>
      <c r="F29" s="6" t="str">
        <f>IF(Reinforcements[[#This Row],[Type]]="","",IF(Reinforcements[[#This Row],[Type]]="solid round","","n/a"))</f>
        <v>n/a</v>
      </c>
      <c r="G29" s="6" t="str">
        <f>IF(Reinforcements[[#This Row],[Type]]="","",IF(Reinforcements[[#This Row],[Type]]&lt;&gt;"channel","n/a",""))</f>
        <v>n/a</v>
      </c>
      <c r="H29" s="6" t="str">
        <f>IF(Reinforcements[[#This Row],[Type]]="","",IF(Reinforcements[[#This Row],[Type]]&lt;&gt;"channel","n/a",""))</f>
        <v>n/a</v>
      </c>
      <c r="I29" s="126" t="str">
        <f>IF(Reinforcements[[#This Row],[Type]]="","",IF(Reinforcements[[#This Row],[Type]]&lt;&gt;"channel","n/a",Reinforcements[[#This Row],[eo]]))</f>
        <v>n/a</v>
      </c>
      <c r="J29" s="126" t="str">
        <f>IF(Reinforcements[[#This Row],[Type]]="","",IF(Reinforcements[[#This Row],[Type]]&lt;&gt;"channel","n/a",Reinforcements[[#This Row],[J]]))</f>
        <v>n/a</v>
      </c>
      <c r="K29" s="126" t="str">
        <f>IF(Reinforcements[[#This Row],[Type]]="","",IF(Reinforcements[[#This Row],[Type]]&lt;&gt;"channel","n/a",Reinforcements[[#This Row],[Cw]]))</f>
        <v>n/a</v>
      </c>
      <c r="L29" s="6">
        <f>IFERROR(IF(Reinforcements[[#This Row],[Type]]="","",IF(Reinforcements[[#This Row],[Type]]="plate",Reinforcements[[#This Row],[B (in)]]*Reinforcements[[#This Row],[H (in)]],IF(Reinforcements[[#This Row],[Type]]="solid round",PI()/4*Reinforcements[[#This Row],[Diameter (in)]]^2,""))),"")</f>
        <v>4.5</v>
      </c>
      <c r="M29" s="6">
        <f>IFERROR(IF(Reinforcements[[#This Row],[Type]]="","",IF(Reinforcements[[#This Row],[Type]]="plate",Reinforcements[[#This Row],[H (in)]]/2,"")),"")</f>
        <v>0.5</v>
      </c>
      <c r="N29" s="34" t="s">
        <v>353</v>
      </c>
      <c r="O29" s="6" t="s">
        <v>138</v>
      </c>
      <c r="P29" s="123">
        <f>IFERROR(IF(Reinforcements[[#This Row],[Type]]="","",IF(Reinforcements[[#This Row],[Type]]="plate",Reinforcements[[#This Row],[B (in)]]*Reinforcements[[#This Row],[H (in)]]^3/12,IF(Reinforcements[[#This Row],[Type]]="solid round",PI()/64*Reinforcements[[#This Row],[Diameter (in)]]^4,""))),"")</f>
        <v>0.375</v>
      </c>
      <c r="Q29" s="123">
        <f>IF(Reinforcements[[#This Row],[Reinforcement]]="","",SQRT(Reinforcements[[#This Row],[Ix]]/Reinforcements[[#This Row],[Gross Area (in2)]]))</f>
        <v>0.28867513459481287</v>
      </c>
      <c r="R29" s="123">
        <f>IFERROR(IF(Reinforcements[[#This Row],[Type]]="","",IF(Reinforcements[[#This Row],[Type]]="plate",Reinforcements[[#This Row],[B (in)]]^3*Reinforcements[[#This Row],[H (in)]]/12,IF(Reinforcements[[#This Row],[Type]]="solid round",PI()/64*Reinforcements[[#This Row],[Diameter (in)]]^4,""))),"")</f>
        <v>7.59375</v>
      </c>
      <c r="S29" s="123">
        <f>IF(Reinforcements[[#This Row],[Reinforcement]]="","",SQRT(Reinforcements[[#This Row],[Iy]]/Reinforcements[[#This Row],[Gross Area (in2)]]))</f>
        <v>1.299038105676658</v>
      </c>
      <c r="T29" s="6">
        <v>20</v>
      </c>
      <c r="U29" s="6">
        <v>0.8</v>
      </c>
      <c r="V29" s="6">
        <v>1</v>
      </c>
      <c r="W29" s="6">
        <v>1.1875</v>
      </c>
      <c r="X29" s="6">
        <f>IF(Reinforcements[[#This Row],[Bolt Hole Size (in)]]="","",IF(Reinforcements[[#This Row],[Bolt Hole Size (in)]]="n/a","n/a",Reinforcements[[#This Row],[Bolt Hole Size (in)]]*25.4))</f>
        <v>30.162499999999998</v>
      </c>
      <c r="Y2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6">
        <f>IFERROR(IF(Reinforcements[[#This Row],[Reinforcement]]="","",IF(OR(Reinforcements[[#This Row],[Type]]="plate",Reinforcements[[#This Row],[Type]]="solid round"),1,IF(Reinforcements[[#This Row],[Type]]="arbitrary","",1-Reinforcements[[#This Row],[Pole Face to Centroid (in)]]/Reinforcements[[#This Row],[Connection Length (in) '[Channels']]]))),"")</f>
        <v>1</v>
      </c>
      <c r="AA29" s="34" t="s">
        <v>382</v>
      </c>
      <c r="AB29" s="34" t="str">
        <f>IF(Reinforcements[[#This Row],[Reinforcement]]="","",IF(Reinforcements[[#This Row],[Bottom End Connection Type]]&lt;&gt;"Capacity Input","-",""))</f>
        <v>-</v>
      </c>
      <c r="AC29" s="34" t="str">
        <f>IF(Reinforcements[[#This Row],[Reinforcement]]="","",IF(Reinforcements[[#This Row],[Bottom End Connection Type]]&lt;&gt;"Capacity Input","-",""))</f>
        <v>-</v>
      </c>
      <c r="AD29" s="16" t="str">
        <f>IF(Reinforcements[[#This Row],[Reinforcement]]="","",IF(Reinforcements[[#This Row],[Bottom End Connection Type]]&lt;&gt;"Capacity Input","-",""))</f>
        <v>-</v>
      </c>
      <c r="AE29" s="74" t="str">
        <f>IF(Reinforcements[[#This Row],[Reinforcement]]="","",IF(Reinforcements[[#This Row],[Bottom End Connection Type]]="","-",IF(Reinforcements[[#This Row],[Bottom End Connection Type]]&lt;&gt;"Bolted","-","")))</f>
        <v>-</v>
      </c>
      <c r="AF29" s="6" t="str">
        <f>IF(Reinforcements[[#This Row],[Bottom End Connection Type]]="Welded","-","")</f>
        <v>-</v>
      </c>
      <c r="AG29" s="6" t="str">
        <f>IF(Reinforcements[[#This Row],[Bottom End Connection Type]]="Welded","-","")</f>
        <v>-</v>
      </c>
      <c r="AH29" s="6" t="str">
        <f>IF(Reinforcements[[#This Row],[Bottom End Connection Type]]="Welded","-","")</f>
        <v>-</v>
      </c>
      <c r="AI29" s="6" t="str">
        <f>IF(Reinforcements[[#This Row],[Bottom End Connection Type]]="Welded","-","")</f>
        <v>-</v>
      </c>
      <c r="AJ29" s="6" t="e">
        <f>Reinforcements[[#This Row],[End Connection Edge Distance (in) (B)]]-(Reinforcements[[#This Row],[Bolt Hole Size (in)]]+1/16)/2</f>
        <v>#VALUE!</v>
      </c>
      <c r="AK29" s="6" t="e">
        <f>Reinforcements[[#This Row],[End Connection Bolt Spacing (in) (B)]]-(Reinforcements[[#This Row],[Bolt Hole Size (in)]]+1/16)</f>
        <v>#VALUE!</v>
      </c>
      <c r="AL29" s="6" t="str">
        <f>Reinforcements[[#This Row],[End Connection Edge Distance (in) (B)]]</f>
        <v>-</v>
      </c>
      <c r="AM29" s="6" t="str">
        <f>Reinforcements[[#This Row],[End Connection Bolt Spacing (in) (B)]]</f>
        <v>-</v>
      </c>
      <c r="AN29" s="111" t="s">
        <v>357</v>
      </c>
      <c r="AO29" s="111">
        <v>70</v>
      </c>
      <c r="AP29" s="111" t="s">
        <v>383</v>
      </c>
      <c r="AQ29" s="111">
        <v>4.5</v>
      </c>
      <c r="AR29" s="6">
        <v>1</v>
      </c>
      <c r="AS29" s="6">
        <v>45</v>
      </c>
      <c r="AT29" s="111">
        <v>0.25</v>
      </c>
      <c r="AU2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11" t="s">
        <v>384</v>
      </c>
      <c r="AW29" s="111" t="str">
        <f>IF(Reinforcements[[#This Row],[Reinforcement]]="","",IF(OR(Reinforcements[[#This Row],[Bottom End Connection Type]]&lt;&gt;"Welded",Reinforcements[[#This Row],[Bottom Longitudinal (Vertical) Weld]]="None",Reinforcements[[#This Row],[Bottom Longitudinal (Vertical) Weld]]=""),"-",""))</f>
        <v>-</v>
      </c>
      <c r="AX29" s="111" t="str">
        <f>IF(Reinforcements[[#This Row],[Reinforcement]]="","",IF(OR(Reinforcements[[#This Row],[Bottom End Connection Type]]&lt;&gt;"Welded",Reinforcements[[#This Row],[Bottom Longitudinal (Vertical) Weld]]="None",Reinforcements[[#This Row],[Bottom Longitudinal (Vertical) Weld]]=""),"-",""))</f>
        <v>-</v>
      </c>
      <c r="AY29" s="6" t="str">
        <f>IF(Reinforcements[[#This Row],[Reinforcement]]="","",IF(OR(Reinforcements[[#This Row],[Bottom End Connection Type]]&lt;&gt;"Welded",Reinforcements[[#This Row],[Bottom Longitudinal (Vertical) Weld]]="None"),"-",SQRT(2)/2*Reinforcements[[#This Row],[Bottom Longitudinal Weld Fillet Size (in)]]))</f>
        <v>-</v>
      </c>
      <c r="AZ29" s="111" t="s">
        <v>353</v>
      </c>
      <c r="BA29" s="34" t="s">
        <v>354</v>
      </c>
      <c r="BB29" s="34" t="str">
        <f>IF(Reinforcements[[#This Row],[Reinforcement]]="","",IF(Reinforcements[[#This Row],[Top End Connection Same?]]="Yes",Reinforcements[[#This Row],[Rev. F Bottom Connection Capacity (kips)]],IF(Reinforcements[[#This Row],[Reinforcement]]="","",IF(Reinforcements[[#This Row],[Top End Connection Type]]&lt;&gt;"Capacity Input","-",""))))</f>
        <v>-</v>
      </c>
      <c r="BC29" s="34" t="str">
        <f>IF(Reinforcements[[#This Row],[Reinforcement]]="","",IF(Reinforcements[[#This Row],[Top End Connection Same?]]="Yes",Reinforcements[[#This Row],[Rev. G Bottom Connection Capacity (kips)]],IF(Reinforcements[[#This Row],[Reinforcement]]="","",IF(Reinforcements[[#This Row],[Top End Connection Type]]&lt;&gt;"Capacity Input","-",""))))</f>
        <v>-</v>
      </c>
      <c r="BD29" s="16" t="str">
        <f>IF(Reinforcements[[#This Row],[Reinforcement]]="","",IF(Reinforcements[[#This Row],[Top End Connection Same?]]="Yes",Reinforcements[[#This Row],[Rev. G Bottom Connection Capacity (kips)]],IF(Reinforcements[[#This Row],[Reinforcement]]="","",IF(Reinforcements[[#This Row],[Top End Connection Type]]&lt;&gt;"Capacity Input","-",""))))</f>
        <v>-</v>
      </c>
      <c r="BE29" s="74" t="s">
        <v>355</v>
      </c>
      <c r="BF29" s="111" t="s">
        <v>356</v>
      </c>
      <c r="BG29" s="6">
        <v>8</v>
      </c>
      <c r="BH29" s="6">
        <v>3</v>
      </c>
      <c r="BI29" s="6">
        <v>3</v>
      </c>
      <c r="BJ29" s="6">
        <f>Reinforcements[[#This Row],[End Connection Edge Distance (in) (T)]]-(Reinforcements[[#This Row],[Bolt Hole Size (in)]]+1/16)/2</f>
        <v>2.375</v>
      </c>
      <c r="BK29" s="6">
        <f>Reinforcements[[#This Row],[End Connection Bolt Spacing (in) (T)]]-(Reinforcements[[#This Row],[Bolt Hole Size (in)]]+1/16)</f>
        <v>1.75</v>
      </c>
      <c r="BL29" s="6">
        <f>Reinforcements[[#This Row],[End Connection Edge Distance (in) (T)]]</f>
        <v>3</v>
      </c>
      <c r="BM29" s="6">
        <f>Reinforcements[[#This Row],[End Connection Bolt Spacing (in) (T)]]</f>
        <v>3</v>
      </c>
      <c r="BN29" s="6" t="str">
        <f>IF(Reinforcements[[#This Row],[Reinforcement]]="","",IF(Reinforcements[[#This Row],[Top End Connection Same?]]="Yes",Reinforcements[[#This Row],[Bottom Connected to Flange/Base Plate?]],IF(Reinforcements[[#This Row],[Top End Connection Type]]="Bolted","-","")))</f>
        <v>-</v>
      </c>
      <c r="BO29" s="6" t="str">
        <f>IF(Reinforcements[[#This Row],[Reinforcement]]="","",IF(Reinforcements[[#This Row],[Top End Connection Same?]]="Yes",Reinforcements[[#This Row],[Bottom Weld Grade (ksi)]],IF(OR(Reinforcements[[#This Row],[Top End Connection Type]]&lt;&gt;"Welded",Reinforcements[[#This Row],[Top End Connection Type]]=""),"-","")))</f>
        <v>-</v>
      </c>
      <c r="BP29" s="6" t="str">
        <f>IF($AZ29="Yes",AP29,IF(Reinforcements[[#This Row],[Reinforcement]]="","",IF(OR(Reinforcements[[#This Row],[Top End Connection Type]]&lt;&gt;"Welded",Reinforcements[[#This Row],[Top End Connection Type]]=""),"-","")))</f>
        <v>-</v>
      </c>
      <c r="BQ29" s="6" t="str">
        <f>IF(Reinforcements[[#This Row],[Reinforcement]]="","",IF($AZ29="Yes",AQ29,IF(OR(Reinforcements[[#This Row],[Top End Connection Type]]&lt;&gt;"Welded",Reinforcements[[#This Row],[Top Transverse (Horizontal) Weld]]="none",Reinforcements[[#This Row],[Top Transverse (Horizontal) Weld]]=""),"-","")))</f>
        <v>-</v>
      </c>
      <c r="BR29" s="6"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6"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6" t="str">
        <f>IF(Reinforcements[[#This Row],[Reinforcement]]="","",IF($AZ29="Yes",AT29,IF(OR(Reinforcements[[#This Row],[Top Transverse (Horizontal) Weld]]="none",Reinforcements[[#This Row],[Top End Connection Type]]&lt;&gt;"Welded",Reinforcements[[#This Row],[Top Transverse (Horizontal) Weld]]=""),"-","")))</f>
        <v>-</v>
      </c>
      <c r="BU29" s="6"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6" t="str">
        <f>IF($AZ29="Yes",AV29,IF(Reinforcements[[#This Row],[Reinforcement]]="","",IF(OR(Reinforcements[[#This Row],[Top End Connection Type]]&lt;&gt;"Welded",Reinforcements[[#This Row],[Top End Connection Type]]=""),"-","")))</f>
        <v>-</v>
      </c>
      <c r="BW29" s="6"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6"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6" t="str">
        <f>IF($AZ29="Yes",AY29,IF(Reinforcements[[#This Row],[Reinforcement]]="","",IF(OR(Reinforcements[[#This Row],[Top End Connection Type]]&lt;&gt;"Welded",Reinforcements[[#This Row],[Top Longitudinal (Vertical) Weld]]="none"),"-",SQRT(2)/2*Reinforcements[[#This Row],[Top Longitudinal Weld Fillet Size (in)]])))</f>
        <v>-</v>
      </c>
      <c r="BZ2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111">
        <f>IF(Reinforcements[[#This Row],[Reinforcement]]="","",IF(Reinforcements[[#This Row],[Top End Connection Type]]&lt;&gt;"Bolted","n/a",(Reinforcements[[#This Row],['# of End Connection Bolts          (Top)]]-1)*Reinforcements[[#This Row],[End Connection Bolt Spacing (in) (T)]]+Reinforcements[[#This Row],[End Connection Edge Distance (in) (T)]]))</f>
        <v>24</v>
      </c>
      <c r="CC2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6">
        <f>IFERROR(IF(Reinforcements[[#This Row],[Type]]="","",Reinforcements[[#This Row],[Effective B (in)]]*Reinforcements[[#This Row],[Effective H (in)]]^3/12),"")</f>
        <v>0.375</v>
      </c>
      <c r="CF29" s="6">
        <f>IFERROR(IF(Reinforcements[[#This Row],[Type]]="","",Reinforcements[[#This Row],[Effective B (in)]]^3*Reinforcements[[#This Row],[Effective H (in)]]/12),"")</f>
        <v>7.59375</v>
      </c>
      <c r="CG29" s="126">
        <f>SQRT(2*PI()^2*29000/VLOOKUP(Reinforcements[[#This Row],[Material]],Materials[],2,FALSE))</f>
        <v>93.844147005158973</v>
      </c>
      <c r="CH2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123">
        <f>Reinforcements[[#This Row],[Effective Length Factor Kx]]*Reinforcements[[#This Row],[Lu (in)]]/(Reinforcements[[#This Row],[rx]]*PI())*SQRT(VLOOKUP(Reinforcements[[#This Row],[Material]],Materials[],2,FALSE)/29000)</f>
        <v>0.83525370809489741</v>
      </c>
      <c r="CK29" s="123">
        <f>Reinforcements[[#This Row],[Effective Length Factor Ky]]*Reinforcements[[#This Row],[Lu (in)]]/(Reinforcements[[#This Row],[ry]]*PI())*SQRT(VLOOKUP(Reinforcements[[#This Row],[Material]],Materials[],2,FALSE)/29000)</f>
        <v>0.23201491891524928</v>
      </c>
      <c r="CL29" s="123">
        <f>IF(Reinforcements[[#This Row],[λcx]]&lt;=1.5,0.658^(Reinforcements[[#This Row],[λcx]]^2)*Reinforcements[[#This Row],[F''y]],0.877/(Reinforcements[[#This Row],[λcx]]^2)*Reinforcements[[#This Row],[F''y]])</f>
        <v>48.539900000911423</v>
      </c>
      <c r="CM29" s="123">
        <f>IF(Reinforcements[[#This Row],[λcy]]&lt;=1.5,0.658^(Reinforcements[[#This Row],[λcy]]^2)*Reinforcements[[#This Row],[F''y]],0.877/(Reinforcements[[#This Row],[λcy]]^2)*Reinforcements[[#This Row],[F''y]])</f>
        <v>63.551863369977021</v>
      </c>
      <c r="CN29" s="6">
        <f>VLOOKUP(Reinforcements[[#This Row],[Material]],Materials[],2,FALSE)</f>
        <v>65</v>
      </c>
      <c r="CO29" s="126">
        <f>IF(Reinforcements[[#This Row],[Reinforcement]]="","",Reinforcements[[#This Row],[Fax]]*Reinforcements[[#This Row],[Gross Area (in2)]])</f>
        <v>129.66343780630632</v>
      </c>
      <c r="CP29" s="126">
        <f>IF(Reinforcements[[#This Row],[Reinforcement]]="","",Reinforcements[[#This Row],[Fay]]*Reinforcements[[#This Row],[Gross Area (in2)]])</f>
        <v>167.02792472849697</v>
      </c>
      <c r="CQ29" s="126">
        <f>IF(Reinforcements[[#This Row],[Reinforcement]]="","",0.6*VLOOKUP(Reinforcements[[#This Row],[Material]],Materials[],2,FALSE)*Reinforcements[[#This Row],[Gross Area (in2)]])</f>
        <v>175.5</v>
      </c>
      <c r="CR29" s="126">
        <f>IF(Reinforcements[[#This Row],[Reinforcement]]="","",0.5*VLOOKUP(Reinforcements[[#This Row],[Material]],Materials[],3,FALSE)*Reinforcements[[#This Row],[Net Area (in2)]]*Reinforcements[[#This Row],[Shear Lag (U)]])</f>
        <v>130</v>
      </c>
      <c r="CS29" s="126">
        <f>IF(Reinforcements[[#This Row],[Reinforcement]]="","",0.4*VLOOKUP(Reinforcements[[#This Row],[Material]],Materials[],2,FALSE)*Reinforcements[[#This Row],[Gross Area (in2)]])</f>
        <v>117</v>
      </c>
      <c r="CT29"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126">
        <f>IF(Reinforcements[[#This Row],[Reinforcement]]="","",φ_c*Reinforcements[[#This Row],[Fcr,x]]*Reinforcements[[#This Row],[Gross Area (in2)]])</f>
        <v>196.58659500369126</v>
      </c>
      <c r="DI29" s="126">
        <f>IF(Reinforcements[[#This Row],[Reinforcement]]="","",φ_c*Reinforcements[[#This Row],[Fcr,y]]*Reinforcements[[#This Row],[Gross Area (in2)]])</f>
        <v>257.3850466484069</v>
      </c>
      <c r="DJ29" s="126">
        <f>IF(Reinforcements[[#This Row],[Reinforcement]]="","",φ_t_y*VLOOKUP(Reinforcements[[#This Row],[Material]],Materials[],2,FALSE)*Reinforcements[[#This Row],[Gross Area (in2)]])</f>
        <v>263.25</v>
      </c>
      <c r="DK29" s="126">
        <f>IF(Reinforcements[[#This Row],[Reinforcement]]="","",φ_t_r*VLOOKUP(Reinforcements[[#This Row],[Material]],Materials[],3,FALSE)*Reinforcements[[#This Row],[Net Area (in2)]]*Reinforcements[[#This Row],[Shear Lag (U)]])</f>
        <v>195</v>
      </c>
      <c r="DL29" s="126">
        <f>IF(Reinforcements[[#This Row],[Reinforcement]]="","",φ_v*0.5*Reinforcements[[#This Row],[F''y]]*Reinforcements[[#This Row],[Gross Area (in2)]])</f>
        <v>131.625</v>
      </c>
      <c r="DM29"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111" t="str">
        <f>IF(OR(Reinforcements[[#This Row],[Type]]="plate",Reinforcements[[#This Row],[Type]]="solid round"),"N/A",Reinforcements[[#This Row],[B (in)]])</f>
        <v>N/A</v>
      </c>
      <c r="EB29" s="6" t="str">
        <f>IF(OR(Reinforcements[[#This Row],[Type]]="plate",Reinforcements[[#This Row],[Type]]="solid round"),"N/A",Reinforcements[[#This Row],[H (in)]])</f>
        <v>N/A</v>
      </c>
      <c r="EC29" s="6" t="str">
        <f>IF(OR(Reinforcements[[#This Row],[Type]]="plate",Reinforcements[[#This Row],[Type]]="solid round"),"N/A",Reinforcements[[#This Row],[B (in)]]-Reinforcements[[#This Row],['[Channel'] Flange Thickness (in)]])</f>
        <v>N/A</v>
      </c>
      <c r="ED29" s="6" t="str">
        <f>IF(OR(Reinforcements[[#This Row],[Type]]="plate",Reinforcements[[#This Row],[Type]]="solid round"),"N/A",Reinforcements[[#This Row],['[Channel']Web Thickness (in)]])</f>
        <v>N/A</v>
      </c>
      <c r="EE29" s="6" t="str">
        <f>IF(OR(Reinforcements[[#This Row],[Type]]="plate",Reinforcements[[#This Row],[Type]]="solid round"),"N/A",Reinforcements[[#This Row],['[Channel'] Flange Thickness (in)]])</f>
        <v>N/A</v>
      </c>
      <c r="EF29" s="6" t="str">
        <f>IF(Reinforcements[[#This Row],[Type]]="channel",Reinforcements[[#This Row],[Channel Flange Width, b]]/Reinforcements[[#This Row],[Channel flange thickness, tf]],"N/A")</f>
        <v>N/A</v>
      </c>
      <c r="EG29" s="6" t="str">
        <f>IF(Reinforcements[[#This Row],[Type]]="channel",Reinforcements[[#This Row],[Channel inside depth, T]]/Reinforcements[[#This Row],[Channel web thickness, tw]],"N/A")</f>
        <v>N/A</v>
      </c>
      <c r="EH29" s="6">
        <f>29000</f>
        <v>29000</v>
      </c>
      <c r="EI29" s="6" t="str">
        <f>IF(Reinforcements[[#This Row],[Type]]="channel",0.56*SQRT(Reinforcements[[#This Row],[E, (ksi)]]/Reinforcements[[#This Row],[Fy, (ksi)]]),"N/A")</f>
        <v>N/A</v>
      </c>
      <c r="EJ29" s="6" t="str">
        <f>IF(Reinforcements[[#This Row],[Type]]="channel",1.49*SQRT(Reinforcements[[#This Row],[E, (ksi)]]/Reinforcements[[#This Row],[Fy, (ksi)]]),"N/A")</f>
        <v>N/A</v>
      </c>
      <c r="EK29" s="6">
        <f>VLOOKUP(Reinforcements[[#This Row],[Material]],Materials!$B$2:$C$30,2,FALSE)</f>
        <v>65</v>
      </c>
      <c r="EL29" s="6">
        <f>Reinforcements[[#This Row],[Lu (in)]]*Reinforcements[[#This Row],[Effective Length Factor Kx]]</f>
        <v>16</v>
      </c>
      <c r="EM29" s="6">
        <f>Reinforcements[[#This Row],[Lu (in)]]*Reinforcements[[#This Row],[Effective Length Factor Ky]]</f>
        <v>20</v>
      </c>
      <c r="EN29" s="6">
        <f>Reinforcements[[#This Row],[rx]]</f>
        <v>0.28867513459481287</v>
      </c>
      <c r="EO29" s="6">
        <f>Reinforcements[[#This Row],[ry]]</f>
        <v>1.299038105676658</v>
      </c>
      <c r="EP29" s="6">
        <f>Reinforcements[[#This Row],[Lcx (in)]]/Reinforcements[[#This Row],[rx (in)]]</f>
        <v>55.425625842204077</v>
      </c>
      <c r="EQ29" s="6">
        <f>Reinforcements[[#This Row],[Lcy (in)]]/Reinforcements[[#This Row],[ry (in)]]</f>
        <v>15.39600717839002</v>
      </c>
      <c r="ER29" s="6">
        <f>((PI()^2)*Reinforcements[[#This Row],[E, (ksi)]])/(Reinforcements[[#This Row],[Lcx/rx]]^2)</f>
        <v>93.1700936300753</v>
      </c>
      <c r="ES29" s="6">
        <f>((PI()^2)*Reinforcements[[#This Row],[E, (ksi)]])/(Reinforcements[[#This Row],[Lcy/ry]]^2)</f>
        <v>1207.484413445776</v>
      </c>
      <c r="ET29" s="6">
        <f>4.71*(SQRT(Reinforcements[[#This Row],[E, (ksi)]]/Reinforcements[[#This Row],[Fy, (ksi)]]))</f>
        <v>99.486288193205496</v>
      </c>
      <c r="EU29" s="6">
        <f>IF(Reinforcements[[#This Row],[Lcx/rx]]&lt;=Reinforcements[[#This Row],[Fcr Limit]],(0.658^(Reinforcements[[#This Row],[Fy, (ksi)]]/Reinforcements[[#This Row],[Fex, FB (ksi)]]))*Reinforcements[[#This Row],[Fy, (ksi)]],0.877*Reinforcements[[#This Row],[Fex, FB (ksi)]])</f>
        <v>48.539900000911416</v>
      </c>
      <c r="EV29" s="6">
        <f>IF(Reinforcements[[#This Row],[Lcy/ry]]&lt;=Reinforcements[[#This Row],[Fcr Limit]],(0.658^(Reinforcements[[#This Row],[Fy, (ksi)]]/Reinforcements[[#This Row],[Fey, FB (ksi)]]))*Reinforcements[[#This Row],[Fy, (ksi)]],0.877*Reinforcements[[#This Row],[Fey, FB (ksi)]])</f>
        <v>63.551863369977021</v>
      </c>
      <c r="EW29" s="6">
        <f>Reinforcements[[#This Row],[Fcrx (ksi)]]*Reinforcements[[#This Row],[Gross Area (in2)]]</f>
        <v>218.42955000410137</v>
      </c>
      <c r="EX29" s="6">
        <f>Reinforcements[[#This Row],[Fcry (ksi)]]*Reinforcements[[#This Row],[Gross Area (in2)]]</f>
        <v>285.98338516489662</v>
      </c>
      <c r="EY29" s="6" t="str">
        <f>IF(Reinforcements[[#This Row],[Type]]="channel",0,"N/A")</f>
        <v>N/A</v>
      </c>
      <c r="EZ29" s="6" t="str">
        <f>IF(Reinforcements[[#This Row],[Type]]="channel",Reinforcements[[#This Row],[Channel Flange Width, b]]-(0.5*Reinforcements[[#This Row],[Channel web thickness, tw]]),"N/A")</f>
        <v>N/A</v>
      </c>
      <c r="FA29" s="6" t="str">
        <f>IF(Reinforcements[[#This Row],[Type]]="channel",Reinforcements[[#This Row],[Channel Height, h]]-Reinforcements[[#This Row],[Channel flange thickness, tf]],"N/A")</f>
        <v>N/A</v>
      </c>
      <c r="FB29" s="6" t="str">
        <f>IF(Reinforcements[[#This Row],[Type]]="channel",Reinforcements[[#This Row],[Channel web thickness, tw]],"N/A")</f>
        <v>N/A</v>
      </c>
      <c r="FC29" s="6" t="str">
        <f>IF(Reinforcements[[#This Row],[Type]]="channel",((3*Reinforcements[[#This Row],[b]]^2)/(Reinforcements[[#This Row],[h]]+(6*Reinforcements[[#This Row],[b]])))-Reinforcements[[#This Row],[t]]/2,"N/A")</f>
        <v>N/A</v>
      </c>
      <c r="FD29" s="6">
        <f>Reinforcements[[#This Row],[Pole Face to Centroid (in)]]</f>
        <v>0.5</v>
      </c>
      <c r="FE29" s="6" t="str">
        <f>IF(Reinforcements[[#This Row],[Type]]="channel",Reinforcements[[#This Row],[x(bar)]]+Reinforcements[[#This Row],['[Channel'] e0 (in)]],"N/A")</f>
        <v>N/A</v>
      </c>
      <c r="FF29" s="6" t="str">
        <f>IF(Reinforcements[[#This Row],[Type]]="channel",Reinforcements[[#This Row],[Ix]],"N/A")</f>
        <v>N/A</v>
      </c>
      <c r="FG29" s="6" t="str">
        <f>IF(Reinforcements[[#This Row],[Type]]="channel",Reinforcements[[#This Row],[Iy]],"N/A")</f>
        <v>N/A</v>
      </c>
      <c r="FH29" s="6" t="str">
        <f>IF(Reinforcements[[#This Row],[Type]]="channel",Reinforcements[[#This Row],[Gross Area (in2)]],"N/A")</f>
        <v>N/A</v>
      </c>
      <c r="FI29" s="6" t="str">
        <f>IF(Reinforcements[[#This Row],[Type]]="channel",(Reinforcements[[#This Row],[xo]]^2)+((Reinforcements[[#This Row],[Ix (FTB)]]+Reinforcements[[#This Row],[Iy (FTB)]])/Reinforcements[[#This Row],[Ag]]),"N/A")</f>
        <v>N/A</v>
      </c>
      <c r="FJ29" s="6" t="str">
        <f>IF(Reinforcements[[#This Row],[Type]]="channel",Reinforcements[[#This Row],[Lu (in)]],"N/A")</f>
        <v>N/A</v>
      </c>
      <c r="FK29" s="6" t="str">
        <f>IF(Reinforcements[[#This Row],[Type]]="channel",Reinforcements[[#This Row],[Effective Length Factor Kx]],"N/A")</f>
        <v>N/A</v>
      </c>
      <c r="FL29" s="6" t="str">
        <f>IF(Reinforcements[[#This Row],[Type]]="channel",Reinforcements[[#This Row],[Kz]]*Reinforcements[[#This Row],[Lz]],"N/A")</f>
        <v>N/A</v>
      </c>
      <c r="FM29" s="6" t="str">
        <f>IF(Reinforcements[[#This Row],[Type]]="channel",(((Reinforcements[[#This Row],[t]]^3)/3)*(Reinforcements[[#This Row],[h]]+(2*Reinforcements[[#This Row],[b]]))),"N/A")</f>
        <v>N/A</v>
      </c>
      <c r="FN29" s="6" t="str">
        <f>IF(Reinforcements[[#This Row],[Type]]="channel",(1-(((Reinforcements[[#This Row],[xo]]^2)+(Reinforcements[[#This Row],[yo]]^2))/Reinforcements[[#This Row],[ro^2(bar)]])),"N/A")</f>
        <v>N/A</v>
      </c>
      <c r="FO29" s="6">
        <v>11200</v>
      </c>
      <c r="FP29" s="6" t="str">
        <f>IF(Reinforcements[[#This Row],[Type]]="channel",(((Reinforcements[[#This Row],[h]]^2)*(Reinforcements[[#This Row],[b]]^3)*Reinforcements[[#This Row],[t]])/12)*(((2*Reinforcements[[#This Row],[h]])+(3*Reinforcements[[#This Row],[b]]))/(Reinforcements[[#This Row],[h]]+(6*Reinforcements[[#This Row],[b]]))),"N/A")</f>
        <v>N/A</v>
      </c>
      <c r="FQ29" s="6" t="str">
        <f>IF(Reinforcements[[#This Row],[Type]]="Channel",((((PI()^2)*Reinforcements[[#This Row],[E, (ksi)]]*Reinforcements[[#This Row],['[Channel'] CW (in6)]])/(Reinforcements[[#This Row],[Lcz]]^2))+(Reinforcements[[#This Row],[G]]*Reinforcements[[#This Row],['[Channel'] J (in4)]]))*(1/(Reinforcements[[#This Row],[Ag]]*Reinforcements[[#This Row],[ro^2(bar)]])),"N/A")</f>
        <v>N/A</v>
      </c>
      <c r="FR29" s="6" t="str">
        <f>IF(Reinforcements[[#This Row],[Type]]="channel",((PI()^2)*Reinforcements[[#This Row],[E, (ksi)]])/(Reinforcements[[#This Row],[Lcy/ry]]^2),"N/A")</f>
        <v>N/A</v>
      </c>
      <c r="FS29" s="6" t="str">
        <f>IF(Reinforcements[[#This Row],[Type]]="channel",((Reinforcements[[#This Row],[Fey]]+Reinforcements[[#This Row],[Fez]])/(2*Reinforcements[[#This Row],[H2]]))*(1-SQRT(1-((4*Reinforcements[[#This Row],[Fey]]*Reinforcements[[#This Row],[Fez]]*Reinforcements[[#This Row],[H2]])/(Reinforcements[[#This Row],[Fey]]+Reinforcements[[#This Row],[Fez]])^2))),"N/A")</f>
        <v>N/A</v>
      </c>
      <c r="FT29" s="6" t="str">
        <f>IF(Reinforcements[[#This Row],[Type]]="channel",IF(Reinforcements[[#This Row],[Lcx/rx]]&gt;(4.71*SQRT(Reinforcements[[#This Row],[E, (ksi)]]/Reinforcements[[#This Row],[Fy, (ksi)]])),0.877*Reinforcements[[#This Row],[Fe (FTB)]],0.658^(Reinforcements[[#This Row],[Fy, (ksi)]]/Reinforcements[[#This Row],[Fe (FTB)]])*Reinforcements[[#This Row],[Fy, (ksi)]]),"N/A")</f>
        <v>N/A</v>
      </c>
      <c r="FU29" s="6" t="str">
        <f>IF(Reinforcements[[#This Row],[Type]]="channel",MIN(Reinforcements[[#This Row],[Fcr(FTB)]],Reinforcements[[#This Row],[Fcry (ksi)]]),"N/A")</f>
        <v>N/A</v>
      </c>
      <c r="FV29" s="6">
        <v>0.22</v>
      </c>
      <c r="FW29" s="6">
        <v>1.49</v>
      </c>
      <c r="FX29" s="6" t="str">
        <f>IF(Reinforcements[[#This Row],[Type]]="channel",((Reinforcements[[#This Row],[c2]]*(Reinforcements[[#This Row],[λrf]]/Reinforcements[[#This Row],[λf]]))^2)*Reinforcements[[#This Row],[Fy, (ksi)]],"N/A")</f>
        <v>N/A</v>
      </c>
      <c r="FY29" s="6" t="str">
        <f>IF(Reinforcements[[#This Row],[Type]]="channel",((Reinforcements[[#This Row],[c2]]*(Reinforcements[[#This Row],[λrw]]/Reinforcements[[#This Row],[λw]]))^2)*Reinforcements[[#This Row],[Fy, (ksi)]],"N/A")</f>
        <v>N/A</v>
      </c>
      <c r="FZ2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6" t="str">
        <f>IF(Reinforcements[[#This Row],[Type]]="channel",Reinforcements[[#This Row],[Fcr]]*Reinforcements[[#This Row],[Ae]],"N/A")</f>
        <v>N/A</v>
      </c>
      <c r="GD29">
        <f>IF(Reinforcements[[#This Row],[Reinforcement]]="","",φ_c*Reinforcements[[#This Row],[Pnx, FB (kip)]])</f>
        <v>196.58659500369123</v>
      </c>
      <c r="GE29">
        <f>IF(Reinforcements[[#This Row],[Reinforcement]]="","",IF(Reinforcements[[#This Row],[Type]]="channel",φ_c*Reinforcements[[#This Row],[Pn]],φ_c*Reinforcements[[#This Row],[Pny, FB (kip)]]))</f>
        <v>257.38504664840696</v>
      </c>
      <c r="GF29">
        <f>Reinforcements[[#This Row],[Rev. G Tension Yield Capacity (kips)]]</f>
        <v>263.25</v>
      </c>
      <c r="GG29">
        <f>Reinforcements[[#This Row],[Rev. G Tension Rupture Capacity (kips)]]</f>
        <v>195</v>
      </c>
      <c r="GH29">
        <f>Reinforcements[[#This Row],[Rev. G Shear Capacity (kips)]]</f>
        <v>131.625</v>
      </c>
      <c r="GI29" t="str">
        <f>IFERROR((Reinforcements[[#This Row],['# of End Connection Bolts          (Bottom)]]-1)*Reinforcements[[#This Row],[End Connection Bolt Spacing (in) (B)]],"-")</f>
        <v>-</v>
      </c>
      <c r="GJ29">
        <f>IFERROR(IF(VLOOKUP(Reinforcements[[#This Row],[Bottom End Connection Bolt Type]],Bolts[],COLUMN(Bolts[[#Headers],[Rev. H Apply Connection Length Reduction Factor (Rb)?]])-1,FALSE)="Yes",(IF(Reinforcements[[#This Row],[Lb(bottom)]]&lt;=16,1,IF(Reinforcements[[#This Row],[Lb(bottom)]]&gt;38,0.75,0.9))),1),"-")</f>
        <v>1</v>
      </c>
      <c r="GK2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f>IFERROR(IF(Reinforcements[[#This Row],[Top End Connection Same?]]="Yes",Reinforcements[[#This Row],[Lb(bottom)]],(Reinforcements[[#This Row],['# of End Connection Bolts          (Top)]]-1)*Reinforcements[[#This Row],[End Connection Bolt Spacing (in) (T)]]),"-")</f>
        <v>21</v>
      </c>
      <c r="GM29">
        <f>IFERROR(IF(VLOOKUP(Reinforcements[[#This Row],[Top End Connection Bolt Type]],Bolts[],COLUMN(Bolts[[#Headers],[Rev. H Apply Connection Length Reduction Factor (Rb)?]])-1,FALSE)=TRUE,(IF(Reinforcements[[#This Row],[Lb(top)]]&lt;=16,1,IF(Reinforcements[[#This Row],[Lb(top)]]&gt;38,0.75,0.9))),1),"-")</f>
        <v>0.9</v>
      </c>
      <c r="GN2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t="str">
        <f>Reinforcements[[#This Row],[Rev. G Bolt-Shaft Bearing Capacity (Bottom)                No Deformation          (*t*Fu kips)]]</f>
        <v>-</v>
      </c>
      <c r="GP29" t="str">
        <f>Reinforcements[[#This Row],[Rev. G Bolt-Shaft Bearing Capacity (Bottom)                   Deformation          (*t*Fu kips)]]</f>
        <v>-</v>
      </c>
      <c r="GQ29">
        <f>Reinforcements[[#This Row],[Rev. G Bolt-Shaft Bearing Capacity (Top)                    No Deformation          (*t*Fu kips)]]</f>
        <v>15.870236220472439</v>
      </c>
      <c r="GR29">
        <f>Reinforcements[[#This Row],[Rev. G Bolt-Shaft Bearing Capacity (Top)                        Deformation          (*t*Fu kips)]]</f>
        <v>19.837795275590551</v>
      </c>
      <c r="GS29" t="str">
        <f>Reinforcements[[#This Row],[Rev. G Bolt-Reinf. Bearing Capacity (Bottom)            No Deformation (kips)]]</f>
        <v>-</v>
      </c>
      <c r="GT29" t="str">
        <f>Reinforcements[[#This Row],[Rev. G Bolt-Reinf. Bearing Capacity (Bottom)               Deformation (kips)]]</f>
        <v>-</v>
      </c>
      <c r="GU29">
        <f>Reinforcements[[#This Row],[Rev. G Bolt-Reinf. Bearing Capacity (Top)                  No Deformation (kips)]]</f>
        <v>1269.6188976377953</v>
      </c>
      <c r="GV29">
        <f>Reinforcements[[#This Row],[Rev. G Bolt-Reinf. Bearing Capacity (Top)               Deformation (kips)]]</f>
        <v>1587.0236220472443</v>
      </c>
      <c r="GW29" t="str">
        <f>Reinforcements[[#This Row],[Rev. G Bottom Transverse Weld Strength]]</f>
        <v>-</v>
      </c>
      <c r="GX29" t="str">
        <f>Reinforcements[[#This Row],[Rev. G Bottom Longitudinal Weld Strength]]</f>
        <v>-</v>
      </c>
      <c r="GY29" t="str">
        <f>Reinforcements[[#This Row],[Rev. G Top Transverse Weld Strength]]</f>
        <v>-</v>
      </c>
      <c r="GZ29" t="str">
        <f>Reinforcements[[#This Row],[Rev. G Top Longitudinal Weld Strength]]</f>
        <v>-</v>
      </c>
      <c r="HA29">
        <v>27</v>
      </c>
      <c r="HB2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0" x14ac:dyDescent="0.2">
      <c r="B30" s="49" t="s">
        <v>387</v>
      </c>
      <c r="C30" s="49" t="s">
        <v>352</v>
      </c>
      <c r="D30" s="6">
        <v>5</v>
      </c>
      <c r="E30" s="6">
        <v>1.25</v>
      </c>
      <c r="F30" s="6" t="str">
        <f>IF(Reinforcements[[#This Row],[Type]]="","",IF(Reinforcements[[#This Row],[Type]]="solid round","","n/a"))</f>
        <v>n/a</v>
      </c>
      <c r="G30" s="6" t="str">
        <f>IF(Reinforcements[[#This Row],[Type]]="","",IF(Reinforcements[[#This Row],[Type]]&lt;&gt;"channel","n/a",""))</f>
        <v>n/a</v>
      </c>
      <c r="H30" s="6" t="str">
        <f>IF(Reinforcements[[#This Row],[Type]]="","",IF(Reinforcements[[#This Row],[Type]]&lt;&gt;"channel","n/a",""))</f>
        <v>n/a</v>
      </c>
      <c r="I30" s="126" t="str">
        <f>IF(Reinforcements[[#This Row],[Type]]="","",IF(Reinforcements[[#This Row],[Type]]&lt;&gt;"channel","n/a",Reinforcements[[#This Row],[eo]]))</f>
        <v>n/a</v>
      </c>
      <c r="J30" s="126" t="str">
        <f>IF(Reinforcements[[#This Row],[Type]]="","",IF(Reinforcements[[#This Row],[Type]]&lt;&gt;"channel","n/a",Reinforcements[[#This Row],[J]]))</f>
        <v>n/a</v>
      </c>
      <c r="K30" s="126" t="str">
        <f>IF(Reinforcements[[#This Row],[Type]]="","",IF(Reinforcements[[#This Row],[Type]]&lt;&gt;"channel","n/a",Reinforcements[[#This Row],[Cw]]))</f>
        <v>n/a</v>
      </c>
      <c r="L30" s="6">
        <f>IFERROR(IF(Reinforcements[[#This Row],[Type]]="","",IF(Reinforcements[[#This Row],[Type]]="plate",Reinforcements[[#This Row],[B (in)]]*Reinforcements[[#This Row],[H (in)]],IF(Reinforcements[[#This Row],[Type]]="solid round",PI()/4*Reinforcements[[#This Row],[Diameter (in)]]^2,""))),"")</f>
        <v>6.25</v>
      </c>
      <c r="M30" s="6">
        <f>IFERROR(IF(Reinforcements[[#This Row],[Type]]="","",IF(Reinforcements[[#This Row],[Type]]="plate",Reinforcements[[#This Row],[H (in)]]/2,"")),"")</f>
        <v>0.625</v>
      </c>
      <c r="N30" s="34" t="s">
        <v>353</v>
      </c>
      <c r="O30" s="111" t="s">
        <v>138</v>
      </c>
      <c r="P30" s="123">
        <f>IFERROR(IF(Reinforcements[[#This Row],[Type]]="","",IF(Reinforcements[[#This Row],[Type]]="plate",Reinforcements[[#This Row],[B (in)]]*Reinforcements[[#This Row],[H (in)]]^3/12,IF(Reinforcements[[#This Row],[Type]]="solid round",PI()/64*Reinforcements[[#This Row],[Diameter (in)]]^4,""))),"")</f>
        <v>0.81380208333333337</v>
      </c>
      <c r="Q30" s="123">
        <f>IF(Reinforcements[[#This Row],[Reinforcement]]="","",SQRT(Reinforcements[[#This Row],[Ix]]/Reinforcements[[#This Row],[Gross Area (in2)]]))</f>
        <v>0.36084391824351614</v>
      </c>
      <c r="R30" s="123">
        <f>IFERROR(IF(Reinforcements[[#This Row],[Type]]="","",IF(Reinforcements[[#This Row],[Type]]="plate",Reinforcements[[#This Row],[B (in)]]^3*Reinforcements[[#This Row],[H (in)]]/12,IF(Reinforcements[[#This Row],[Type]]="solid round",PI()/64*Reinforcements[[#This Row],[Diameter (in)]]^4,""))),"")</f>
        <v>13.020833333333334</v>
      </c>
      <c r="S30" s="123">
        <f>IF(Reinforcements[[#This Row],[Reinforcement]]="","",SQRT(Reinforcements[[#This Row],[Iy]]/Reinforcements[[#This Row],[Gross Area (in2)]]))</f>
        <v>1.4433756729740645</v>
      </c>
      <c r="T30" s="6">
        <v>23</v>
      </c>
      <c r="U30" s="6">
        <v>0.8</v>
      </c>
      <c r="V30" s="6">
        <v>1</v>
      </c>
      <c r="W30" s="6">
        <v>1.1875</v>
      </c>
      <c r="X30" s="6">
        <f>IF(Reinforcements[[#This Row],[Bolt Hole Size (in)]]="","",IF(Reinforcements[[#This Row],[Bolt Hole Size (in)]]="n/a","n/a",Reinforcements[[#This Row],[Bolt Hole Size (in)]]*25.4))</f>
        <v>30.162499999999998</v>
      </c>
      <c r="Y3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6">
        <f>IFERROR(IF(Reinforcements[[#This Row],[Reinforcement]]="","",IF(OR(Reinforcements[[#This Row],[Type]]="plate",Reinforcements[[#This Row],[Type]]="solid round"),1,IF(Reinforcements[[#This Row],[Type]]="arbitrary","",1-Reinforcements[[#This Row],[Pole Face to Centroid (in)]]/Reinforcements[[#This Row],[Connection Length (in) '[Channels']]]))),"")</f>
        <v>1</v>
      </c>
      <c r="AA30" s="34" t="s">
        <v>382</v>
      </c>
      <c r="AB30" s="16" t="str">
        <f>IF(Reinforcements[[#This Row],[Reinforcement]]="","",IF(Reinforcements[[#This Row],[Bottom End Connection Type]]&lt;&gt;"Capacity Input","-",""))</f>
        <v>-</v>
      </c>
      <c r="AC30" s="16" t="str">
        <f>IF(Reinforcements[[#This Row],[Reinforcement]]="","",IF(Reinforcements[[#This Row],[Bottom End Connection Type]]&lt;&gt;"Capacity Input","-",""))</f>
        <v>-</v>
      </c>
      <c r="AD30" s="16" t="str">
        <f>IF(Reinforcements[[#This Row],[Reinforcement]]="","",IF(Reinforcements[[#This Row],[Bottom End Connection Type]]&lt;&gt;"Capacity Input","-",""))</f>
        <v>-</v>
      </c>
      <c r="AE30" s="74" t="str">
        <f>IF(Reinforcements[[#This Row],[Reinforcement]]="","",IF(Reinforcements[[#This Row],[Bottom End Connection Type]]="","-",IF(Reinforcements[[#This Row],[Bottom End Connection Type]]&lt;&gt;"Bolted","-","")))</f>
        <v>-</v>
      </c>
      <c r="AF30" s="6" t="str">
        <f>IF(Reinforcements[[#This Row],[Reinforcement]]="","",IF(Reinforcements[[#This Row],[Bottom End Connection Type]]="","-",IF(Reinforcements[[#This Row],[Bottom End Connection Type]]&lt;&gt;"Bolted","-","")))</f>
        <v>-</v>
      </c>
      <c r="AG30" s="6" t="str">
        <f>IF(Reinforcements[[#This Row],[Reinforcement]]="","",IF(Reinforcements[[#This Row],[Bottom End Connection Type]]="","-",IF(Reinforcements[[#This Row],[Bottom End Connection Type]]&lt;&gt;"Bolted","-","")))</f>
        <v>-</v>
      </c>
      <c r="AH30" s="6" t="str">
        <f>IF(Reinforcements[[#This Row],[Reinforcement]]="","",IF(Reinforcements[[#This Row],[Bottom End Connection Type]]="","-",IF(Reinforcements[[#This Row],[Bottom End Connection Type]]&lt;&gt;"Bolted","-","")))</f>
        <v>-</v>
      </c>
      <c r="AI30" s="6" t="str">
        <f>IF(Reinforcements[[#This Row],[Reinforcement]]="","",IF(Reinforcements[[#This Row],[Bottom End Connection Type]]="","-",IF(Reinforcements[[#This Row],[Bottom End Connection Type]]&lt;&gt;"Bolted","-","")))</f>
        <v>-</v>
      </c>
      <c r="AJ30" s="6" t="e">
        <f>Reinforcements[[#This Row],[End Connection Edge Distance (in) (B)]]-(Reinforcements[[#This Row],[Bolt Hole Size (in)]]+1/16)/2</f>
        <v>#VALUE!</v>
      </c>
      <c r="AK30" s="6" t="e">
        <f>Reinforcements[[#This Row],[End Connection Bolt Spacing (in) (B)]]-(Reinforcements[[#This Row],[Bolt Hole Size (in)]]+1/16)</f>
        <v>#VALUE!</v>
      </c>
      <c r="AL30" s="6" t="str">
        <f>Reinforcements[[#This Row],[End Connection Edge Distance (in) (B)]]</f>
        <v>-</v>
      </c>
      <c r="AM30" s="6" t="str">
        <f>Reinforcements[[#This Row],[End Connection Bolt Spacing (in) (B)]]</f>
        <v>-</v>
      </c>
      <c r="AN30" s="111" t="s">
        <v>357</v>
      </c>
      <c r="AO30" s="111">
        <v>70</v>
      </c>
      <c r="AP30" s="111" t="s">
        <v>383</v>
      </c>
      <c r="AQ30" s="111">
        <v>5</v>
      </c>
      <c r="AR30" s="6">
        <v>1.25</v>
      </c>
      <c r="AS30" s="6">
        <v>45</v>
      </c>
      <c r="AT30" s="111">
        <v>0.3125</v>
      </c>
      <c r="AU3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11" t="s">
        <v>384</v>
      </c>
      <c r="AW30" s="111" t="str">
        <f>IF(Reinforcements[[#This Row],[Reinforcement]]="","",IF(OR(Reinforcements[[#This Row],[Bottom End Connection Type]]&lt;&gt;"Welded",Reinforcements[[#This Row],[Bottom Longitudinal (Vertical) Weld]]="None",Reinforcements[[#This Row],[Bottom Longitudinal (Vertical) Weld]]=""),"-",""))</f>
        <v>-</v>
      </c>
      <c r="AX30" s="111" t="str">
        <f>IF(Reinforcements[[#This Row],[Reinforcement]]="","",IF(OR(Reinforcements[[#This Row],[Bottom End Connection Type]]&lt;&gt;"Welded",Reinforcements[[#This Row],[Bottom Longitudinal (Vertical) Weld]]="None",Reinforcements[[#This Row],[Bottom Longitudinal (Vertical) Weld]]=""),"-",""))</f>
        <v>-</v>
      </c>
      <c r="AY30" s="6" t="str">
        <f>IF(Reinforcements[[#This Row],[Reinforcement]]="","",IF(OR(Reinforcements[[#This Row],[Bottom End Connection Type]]&lt;&gt;"Welded",Reinforcements[[#This Row],[Bottom Longitudinal (Vertical) Weld]]="None"),"-",SQRT(2)/2*Reinforcements[[#This Row],[Bottom Longitudinal Weld Fillet Size (in)]]))</f>
        <v>-</v>
      </c>
      <c r="AZ30" s="111" t="s">
        <v>353</v>
      </c>
      <c r="BA30" s="34" t="s">
        <v>354</v>
      </c>
      <c r="BB30" s="16" t="str">
        <f>IF(Reinforcements[[#This Row],[Reinforcement]]="","",IF(Reinforcements[[#This Row],[Top End Connection Same?]]="Yes",Reinforcements[[#This Row],[Rev. F Bottom Connection Capacity (kips)]],IF(Reinforcements[[#This Row],[Reinforcement]]="","",IF(Reinforcements[[#This Row],[Top End Connection Type]]&lt;&gt;"Capacity Input","-",""))))</f>
        <v>-</v>
      </c>
      <c r="BC30" s="16" t="str">
        <f>IF(Reinforcements[[#This Row],[Reinforcement]]="","",IF(Reinforcements[[#This Row],[Top End Connection Same?]]="Yes",Reinforcements[[#This Row],[Rev. G Bottom Connection Capacity (kips)]],IF(Reinforcements[[#This Row],[Reinforcement]]="","",IF(Reinforcements[[#This Row],[Top End Connection Type]]&lt;&gt;"Capacity Input","-",""))))</f>
        <v>-</v>
      </c>
      <c r="BD30" s="16" t="str">
        <f>IF(Reinforcements[[#This Row],[Reinforcement]]="","",IF(Reinforcements[[#This Row],[Top End Connection Same?]]="Yes",Reinforcements[[#This Row],[Rev. G Bottom Connection Capacity (kips)]],IF(Reinforcements[[#This Row],[Reinforcement]]="","",IF(Reinforcements[[#This Row],[Top End Connection Type]]&lt;&gt;"Capacity Input","-",""))))</f>
        <v>-</v>
      </c>
      <c r="BE30" s="128" t="s">
        <v>355</v>
      </c>
      <c r="BF30" s="111" t="s">
        <v>356</v>
      </c>
      <c r="BG30" s="6">
        <v>10</v>
      </c>
      <c r="BH30" s="6">
        <v>3</v>
      </c>
      <c r="BI30" s="6">
        <v>3</v>
      </c>
      <c r="BJ30" s="6">
        <f>Reinforcements[[#This Row],[End Connection Edge Distance (in) (T)]]-(Reinforcements[[#This Row],[Bolt Hole Size (in)]]+1/16)/2</f>
        <v>2.375</v>
      </c>
      <c r="BK30" s="6">
        <f>Reinforcements[[#This Row],[End Connection Bolt Spacing (in) (T)]]-(Reinforcements[[#This Row],[Bolt Hole Size (in)]]+1/16)</f>
        <v>1.75</v>
      </c>
      <c r="BL30" s="6">
        <f>Reinforcements[[#This Row],[End Connection Edge Distance (in) (T)]]</f>
        <v>3</v>
      </c>
      <c r="BM30" s="6">
        <f>Reinforcements[[#This Row],[End Connection Bolt Spacing (in) (T)]]</f>
        <v>3</v>
      </c>
      <c r="BN30" s="6" t="str">
        <f>IF(Reinforcements[[#This Row],[Reinforcement]]="","",IF(Reinforcements[[#This Row],[Top End Connection Same?]]="Yes",Reinforcements[[#This Row],[Bottom Connected to Flange/Base Plate?]],IF(Reinforcements[[#This Row],[Top End Connection Type]]="Bolted","-","")))</f>
        <v>-</v>
      </c>
      <c r="BO30" s="6" t="str">
        <f>IF(Reinforcements[[#This Row],[Reinforcement]]="","",IF(Reinforcements[[#This Row],[Top End Connection Same?]]="Yes",Reinforcements[[#This Row],[Bottom Weld Grade (ksi)]],IF(OR(Reinforcements[[#This Row],[Top End Connection Type]]&lt;&gt;"Welded",Reinforcements[[#This Row],[Top End Connection Type]]=""),"-","")))</f>
        <v>-</v>
      </c>
      <c r="BP30" s="6" t="str">
        <f>IF($AZ30="Yes",AP30,IF(Reinforcements[[#This Row],[Reinforcement]]="","",IF(OR(Reinforcements[[#This Row],[Top End Connection Type]]&lt;&gt;"Welded",Reinforcements[[#This Row],[Top End Connection Type]]=""),"-","")))</f>
        <v>-</v>
      </c>
      <c r="BQ30" s="6" t="str">
        <f>IF(Reinforcements[[#This Row],[Reinforcement]]="","",IF($AZ30="Yes",AQ30,IF(OR(Reinforcements[[#This Row],[Top End Connection Type]]&lt;&gt;"Welded",Reinforcements[[#This Row],[Top Transverse (Horizontal) Weld]]="none",Reinforcements[[#This Row],[Top Transverse (Horizontal) Weld]]=""),"-","")))</f>
        <v>-</v>
      </c>
      <c r="BR30" s="6"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6"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6" t="str">
        <f>IF(Reinforcements[[#This Row],[Reinforcement]]="","",IF($AZ30="Yes",AT30,IF(OR(Reinforcements[[#This Row],[Top Transverse (Horizontal) Weld]]="none",Reinforcements[[#This Row],[Top End Connection Type]]&lt;&gt;"Welded",Reinforcements[[#This Row],[Top Transverse (Horizontal) Weld]]=""),"-","")))</f>
        <v>-</v>
      </c>
      <c r="BU30" s="6"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6" t="str">
        <f>IF($AZ30="Yes",AV30,IF(Reinforcements[[#This Row],[Reinforcement]]="","",IF(OR(Reinforcements[[#This Row],[Top End Connection Type]]&lt;&gt;"Welded",Reinforcements[[#This Row],[Top End Connection Type]]=""),"-","")))</f>
        <v>-</v>
      </c>
      <c r="BW30" s="6"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6"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6" t="str">
        <f>IF($AZ30="Yes",AY30,IF(Reinforcements[[#This Row],[Reinforcement]]="","",IF(OR(Reinforcements[[#This Row],[Top End Connection Type]]&lt;&gt;"Welded",Reinforcements[[#This Row],[Top Longitudinal (Vertical) Weld]]="none"),"-",SQRT(2)/2*Reinforcements[[#This Row],[Top Longitudinal Weld Fillet Size (in)]])))</f>
        <v>-</v>
      </c>
      <c r="BZ3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11">
        <f>IF(Reinforcements[[#This Row],[Reinforcement]]="","",IF(Reinforcements[[#This Row],[Top End Connection Type]]&lt;&gt;"Bolted","n/a",(Reinforcements[[#This Row],['# of End Connection Bolts          (Top)]]-1)*Reinforcements[[#This Row],[End Connection Bolt Spacing (in) (T)]]+Reinforcements[[#This Row],[End Connection Edge Distance (in) (T)]]))</f>
        <v>30</v>
      </c>
      <c r="CC3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6">
        <f>IFERROR(IF(Reinforcements[[#This Row],[Type]]="","",Reinforcements[[#This Row],[Effective B (in)]]*Reinforcements[[#This Row],[Effective H (in)]]^3/12),"")</f>
        <v>0.81380208333333337</v>
      </c>
      <c r="CF30" s="6">
        <f>IFERROR(IF(Reinforcements[[#This Row],[Type]]="","",Reinforcements[[#This Row],[Effective B (in)]]^3*Reinforcements[[#This Row],[Effective H (in)]]/12),"")</f>
        <v>13.020833333333334</v>
      </c>
      <c r="CG30" s="126">
        <f>SQRT(2*PI()^2*29000/VLOOKUP(Reinforcements[[#This Row],[Material]],Materials[],2,FALSE))</f>
        <v>93.844147005158973</v>
      </c>
      <c r="CH3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23">
        <f>Reinforcements[[#This Row],[Effective Length Factor Kx]]*Reinforcements[[#This Row],[Lu (in)]]/(Reinforcements[[#This Row],[rx]]*PI())*SQRT(VLOOKUP(Reinforcements[[#This Row],[Material]],Materials[],2,FALSE)/29000)</f>
        <v>0.76843341144730548</v>
      </c>
      <c r="CK30" s="123">
        <f>Reinforcements[[#This Row],[Effective Length Factor Ky]]*Reinforcements[[#This Row],[Lu (in)]]/(Reinforcements[[#This Row],[ry]]*PI())*SQRT(VLOOKUP(Reinforcements[[#This Row],[Material]],Materials[],2,FALSE)/29000)</f>
        <v>0.24013544107728296</v>
      </c>
      <c r="CL30" s="123">
        <f>IF(Reinforcements[[#This Row],[λcx]]&lt;=1.5,0.658^(Reinforcements[[#This Row],[λcx]]^2)*Reinforcements[[#This Row],[F''y]],0.877/(Reinforcements[[#This Row],[λcx]]^2)*Reinforcements[[#This Row],[F''y]])</f>
        <v>50.766541905358231</v>
      </c>
      <c r="CM30" s="123">
        <f>IF(Reinforcements[[#This Row],[λcy]]&lt;=1.5,0.658^(Reinforcements[[#This Row],[λcy]]^2)*Reinforcements[[#This Row],[F''y]],0.877/(Reinforcements[[#This Row],[λcy]]^2)*Reinforcements[[#This Row],[F''y]])</f>
        <v>63.449959224213764</v>
      </c>
      <c r="CN30" s="6">
        <f>VLOOKUP(Reinforcements[[#This Row],[Material]],Materials[],2,FALSE)</f>
        <v>65</v>
      </c>
      <c r="CO30" s="126">
        <f>IF(Reinforcements[[#This Row],[Reinforcement]]="","",Reinforcements[[#This Row],[Fax]]*Reinforcements[[#This Row],[Gross Area (in2)]])</f>
        <v>187.13954848184918</v>
      </c>
      <c r="CP30" s="126">
        <f>IF(Reinforcements[[#This Row],[Reinforcement]]="","",Reinforcements[[#This Row],[Fay]]*Reinforcements[[#This Row],[Gross Area (in2)]])</f>
        <v>231.47736662721647</v>
      </c>
      <c r="CQ30" s="126">
        <f>IF(Reinforcements[[#This Row],[Reinforcement]]="","",0.6*VLOOKUP(Reinforcements[[#This Row],[Material]],Materials[],2,FALSE)*Reinforcements[[#This Row],[Gross Area (in2)]])</f>
        <v>243.75</v>
      </c>
      <c r="CR30" s="126">
        <f>IF(Reinforcements[[#This Row],[Reinforcement]]="","",0.5*VLOOKUP(Reinforcements[[#This Row],[Material]],Materials[],3,FALSE)*Reinforcements[[#This Row],[Net Area (in2)]]*Reinforcements[[#This Row],[Shear Lag (U)]])</f>
        <v>187.5</v>
      </c>
      <c r="CS30" s="126">
        <f>IF(Reinforcements[[#This Row],[Reinforcement]]="","",0.4*VLOOKUP(Reinforcements[[#This Row],[Material]],Materials[],2,FALSE)*Reinforcements[[#This Row],[Gross Area (in2)]])</f>
        <v>162.5</v>
      </c>
      <c r="CT30"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6"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6"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26">
        <f>IF(Reinforcements[[#This Row],[Reinforcement]]="","",φ_c*Reinforcements[[#This Row],[Fcr,x]]*Reinforcements[[#This Row],[Gross Area (in2)]])</f>
        <v>285.56179821764005</v>
      </c>
      <c r="DI30" s="126">
        <f>IF(Reinforcements[[#This Row],[Reinforcement]]="","",φ_c*Reinforcements[[#This Row],[Fcr,y]]*Reinforcements[[#This Row],[Gross Area (in2)]])</f>
        <v>356.90602063620241</v>
      </c>
      <c r="DJ30" s="126">
        <f>IF(Reinforcements[[#This Row],[Reinforcement]]="","",φ_t_y*VLOOKUP(Reinforcements[[#This Row],[Material]],Materials[],2,FALSE)*Reinforcements[[#This Row],[Gross Area (in2)]])</f>
        <v>365.625</v>
      </c>
      <c r="DK30" s="126">
        <f>IF(Reinforcements[[#This Row],[Reinforcement]]="","",φ_t_r*VLOOKUP(Reinforcements[[#This Row],[Material]],Materials[],3,FALSE)*Reinforcements[[#This Row],[Net Area (in2)]]*Reinforcements[[#This Row],[Shear Lag (U)]])</f>
        <v>281.25</v>
      </c>
      <c r="DL30" s="126">
        <f>IF(Reinforcements[[#This Row],[Reinforcement]]="","",φ_v*0.5*Reinforcements[[#This Row],[F''y]]*Reinforcements[[#This Row],[Gross Area (in2)]])</f>
        <v>182.8125</v>
      </c>
      <c r="DM30"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6"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6"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111" t="str">
        <f>IF(OR(Reinforcements[[#This Row],[Type]]="plate",Reinforcements[[#This Row],[Type]]="solid round"),"N/A",Reinforcements[[#This Row],[B (in)]])</f>
        <v>N/A</v>
      </c>
      <c r="EB30" s="6" t="str">
        <f>IF(OR(Reinforcements[[#This Row],[Type]]="plate",Reinforcements[[#This Row],[Type]]="solid round"),"N/A",Reinforcements[[#This Row],[H (in)]])</f>
        <v>N/A</v>
      </c>
      <c r="EC30" s="6" t="str">
        <f>IF(OR(Reinforcements[[#This Row],[Type]]="plate",Reinforcements[[#This Row],[Type]]="solid round"),"N/A",Reinforcements[[#This Row],[B (in)]]-Reinforcements[[#This Row],['[Channel'] Flange Thickness (in)]])</f>
        <v>N/A</v>
      </c>
      <c r="ED30" s="6" t="str">
        <f>IF(OR(Reinforcements[[#This Row],[Type]]="plate",Reinforcements[[#This Row],[Type]]="solid round"),"N/A",Reinforcements[[#This Row],['[Channel']Web Thickness (in)]])</f>
        <v>N/A</v>
      </c>
      <c r="EE30" s="6" t="str">
        <f>IF(OR(Reinforcements[[#This Row],[Type]]="plate",Reinforcements[[#This Row],[Type]]="solid round"),"N/A",Reinforcements[[#This Row],['[Channel'] Flange Thickness (in)]])</f>
        <v>N/A</v>
      </c>
      <c r="EF30" s="6" t="str">
        <f>IF(Reinforcements[[#This Row],[Type]]="channel",Reinforcements[[#This Row],[Channel Flange Width, b]]/Reinforcements[[#This Row],[Channel flange thickness, tf]],"N/A")</f>
        <v>N/A</v>
      </c>
      <c r="EG30" s="6" t="str">
        <f>IF(Reinforcements[[#This Row],[Type]]="channel",Reinforcements[[#This Row],[Channel inside depth, T]]/Reinforcements[[#This Row],[Channel web thickness, tw]],"N/A")</f>
        <v>N/A</v>
      </c>
      <c r="EH30" s="6">
        <f>29000</f>
        <v>29000</v>
      </c>
      <c r="EI30" s="6" t="str">
        <f>IF(Reinforcements[[#This Row],[Type]]="channel",0.56*SQRT(Reinforcements[[#This Row],[E, (ksi)]]/Reinforcements[[#This Row],[Fy, (ksi)]]),"N/A")</f>
        <v>N/A</v>
      </c>
      <c r="EJ30" s="6" t="str">
        <f>IF(Reinforcements[[#This Row],[Type]]="channel",1.49*SQRT(Reinforcements[[#This Row],[E, (ksi)]]/Reinforcements[[#This Row],[Fy, (ksi)]]),"N/A")</f>
        <v>N/A</v>
      </c>
      <c r="EK30" s="6">
        <f>VLOOKUP(Reinforcements[[#This Row],[Material]],Materials!$B$2:$C$30,2,FALSE)</f>
        <v>65</v>
      </c>
      <c r="EL30" s="6">
        <f>Reinforcements[[#This Row],[Lu (in)]]*Reinforcements[[#This Row],[Effective Length Factor Kx]]</f>
        <v>18.400000000000002</v>
      </c>
      <c r="EM30" s="6">
        <f>Reinforcements[[#This Row],[Lu (in)]]*Reinforcements[[#This Row],[Effective Length Factor Ky]]</f>
        <v>23</v>
      </c>
      <c r="EN30" s="6">
        <f>Reinforcements[[#This Row],[rx]]</f>
        <v>0.36084391824351614</v>
      </c>
      <c r="EO30" s="6">
        <f>Reinforcements[[#This Row],[ry]]</f>
        <v>1.4433756729740645</v>
      </c>
      <c r="EP30" s="6">
        <f>Reinforcements[[#This Row],[Lcx (in)]]/Reinforcements[[#This Row],[rx (in)]]</f>
        <v>50.991575774827751</v>
      </c>
      <c r="EQ30" s="6">
        <f>Reinforcements[[#This Row],[Lcy (in)]]/Reinforcements[[#This Row],[ry (in)]]</f>
        <v>15.93486742963367</v>
      </c>
      <c r="ER30" s="6">
        <f>((PI()^2)*Reinforcements[[#This Row],[E, (ksi)]])/(Reinforcements[[#This Row],[Lcx/rx]]^2)</f>
        <v>110.07808793723451</v>
      </c>
      <c r="ES30" s="6">
        <f>((PI()^2)*Reinforcements[[#This Row],[E, (ksi)]])/(Reinforcements[[#This Row],[Lcy/ry]]^2)</f>
        <v>1127.1996204772818</v>
      </c>
      <c r="ET30" s="6">
        <f>4.71*(SQRT(Reinforcements[[#This Row],[E, (ksi)]]/Reinforcements[[#This Row],[Fy, (ksi)]]))</f>
        <v>99.486288193205496</v>
      </c>
      <c r="EU30" s="6">
        <f>IF(Reinforcements[[#This Row],[Lcx/rx]]&lt;=Reinforcements[[#This Row],[Fcr Limit]],(0.658^(Reinforcements[[#This Row],[Fy, (ksi)]]/Reinforcements[[#This Row],[Fex, FB (ksi)]]))*Reinforcements[[#This Row],[Fy, (ksi)]],0.877*Reinforcements[[#This Row],[Fex, FB (ksi)]])</f>
        <v>50.766541905358217</v>
      </c>
      <c r="EV30" s="6">
        <f>IF(Reinforcements[[#This Row],[Lcy/ry]]&lt;=Reinforcements[[#This Row],[Fcr Limit]],(0.658^(Reinforcements[[#This Row],[Fy, (ksi)]]/Reinforcements[[#This Row],[Fey, FB (ksi)]]))*Reinforcements[[#This Row],[Fy, (ksi)]],0.877*Reinforcements[[#This Row],[Fey, FB (ksi)]])</f>
        <v>63.449959224213764</v>
      </c>
      <c r="EW30" s="6">
        <f>Reinforcements[[#This Row],[Fcrx (ksi)]]*Reinforcements[[#This Row],[Gross Area (in2)]]</f>
        <v>317.29088690848886</v>
      </c>
      <c r="EX30" s="6">
        <f>Reinforcements[[#This Row],[Fcry (ksi)]]*Reinforcements[[#This Row],[Gross Area (in2)]]</f>
        <v>396.56224515133601</v>
      </c>
      <c r="EY30" s="6" t="str">
        <f>IF(Reinforcements[[#This Row],[Type]]="channel",0,"N/A")</f>
        <v>N/A</v>
      </c>
      <c r="EZ30" s="6" t="str">
        <f>IF(Reinforcements[[#This Row],[Type]]="channel",Reinforcements[[#This Row],[Channel Flange Width, b]]-(0.5*Reinforcements[[#This Row],[Channel web thickness, tw]]),"N/A")</f>
        <v>N/A</v>
      </c>
      <c r="FA30" s="6" t="str">
        <f>IF(Reinforcements[[#This Row],[Type]]="channel",Reinforcements[[#This Row],[Channel Height, h]]-Reinforcements[[#This Row],[Channel flange thickness, tf]],"N/A")</f>
        <v>N/A</v>
      </c>
      <c r="FB30" s="6" t="str">
        <f>IF(Reinforcements[[#This Row],[Type]]="channel",Reinforcements[[#This Row],[Channel web thickness, tw]],"N/A")</f>
        <v>N/A</v>
      </c>
      <c r="FC30" s="6" t="str">
        <f>IF(Reinforcements[[#This Row],[Type]]="channel",((3*Reinforcements[[#This Row],[b]]^2)/(Reinforcements[[#This Row],[h]]+(6*Reinforcements[[#This Row],[b]])))-Reinforcements[[#This Row],[t]]/2,"N/A")</f>
        <v>N/A</v>
      </c>
      <c r="FD30" s="6">
        <f>Reinforcements[[#This Row],[Pole Face to Centroid (in)]]</f>
        <v>0.625</v>
      </c>
      <c r="FE30" s="6" t="str">
        <f>IF(Reinforcements[[#This Row],[Type]]="channel",Reinforcements[[#This Row],[x(bar)]]+Reinforcements[[#This Row],['[Channel'] e0 (in)]],"N/A")</f>
        <v>N/A</v>
      </c>
      <c r="FF30" s="6" t="str">
        <f>IF(Reinforcements[[#This Row],[Type]]="channel",Reinforcements[[#This Row],[Ix]],"N/A")</f>
        <v>N/A</v>
      </c>
      <c r="FG30" s="6" t="str">
        <f>IF(Reinforcements[[#This Row],[Type]]="channel",Reinforcements[[#This Row],[Iy]],"N/A")</f>
        <v>N/A</v>
      </c>
      <c r="FH30" s="6" t="str">
        <f>IF(Reinforcements[[#This Row],[Type]]="channel",Reinforcements[[#This Row],[Gross Area (in2)]],"N/A")</f>
        <v>N/A</v>
      </c>
      <c r="FI30" s="6" t="str">
        <f>IF(Reinforcements[[#This Row],[Type]]="channel",(Reinforcements[[#This Row],[xo]]^2)+((Reinforcements[[#This Row],[Ix (FTB)]]+Reinforcements[[#This Row],[Iy (FTB)]])/Reinforcements[[#This Row],[Ag]]),"N/A")</f>
        <v>N/A</v>
      </c>
      <c r="FJ30" s="6" t="str">
        <f>IF(Reinforcements[[#This Row],[Type]]="channel",Reinforcements[[#This Row],[Lu (in)]],"N/A")</f>
        <v>N/A</v>
      </c>
      <c r="FK30" s="6" t="str">
        <f>IF(Reinforcements[[#This Row],[Type]]="channel",Reinforcements[[#This Row],[Effective Length Factor Kx]],"N/A")</f>
        <v>N/A</v>
      </c>
      <c r="FL30" s="6" t="str">
        <f>IF(Reinforcements[[#This Row],[Type]]="channel",Reinforcements[[#This Row],[Kz]]*Reinforcements[[#This Row],[Lz]],"N/A")</f>
        <v>N/A</v>
      </c>
      <c r="FM30" s="6" t="str">
        <f>IF(Reinforcements[[#This Row],[Type]]="channel",(((Reinforcements[[#This Row],[t]]^3)/3)*(Reinforcements[[#This Row],[h]]+(2*Reinforcements[[#This Row],[b]]))),"N/A")</f>
        <v>N/A</v>
      </c>
      <c r="FN30" s="6" t="str">
        <f>IF(Reinforcements[[#This Row],[Type]]="channel",(1-(((Reinforcements[[#This Row],[xo]]^2)+(Reinforcements[[#This Row],[yo]]^2))/Reinforcements[[#This Row],[ro^2(bar)]])),"N/A")</f>
        <v>N/A</v>
      </c>
      <c r="FO30" s="6">
        <v>11200</v>
      </c>
      <c r="FP30" s="6" t="str">
        <f>IF(Reinforcements[[#This Row],[Type]]="channel",(((Reinforcements[[#This Row],[h]]^2)*(Reinforcements[[#This Row],[b]]^3)*Reinforcements[[#This Row],[t]])/12)*(((2*Reinforcements[[#This Row],[h]])+(3*Reinforcements[[#This Row],[b]]))/(Reinforcements[[#This Row],[h]]+(6*Reinforcements[[#This Row],[b]]))),"N/A")</f>
        <v>N/A</v>
      </c>
      <c r="FQ30" s="6" t="str">
        <f>IF(Reinforcements[[#This Row],[Type]]="Channel",((((PI()^2)*Reinforcements[[#This Row],[E, (ksi)]]*Reinforcements[[#This Row],['[Channel'] CW (in6)]])/(Reinforcements[[#This Row],[Lcz]]^2))+(Reinforcements[[#This Row],[G]]*Reinforcements[[#This Row],['[Channel'] J (in4)]]))*(1/(Reinforcements[[#This Row],[Ag]]*Reinforcements[[#This Row],[ro^2(bar)]])),"N/A")</f>
        <v>N/A</v>
      </c>
      <c r="FR30" s="6" t="str">
        <f>IF(Reinforcements[[#This Row],[Type]]="channel",((PI()^2)*Reinforcements[[#This Row],[E, (ksi)]])/(Reinforcements[[#This Row],[Lcy/ry]]^2),"N/A")</f>
        <v>N/A</v>
      </c>
      <c r="FS30" s="6" t="str">
        <f>IF(Reinforcements[[#This Row],[Type]]="channel",((Reinforcements[[#This Row],[Fey]]+Reinforcements[[#This Row],[Fez]])/(2*Reinforcements[[#This Row],[H2]]))*(1-SQRT(1-((4*Reinforcements[[#This Row],[Fey]]*Reinforcements[[#This Row],[Fez]]*Reinforcements[[#This Row],[H2]])/(Reinforcements[[#This Row],[Fey]]+Reinforcements[[#This Row],[Fez]])^2))),"N/A")</f>
        <v>N/A</v>
      </c>
      <c r="FT30" s="6" t="str">
        <f>IF(Reinforcements[[#This Row],[Type]]="channel",IF(Reinforcements[[#This Row],[Lcx/rx]]&gt;(4.71*SQRT(Reinforcements[[#This Row],[E, (ksi)]]/Reinforcements[[#This Row],[Fy, (ksi)]])),0.877*Reinforcements[[#This Row],[Fe (FTB)]],0.658^(Reinforcements[[#This Row],[Fy, (ksi)]]/Reinforcements[[#This Row],[Fe (FTB)]])*Reinforcements[[#This Row],[Fy, (ksi)]]),"N/A")</f>
        <v>N/A</v>
      </c>
      <c r="FU30" s="6" t="str">
        <f>IF(Reinforcements[[#This Row],[Type]]="channel",MIN(Reinforcements[[#This Row],[Fcr(FTB)]],Reinforcements[[#This Row],[Fcry (ksi)]]),"N/A")</f>
        <v>N/A</v>
      </c>
      <c r="FV30" s="6">
        <v>0.22</v>
      </c>
      <c r="FW30" s="6">
        <v>1.49</v>
      </c>
      <c r="FX30" s="6" t="str">
        <f>IF(Reinforcements[[#This Row],[Type]]="channel",((Reinforcements[[#This Row],[c2]]*(Reinforcements[[#This Row],[λrf]]/Reinforcements[[#This Row],[λf]]))^2)*Reinforcements[[#This Row],[Fy, (ksi)]],"N/A")</f>
        <v>N/A</v>
      </c>
      <c r="FY30" s="6" t="str">
        <f>IF(Reinforcements[[#This Row],[Type]]="channel",((Reinforcements[[#This Row],[c2]]*(Reinforcements[[#This Row],[λrw]]/Reinforcements[[#This Row],[λw]]))^2)*Reinforcements[[#This Row],[Fy, (ksi)]],"N/A")</f>
        <v>N/A</v>
      </c>
      <c r="FZ3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6" t="str">
        <f>IF(Reinforcements[[#This Row],[Type]]="channel",Reinforcements[[#This Row],[Fcr]]*Reinforcements[[#This Row],[Ae]],"N/A")</f>
        <v>N/A</v>
      </c>
      <c r="GD30">
        <f>IF(Reinforcements[[#This Row],[Reinforcement]]="","",φ_c*Reinforcements[[#This Row],[Pnx, FB (kip)]])</f>
        <v>285.56179821763999</v>
      </c>
      <c r="GE30">
        <f>IF(Reinforcements[[#This Row],[Reinforcement]]="","",IF(Reinforcements[[#This Row],[Type]]="channel",φ_c*Reinforcements[[#This Row],[Pn]],φ_c*Reinforcements[[#This Row],[Pny, FB (kip)]]))</f>
        <v>356.90602063620241</v>
      </c>
      <c r="GF30">
        <f>Reinforcements[[#This Row],[Rev. G Tension Yield Capacity (kips)]]</f>
        <v>365.625</v>
      </c>
      <c r="GG30">
        <f>Reinforcements[[#This Row],[Rev. G Tension Rupture Capacity (kips)]]</f>
        <v>281.25</v>
      </c>
      <c r="GH30">
        <f>Reinforcements[[#This Row],[Rev. G Shear Capacity (kips)]]</f>
        <v>182.8125</v>
      </c>
      <c r="GI30" t="str">
        <f>IFERROR((Reinforcements[[#This Row],['# of End Connection Bolts          (Bottom)]]-1)*Reinforcements[[#This Row],[End Connection Bolt Spacing (in) (B)]],"-")</f>
        <v>-</v>
      </c>
      <c r="GJ30">
        <f>IFERROR(IF(VLOOKUP(Reinforcements[[#This Row],[Bottom End Connection Bolt Type]],Bolts[],COLUMN(Bolts[[#Headers],[Rev. H Apply Connection Length Reduction Factor (Rb)?]])-1,FALSE)="Yes",(IF(Reinforcements[[#This Row],[Lb(bottom)]]&lt;=16,1,IF(Reinforcements[[#This Row],[Lb(bottom)]]&gt;38,0.75,0.9))),1),"-")</f>
        <v>1</v>
      </c>
      <c r="GK3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f>IFERROR(IF(Reinforcements[[#This Row],[Top End Connection Same?]]="Yes",Reinforcements[[#This Row],[Lb(bottom)]],(Reinforcements[[#This Row],['# of End Connection Bolts          (Top)]]-1)*Reinforcements[[#This Row],[End Connection Bolt Spacing (in) (T)]]),"-")</f>
        <v>27</v>
      </c>
      <c r="GM30">
        <f>IFERROR(IF(VLOOKUP(Reinforcements[[#This Row],[Top End Connection Bolt Type]],Bolts[],COLUMN(Bolts[[#Headers],[Rev. H Apply Connection Length Reduction Factor (Rb)?]])-1,FALSE)=TRUE,(IF(Reinforcements[[#This Row],[Lb(top)]]&lt;=16,1,IF(Reinforcements[[#This Row],[Lb(top)]]&gt;38,0.75,0.9))),1),"-")</f>
        <v>0.9</v>
      </c>
      <c r="GN3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t="str">
        <f>Reinforcements[[#This Row],[Rev. G Bolt-Shaft Bearing Capacity (Bottom)                No Deformation          (*t*Fu kips)]]</f>
        <v>-</v>
      </c>
      <c r="GP30" t="str">
        <f>Reinforcements[[#This Row],[Rev. G Bolt-Shaft Bearing Capacity (Bottom)                   Deformation          (*t*Fu kips)]]</f>
        <v>-</v>
      </c>
      <c r="GQ30">
        <f>Reinforcements[[#This Row],[Rev. G Bolt-Shaft Bearing Capacity (Top)                    No Deformation          (*t*Fu kips)]]</f>
        <v>19.778267716535435</v>
      </c>
      <c r="GR30">
        <f>Reinforcements[[#This Row],[Rev. G Bolt-Shaft Bearing Capacity (Top)                        Deformation          (*t*Fu kips)]]</f>
        <v>24.722834645669291</v>
      </c>
      <c r="GS30" t="str">
        <f>Reinforcements[[#This Row],[Rev. G Bolt-Reinf. Bearing Capacity (Bottom)            No Deformation (kips)]]</f>
        <v>-</v>
      </c>
      <c r="GT30" t="str">
        <f>Reinforcements[[#This Row],[Rev. G Bolt-Reinf. Bearing Capacity (Bottom)               Deformation (kips)]]</f>
        <v>-</v>
      </c>
      <c r="GU30">
        <f>Reinforcements[[#This Row],[Rev. G Bolt-Reinf. Bearing Capacity (Top)                  No Deformation (kips)]]</f>
        <v>1977.8267716535433</v>
      </c>
      <c r="GV30">
        <f>Reinforcements[[#This Row],[Rev. G Bolt-Reinf. Bearing Capacity (Top)               Deformation (kips)]]</f>
        <v>2472.2834645669291</v>
      </c>
      <c r="GW30" t="str">
        <f>Reinforcements[[#This Row],[Rev. G Bottom Transverse Weld Strength]]</f>
        <v>-</v>
      </c>
      <c r="GX30" t="str">
        <f>Reinforcements[[#This Row],[Rev. G Bottom Longitudinal Weld Strength]]</f>
        <v>-</v>
      </c>
      <c r="GY30" t="str">
        <f>Reinforcements[[#This Row],[Rev. G Top Transverse Weld Strength]]</f>
        <v>-</v>
      </c>
      <c r="GZ30" t="str">
        <f>Reinforcements[[#This Row],[Rev. G Top Longitudinal Weld Strength]]</f>
        <v>-</v>
      </c>
      <c r="HA30">
        <v>28</v>
      </c>
      <c r="HB3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0" x14ac:dyDescent="0.2">
      <c r="B31" s="49" t="s">
        <v>388</v>
      </c>
      <c r="C31" s="49" t="s">
        <v>352</v>
      </c>
      <c r="D31" s="6">
        <v>6</v>
      </c>
      <c r="E31" s="6">
        <v>1</v>
      </c>
      <c r="F31" s="6" t="str">
        <f>IF(Reinforcements[[#This Row],[Type]]="","",IF(Reinforcements[[#This Row],[Type]]="solid round","","n/a"))</f>
        <v>n/a</v>
      </c>
      <c r="G31" s="6" t="str">
        <f>IF(Reinforcements[[#This Row],[Type]]="","",IF(Reinforcements[[#This Row],[Type]]&lt;&gt;"channel","n/a",""))</f>
        <v>n/a</v>
      </c>
      <c r="H31" s="6" t="str">
        <f>IF(Reinforcements[[#This Row],[Type]]="","",IF(Reinforcements[[#This Row],[Type]]&lt;&gt;"channel","n/a",""))</f>
        <v>n/a</v>
      </c>
      <c r="I31" s="126" t="str">
        <f>IF(Reinforcements[[#This Row],[Type]]="","",IF(Reinforcements[[#This Row],[Type]]&lt;&gt;"channel","n/a",Reinforcements[[#This Row],[eo]]))</f>
        <v>n/a</v>
      </c>
      <c r="J31" s="126" t="str">
        <f>IF(Reinforcements[[#This Row],[Type]]="","",IF(Reinforcements[[#This Row],[Type]]&lt;&gt;"channel","n/a",Reinforcements[[#This Row],[J]]))</f>
        <v>n/a</v>
      </c>
      <c r="K31" s="126" t="str">
        <f>IF(Reinforcements[[#This Row],[Type]]="","",IF(Reinforcements[[#This Row],[Type]]&lt;&gt;"channel","n/a",Reinforcements[[#This Row],[Cw]]))</f>
        <v>n/a</v>
      </c>
      <c r="L31" s="6">
        <f>IFERROR(IF(Reinforcements[[#This Row],[Type]]="","",IF(Reinforcements[[#This Row],[Type]]="plate",Reinforcements[[#This Row],[B (in)]]*Reinforcements[[#This Row],[H (in)]],IF(Reinforcements[[#This Row],[Type]]="solid round",PI()/4*Reinforcements[[#This Row],[Diameter (in)]]^2,""))),"")</f>
        <v>6</v>
      </c>
      <c r="M31" s="6">
        <f>IFERROR(IF(Reinforcements[[#This Row],[Type]]="","",IF(Reinforcements[[#This Row],[Type]]="plate",Reinforcements[[#This Row],[H (in)]]/2,"")),"")</f>
        <v>0.5</v>
      </c>
      <c r="N31" s="34" t="s">
        <v>353</v>
      </c>
      <c r="O31" s="6" t="s">
        <v>138</v>
      </c>
      <c r="P31" s="123">
        <f>IFERROR(IF(Reinforcements[[#This Row],[Type]]="","",IF(Reinforcements[[#This Row],[Type]]="plate",Reinforcements[[#This Row],[B (in)]]*Reinforcements[[#This Row],[H (in)]]^3/12,IF(Reinforcements[[#This Row],[Type]]="solid round",PI()/64*Reinforcements[[#This Row],[Diameter (in)]]^4,""))),"")</f>
        <v>0.5</v>
      </c>
      <c r="Q31" s="123">
        <f>IF(Reinforcements[[#This Row],[Reinforcement]]="","",SQRT(Reinforcements[[#This Row],[Ix]]/Reinforcements[[#This Row],[Gross Area (in2)]]))</f>
        <v>0.28867513459481287</v>
      </c>
      <c r="R31" s="123">
        <f>IFERROR(IF(Reinforcements[[#This Row],[Type]]="","",IF(Reinforcements[[#This Row],[Type]]="plate",Reinforcements[[#This Row],[B (in)]]^3*Reinforcements[[#This Row],[H (in)]]/12,IF(Reinforcements[[#This Row],[Type]]="solid round",PI()/64*Reinforcements[[#This Row],[Diameter (in)]]^4,""))),"")</f>
        <v>18</v>
      </c>
      <c r="S31" s="123">
        <f>IF(Reinforcements[[#This Row],[Reinforcement]]="","",SQRT(Reinforcements[[#This Row],[Iy]]/Reinforcements[[#This Row],[Gross Area (in2)]]))</f>
        <v>1.7320508075688772</v>
      </c>
      <c r="T31" s="6">
        <v>16</v>
      </c>
      <c r="U31" s="6">
        <v>0.8</v>
      </c>
      <c r="V31" s="6">
        <v>1</v>
      </c>
      <c r="W31" s="6">
        <v>1.1875</v>
      </c>
      <c r="X31" s="6">
        <f>IF(Reinforcements[[#This Row],[Bolt Hole Size (in)]]="","",IF(Reinforcements[[#This Row],[Bolt Hole Size (in)]]="n/a","n/a",Reinforcements[[#This Row],[Bolt Hole Size (in)]]*25.4))</f>
        <v>30.162499999999998</v>
      </c>
      <c r="Y3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6">
        <f>IFERROR(IF(Reinforcements[[#This Row],[Reinforcement]]="","",IF(OR(Reinforcements[[#This Row],[Type]]="plate",Reinforcements[[#This Row],[Type]]="solid round"),1,IF(Reinforcements[[#This Row],[Type]]="arbitrary","",1-Reinforcements[[#This Row],[Pole Face to Centroid (in)]]/Reinforcements[[#This Row],[Connection Length (in) '[Channels']]]))),"")</f>
        <v>1</v>
      </c>
      <c r="AA31" s="34" t="s">
        <v>382</v>
      </c>
      <c r="AB31" s="34" t="str">
        <f>IF(Reinforcements[[#This Row],[Reinforcement]]="","",IF(Reinforcements[[#This Row],[Bottom End Connection Type]]&lt;&gt;"Capacity Input","-",""))</f>
        <v>-</v>
      </c>
      <c r="AC31" s="34" t="str">
        <f>IF(Reinforcements[[#This Row],[Reinforcement]]="","",IF(Reinforcements[[#This Row],[Bottom End Connection Type]]&lt;&gt;"Capacity Input","-",""))</f>
        <v>-</v>
      </c>
      <c r="AD31" s="16" t="str">
        <f>IF(Reinforcements[[#This Row],[Reinforcement]]="","",IF(Reinforcements[[#This Row],[Bottom End Connection Type]]&lt;&gt;"Capacity Input","-",""))</f>
        <v>-</v>
      </c>
      <c r="AE31" s="74" t="str">
        <f>IF(Reinforcements[[#This Row],[Reinforcement]]="","",IF(Reinforcements[[#This Row],[Bottom End Connection Type]]="","-",IF(Reinforcements[[#This Row],[Bottom End Connection Type]]&lt;&gt;"Bolted","-","")))</f>
        <v>-</v>
      </c>
      <c r="AF31" s="6" t="str">
        <f>IF(Reinforcements[[#This Row],[Bottom End Connection Type]]="Welded","-","")</f>
        <v>-</v>
      </c>
      <c r="AG31" s="6" t="str">
        <f>IF(Reinforcements[[#This Row],[Bottom End Connection Type]]="Welded","-","")</f>
        <v>-</v>
      </c>
      <c r="AH31" s="6" t="str">
        <f>IF(Reinforcements[[#This Row],[Bottom End Connection Type]]="Welded","-","")</f>
        <v>-</v>
      </c>
      <c r="AI31" s="6" t="str">
        <f>IF(Reinforcements[[#This Row],[Bottom End Connection Type]]="Welded","-","")</f>
        <v>-</v>
      </c>
      <c r="AJ31" s="6" t="e">
        <f>Reinforcements[[#This Row],[End Connection Edge Distance (in) (B)]]-(Reinforcements[[#This Row],[Bolt Hole Size (in)]]+1/16)/2</f>
        <v>#VALUE!</v>
      </c>
      <c r="AK31" s="6" t="e">
        <f>Reinforcements[[#This Row],[End Connection Bolt Spacing (in) (B)]]-(Reinforcements[[#This Row],[Bolt Hole Size (in)]]+1/16)</f>
        <v>#VALUE!</v>
      </c>
      <c r="AL31" s="6" t="str">
        <f>Reinforcements[[#This Row],[End Connection Edge Distance (in) (B)]]</f>
        <v>-</v>
      </c>
      <c r="AM31" s="6" t="str">
        <f>Reinforcements[[#This Row],[End Connection Bolt Spacing (in) (B)]]</f>
        <v>-</v>
      </c>
      <c r="AN31" s="111" t="s">
        <v>357</v>
      </c>
      <c r="AO31" s="111">
        <v>70</v>
      </c>
      <c r="AP31" s="111" t="s">
        <v>383</v>
      </c>
      <c r="AQ31" s="111">
        <v>6</v>
      </c>
      <c r="AR31" s="6">
        <v>1</v>
      </c>
      <c r="AS31" s="6">
        <v>45</v>
      </c>
      <c r="AT31" s="111">
        <v>0.375</v>
      </c>
      <c r="AU3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11" t="s">
        <v>384</v>
      </c>
      <c r="AW31" s="111" t="str">
        <f>IF(Reinforcements[[#This Row],[Reinforcement]]="","",IF(OR(Reinforcements[[#This Row],[Bottom End Connection Type]]&lt;&gt;"Welded",Reinforcements[[#This Row],[Bottom Longitudinal (Vertical) Weld]]="None",Reinforcements[[#This Row],[Bottom Longitudinal (Vertical) Weld]]=""),"-",""))</f>
        <v>-</v>
      </c>
      <c r="AX31" s="111" t="str">
        <f>IF(Reinforcements[[#This Row],[Reinforcement]]="","",IF(OR(Reinforcements[[#This Row],[Bottom End Connection Type]]&lt;&gt;"Welded",Reinforcements[[#This Row],[Bottom Longitudinal (Vertical) Weld]]="None",Reinforcements[[#This Row],[Bottom Longitudinal (Vertical) Weld]]=""),"-",""))</f>
        <v>-</v>
      </c>
      <c r="AY31" s="6" t="str">
        <f>IF(Reinforcements[[#This Row],[Reinforcement]]="","",IF(OR(Reinforcements[[#This Row],[Bottom End Connection Type]]&lt;&gt;"Welded",Reinforcements[[#This Row],[Bottom Longitudinal (Vertical) Weld]]="None"),"-",SQRT(2)/2*Reinforcements[[#This Row],[Bottom Longitudinal Weld Fillet Size (in)]]))</f>
        <v>-</v>
      </c>
      <c r="AZ31" s="111" t="s">
        <v>353</v>
      </c>
      <c r="BA31" s="34" t="s">
        <v>354</v>
      </c>
      <c r="BB31" s="34" t="str">
        <f>IF(Reinforcements[[#This Row],[Reinforcement]]="","",IF(Reinforcements[[#This Row],[Top End Connection Same?]]="Yes",Reinforcements[[#This Row],[Rev. F Bottom Connection Capacity (kips)]],IF(Reinforcements[[#This Row],[Reinforcement]]="","",IF(Reinforcements[[#This Row],[Top End Connection Type]]&lt;&gt;"Capacity Input","-",""))))</f>
        <v>-</v>
      </c>
      <c r="BC31" s="34" t="str">
        <f>IF(Reinforcements[[#This Row],[Reinforcement]]="","",IF(Reinforcements[[#This Row],[Top End Connection Same?]]="Yes",Reinforcements[[#This Row],[Rev. G Bottom Connection Capacity (kips)]],IF(Reinforcements[[#This Row],[Reinforcement]]="","",IF(Reinforcements[[#This Row],[Top End Connection Type]]&lt;&gt;"Capacity Input","-",""))))</f>
        <v>-</v>
      </c>
      <c r="BD31" s="16" t="str">
        <f>IF(Reinforcements[[#This Row],[Reinforcement]]="","",IF(Reinforcements[[#This Row],[Top End Connection Same?]]="Yes",Reinforcements[[#This Row],[Rev. G Bottom Connection Capacity (kips)]],IF(Reinforcements[[#This Row],[Reinforcement]]="","",IF(Reinforcements[[#This Row],[Top End Connection Type]]&lt;&gt;"Capacity Input","-",""))))</f>
        <v>-</v>
      </c>
      <c r="BE31" s="74" t="s">
        <v>355</v>
      </c>
      <c r="BF31" s="111" t="s">
        <v>356</v>
      </c>
      <c r="BG31" s="6">
        <v>10</v>
      </c>
      <c r="BH31" s="6">
        <v>3</v>
      </c>
      <c r="BI31" s="6">
        <v>3</v>
      </c>
      <c r="BJ31" s="6">
        <f>Reinforcements[[#This Row],[End Connection Edge Distance (in) (T)]]-(Reinforcements[[#This Row],[Bolt Hole Size (in)]]+1/16)/2</f>
        <v>2.375</v>
      </c>
      <c r="BK31" s="6">
        <f>Reinforcements[[#This Row],[End Connection Bolt Spacing (in) (T)]]-(Reinforcements[[#This Row],[Bolt Hole Size (in)]]+1/16)</f>
        <v>1.75</v>
      </c>
      <c r="BL31" s="6">
        <f>Reinforcements[[#This Row],[End Connection Edge Distance (in) (T)]]</f>
        <v>3</v>
      </c>
      <c r="BM31" s="6">
        <f>Reinforcements[[#This Row],[End Connection Bolt Spacing (in) (T)]]</f>
        <v>3</v>
      </c>
      <c r="BN31" s="6" t="str">
        <f>IF(Reinforcements[[#This Row],[Reinforcement]]="","",IF(Reinforcements[[#This Row],[Top End Connection Same?]]="Yes",Reinforcements[[#This Row],[Bottom Connected to Flange/Base Plate?]],IF(Reinforcements[[#This Row],[Top End Connection Type]]="Bolted","-","")))</f>
        <v>-</v>
      </c>
      <c r="BO31" s="6" t="str">
        <f>IF(Reinforcements[[#This Row],[Reinforcement]]="","",IF(Reinforcements[[#This Row],[Top End Connection Same?]]="Yes",Reinforcements[[#This Row],[Bottom Weld Grade (ksi)]],IF(OR(Reinforcements[[#This Row],[Top End Connection Type]]&lt;&gt;"Welded",Reinforcements[[#This Row],[Top End Connection Type]]=""),"-","")))</f>
        <v>-</v>
      </c>
      <c r="BP31" s="6" t="str">
        <f>IF($AZ31="Yes",AP31,IF(Reinforcements[[#This Row],[Reinforcement]]="","",IF(OR(Reinforcements[[#This Row],[Top End Connection Type]]&lt;&gt;"Welded",Reinforcements[[#This Row],[Top End Connection Type]]=""),"-","")))</f>
        <v>-</v>
      </c>
      <c r="BQ31" s="6" t="str">
        <f>IF(Reinforcements[[#This Row],[Reinforcement]]="","",IF($AZ31="Yes",AQ31,IF(OR(Reinforcements[[#This Row],[Top End Connection Type]]&lt;&gt;"Welded",Reinforcements[[#This Row],[Top Transverse (Horizontal) Weld]]="none",Reinforcements[[#This Row],[Top Transverse (Horizontal) Weld]]=""),"-","")))</f>
        <v>-</v>
      </c>
      <c r="BR31" s="6"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6"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6" t="str">
        <f>IF(Reinforcements[[#This Row],[Reinforcement]]="","",IF($AZ31="Yes",AT31,IF(OR(Reinforcements[[#This Row],[Top Transverse (Horizontal) Weld]]="none",Reinforcements[[#This Row],[Top End Connection Type]]&lt;&gt;"Welded",Reinforcements[[#This Row],[Top Transverse (Horizontal) Weld]]=""),"-","")))</f>
        <v>-</v>
      </c>
      <c r="BU31" s="6"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6" t="str">
        <f>IF($AZ31="Yes",AV31,IF(Reinforcements[[#This Row],[Reinforcement]]="","",IF(OR(Reinforcements[[#This Row],[Top End Connection Type]]&lt;&gt;"Welded",Reinforcements[[#This Row],[Top End Connection Type]]=""),"-","")))</f>
        <v>-</v>
      </c>
      <c r="BW31" s="6"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6"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6" t="str">
        <f>IF($AZ31="Yes",AY31,IF(Reinforcements[[#This Row],[Reinforcement]]="","",IF(OR(Reinforcements[[#This Row],[Top End Connection Type]]&lt;&gt;"Welded",Reinforcements[[#This Row],[Top Longitudinal (Vertical) Weld]]="none"),"-",SQRT(2)/2*Reinforcements[[#This Row],[Top Longitudinal Weld Fillet Size (in)]])))</f>
        <v>-</v>
      </c>
      <c r="BZ31"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111">
        <f>IF(Reinforcements[[#This Row],[Reinforcement]]="","",IF(Reinforcements[[#This Row],[Top End Connection Type]]&lt;&gt;"Bolted","n/a",(Reinforcements[[#This Row],['# of End Connection Bolts          (Top)]]-1)*Reinforcements[[#This Row],[End Connection Bolt Spacing (in) (T)]]+Reinforcements[[#This Row],[End Connection Edge Distance (in) (T)]]))</f>
        <v>30</v>
      </c>
      <c r="CC3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6">
        <f>IFERROR(IF(Reinforcements[[#This Row],[Type]]="","",Reinforcements[[#This Row],[Effective B (in)]]*Reinforcements[[#This Row],[Effective H (in)]]^3/12),"")</f>
        <v>0.5</v>
      </c>
      <c r="CF31" s="6">
        <f>IFERROR(IF(Reinforcements[[#This Row],[Type]]="","",Reinforcements[[#This Row],[Effective B (in)]]^3*Reinforcements[[#This Row],[Effective H (in)]]/12),"")</f>
        <v>18</v>
      </c>
      <c r="CG31" s="126">
        <f>SQRT(2*PI()^2*29000/VLOOKUP(Reinforcements[[#This Row],[Material]],Materials[],2,FALSE))</f>
        <v>93.844147005158973</v>
      </c>
      <c r="CH3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123">
        <f>Reinforcements[[#This Row],[Effective Length Factor Kx]]*Reinforcements[[#This Row],[Lu (in)]]/(Reinforcements[[#This Row],[rx]]*PI())*SQRT(VLOOKUP(Reinforcements[[#This Row],[Material]],Materials[],2,FALSE)/29000)</f>
        <v>0.66820296647591804</v>
      </c>
      <c r="CK31" s="123">
        <f>Reinforcements[[#This Row],[Effective Length Factor Ky]]*Reinforcements[[#This Row],[Lu (in)]]/(Reinforcements[[#This Row],[ry]]*PI())*SQRT(VLOOKUP(Reinforcements[[#This Row],[Material]],Materials[],2,FALSE)/29000)</f>
        <v>0.13920895134914957</v>
      </c>
      <c r="CL31" s="123">
        <f>IF(Reinforcements[[#This Row],[λcx]]&lt;=1.5,0.658^(Reinforcements[[#This Row],[λcx]]^2)*Reinforcements[[#This Row],[F''y]],0.877/(Reinforcements[[#This Row],[λcx]]^2)*Reinforcements[[#This Row],[F''y]])</f>
        <v>53.9202739283065</v>
      </c>
      <c r="CM31" s="123">
        <f>IF(Reinforcements[[#This Row],[λcy]]&lt;=1.5,0.658^(Reinforcements[[#This Row],[λcy]]^2)*Reinforcements[[#This Row],[F''y]],0.877/(Reinforcements[[#This Row],[λcy]]^2)*Reinforcements[[#This Row],[F''y]])</f>
        <v>64.474908164166294</v>
      </c>
      <c r="CN31" s="6">
        <f>VLOOKUP(Reinforcements[[#This Row],[Material]],Materials[],2,FALSE)</f>
        <v>65</v>
      </c>
      <c r="CO31" s="126">
        <f>IF(Reinforcements[[#This Row],[Reinforcement]]="","",Reinforcements[[#This Row],[Fax]]*Reinforcements[[#This Row],[Gross Area (in2)]])</f>
        <v>189.25725701315989</v>
      </c>
      <c r="CP31" s="126">
        <f>IF(Reinforcements[[#This Row],[Reinforcement]]="","",Reinforcements[[#This Row],[Fay]]*Reinforcements[[#This Row],[Gross Area (in2)]])</f>
        <v>227.83649439954195</v>
      </c>
      <c r="CQ31" s="126">
        <f>IF(Reinforcements[[#This Row],[Reinforcement]]="","",0.6*VLOOKUP(Reinforcements[[#This Row],[Material]],Materials[],2,FALSE)*Reinforcements[[#This Row],[Gross Area (in2)]])</f>
        <v>234</v>
      </c>
      <c r="CR31" s="126">
        <f>IF(Reinforcements[[#This Row],[Reinforcement]]="","",0.5*VLOOKUP(Reinforcements[[#This Row],[Material]],Materials[],3,FALSE)*Reinforcements[[#This Row],[Net Area (in2)]]*Reinforcements[[#This Row],[Shear Lag (U)]])</f>
        <v>190</v>
      </c>
      <c r="CS31" s="126">
        <f>IF(Reinforcements[[#This Row],[Reinforcement]]="","",0.4*VLOOKUP(Reinforcements[[#This Row],[Material]],Materials[],2,FALSE)*Reinforcements[[#This Row],[Gross Area (in2)]])</f>
        <v>156</v>
      </c>
      <c r="CT31"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126">
        <f>IF(Reinforcements[[#This Row],[Reinforcement]]="","",φ_c*Reinforcements[[#This Row],[Fcr,x]]*Reinforcements[[#This Row],[Gross Area (in2)]])</f>
        <v>291.16947921285509</v>
      </c>
      <c r="DI31" s="126">
        <f>IF(Reinforcements[[#This Row],[Reinforcement]]="","",φ_c*Reinforcements[[#This Row],[Fcr,y]]*Reinforcements[[#This Row],[Gross Area (in2)]])</f>
        <v>348.16450408649803</v>
      </c>
      <c r="DJ31" s="126">
        <f>IF(Reinforcements[[#This Row],[Reinforcement]]="","",φ_t_y*VLOOKUP(Reinforcements[[#This Row],[Material]],Materials[],2,FALSE)*Reinforcements[[#This Row],[Gross Area (in2)]])</f>
        <v>351</v>
      </c>
      <c r="DK31" s="126">
        <f>IF(Reinforcements[[#This Row],[Reinforcement]]="","",φ_t_r*VLOOKUP(Reinforcements[[#This Row],[Material]],Materials[],3,FALSE)*Reinforcements[[#This Row],[Net Area (in2)]]*Reinforcements[[#This Row],[Shear Lag (U)]])</f>
        <v>285</v>
      </c>
      <c r="DL31" s="126">
        <f>IF(Reinforcements[[#This Row],[Reinforcement]]="","",φ_v*0.5*Reinforcements[[#This Row],[F''y]]*Reinforcements[[#This Row],[Gross Area (in2)]])</f>
        <v>175.5</v>
      </c>
      <c r="DM31"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111" t="str">
        <f>IF(OR(Reinforcements[[#This Row],[Type]]="plate",Reinforcements[[#This Row],[Type]]="solid round"),"N/A",Reinforcements[[#This Row],[B (in)]])</f>
        <v>N/A</v>
      </c>
      <c r="EB31" s="6" t="str">
        <f>IF(OR(Reinforcements[[#This Row],[Type]]="plate",Reinforcements[[#This Row],[Type]]="solid round"),"N/A",Reinforcements[[#This Row],[H (in)]])</f>
        <v>N/A</v>
      </c>
      <c r="EC31" s="6" t="str">
        <f>IF(OR(Reinforcements[[#This Row],[Type]]="plate",Reinforcements[[#This Row],[Type]]="solid round"),"N/A",Reinforcements[[#This Row],[B (in)]]-Reinforcements[[#This Row],['[Channel'] Flange Thickness (in)]])</f>
        <v>N/A</v>
      </c>
      <c r="ED31" s="6" t="str">
        <f>IF(OR(Reinforcements[[#This Row],[Type]]="plate",Reinforcements[[#This Row],[Type]]="solid round"),"N/A",Reinforcements[[#This Row],['[Channel']Web Thickness (in)]])</f>
        <v>N/A</v>
      </c>
      <c r="EE31" s="6" t="str">
        <f>IF(OR(Reinforcements[[#This Row],[Type]]="plate",Reinforcements[[#This Row],[Type]]="solid round"),"N/A",Reinforcements[[#This Row],['[Channel'] Flange Thickness (in)]])</f>
        <v>N/A</v>
      </c>
      <c r="EF31" s="6" t="str">
        <f>IF(Reinforcements[[#This Row],[Type]]="channel",Reinforcements[[#This Row],[Channel Flange Width, b]]/Reinforcements[[#This Row],[Channel flange thickness, tf]],"N/A")</f>
        <v>N/A</v>
      </c>
      <c r="EG31" s="6" t="str">
        <f>IF(Reinforcements[[#This Row],[Type]]="channel",Reinforcements[[#This Row],[Channel inside depth, T]]/Reinforcements[[#This Row],[Channel web thickness, tw]],"N/A")</f>
        <v>N/A</v>
      </c>
      <c r="EH31" s="6">
        <f>29000</f>
        <v>29000</v>
      </c>
      <c r="EI31" s="6" t="str">
        <f>IF(Reinforcements[[#This Row],[Type]]="channel",0.56*SQRT(Reinforcements[[#This Row],[E, (ksi)]]/Reinforcements[[#This Row],[Fy, (ksi)]]),"N/A")</f>
        <v>N/A</v>
      </c>
      <c r="EJ31" s="6" t="str">
        <f>IF(Reinforcements[[#This Row],[Type]]="channel",1.49*SQRT(Reinforcements[[#This Row],[E, (ksi)]]/Reinforcements[[#This Row],[Fy, (ksi)]]),"N/A")</f>
        <v>N/A</v>
      </c>
      <c r="EK31" s="6">
        <f>VLOOKUP(Reinforcements[[#This Row],[Material]],Materials!$B$2:$C$30,2,FALSE)</f>
        <v>65</v>
      </c>
      <c r="EL31" s="6">
        <f>Reinforcements[[#This Row],[Lu (in)]]*Reinforcements[[#This Row],[Effective Length Factor Kx]]</f>
        <v>12.8</v>
      </c>
      <c r="EM31" s="6">
        <f>Reinforcements[[#This Row],[Lu (in)]]*Reinforcements[[#This Row],[Effective Length Factor Ky]]</f>
        <v>16</v>
      </c>
      <c r="EN31" s="6">
        <f>Reinforcements[[#This Row],[rx]]</f>
        <v>0.28867513459481287</v>
      </c>
      <c r="EO31" s="6">
        <f>Reinforcements[[#This Row],[ry]]</f>
        <v>1.7320508075688772</v>
      </c>
      <c r="EP31" s="6">
        <f>Reinforcements[[#This Row],[Lcx (in)]]/Reinforcements[[#This Row],[rx (in)]]</f>
        <v>44.340500673763266</v>
      </c>
      <c r="EQ31" s="6">
        <f>Reinforcements[[#This Row],[Lcy (in)]]/Reinforcements[[#This Row],[ry (in)]]</f>
        <v>9.2376043070340135</v>
      </c>
      <c r="ER31" s="6">
        <f>((PI()^2)*Reinforcements[[#This Row],[E, (ksi)]])/(Reinforcements[[#This Row],[Lcx/rx]]^2)</f>
        <v>145.57827129699263</v>
      </c>
      <c r="ES31" s="6">
        <f>((PI()^2)*Reinforcements[[#This Row],[E, (ksi)]])/(Reinforcements[[#This Row],[Lcy/ry]]^2)</f>
        <v>3354.1233706827102</v>
      </c>
      <c r="ET31" s="6">
        <f>4.71*(SQRT(Reinforcements[[#This Row],[E, (ksi)]]/Reinforcements[[#This Row],[Fy, (ksi)]]))</f>
        <v>99.486288193205496</v>
      </c>
      <c r="EU31" s="6">
        <f>IF(Reinforcements[[#This Row],[Lcx/rx]]&lt;=Reinforcements[[#This Row],[Fcr Limit]],(0.658^(Reinforcements[[#This Row],[Fy, (ksi)]]/Reinforcements[[#This Row],[Fex, FB (ksi)]]))*Reinforcements[[#This Row],[Fy, (ksi)]],0.877*Reinforcements[[#This Row],[Fex, FB (ksi)]])</f>
        <v>53.9202739283065</v>
      </c>
      <c r="EV31" s="6">
        <f>IF(Reinforcements[[#This Row],[Lcy/ry]]&lt;=Reinforcements[[#This Row],[Fcr Limit]],(0.658^(Reinforcements[[#This Row],[Fy, (ksi)]]/Reinforcements[[#This Row],[Fey, FB (ksi)]]))*Reinforcements[[#This Row],[Fy, (ksi)]],0.877*Reinforcements[[#This Row],[Fey, FB (ksi)]])</f>
        <v>64.474908164166294</v>
      </c>
      <c r="EW31" s="6">
        <f>Reinforcements[[#This Row],[Fcrx (ksi)]]*Reinforcements[[#This Row],[Gross Area (in2)]]</f>
        <v>323.521643569839</v>
      </c>
      <c r="EX31" s="6">
        <f>Reinforcements[[#This Row],[Fcry (ksi)]]*Reinforcements[[#This Row],[Gross Area (in2)]]</f>
        <v>386.84944898499776</v>
      </c>
      <c r="EY31" s="6" t="str">
        <f>IF(Reinforcements[[#This Row],[Type]]="channel",0,"N/A")</f>
        <v>N/A</v>
      </c>
      <c r="EZ31" s="6" t="str">
        <f>IF(Reinforcements[[#This Row],[Type]]="channel",Reinforcements[[#This Row],[Channel Flange Width, b]]-(0.5*Reinforcements[[#This Row],[Channel web thickness, tw]]),"N/A")</f>
        <v>N/A</v>
      </c>
      <c r="FA31" s="6" t="str">
        <f>IF(Reinforcements[[#This Row],[Type]]="channel",Reinforcements[[#This Row],[Channel Height, h]]-Reinforcements[[#This Row],[Channel flange thickness, tf]],"N/A")</f>
        <v>N/A</v>
      </c>
      <c r="FB31" s="6" t="str">
        <f>IF(Reinforcements[[#This Row],[Type]]="channel",Reinforcements[[#This Row],[Channel web thickness, tw]],"N/A")</f>
        <v>N/A</v>
      </c>
      <c r="FC31" s="6" t="str">
        <f>IF(Reinforcements[[#This Row],[Type]]="channel",((3*Reinforcements[[#This Row],[b]]^2)/(Reinforcements[[#This Row],[h]]+(6*Reinforcements[[#This Row],[b]])))-Reinforcements[[#This Row],[t]]/2,"N/A")</f>
        <v>N/A</v>
      </c>
      <c r="FD31" s="6">
        <f>Reinforcements[[#This Row],[Pole Face to Centroid (in)]]</f>
        <v>0.5</v>
      </c>
      <c r="FE31" s="6" t="str">
        <f>IF(Reinforcements[[#This Row],[Type]]="channel",Reinforcements[[#This Row],[x(bar)]]+Reinforcements[[#This Row],['[Channel'] e0 (in)]],"N/A")</f>
        <v>N/A</v>
      </c>
      <c r="FF31" s="6" t="str">
        <f>IF(Reinforcements[[#This Row],[Type]]="channel",Reinforcements[[#This Row],[Ix]],"N/A")</f>
        <v>N/A</v>
      </c>
      <c r="FG31" s="6" t="str">
        <f>IF(Reinforcements[[#This Row],[Type]]="channel",Reinforcements[[#This Row],[Iy]],"N/A")</f>
        <v>N/A</v>
      </c>
      <c r="FH31" s="6" t="str">
        <f>IF(Reinforcements[[#This Row],[Type]]="channel",Reinforcements[[#This Row],[Gross Area (in2)]],"N/A")</f>
        <v>N/A</v>
      </c>
      <c r="FI31" s="6" t="str">
        <f>IF(Reinforcements[[#This Row],[Type]]="channel",(Reinforcements[[#This Row],[xo]]^2)+((Reinforcements[[#This Row],[Ix (FTB)]]+Reinforcements[[#This Row],[Iy (FTB)]])/Reinforcements[[#This Row],[Ag]]),"N/A")</f>
        <v>N/A</v>
      </c>
      <c r="FJ31" s="6" t="str">
        <f>IF(Reinforcements[[#This Row],[Type]]="channel",Reinforcements[[#This Row],[Lu (in)]],"N/A")</f>
        <v>N/A</v>
      </c>
      <c r="FK31" s="6" t="str">
        <f>IF(Reinforcements[[#This Row],[Type]]="channel",Reinforcements[[#This Row],[Effective Length Factor Kx]],"N/A")</f>
        <v>N/A</v>
      </c>
      <c r="FL31" s="6" t="str">
        <f>IF(Reinforcements[[#This Row],[Type]]="channel",Reinforcements[[#This Row],[Kz]]*Reinforcements[[#This Row],[Lz]],"N/A")</f>
        <v>N/A</v>
      </c>
      <c r="FM31" s="6" t="str">
        <f>IF(Reinforcements[[#This Row],[Type]]="channel",(((Reinforcements[[#This Row],[t]]^3)/3)*(Reinforcements[[#This Row],[h]]+(2*Reinforcements[[#This Row],[b]]))),"N/A")</f>
        <v>N/A</v>
      </c>
      <c r="FN31" s="6" t="str">
        <f>IF(Reinforcements[[#This Row],[Type]]="channel",(1-(((Reinforcements[[#This Row],[xo]]^2)+(Reinforcements[[#This Row],[yo]]^2))/Reinforcements[[#This Row],[ro^2(bar)]])),"N/A")</f>
        <v>N/A</v>
      </c>
      <c r="FO31" s="6">
        <v>11200</v>
      </c>
      <c r="FP31" s="6" t="str">
        <f>IF(Reinforcements[[#This Row],[Type]]="channel",(((Reinforcements[[#This Row],[h]]^2)*(Reinforcements[[#This Row],[b]]^3)*Reinforcements[[#This Row],[t]])/12)*(((2*Reinforcements[[#This Row],[h]])+(3*Reinforcements[[#This Row],[b]]))/(Reinforcements[[#This Row],[h]]+(6*Reinforcements[[#This Row],[b]]))),"N/A")</f>
        <v>N/A</v>
      </c>
      <c r="FQ31" s="6" t="str">
        <f>IF(Reinforcements[[#This Row],[Type]]="Channel",((((PI()^2)*Reinforcements[[#This Row],[E, (ksi)]]*Reinforcements[[#This Row],['[Channel'] CW (in6)]])/(Reinforcements[[#This Row],[Lcz]]^2))+(Reinforcements[[#This Row],[G]]*Reinforcements[[#This Row],['[Channel'] J (in4)]]))*(1/(Reinforcements[[#This Row],[Ag]]*Reinforcements[[#This Row],[ro^2(bar)]])),"N/A")</f>
        <v>N/A</v>
      </c>
      <c r="FR31" s="6" t="str">
        <f>IF(Reinforcements[[#This Row],[Type]]="channel",((PI()^2)*Reinforcements[[#This Row],[E, (ksi)]])/(Reinforcements[[#This Row],[Lcy/ry]]^2),"N/A")</f>
        <v>N/A</v>
      </c>
      <c r="FS31" s="6" t="str">
        <f>IF(Reinforcements[[#This Row],[Type]]="channel",((Reinforcements[[#This Row],[Fey]]+Reinforcements[[#This Row],[Fez]])/(2*Reinforcements[[#This Row],[H2]]))*(1-SQRT(1-((4*Reinforcements[[#This Row],[Fey]]*Reinforcements[[#This Row],[Fez]]*Reinforcements[[#This Row],[H2]])/(Reinforcements[[#This Row],[Fey]]+Reinforcements[[#This Row],[Fez]])^2))),"N/A")</f>
        <v>N/A</v>
      </c>
      <c r="FT31" s="6" t="str">
        <f>IF(Reinforcements[[#This Row],[Type]]="channel",IF(Reinforcements[[#This Row],[Lcx/rx]]&gt;(4.71*SQRT(Reinforcements[[#This Row],[E, (ksi)]]/Reinforcements[[#This Row],[Fy, (ksi)]])),0.877*Reinforcements[[#This Row],[Fe (FTB)]],0.658^(Reinforcements[[#This Row],[Fy, (ksi)]]/Reinforcements[[#This Row],[Fe (FTB)]])*Reinforcements[[#This Row],[Fy, (ksi)]]),"N/A")</f>
        <v>N/A</v>
      </c>
      <c r="FU31" s="6" t="str">
        <f>IF(Reinforcements[[#This Row],[Type]]="channel",MIN(Reinforcements[[#This Row],[Fcr(FTB)]],Reinforcements[[#This Row],[Fcry (ksi)]]),"N/A")</f>
        <v>N/A</v>
      </c>
      <c r="FV31" s="6">
        <v>0.22</v>
      </c>
      <c r="FW31" s="6">
        <v>1.49</v>
      </c>
      <c r="FX31" s="6" t="str">
        <f>IF(Reinforcements[[#This Row],[Type]]="channel",((Reinforcements[[#This Row],[c2]]*(Reinforcements[[#This Row],[λrf]]/Reinforcements[[#This Row],[λf]]))^2)*Reinforcements[[#This Row],[Fy, (ksi)]],"N/A")</f>
        <v>N/A</v>
      </c>
      <c r="FY31" s="6" t="str">
        <f>IF(Reinforcements[[#This Row],[Type]]="channel",((Reinforcements[[#This Row],[c2]]*(Reinforcements[[#This Row],[λrw]]/Reinforcements[[#This Row],[λw]]))^2)*Reinforcements[[#This Row],[Fy, (ksi)]],"N/A")</f>
        <v>N/A</v>
      </c>
      <c r="FZ31"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6" t="str">
        <f>IF(Reinforcements[[#This Row],[Type]]="channel",Reinforcements[[#This Row],[Fcr]]*Reinforcements[[#This Row],[Ae]],"N/A")</f>
        <v>N/A</v>
      </c>
      <c r="GD31">
        <f>IF(Reinforcements[[#This Row],[Reinforcement]]="","",φ_c*Reinforcements[[#This Row],[Pnx, FB (kip)]])</f>
        <v>291.16947921285509</v>
      </c>
      <c r="GE31">
        <f>IF(Reinforcements[[#This Row],[Reinforcement]]="","",IF(Reinforcements[[#This Row],[Type]]="channel",φ_c*Reinforcements[[#This Row],[Pn]],φ_c*Reinforcements[[#This Row],[Pny, FB (kip)]]))</f>
        <v>348.16450408649797</v>
      </c>
      <c r="GF31">
        <f>Reinforcements[[#This Row],[Rev. G Tension Yield Capacity (kips)]]</f>
        <v>351</v>
      </c>
      <c r="GG31">
        <f>Reinforcements[[#This Row],[Rev. G Tension Rupture Capacity (kips)]]</f>
        <v>285</v>
      </c>
      <c r="GH31">
        <f>Reinforcements[[#This Row],[Rev. G Shear Capacity (kips)]]</f>
        <v>175.5</v>
      </c>
      <c r="GI31" t="str">
        <f>IFERROR((Reinforcements[[#This Row],['# of End Connection Bolts          (Bottom)]]-1)*Reinforcements[[#This Row],[End Connection Bolt Spacing (in) (B)]],"-")</f>
        <v>-</v>
      </c>
      <c r="GJ31">
        <f>IFERROR(IF(VLOOKUP(Reinforcements[[#This Row],[Bottom End Connection Bolt Type]],Bolts[],COLUMN(Bolts[[#Headers],[Rev. H Apply Connection Length Reduction Factor (Rb)?]])-1,FALSE)="Yes",(IF(Reinforcements[[#This Row],[Lb(bottom)]]&lt;=16,1,IF(Reinforcements[[#This Row],[Lb(bottom)]]&gt;38,0.75,0.9))),1),"-")</f>
        <v>1</v>
      </c>
      <c r="GK31"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f>IFERROR(IF(Reinforcements[[#This Row],[Top End Connection Same?]]="Yes",Reinforcements[[#This Row],[Lb(bottom)]],(Reinforcements[[#This Row],['# of End Connection Bolts          (Top)]]-1)*Reinforcements[[#This Row],[End Connection Bolt Spacing (in) (T)]]),"-")</f>
        <v>27</v>
      </c>
      <c r="GM31">
        <f>IFERROR(IF(VLOOKUP(Reinforcements[[#This Row],[Top End Connection Bolt Type]],Bolts[],COLUMN(Bolts[[#Headers],[Rev. H Apply Connection Length Reduction Factor (Rb)?]])-1,FALSE)=TRUE,(IF(Reinforcements[[#This Row],[Lb(top)]]&lt;=16,1,IF(Reinforcements[[#This Row],[Lb(top)]]&gt;38,0.75,0.9))),1),"-")</f>
        <v>0.9</v>
      </c>
      <c r="GN3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t="str">
        <f>Reinforcements[[#This Row],[Rev. G Bolt-Shaft Bearing Capacity (Bottom)                No Deformation          (*t*Fu kips)]]</f>
        <v>-</v>
      </c>
      <c r="GP31" t="str">
        <f>Reinforcements[[#This Row],[Rev. G Bolt-Shaft Bearing Capacity (Bottom)                   Deformation          (*t*Fu kips)]]</f>
        <v>-</v>
      </c>
      <c r="GQ31">
        <f>Reinforcements[[#This Row],[Rev. G Bolt-Shaft Bearing Capacity (Top)                    No Deformation          (*t*Fu kips)]]</f>
        <v>19.778267716535435</v>
      </c>
      <c r="GR31">
        <f>Reinforcements[[#This Row],[Rev. G Bolt-Shaft Bearing Capacity (Top)                        Deformation          (*t*Fu kips)]]</f>
        <v>24.722834645669291</v>
      </c>
      <c r="GS31" t="str">
        <f>Reinforcements[[#This Row],[Rev. G Bolt-Reinf. Bearing Capacity (Bottom)            No Deformation (kips)]]</f>
        <v>-</v>
      </c>
      <c r="GT31" t="str">
        <f>Reinforcements[[#This Row],[Rev. G Bolt-Reinf. Bearing Capacity (Bottom)               Deformation (kips)]]</f>
        <v>-</v>
      </c>
      <c r="GU31">
        <f>Reinforcements[[#This Row],[Rev. G Bolt-Reinf. Bearing Capacity (Top)                  No Deformation (kips)]]</f>
        <v>1582.2614173228346</v>
      </c>
      <c r="GV31">
        <f>Reinforcements[[#This Row],[Rev. G Bolt-Reinf. Bearing Capacity (Top)               Deformation (kips)]]</f>
        <v>1977.8267716535433</v>
      </c>
      <c r="GW31" t="str">
        <f>Reinforcements[[#This Row],[Rev. G Bottom Transverse Weld Strength]]</f>
        <v>-</v>
      </c>
      <c r="GX31" t="str">
        <f>Reinforcements[[#This Row],[Rev. G Bottom Longitudinal Weld Strength]]</f>
        <v>-</v>
      </c>
      <c r="GY31" t="str">
        <f>Reinforcements[[#This Row],[Rev. G Top Transverse Weld Strength]]</f>
        <v>-</v>
      </c>
      <c r="GZ31" t="str">
        <f>Reinforcements[[#This Row],[Rev. G Top Longitudinal Weld Strength]]</f>
        <v>-</v>
      </c>
      <c r="HA31">
        <v>29</v>
      </c>
      <c r="HB31"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0" x14ac:dyDescent="0.2">
      <c r="B32" s="49" t="s">
        <v>389</v>
      </c>
      <c r="C32" s="49" t="s">
        <v>352</v>
      </c>
      <c r="D32" s="6">
        <v>6.5</v>
      </c>
      <c r="E32" s="6">
        <v>1.25</v>
      </c>
      <c r="F32" s="6" t="str">
        <f>IF(Reinforcements[[#This Row],[Type]]="","",IF(Reinforcements[[#This Row],[Type]]="solid round","","n/a"))</f>
        <v>n/a</v>
      </c>
      <c r="G32" s="6" t="str">
        <f>IF(Reinforcements[[#This Row],[Type]]="","",IF(Reinforcements[[#This Row],[Type]]&lt;&gt;"channel","n/a",""))</f>
        <v>n/a</v>
      </c>
      <c r="H32" s="6" t="str">
        <f>IF(Reinforcements[[#This Row],[Type]]="","",IF(Reinforcements[[#This Row],[Type]]&lt;&gt;"channel","n/a",""))</f>
        <v>n/a</v>
      </c>
      <c r="I32" s="126" t="str">
        <f>IF(Reinforcements[[#This Row],[Type]]="","",IF(Reinforcements[[#This Row],[Type]]&lt;&gt;"channel","n/a",Reinforcements[[#This Row],[eo]]))</f>
        <v>n/a</v>
      </c>
      <c r="J32" s="126" t="str">
        <f>IF(Reinforcements[[#This Row],[Type]]="","",IF(Reinforcements[[#This Row],[Type]]&lt;&gt;"channel","n/a",Reinforcements[[#This Row],[J]]))</f>
        <v>n/a</v>
      </c>
      <c r="K32" s="126" t="str">
        <f>IF(Reinforcements[[#This Row],[Type]]="","",IF(Reinforcements[[#This Row],[Type]]&lt;&gt;"channel","n/a",Reinforcements[[#This Row],[Cw]]))</f>
        <v>n/a</v>
      </c>
      <c r="L32" s="6">
        <f>IFERROR(IF(Reinforcements[[#This Row],[Type]]="","",IF(Reinforcements[[#This Row],[Type]]="plate",Reinforcements[[#This Row],[B (in)]]*Reinforcements[[#This Row],[H (in)]],IF(Reinforcements[[#This Row],[Type]]="solid round",PI()/4*Reinforcements[[#This Row],[Diameter (in)]]^2,""))),"")</f>
        <v>8.125</v>
      </c>
      <c r="M32" s="6">
        <f>IFERROR(IF(Reinforcements[[#This Row],[Type]]="","",IF(Reinforcements[[#This Row],[Type]]="plate",Reinforcements[[#This Row],[H (in)]]/2,"")),"")</f>
        <v>0.625</v>
      </c>
      <c r="N32" s="34" t="s">
        <v>353</v>
      </c>
      <c r="O32" s="6" t="s">
        <v>138</v>
      </c>
      <c r="P32" s="123">
        <f>IFERROR(IF(Reinforcements[[#This Row],[Type]]="","",IF(Reinforcements[[#This Row],[Type]]="plate",Reinforcements[[#This Row],[B (in)]]*Reinforcements[[#This Row],[H (in)]]^3/12,IF(Reinforcements[[#This Row],[Type]]="solid round",PI()/64*Reinforcements[[#This Row],[Diameter (in)]]^4,""))),"")</f>
        <v>1.0579427083333333</v>
      </c>
      <c r="Q32" s="123">
        <f>IF(Reinforcements[[#This Row],[Reinforcement]]="","",SQRT(Reinforcements[[#This Row],[Ix]]/Reinforcements[[#This Row],[Gross Area (in2)]]))</f>
        <v>0.36084391824351608</v>
      </c>
      <c r="R32" s="123">
        <f>IFERROR(IF(Reinforcements[[#This Row],[Type]]="","",IF(Reinforcements[[#This Row],[Type]]="plate",Reinforcements[[#This Row],[B (in)]]^3*Reinforcements[[#This Row],[H (in)]]/12,IF(Reinforcements[[#This Row],[Type]]="solid round",PI()/64*Reinforcements[[#This Row],[Diameter (in)]]^4,""))),"")</f>
        <v>28.606770833333332</v>
      </c>
      <c r="S32" s="123">
        <f>IF(Reinforcements[[#This Row],[Reinforcement]]="","",SQRT(Reinforcements[[#This Row],[Iy]]/Reinforcements[[#This Row],[Gross Area (in2)]]))</f>
        <v>1.8763883748662837</v>
      </c>
      <c r="T32" s="6">
        <v>19</v>
      </c>
      <c r="U32" s="6">
        <v>0.8</v>
      </c>
      <c r="V32" s="6">
        <v>1</v>
      </c>
      <c r="W32" s="6">
        <v>1.1875</v>
      </c>
      <c r="X32" s="6">
        <f>IF(Reinforcements[[#This Row],[Bolt Hole Size (in)]]="","",IF(Reinforcements[[#This Row],[Bolt Hole Size (in)]]="n/a","n/a",Reinforcements[[#This Row],[Bolt Hole Size (in)]]*25.4))</f>
        <v>30.162499999999998</v>
      </c>
      <c r="Y3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6">
        <f>IFERROR(IF(Reinforcements[[#This Row],[Reinforcement]]="","",IF(OR(Reinforcements[[#This Row],[Type]]="plate",Reinforcements[[#This Row],[Type]]="solid round"),1,IF(Reinforcements[[#This Row],[Type]]="arbitrary","",1-Reinforcements[[#This Row],[Pole Face to Centroid (in)]]/Reinforcements[[#This Row],[Connection Length (in) '[Channels']]]))),"")</f>
        <v>1</v>
      </c>
      <c r="AA32" s="34" t="s">
        <v>382</v>
      </c>
      <c r="AB32" s="34" t="str">
        <f>IF(Reinforcements[[#This Row],[Reinforcement]]="","",IF(Reinforcements[[#This Row],[Bottom End Connection Type]]&lt;&gt;"Capacity Input","-",""))</f>
        <v>-</v>
      </c>
      <c r="AC32" s="34" t="str">
        <f>IF(Reinforcements[[#This Row],[Reinforcement]]="","",IF(Reinforcements[[#This Row],[Bottom End Connection Type]]&lt;&gt;"Capacity Input","-",""))</f>
        <v>-</v>
      </c>
      <c r="AD32" s="16" t="str">
        <f>IF(Reinforcements[[#This Row],[Reinforcement]]="","",IF(Reinforcements[[#This Row],[Bottom End Connection Type]]&lt;&gt;"Capacity Input","-",""))</f>
        <v>-</v>
      </c>
      <c r="AE32" s="74" t="str">
        <f>IF(Reinforcements[[#This Row],[Reinforcement]]="","",IF(Reinforcements[[#This Row],[Bottom End Connection Type]]="","-",IF(Reinforcements[[#This Row],[Bottom End Connection Type]]&lt;&gt;"Bolted","-","")))</f>
        <v>-</v>
      </c>
      <c r="AF32" s="6" t="str">
        <f>IF(Reinforcements[[#This Row],[Bottom End Connection Type]]="Welded","-","")</f>
        <v>-</v>
      </c>
      <c r="AG32" s="6" t="str">
        <f>IF(Reinforcements[[#This Row],[Bottom End Connection Type]]="Welded","-","")</f>
        <v>-</v>
      </c>
      <c r="AH32" s="6" t="str">
        <f>IF(Reinforcements[[#This Row],[Bottom End Connection Type]]="Welded","-","")</f>
        <v>-</v>
      </c>
      <c r="AI32" s="6" t="str">
        <f>IF(Reinforcements[[#This Row],[Bottom End Connection Type]]="Welded","-","")</f>
        <v>-</v>
      </c>
      <c r="AJ32" s="6" t="e">
        <f>Reinforcements[[#This Row],[End Connection Edge Distance (in) (B)]]-(Reinforcements[[#This Row],[Bolt Hole Size (in)]]+1/16)/2</f>
        <v>#VALUE!</v>
      </c>
      <c r="AK32" s="6" t="e">
        <f>Reinforcements[[#This Row],[End Connection Bolt Spacing (in) (B)]]-(Reinforcements[[#This Row],[Bolt Hole Size (in)]]+1/16)</f>
        <v>#VALUE!</v>
      </c>
      <c r="AL32" s="6" t="str">
        <f>Reinforcements[[#This Row],[End Connection Edge Distance (in) (B)]]</f>
        <v>-</v>
      </c>
      <c r="AM32" s="6" t="str">
        <f>Reinforcements[[#This Row],[End Connection Bolt Spacing (in) (B)]]</f>
        <v>-</v>
      </c>
      <c r="AN32" s="111" t="s">
        <v>357</v>
      </c>
      <c r="AO32" s="111">
        <v>70</v>
      </c>
      <c r="AP32" s="111" t="s">
        <v>383</v>
      </c>
      <c r="AQ32" s="111">
        <v>6.5</v>
      </c>
      <c r="AR32" s="6">
        <v>1.25</v>
      </c>
      <c r="AS32" s="6">
        <v>45</v>
      </c>
      <c r="AT32" s="111">
        <v>0.5</v>
      </c>
      <c r="AU3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11" t="s">
        <v>384</v>
      </c>
      <c r="AW32" s="111" t="str">
        <f>IF(Reinforcements[[#This Row],[Reinforcement]]="","",IF(OR(Reinforcements[[#This Row],[Bottom End Connection Type]]&lt;&gt;"Welded",Reinforcements[[#This Row],[Bottom Longitudinal (Vertical) Weld]]="None",Reinforcements[[#This Row],[Bottom Longitudinal (Vertical) Weld]]=""),"-",""))</f>
        <v>-</v>
      </c>
      <c r="AX32" s="111" t="str">
        <f>IF(Reinforcements[[#This Row],[Reinforcement]]="","",IF(OR(Reinforcements[[#This Row],[Bottom End Connection Type]]&lt;&gt;"Welded",Reinforcements[[#This Row],[Bottom Longitudinal (Vertical) Weld]]="None",Reinforcements[[#This Row],[Bottom Longitudinal (Vertical) Weld]]=""),"-",""))</f>
        <v>-</v>
      </c>
      <c r="AY32" s="6" t="str">
        <f>IF(Reinforcements[[#This Row],[Reinforcement]]="","",IF(OR(Reinforcements[[#This Row],[Bottom End Connection Type]]&lt;&gt;"Welded",Reinforcements[[#This Row],[Bottom Longitudinal (Vertical) Weld]]="None"),"-",SQRT(2)/2*Reinforcements[[#This Row],[Bottom Longitudinal Weld Fillet Size (in)]]))</f>
        <v>-</v>
      </c>
      <c r="AZ32" s="111" t="s">
        <v>353</v>
      </c>
      <c r="BA32" s="34" t="s">
        <v>354</v>
      </c>
      <c r="BB32" s="34" t="str">
        <f>IF(Reinforcements[[#This Row],[Reinforcement]]="","",IF(Reinforcements[[#This Row],[Top End Connection Same?]]="Yes",Reinforcements[[#This Row],[Rev. F Bottom Connection Capacity (kips)]],IF(Reinforcements[[#This Row],[Reinforcement]]="","",IF(Reinforcements[[#This Row],[Top End Connection Type]]&lt;&gt;"Capacity Input","-",""))))</f>
        <v>-</v>
      </c>
      <c r="BC32" s="34" t="str">
        <f>IF(Reinforcements[[#This Row],[Reinforcement]]="","",IF(Reinforcements[[#This Row],[Top End Connection Same?]]="Yes",Reinforcements[[#This Row],[Rev. G Bottom Connection Capacity (kips)]],IF(Reinforcements[[#This Row],[Reinforcement]]="","",IF(Reinforcements[[#This Row],[Top End Connection Type]]&lt;&gt;"Capacity Input","-",""))))</f>
        <v>-</v>
      </c>
      <c r="BD32" s="16" t="str">
        <f>IF(Reinforcements[[#This Row],[Reinforcement]]="","",IF(Reinforcements[[#This Row],[Top End Connection Same?]]="Yes",Reinforcements[[#This Row],[Rev. G Bottom Connection Capacity (kips)]],IF(Reinforcements[[#This Row],[Reinforcement]]="","",IF(Reinforcements[[#This Row],[Top End Connection Type]]&lt;&gt;"Capacity Input","-",""))))</f>
        <v>-</v>
      </c>
      <c r="BE32" s="74" t="s">
        <v>355</v>
      </c>
      <c r="BF32" s="111" t="s">
        <v>356</v>
      </c>
      <c r="BG32" s="6">
        <v>14</v>
      </c>
      <c r="BH32" s="6">
        <v>3</v>
      </c>
      <c r="BI32" s="6">
        <v>3</v>
      </c>
      <c r="BJ32" s="6">
        <f>Reinforcements[[#This Row],[End Connection Edge Distance (in) (T)]]-(Reinforcements[[#This Row],[Bolt Hole Size (in)]]+1/16)/2</f>
        <v>2.375</v>
      </c>
      <c r="BK32" s="6">
        <f>Reinforcements[[#This Row],[End Connection Bolt Spacing (in) (T)]]-(Reinforcements[[#This Row],[Bolt Hole Size (in)]]+1/16)</f>
        <v>1.75</v>
      </c>
      <c r="BL32" s="6">
        <f>Reinforcements[[#This Row],[End Connection Edge Distance (in) (T)]]</f>
        <v>3</v>
      </c>
      <c r="BM32" s="6">
        <f>Reinforcements[[#This Row],[End Connection Bolt Spacing (in) (T)]]</f>
        <v>3</v>
      </c>
      <c r="BN32" s="6" t="str">
        <f>IF(Reinforcements[[#This Row],[Reinforcement]]="","",IF(Reinforcements[[#This Row],[Top End Connection Same?]]="Yes",Reinforcements[[#This Row],[Bottom Connected to Flange/Base Plate?]],IF(Reinforcements[[#This Row],[Top End Connection Type]]="Bolted","-","")))</f>
        <v>-</v>
      </c>
      <c r="BO32" s="6" t="str">
        <f>IF(Reinforcements[[#This Row],[Reinforcement]]="","",IF(Reinforcements[[#This Row],[Top End Connection Same?]]="Yes",Reinforcements[[#This Row],[Bottom Weld Grade (ksi)]],IF(OR(Reinforcements[[#This Row],[Top End Connection Type]]&lt;&gt;"Welded",Reinforcements[[#This Row],[Top End Connection Type]]=""),"-","")))</f>
        <v>-</v>
      </c>
      <c r="BP32" s="6" t="str">
        <f>IF($AZ32="Yes",AP32,IF(Reinforcements[[#This Row],[Reinforcement]]="","",IF(OR(Reinforcements[[#This Row],[Top End Connection Type]]&lt;&gt;"Welded",Reinforcements[[#This Row],[Top End Connection Type]]=""),"-","")))</f>
        <v>-</v>
      </c>
      <c r="BQ32" s="6" t="str">
        <f>IF(Reinforcements[[#This Row],[Reinforcement]]="","",IF($AZ32="Yes",AQ32,IF(OR(Reinforcements[[#This Row],[Top End Connection Type]]&lt;&gt;"Welded",Reinforcements[[#This Row],[Top Transverse (Horizontal) Weld]]="none",Reinforcements[[#This Row],[Top Transverse (Horizontal) Weld]]=""),"-","")))</f>
        <v>-</v>
      </c>
      <c r="BR32" s="6"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6"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6" t="str">
        <f>IF(Reinforcements[[#This Row],[Reinforcement]]="","",IF($AZ32="Yes",AT32,IF(OR(Reinforcements[[#This Row],[Top Transverse (Horizontal) Weld]]="none",Reinforcements[[#This Row],[Top End Connection Type]]&lt;&gt;"Welded",Reinforcements[[#This Row],[Top Transverse (Horizontal) Weld]]=""),"-","")))</f>
        <v>-</v>
      </c>
      <c r="BU32" s="6"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6" t="str">
        <f>IF($AZ32="Yes",AV32,IF(Reinforcements[[#This Row],[Reinforcement]]="","",IF(OR(Reinforcements[[#This Row],[Top End Connection Type]]&lt;&gt;"Welded",Reinforcements[[#This Row],[Top End Connection Type]]=""),"-","")))</f>
        <v>-</v>
      </c>
      <c r="BW32" s="6"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6"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6" t="str">
        <f>IF($AZ32="Yes",AY32,IF(Reinforcements[[#This Row],[Reinforcement]]="","",IF(OR(Reinforcements[[#This Row],[Top End Connection Type]]&lt;&gt;"Welded",Reinforcements[[#This Row],[Top Longitudinal (Vertical) Weld]]="none"),"-",SQRT(2)/2*Reinforcements[[#This Row],[Top Longitudinal Weld Fillet Size (in)]])))</f>
        <v>-</v>
      </c>
      <c r="BZ32"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111">
        <f>IF(Reinforcements[[#This Row],[Reinforcement]]="","",IF(Reinforcements[[#This Row],[Top End Connection Type]]&lt;&gt;"Bolted","n/a",(Reinforcements[[#This Row],['# of End Connection Bolts          (Top)]]-1)*Reinforcements[[#This Row],[End Connection Bolt Spacing (in) (T)]]+Reinforcements[[#This Row],[End Connection Edge Distance (in) (T)]]))</f>
        <v>42</v>
      </c>
      <c r="CC3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6">
        <f>IFERROR(IF(Reinforcements[[#This Row],[Type]]="","",Reinforcements[[#This Row],[Effective B (in)]]*Reinforcements[[#This Row],[Effective H (in)]]^3/12),"")</f>
        <v>1.0579427083333333</v>
      </c>
      <c r="CF32" s="6">
        <f>IFERROR(IF(Reinforcements[[#This Row],[Type]]="","",Reinforcements[[#This Row],[Effective B (in)]]^3*Reinforcements[[#This Row],[Effective H (in)]]/12),"")</f>
        <v>28.606770833333332</v>
      </c>
      <c r="CG32" s="126">
        <f>SQRT(2*PI()^2*29000/VLOOKUP(Reinforcements[[#This Row],[Material]],Materials[],2,FALSE))</f>
        <v>93.844147005158973</v>
      </c>
      <c r="CH3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123">
        <f>Reinforcements[[#This Row],[Effective Length Factor Kx]]*Reinforcements[[#This Row],[Lu (in)]]/(Reinforcements[[#This Row],[rx]]*PI())*SQRT(VLOOKUP(Reinforcements[[#This Row],[Material]],Materials[],2,FALSE)/29000)</f>
        <v>0.63479281815212207</v>
      </c>
      <c r="CK32" s="123">
        <f>Reinforcements[[#This Row],[Effective Length Factor Ky]]*Reinforcements[[#This Row],[Lu (in)]]/(Reinforcements[[#This Row],[ry]]*PI())*SQRT(VLOOKUP(Reinforcements[[#This Row],[Material]],Materials[],2,FALSE)/29000)</f>
        <v>0.15259442744041396</v>
      </c>
      <c r="CL32" s="123">
        <f>IF(Reinforcements[[#This Row],[λcx]]&lt;=1.5,0.658^(Reinforcements[[#This Row],[λcx]]^2)*Reinforcements[[#This Row],[F''y]],0.877/(Reinforcements[[#This Row],[λcx]]^2)*Reinforcements[[#This Row],[F''y]])</f>
        <v>54.911753637534716</v>
      </c>
      <c r="CM32" s="123">
        <f>IF(Reinforcements[[#This Row],[λcy]]&lt;=1.5,0.658^(Reinforcements[[#This Row],[λcy]]^2)*Reinforcements[[#This Row],[F''y]],0.877/(Reinforcements[[#This Row],[λcy]]^2)*Reinforcements[[#This Row],[F''y]])</f>
        <v>64.369588945551428</v>
      </c>
      <c r="CN32" s="6">
        <f>VLOOKUP(Reinforcements[[#This Row],[Material]],Materials[],2,FALSE)</f>
        <v>65</v>
      </c>
      <c r="CO32" s="126">
        <f>IF(Reinforcements[[#This Row],[Reinforcement]]="","",Reinforcements[[#This Row],[Fax]]*Reinforcements[[#This Row],[Gross Area (in2)]])</f>
        <v>260.41831252128219</v>
      </c>
      <c r="CP32" s="126">
        <f>IF(Reinforcements[[#This Row],[Reinforcement]]="","",Reinforcements[[#This Row],[Fay]]*Reinforcements[[#This Row],[Gross Area (in2)]])</f>
        <v>307.59176972550898</v>
      </c>
      <c r="CQ32" s="126">
        <f>IF(Reinforcements[[#This Row],[Reinforcement]]="","",0.6*VLOOKUP(Reinforcements[[#This Row],[Material]],Materials[],2,FALSE)*Reinforcements[[#This Row],[Gross Area (in2)]])</f>
        <v>316.875</v>
      </c>
      <c r="CR32" s="126">
        <f>IF(Reinforcements[[#This Row],[Reinforcement]]="","",0.5*VLOOKUP(Reinforcements[[#This Row],[Material]],Materials[],3,FALSE)*Reinforcements[[#This Row],[Net Area (in2)]]*Reinforcements[[#This Row],[Shear Lag (U)]])</f>
        <v>262.5</v>
      </c>
      <c r="CS32" s="126">
        <f>IF(Reinforcements[[#This Row],[Reinforcement]]="","",0.4*VLOOKUP(Reinforcements[[#This Row],[Material]],Materials[],2,FALSE)*Reinforcements[[#This Row],[Gross Area (in2)]])</f>
        <v>211.25</v>
      </c>
      <c r="CT32"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126">
        <f>IF(Reinforcements[[#This Row],[Reinforcement]]="","",φ_c*Reinforcements[[#This Row],[Fcr,x]]*Reinforcements[[#This Row],[Gross Area (in2)]])</f>
        <v>401.54219847447263</v>
      </c>
      <c r="DI32" s="126">
        <f>IF(Reinforcements[[#This Row],[Reinforcement]]="","",φ_c*Reinforcements[[#This Row],[Fcr,y]]*Reinforcements[[#This Row],[Gross Area (in2)]])</f>
        <v>470.70261916434481</v>
      </c>
      <c r="DJ32" s="126">
        <f>IF(Reinforcements[[#This Row],[Reinforcement]]="","",φ_t_y*VLOOKUP(Reinforcements[[#This Row],[Material]],Materials[],2,FALSE)*Reinforcements[[#This Row],[Gross Area (in2)]])</f>
        <v>475.3125</v>
      </c>
      <c r="DK32" s="126">
        <f>IF(Reinforcements[[#This Row],[Reinforcement]]="","",φ_t_r*VLOOKUP(Reinforcements[[#This Row],[Material]],Materials[],3,FALSE)*Reinforcements[[#This Row],[Net Area (in2)]]*Reinforcements[[#This Row],[Shear Lag (U)]])</f>
        <v>393.75</v>
      </c>
      <c r="DL32" s="126">
        <f>IF(Reinforcements[[#This Row],[Reinforcement]]="","",φ_v*0.5*Reinforcements[[#This Row],[F''y]]*Reinforcements[[#This Row],[Gross Area (in2)]])</f>
        <v>237.65625</v>
      </c>
      <c r="DM32"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111" t="str">
        <f>IF(OR(Reinforcements[[#This Row],[Type]]="plate",Reinforcements[[#This Row],[Type]]="solid round"),"N/A",Reinforcements[[#This Row],[B (in)]])</f>
        <v>N/A</v>
      </c>
      <c r="EB32" s="6" t="str">
        <f>IF(OR(Reinforcements[[#This Row],[Type]]="plate",Reinforcements[[#This Row],[Type]]="solid round"),"N/A",Reinforcements[[#This Row],[H (in)]])</f>
        <v>N/A</v>
      </c>
      <c r="EC32" s="6" t="str">
        <f>IF(OR(Reinforcements[[#This Row],[Type]]="plate",Reinforcements[[#This Row],[Type]]="solid round"),"N/A",Reinforcements[[#This Row],[B (in)]]-Reinforcements[[#This Row],['[Channel'] Flange Thickness (in)]])</f>
        <v>N/A</v>
      </c>
      <c r="ED32" s="6" t="str">
        <f>IF(OR(Reinforcements[[#This Row],[Type]]="plate",Reinforcements[[#This Row],[Type]]="solid round"),"N/A",Reinforcements[[#This Row],['[Channel']Web Thickness (in)]])</f>
        <v>N/A</v>
      </c>
      <c r="EE32" s="6" t="str">
        <f>IF(OR(Reinforcements[[#This Row],[Type]]="plate",Reinforcements[[#This Row],[Type]]="solid round"),"N/A",Reinforcements[[#This Row],['[Channel'] Flange Thickness (in)]])</f>
        <v>N/A</v>
      </c>
      <c r="EF32" s="6" t="str">
        <f>IF(Reinforcements[[#This Row],[Type]]="channel",Reinforcements[[#This Row],[Channel Flange Width, b]]/Reinforcements[[#This Row],[Channel flange thickness, tf]],"N/A")</f>
        <v>N/A</v>
      </c>
      <c r="EG32" s="6" t="str">
        <f>IF(Reinforcements[[#This Row],[Type]]="channel",Reinforcements[[#This Row],[Channel inside depth, T]]/Reinforcements[[#This Row],[Channel web thickness, tw]],"N/A")</f>
        <v>N/A</v>
      </c>
      <c r="EH32" s="6">
        <f>29000</f>
        <v>29000</v>
      </c>
      <c r="EI32" s="6" t="str">
        <f>IF(Reinforcements[[#This Row],[Type]]="channel",0.56*SQRT(Reinforcements[[#This Row],[E, (ksi)]]/Reinforcements[[#This Row],[Fy, (ksi)]]),"N/A")</f>
        <v>N/A</v>
      </c>
      <c r="EJ32" s="6" t="str">
        <f>IF(Reinforcements[[#This Row],[Type]]="channel",1.49*SQRT(Reinforcements[[#This Row],[E, (ksi)]]/Reinforcements[[#This Row],[Fy, (ksi)]]),"N/A")</f>
        <v>N/A</v>
      </c>
      <c r="EK32" s="6">
        <f>VLOOKUP(Reinforcements[[#This Row],[Material]],Materials!$B$2:$C$30,2,FALSE)</f>
        <v>65</v>
      </c>
      <c r="EL32" s="6">
        <f>Reinforcements[[#This Row],[Lu (in)]]*Reinforcements[[#This Row],[Effective Length Factor Kx]]</f>
        <v>15.200000000000001</v>
      </c>
      <c r="EM32" s="6">
        <f>Reinforcements[[#This Row],[Lu (in)]]*Reinforcements[[#This Row],[Effective Length Factor Ky]]</f>
        <v>19</v>
      </c>
      <c r="EN32" s="6">
        <f>Reinforcements[[#This Row],[rx]]</f>
        <v>0.36084391824351608</v>
      </c>
      <c r="EO32" s="6">
        <f>Reinforcements[[#This Row],[ry]]</f>
        <v>1.8763883748662837</v>
      </c>
      <c r="EP32" s="6">
        <f>Reinforcements[[#This Row],[Lcx (in)]]/Reinforcements[[#This Row],[rx (in)]]</f>
        <v>42.1234756400751</v>
      </c>
      <c r="EQ32" s="6">
        <f>Reinforcements[[#This Row],[Lcy (in)]]/Reinforcements[[#This Row],[ry (in)]]</f>
        <v>10.125835490402666</v>
      </c>
      <c r="ER32" s="6">
        <f>((PI()^2)*Reinforcements[[#This Row],[E, (ksi)]])/(Reinforcements[[#This Row],[Lcx/rx]]^2)</f>
        <v>161.30556376398079</v>
      </c>
      <c r="ES32" s="6">
        <f>((PI()^2)*Reinforcements[[#This Row],[E, (ksi)]])/(Reinforcements[[#This Row],[Lcy/ry]]^2)</f>
        <v>2791.4895642739466</v>
      </c>
      <c r="ET32" s="6">
        <f>4.71*(SQRT(Reinforcements[[#This Row],[E, (ksi)]]/Reinforcements[[#This Row],[Fy, (ksi)]]))</f>
        <v>99.486288193205496</v>
      </c>
      <c r="EU32" s="6">
        <f>IF(Reinforcements[[#This Row],[Lcx/rx]]&lt;=Reinforcements[[#This Row],[Fcr Limit]],(0.658^(Reinforcements[[#This Row],[Fy, (ksi)]]/Reinforcements[[#This Row],[Fex, FB (ksi)]]))*Reinforcements[[#This Row],[Fy, (ksi)]],0.877*Reinforcements[[#This Row],[Fex, FB (ksi)]])</f>
        <v>54.911753637534716</v>
      </c>
      <c r="EV32" s="6">
        <f>IF(Reinforcements[[#This Row],[Lcy/ry]]&lt;=Reinforcements[[#This Row],[Fcr Limit]],(0.658^(Reinforcements[[#This Row],[Fy, (ksi)]]/Reinforcements[[#This Row],[Fey, FB (ksi)]]))*Reinforcements[[#This Row],[Fy, (ksi)]],0.877*Reinforcements[[#This Row],[Fey, FB (ksi)]])</f>
        <v>64.369588945551428</v>
      </c>
      <c r="EW32" s="6">
        <f>Reinforcements[[#This Row],[Fcrx (ksi)]]*Reinforcements[[#This Row],[Gross Area (in2)]]</f>
        <v>446.15799830496957</v>
      </c>
      <c r="EX32" s="6">
        <f>Reinforcements[[#This Row],[Fcry (ksi)]]*Reinforcements[[#This Row],[Gross Area (in2)]]</f>
        <v>523.00291018260532</v>
      </c>
      <c r="EY32" s="6" t="str">
        <f>IF(Reinforcements[[#This Row],[Type]]="channel",0,"N/A")</f>
        <v>N/A</v>
      </c>
      <c r="EZ32" s="6" t="str">
        <f>IF(Reinforcements[[#This Row],[Type]]="channel",Reinforcements[[#This Row],[Channel Flange Width, b]]-(0.5*Reinforcements[[#This Row],[Channel web thickness, tw]]),"N/A")</f>
        <v>N/A</v>
      </c>
      <c r="FA32" s="6" t="str">
        <f>IF(Reinforcements[[#This Row],[Type]]="channel",Reinforcements[[#This Row],[Channel Height, h]]-Reinforcements[[#This Row],[Channel flange thickness, tf]],"N/A")</f>
        <v>N/A</v>
      </c>
      <c r="FB32" s="6" t="str">
        <f>IF(Reinforcements[[#This Row],[Type]]="channel",Reinforcements[[#This Row],[Channel web thickness, tw]],"N/A")</f>
        <v>N/A</v>
      </c>
      <c r="FC32" s="6" t="str">
        <f>IF(Reinforcements[[#This Row],[Type]]="channel",((3*Reinforcements[[#This Row],[b]]^2)/(Reinforcements[[#This Row],[h]]+(6*Reinforcements[[#This Row],[b]])))-Reinforcements[[#This Row],[t]]/2,"N/A")</f>
        <v>N/A</v>
      </c>
      <c r="FD32" s="6">
        <f>Reinforcements[[#This Row],[Pole Face to Centroid (in)]]</f>
        <v>0.625</v>
      </c>
      <c r="FE32" s="6" t="str">
        <f>IF(Reinforcements[[#This Row],[Type]]="channel",Reinforcements[[#This Row],[x(bar)]]+Reinforcements[[#This Row],['[Channel'] e0 (in)]],"N/A")</f>
        <v>N/A</v>
      </c>
      <c r="FF32" s="6" t="str">
        <f>IF(Reinforcements[[#This Row],[Type]]="channel",Reinforcements[[#This Row],[Ix]],"N/A")</f>
        <v>N/A</v>
      </c>
      <c r="FG32" s="6" t="str">
        <f>IF(Reinforcements[[#This Row],[Type]]="channel",Reinforcements[[#This Row],[Iy]],"N/A")</f>
        <v>N/A</v>
      </c>
      <c r="FH32" s="6" t="str">
        <f>IF(Reinforcements[[#This Row],[Type]]="channel",Reinforcements[[#This Row],[Gross Area (in2)]],"N/A")</f>
        <v>N/A</v>
      </c>
      <c r="FI32" s="6" t="str">
        <f>IF(Reinforcements[[#This Row],[Type]]="channel",(Reinforcements[[#This Row],[xo]]^2)+((Reinforcements[[#This Row],[Ix (FTB)]]+Reinforcements[[#This Row],[Iy (FTB)]])/Reinforcements[[#This Row],[Ag]]),"N/A")</f>
        <v>N/A</v>
      </c>
      <c r="FJ32" s="6" t="str">
        <f>IF(Reinforcements[[#This Row],[Type]]="channel",Reinforcements[[#This Row],[Lu (in)]],"N/A")</f>
        <v>N/A</v>
      </c>
      <c r="FK32" s="6" t="str">
        <f>IF(Reinforcements[[#This Row],[Type]]="channel",Reinforcements[[#This Row],[Effective Length Factor Kx]],"N/A")</f>
        <v>N/A</v>
      </c>
      <c r="FL32" s="6" t="str">
        <f>IF(Reinforcements[[#This Row],[Type]]="channel",Reinforcements[[#This Row],[Kz]]*Reinforcements[[#This Row],[Lz]],"N/A")</f>
        <v>N/A</v>
      </c>
      <c r="FM32" s="6" t="str">
        <f>IF(Reinforcements[[#This Row],[Type]]="channel",(((Reinforcements[[#This Row],[t]]^3)/3)*(Reinforcements[[#This Row],[h]]+(2*Reinforcements[[#This Row],[b]]))),"N/A")</f>
        <v>N/A</v>
      </c>
      <c r="FN32" s="6" t="str">
        <f>IF(Reinforcements[[#This Row],[Type]]="channel",(1-(((Reinforcements[[#This Row],[xo]]^2)+(Reinforcements[[#This Row],[yo]]^2))/Reinforcements[[#This Row],[ro^2(bar)]])),"N/A")</f>
        <v>N/A</v>
      </c>
      <c r="FO32" s="6">
        <v>11200</v>
      </c>
      <c r="FP32" s="6" t="str">
        <f>IF(Reinforcements[[#This Row],[Type]]="channel",(((Reinforcements[[#This Row],[h]]^2)*(Reinforcements[[#This Row],[b]]^3)*Reinforcements[[#This Row],[t]])/12)*(((2*Reinforcements[[#This Row],[h]])+(3*Reinforcements[[#This Row],[b]]))/(Reinforcements[[#This Row],[h]]+(6*Reinforcements[[#This Row],[b]]))),"N/A")</f>
        <v>N/A</v>
      </c>
      <c r="FQ32" s="6" t="str">
        <f>IF(Reinforcements[[#This Row],[Type]]="Channel",((((PI()^2)*Reinforcements[[#This Row],[E, (ksi)]]*Reinforcements[[#This Row],['[Channel'] CW (in6)]])/(Reinforcements[[#This Row],[Lcz]]^2))+(Reinforcements[[#This Row],[G]]*Reinforcements[[#This Row],['[Channel'] J (in4)]]))*(1/(Reinforcements[[#This Row],[Ag]]*Reinforcements[[#This Row],[ro^2(bar)]])),"N/A")</f>
        <v>N/A</v>
      </c>
      <c r="FR32" s="6" t="str">
        <f>IF(Reinforcements[[#This Row],[Type]]="channel",((PI()^2)*Reinforcements[[#This Row],[E, (ksi)]])/(Reinforcements[[#This Row],[Lcy/ry]]^2),"N/A")</f>
        <v>N/A</v>
      </c>
      <c r="FS32" s="6" t="str">
        <f>IF(Reinforcements[[#This Row],[Type]]="channel",((Reinforcements[[#This Row],[Fey]]+Reinforcements[[#This Row],[Fez]])/(2*Reinforcements[[#This Row],[H2]]))*(1-SQRT(1-((4*Reinforcements[[#This Row],[Fey]]*Reinforcements[[#This Row],[Fez]]*Reinforcements[[#This Row],[H2]])/(Reinforcements[[#This Row],[Fey]]+Reinforcements[[#This Row],[Fez]])^2))),"N/A")</f>
        <v>N/A</v>
      </c>
      <c r="FT32" s="6" t="str">
        <f>IF(Reinforcements[[#This Row],[Type]]="channel",IF(Reinforcements[[#This Row],[Lcx/rx]]&gt;(4.71*SQRT(Reinforcements[[#This Row],[E, (ksi)]]/Reinforcements[[#This Row],[Fy, (ksi)]])),0.877*Reinforcements[[#This Row],[Fe (FTB)]],0.658^(Reinforcements[[#This Row],[Fy, (ksi)]]/Reinforcements[[#This Row],[Fe (FTB)]])*Reinforcements[[#This Row],[Fy, (ksi)]]),"N/A")</f>
        <v>N/A</v>
      </c>
      <c r="FU32" s="6" t="str">
        <f>IF(Reinforcements[[#This Row],[Type]]="channel",MIN(Reinforcements[[#This Row],[Fcr(FTB)]],Reinforcements[[#This Row],[Fcry (ksi)]]),"N/A")</f>
        <v>N/A</v>
      </c>
      <c r="FV32" s="6">
        <v>0.22</v>
      </c>
      <c r="FW32" s="6">
        <v>1.49</v>
      </c>
      <c r="FX32" s="6" t="str">
        <f>IF(Reinforcements[[#This Row],[Type]]="channel",((Reinforcements[[#This Row],[c2]]*(Reinforcements[[#This Row],[λrf]]/Reinforcements[[#This Row],[λf]]))^2)*Reinforcements[[#This Row],[Fy, (ksi)]],"N/A")</f>
        <v>N/A</v>
      </c>
      <c r="FY32" s="6" t="str">
        <f>IF(Reinforcements[[#This Row],[Type]]="channel",((Reinforcements[[#This Row],[c2]]*(Reinforcements[[#This Row],[λrw]]/Reinforcements[[#This Row],[λw]]))^2)*Reinforcements[[#This Row],[Fy, (ksi)]],"N/A")</f>
        <v>N/A</v>
      </c>
      <c r="FZ32"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6" t="str">
        <f>IF(Reinforcements[[#This Row],[Type]]="channel",Reinforcements[[#This Row],[Fcr]]*Reinforcements[[#This Row],[Ae]],"N/A")</f>
        <v>N/A</v>
      </c>
      <c r="GD32">
        <f>IF(Reinforcements[[#This Row],[Reinforcement]]="","",φ_c*Reinforcements[[#This Row],[Pnx, FB (kip)]])</f>
        <v>401.54219847447263</v>
      </c>
      <c r="GE32">
        <f>IF(Reinforcements[[#This Row],[Reinforcement]]="","",IF(Reinforcements[[#This Row],[Type]]="channel",φ_c*Reinforcements[[#This Row],[Pn]],φ_c*Reinforcements[[#This Row],[Pny, FB (kip)]]))</f>
        <v>470.70261916434481</v>
      </c>
      <c r="GF32">
        <f>Reinforcements[[#This Row],[Rev. G Tension Yield Capacity (kips)]]</f>
        <v>475.3125</v>
      </c>
      <c r="GG32">
        <f>Reinforcements[[#This Row],[Rev. G Tension Rupture Capacity (kips)]]</f>
        <v>393.75</v>
      </c>
      <c r="GH32">
        <f>Reinforcements[[#This Row],[Rev. G Shear Capacity (kips)]]</f>
        <v>237.65625</v>
      </c>
      <c r="GI32" t="str">
        <f>IFERROR((Reinforcements[[#This Row],['# of End Connection Bolts          (Bottom)]]-1)*Reinforcements[[#This Row],[End Connection Bolt Spacing (in) (B)]],"-")</f>
        <v>-</v>
      </c>
      <c r="GJ32">
        <f>IFERROR(IF(VLOOKUP(Reinforcements[[#This Row],[Bottom End Connection Bolt Type]],Bolts[],COLUMN(Bolts[[#Headers],[Rev. H Apply Connection Length Reduction Factor (Rb)?]])-1,FALSE)="Yes",(IF(Reinforcements[[#This Row],[Lb(bottom)]]&lt;=16,1,IF(Reinforcements[[#This Row],[Lb(bottom)]]&gt;38,0.75,0.9))),1),"-")</f>
        <v>1</v>
      </c>
      <c r="GK3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f>IFERROR(IF(Reinforcements[[#This Row],[Top End Connection Same?]]="Yes",Reinforcements[[#This Row],[Lb(bottom)]],(Reinforcements[[#This Row],['# of End Connection Bolts          (Top)]]-1)*Reinforcements[[#This Row],[End Connection Bolt Spacing (in) (T)]]),"-")</f>
        <v>39</v>
      </c>
      <c r="GM32">
        <f>IFERROR(IF(VLOOKUP(Reinforcements[[#This Row],[Top End Connection Bolt Type]],Bolts[],COLUMN(Bolts[[#Headers],[Rev. H Apply Connection Length Reduction Factor (Rb)?]])-1,FALSE)=TRUE,(IF(Reinforcements[[#This Row],[Lb(top)]]&lt;=16,1,IF(Reinforcements[[#This Row],[Lb(top)]]&gt;38,0.75,0.9))),1),"-")</f>
        <v>0.75</v>
      </c>
      <c r="GN3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t="str">
        <f>Reinforcements[[#This Row],[Rev. G Bolt-Shaft Bearing Capacity (Bottom)                No Deformation          (*t*Fu kips)]]</f>
        <v>-</v>
      </c>
      <c r="GP32" t="str">
        <f>Reinforcements[[#This Row],[Rev. G Bolt-Shaft Bearing Capacity (Bottom)                   Deformation          (*t*Fu kips)]]</f>
        <v>-</v>
      </c>
      <c r="GQ32">
        <f>Reinforcements[[#This Row],[Rev. G Bolt-Shaft Bearing Capacity (Top)                    No Deformation          (*t*Fu kips)]]</f>
        <v>27.59433070866142</v>
      </c>
      <c r="GR32">
        <f>Reinforcements[[#This Row],[Rev. G Bolt-Shaft Bearing Capacity (Top)                        Deformation          (*t*Fu kips)]]</f>
        <v>34.492913385826775</v>
      </c>
      <c r="GS32" t="str">
        <f>Reinforcements[[#This Row],[Rev. G Bolt-Reinf. Bearing Capacity (Bottom)            No Deformation (kips)]]</f>
        <v>-</v>
      </c>
      <c r="GT32" t="str">
        <f>Reinforcements[[#This Row],[Rev. G Bolt-Reinf. Bearing Capacity (Bottom)               Deformation (kips)]]</f>
        <v>-</v>
      </c>
      <c r="GU32">
        <f>Reinforcements[[#This Row],[Rev. G Bolt-Reinf. Bearing Capacity (Top)                  No Deformation (kips)]]</f>
        <v>2759.4330708661419</v>
      </c>
      <c r="GV32">
        <f>Reinforcements[[#This Row],[Rev. G Bolt-Reinf. Bearing Capacity (Top)               Deformation (kips)]]</f>
        <v>3449.2913385826778</v>
      </c>
      <c r="GW32" t="str">
        <f>Reinforcements[[#This Row],[Rev. G Bottom Transverse Weld Strength]]</f>
        <v>-</v>
      </c>
      <c r="GX32" t="str">
        <f>Reinforcements[[#This Row],[Rev. G Bottom Longitudinal Weld Strength]]</f>
        <v>-</v>
      </c>
      <c r="GY32" t="str">
        <f>Reinforcements[[#This Row],[Rev. G Top Transverse Weld Strength]]</f>
        <v>-</v>
      </c>
      <c r="GZ32" t="str">
        <f>Reinforcements[[#This Row],[Rev. G Top Longitudinal Weld Strength]]</f>
        <v>-</v>
      </c>
      <c r="HA32">
        <v>30</v>
      </c>
      <c r="HB3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49" t="s">
        <v>390</v>
      </c>
      <c r="C33" s="49" t="s">
        <v>352</v>
      </c>
      <c r="D33" s="6">
        <v>8.5</v>
      </c>
      <c r="E33" s="6">
        <v>1.25</v>
      </c>
      <c r="F33" s="6" t="str">
        <f>IF(Reinforcements[[#This Row],[Type]]="","",IF(Reinforcements[[#This Row],[Type]]="solid round","","n/a"))</f>
        <v>n/a</v>
      </c>
      <c r="G33" s="6" t="str">
        <f>IF(Reinforcements[[#This Row],[Type]]="","",IF(Reinforcements[[#This Row],[Type]]&lt;&gt;"channel","n/a",""))</f>
        <v>n/a</v>
      </c>
      <c r="H33" s="6" t="str">
        <f>IF(Reinforcements[[#This Row],[Type]]="","",IF(Reinforcements[[#This Row],[Type]]&lt;&gt;"channel","n/a",""))</f>
        <v>n/a</v>
      </c>
      <c r="I33" s="126" t="str">
        <f>IF(Reinforcements[[#This Row],[Type]]="","",IF(Reinforcements[[#This Row],[Type]]&lt;&gt;"channel","n/a",Reinforcements[[#This Row],[eo]]))</f>
        <v>n/a</v>
      </c>
      <c r="J33" s="126" t="str">
        <f>IF(Reinforcements[[#This Row],[Type]]="","",IF(Reinforcements[[#This Row],[Type]]&lt;&gt;"channel","n/a",Reinforcements[[#This Row],[J]]))</f>
        <v>n/a</v>
      </c>
      <c r="K33" s="126" t="str">
        <f>IF(Reinforcements[[#This Row],[Type]]="","",IF(Reinforcements[[#This Row],[Type]]&lt;&gt;"channel","n/a",Reinforcements[[#This Row],[Cw]]))</f>
        <v>n/a</v>
      </c>
      <c r="L33" s="6">
        <f>IFERROR(IF(Reinforcements[[#This Row],[Type]]="","",IF(Reinforcements[[#This Row],[Type]]="plate",Reinforcements[[#This Row],[B (in)]]*Reinforcements[[#This Row],[H (in)]],IF(Reinforcements[[#This Row],[Type]]="solid round",PI()/4*Reinforcements[[#This Row],[Diameter (in)]]^2,""))),"")</f>
        <v>10.625</v>
      </c>
      <c r="M33" s="6">
        <f>IFERROR(IF(Reinforcements[[#This Row],[Type]]="","",IF(Reinforcements[[#This Row],[Type]]="plate",Reinforcements[[#This Row],[H (in)]]/2,"")),"")</f>
        <v>0.625</v>
      </c>
      <c r="N33" s="34" t="s">
        <v>353</v>
      </c>
      <c r="O33" s="6" t="s">
        <v>138</v>
      </c>
      <c r="P33" s="123">
        <f>IFERROR(IF(Reinforcements[[#This Row],[Type]]="","",IF(Reinforcements[[#This Row],[Type]]="plate",Reinforcements[[#This Row],[B (in)]]*Reinforcements[[#This Row],[H (in)]]^3/12,IF(Reinforcements[[#This Row],[Type]]="solid round",PI()/64*Reinforcements[[#This Row],[Diameter (in)]]^4,""))),"")</f>
        <v>1.3834635416666667</v>
      </c>
      <c r="Q33" s="123">
        <f>IF(Reinforcements[[#This Row],[Reinforcement]]="","",SQRT(Reinforcements[[#This Row],[Ix]]/Reinforcements[[#This Row],[Gross Area (in2)]]))</f>
        <v>0.36084391824351614</v>
      </c>
      <c r="R33" s="123">
        <f>IFERROR(IF(Reinforcements[[#This Row],[Type]]="","",IF(Reinforcements[[#This Row],[Type]]="plate",Reinforcements[[#This Row],[B (in)]]^3*Reinforcements[[#This Row],[H (in)]]/12,IF(Reinforcements[[#This Row],[Type]]="solid round",PI()/64*Reinforcements[[#This Row],[Diameter (in)]]^4,""))),"")</f>
        <v>63.971354166666664</v>
      </c>
      <c r="S33" s="123">
        <f>IF(Reinforcements[[#This Row],[Reinforcement]]="","",SQRT(Reinforcements[[#This Row],[Iy]]/Reinforcements[[#This Row],[Gross Area (in2)]]))</f>
        <v>2.4537386440559095</v>
      </c>
      <c r="T33" s="6">
        <v>17</v>
      </c>
      <c r="U33" s="6">
        <v>0.8</v>
      </c>
      <c r="V33" s="6">
        <v>1</v>
      </c>
      <c r="W33" s="6">
        <v>1.1875</v>
      </c>
      <c r="X33" s="6">
        <f>IF(Reinforcements[[#This Row],[Bolt Hole Size (in)]]="","",IF(Reinforcements[[#This Row],[Bolt Hole Size (in)]]="n/a","n/a",Reinforcements[[#This Row],[Bolt Hole Size (in)]]*25.4))</f>
        <v>30.162499999999998</v>
      </c>
      <c r="Y3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6">
        <f>IFERROR(IF(Reinforcements[[#This Row],[Reinforcement]]="","",IF(OR(Reinforcements[[#This Row],[Type]]="plate",Reinforcements[[#This Row],[Type]]="solid round"),1,IF(Reinforcements[[#This Row],[Type]]="arbitrary","",1-Reinforcements[[#This Row],[Pole Face to Centroid (in)]]/Reinforcements[[#This Row],[Connection Length (in) '[Channels']]]))),"")</f>
        <v>1</v>
      </c>
      <c r="AA33" s="34" t="s">
        <v>382</v>
      </c>
      <c r="AB33" s="34" t="str">
        <f>IF(Reinforcements[[#This Row],[Reinforcement]]="","",IF(Reinforcements[[#This Row],[Bottom End Connection Type]]&lt;&gt;"Capacity Input","-",""))</f>
        <v>-</v>
      </c>
      <c r="AC33" s="34" t="str">
        <f>IF(Reinforcements[[#This Row],[Reinforcement]]="","",IF(Reinforcements[[#This Row],[Bottom End Connection Type]]&lt;&gt;"Capacity Input","-",""))</f>
        <v>-</v>
      </c>
      <c r="AD33" s="16" t="str">
        <f>IF(Reinforcements[[#This Row],[Reinforcement]]="","",IF(Reinforcements[[#This Row],[Bottom End Connection Type]]&lt;&gt;"Capacity Input","-",""))</f>
        <v>-</v>
      </c>
      <c r="AE33" s="74" t="str">
        <f>IF(Reinforcements[[#This Row],[Reinforcement]]="","",IF(Reinforcements[[#This Row],[Bottom End Connection Type]]="","-",IF(Reinforcements[[#This Row],[Bottom End Connection Type]]&lt;&gt;"Bolted","-","")))</f>
        <v>-</v>
      </c>
      <c r="AF33" s="6" t="str">
        <f>IF(Reinforcements[[#This Row],[Bottom End Connection Type]]="Welded","-","")</f>
        <v>-</v>
      </c>
      <c r="AG33" s="6" t="str">
        <f>IF(Reinforcements[[#This Row],[Bottom End Connection Type]]="Welded","-","")</f>
        <v>-</v>
      </c>
      <c r="AH33" s="6" t="str">
        <f>IF(Reinforcements[[#This Row],[Bottom End Connection Type]]="Welded","-","")</f>
        <v>-</v>
      </c>
      <c r="AI33" s="6" t="str">
        <f>IF(Reinforcements[[#This Row],[Bottom End Connection Type]]="Welded","-","")</f>
        <v>-</v>
      </c>
      <c r="AJ33" s="6" t="e">
        <f>Reinforcements[[#This Row],[End Connection Edge Distance (in) (B)]]-(Reinforcements[[#This Row],[Bolt Hole Size (in)]]+1/16)/2</f>
        <v>#VALUE!</v>
      </c>
      <c r="AK33" s="6" t="e">
        <f>Reinforcements[[#This Row],[End Connection Bolt Spacing (in) (B)]]-(Reinforcements[[#This Row],[Bolt Hole Size (in)]]+1/16)</f>
        <v>#VALUE!</v>
      </c>
      <c r="AL33" s="6" t="str">
        <f>Reinforcements[[#This Row],[End Connection Edge Distance (in) (B)]]</f>
        <v>-</v>
      </c>
      <c r="AM33" s="6" t="str">
        <f>Reinforcements[[#This Row],[End Connection Bolt Spacing (in) (B)]]</f>
        <v>-</v>
      </c>
      <c r="AN33" s="111" t="s">
        <v>357</v>
      </c>
      <c r="AO33" s="111">
        <v>70</v>
      </c>
      <c r="AP33" s="111" t="s">
        <v>383</v>
      </c>
      <c r="AQ33" s="111">
        <v>8.5</v>
      </c>
      <c r="AR33" s="6">
        <v>1.25</v>
      </c>
      <c r="AS33" s="6">
        <v>45</v>
      </c>
      <c r="AT33" s="111">
        <v>0.625</v>
      </c>
      <c r="AU3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11" t="s">
        <v>384</v>
      </c>
      <c r="AW33" s="111" t="str">
        <f>IF(Reinforcements[[#This Row],[Reinforcement]]="","",IF(OR(Reinforcements[[#This Row],[Bottom End Connection Type]]&lt;&gt;"Welded",Reinforcements[[#This Row],[Bottom Longitudinal (Vertical) Weld]]="None",Reinforcements[[#This Row],[Bottom Longitudinal (Vertical) Weld]]=""),"-",""))</f>
        <v>-</v>
      </c>
      <c r="AX33" s="111" t="str">
        <f>IF(Reinforcements[[#This Row],[Reinforcement]]="","",IF(OR(Reinforcements[[#This Row],[Bottom End Connection Type]]&lt;&gt;"Welded",Reinforcements[[#This Row],[Bottom Longitudinal (Vertical) Weld]]="None",Reinforcements[[#This Row],[Bottom Longitudinal (Vertical) Weld]]=""),"-",""))</f>
        <v>-</v>
      </c>
      <c r="AY33" s="6" t="str">
        <f>IF(Reinforcements[[#This Row],[Reinforcement]]="","",IF(OR(Reinforcements[[#This Row],[Bottom End Connection Type]]&lt;&gt;"Welded",Reinforcements[[#This Row],[Bottom Longitudinal (Vertical) Weld]]="None"),"-",SQRT(2)/2*Reinforcements[[#This Row],[Bottom Longitudinal Weld Fillet Size (in)]]))</f>
        <v>-</v>
      </c>
      <c r="AZ33" s="111" t="s">
        <v>353</v>
      </c>
      <c r="BA33" s="34" t="s">
        <v>354</v>
      </c>
      <c r="BB33" s="34" t="str">
        <f>IF(Reinforcements[[#This Row],[Reinforcement]]="","",IF(Reinforcements[[#This Row],[Top End Connection Same?]]="Yes",Reinforcements[[#This Row],[Rev. F Bottom Connection Capacity (kips)]],IF(Reinforcements[[#This Row],[Reinforcement]]="","",IF(Reinforcements[[#This Row],[Top End Connection Type]]&lt;&gt;"Capacity Input","-",""))))</f>
        <v>-</v>
      </c>
      <c r="BC33" s="34" t="str">
        <f>IF(Reinforcements[[#This Row],[Reinforcement]]="","",IF(Reinforcements[[#This Row],[Top End Connection Same?]]="Yes",Reinforcements[[#This Row],[Rev. G Bottom Connection Capacity (kips)]],IF(Reinforcements[[#This Row],[Reinforcement]]="","",IF(Reinforcements[[#This Row],[Top End Connection Type]]&lt;&gt;"Capacity Input","-",""))))</f>
        <v>-</v>
      </c>
      <c r="BD33" s="16" t="str">
        <f>IF(Reinforcements[[#This Row],[Reinforcement]]="","",IF(Reinforcements[[#This Row],[Top End Connection Same?]]="Yes",Reinforcements[[#This Row],[Rev. G Bottom Connection Capacity (kips)]],IF(Reinforcements[[#This Row],[Reinforcement]]="","",IF(Reinforcements[[#This Row],[Top End Connection Type]]&lt;&gt;"Capacity Input","-",""))))</f>
        <v>-</v>
      </c>
      <c r="BE33" s="74" t="s">
        <v>355</v>
      </c>
      <c r="BF33" s="111" t="s">
        <v>356</v>
      </c>
      <c r="BG33" s="6">
        <v>17</v>
      </c>
      <c r="BH33" s="6">
        <v>3</v>
      </c>
      <c r="BI33" s="6">
        <v>3</v>
      </c>
      <c r="BJ33" s="6">
        <f>Reinforcements[[#This Row],[End Connection Edge Distance (in) (T)]]-(Reinforcements[[#This Row],[Bolt Hole Size (in)]]+1/16)/2</f>
        <v>2.375</v>
      </c>
      <c r="BK33" s="6">
        <f>Reinforcements[[#This Row],[End Connection Bolt Spacing (in) (T)]]-(Reinforcements[[#This Row],[Bolt Hole Size (in)]]+1/16)</f>
        <v>1.75</v>
      </c>
      <c r="BL33" s="6">
        <f>Reinforcements[[#This Row],[End Connection Edge Distance (in) (T)]]</f>
        <v>3</v>
      </c>
      <c r="BM33" s="6">
        <f>Reinforcements[[#This Row],[End Connection Bolt Spacing (in) (T)]]</f>
        <v>3</v>
      </c>
      <c r="BN33" s="6" t="str">
        <f>IF(Reinforcements[[#This Row],[Reinforcement]]="","",IF(Reinforcements[[#This Row],[Top End Connection Same?]]="Yes",Reinforcements[[#This Row],[Bottom Connected to Flange/Base Plate?]],IF(Reinforcements[[#This Row],[Top End Connection Type]]="Bolted","-","")))</f>
        <v>-</v>
      </c>
      <c r="BO33" s="6" t="str">
        <f>IF(Reinforcements[[#This Row],[Reinforcement]]="","",IF(Reinforcements[[#This Row],[Top End Connection Same?]]="Yes",Reinforcements[[#This Row],[Bottom Weld Grade (ksi)]],IF(OR(Reinforcements[[#This Row],[Top End Connection Type]]&lt;&gt;"Welded",Reinforcements[[#This Row],[Top End Connection Type]]=""),"-","")))</f>
        <v>-</v>
      </c>
      <c r="BP33" s="6" t="str">
        <f>IF($AZ33="Yes",AP33,IF(Reinforcements[[#This Row],[Reinforcement]]="","",IF(OR(Reinforcements[[#This Row],[Top End Connection Type]]&lt;&gt;"Welded",Reinforcements[[#This Row],[Top End Connection Type]]=""),"-","")))</f>
        <v>-</v>
      </c>
      <c r="BQ33" s="6" t="str">
        <f>IF(Reinforcements[[#This Row],[Reinforcement]]="","",IF($AZ33="Yes",AQ33,IF(OR(Reinforcements[[#This Row],[Top End Connection Type]]&lt;&gt;"Welded",Reinforcements[[#This Row],[Top Transverse (Horizontal) Weld]]="none",Reinforcements[[#This Row],[Top Transverse (Horizontal) Weld]]=""),"-","")))</f>
        <v>-</v>
      </c>
      <c r="BR33" s="6"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6"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6" t="str">
        <f>IF(Reinforcements[[#This Row],[Reinforcement]]="","",IF($AZ33="Yes",AT33,IF(OR(Reinforcements[[#This Row],[Top Transverse (Horizontal) Weld]]="none",Reinforcements[[#This Row],[Top End Connection Type]]&lt;&gt;"Welded",Reinforcements[[#This Row],[Top Transverse (Horizontal) Weld]]=""),"-","")))</f>
        <v>-</v>
      </c>
      <c r="BU33" s="6"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6" t="str">
        <f>IF($AZ33="Yes",AV33,IF(Reinforcements[[#This Row],[Reinforcement]]="","",IF(OR(Reinforcements[[#This Row],[Top End Connection Type]]&lt;&gt;"Welded",Reinforcements[[#This Row],[Top End Connection Type]]=""),"-","")))</f>
        <v>-</v>
      </c>
      <c r="BW33" s="6"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6"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6" t="str">
        <f>IF($AZ33="Yes",AY33,IF(Reinforcements[[#This Row],[Reinforcement]]="","",IF(OR(Reinforcements[[#This Row],[Top End Connection Type]]&lt;&gt;"Welded",Reinforcements[[#This Row],[Top Longitudinal (Vertical) Weld]]="none"),"-",SQRT(2)/2*Reinforcements[[#This Row],[Top Longitudinal Weld Fillet Size (in)]])))</f>
        <v>-</v>
      </c>
      <c r="BZ3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111">
        <f>IF(Reinforcements[[#This Row],[Reinforcement]]="","",IF(Reinforcements[[#This Row],[Top End Connection Type]]&lt;&gt;"Bolted","n/a",(Reinforcements[[#This Row],['# of End Connection Bolts          (Top)]]-1)*Reinforcements[[#This Row],[End Connection Bolt Spacing (in) (T)]]+Reinforcements[[#This Row],[End Connection Edge Distance (in) (T)]]))</f>
        <v>51</v>
      </c>
      <c r="CC3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6">
        <f>IFERROR(IF(Reinforcements[[#This Row],[Type]]="","",Reinforcements[[#This Row],[Effective B (in)]]*Reinforcements[[#This Row],[Effective H (in)]]^3/12),"")</f>
        <v>1.3834635416666667</v>
      </c>
      <c r="CF33" s="6">
        <f>IFERROR(IF(Reinforcements[[#This Row],[Type]]="","",Reinforcements[[#This Row],[Effective B (in)]]^3*Reinforcements[[#This Row],[Effective H (in)]]/12),"")</f>
        <v>63.971354166666664</v>
      </c>
      <c r="CG33" s="126">
        <f>SQRT(2*PI()^2*29000/VLOOKUP(Reinforcements[[#This Row],[Material]],Materials[],2,FALSE))</f>
        <v>93.844147005158973</v>
      </c>
      <c r="CH3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123">
        <f>Reinforcements[[#This Row],[Effective Length Factor Kx]]*Reinforcements[[#This Row],[Lu (in)]]/(Reinforcements[[#This Row],[rx]]*PI())*SQRT(VLOOKUP(Reinforcements[[#This Row],[Material]],Materials[],2,FALSE)/29000)</f>
        <v>0.56797252150453015</v>
      </c>
      <c r="CK33" s="123">
        <f>Reinforcements[[#This Row],[Effective Length Factor Ky]]*Reinforcements[[#This Row],[Lu (in)]]/(Reinforcements[[#This Row],[ry]]*PI())*SQRT(VLOOKUP(Reinforcements[[#This Row],[Material]],Materials[],2,FALSE)/29000)</f>
        <v>0.10440671351186218</v>
      </c>
      <c r="CL33" s="123">
        <f>IF(Reinforcements[[#This Row],[λcx]]&lt;=1.5,0.658^(Reinforcements[[#This Row],[λcx]]^2)*Reinforcements[[#This Row],[F''y]],0.877/(Reinforcements[[#This Row],[λcx]]^2)*Reinforcements[[#This Row],[F''y]])</f>
        <v>56.790323341365259</v>
      </c>
      <c r="CM33" s="123">
        <f>IF(Reinforcements[[#This Row],[λcy]]&lt;=1.5,0.658^(Reinforcements[[#This Row],[λcy]]^2)*Reinforcements[[#This Row],[F''y]],0.877/(Reinforcements[[#This Row],[λcy]]^2)*Reinforcements[[#This Row],[F''y]])</f>
        <v>64.704111863315191</v>
      </c>
      <c r="CN33" s="6">
        <f>VLOOKUP(Reinforcements[[#This Row],[Material]],Materials[],2,FALSE)</f>
        <v>65</v>
      </c>
      <c r="CO33" s="126">
        <f>IF(Reinforcements[[#This Row],[Reinforcement]]="","",Reinforcements[[#This Row],[Fax]]*Reinforcements[[#This Row],[Gross Area (in2)]])</f>
        <v>350.94841254296813</v>
      </c>
      <c r="CP33" s="126">
        <f>IF(Reinforcements[[#This Row],[Reinforcement]]="","",Reinforcements[[#This Row],[Fay]]*Reinforcements[[#This Row],[Gross Area (in2)]])</f>
        <v>406.50555073613361</v>
      </c>
      <c r="CQ33" s="126">
        <f>IF(Reinforcements[[#This Row],[Reinforcement]]="","",0.6*VLOOKUP(Reinforcements[[#This Row],[Material]],Materials[],2,FALSE)*Reinforcements[[#This Row],[Gross Area (in2)]])</f>
        <v>414.375</v>
      </c>
      <c r="CR33" s="126">
        <f>IF(Reinforcements[[#This Row],[Reinforcement]]="","",0.5*VLOOKUP(Reinforcements[[#This Row],[Material]],Materials[],3,FALSE)*Reinforcements[[#This Row],[Net Area (in2)]]*Reinforcements[[#This Row],[Shear Lag (U)]])</f>
        <v>362.5</v>
      </c>
      <c r="CS33" s="126">
        <f>IF(Reinforcements[[#This Row],[Reinforcement]]="","",0.4*VLOOKUP(Reinforcements[[#This Row],[Material]],Materials[],2,FALSE)*Reinforcements[[#This Row],[Gross Area (in2)]])</f>
        <v>276.25</v>
      </c>
      <c r="CT33"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126">
        <f>IF(Reinforcements[[#This Row],[Reinforcement]]="","",φ_c*Reinforcements[[#This Row],[Fcr,x]]*Reinforcements[[#This Row],[Gross Area (in2)]])</f>
        <v>543.05746695180528</v>
      </c>
      <c r="DI33" s="126">
        <f>IF(Reinforcements[[#This Row],[Reinforcement]]="","",φ_c*Reinforcements[[#This Row],[Fcr,y]]*Reinforcements[[#This Row],[Gross Area (in2)]])</f>
        <v>618.73306969295152</v>
      </c>
      <c r="DJ33" s="126">
        <f>IF(Reinforcements[[#This Row],[Reinforcement]]="","",φ_t_y*VLOOKUP(Reinforcements[[#This Row],[Material]],Materials[],2,FALSE)*Reinforcements[[#This Row],[Gross Area (in2)]])</f>
        <v>621.5625</v>
      </c>
      <c r="DK33" s="126">
        <f>IF(Reinforcements[[#This Row],[Reinforcement]]="","",φ_t_r*VLOOKUP(Reinforcements[[#This Row],[Material]],Materials[],3,FALSE)*Reinforcements[[#This Row],[Net Area (in2)]]*Reinforcements[[#This Row],[Shear Lag (U)]])</f>
        <v>543.75</v>
      </c>
      <c r="DL33" s="126">
        <f>IF(Reinforcements[[#This Row],[Reinforcement]]="","",φ_v*0.5*Reinforcements[[#This Row],[F''y]]*Reinforcements[[#This Row],[Gross Area (in2)]])</f>
        <v>310.78125</v>
      </c>
      <c r="DM33"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111" t="str">
        <f>IF(OR(Reinforcements[[#This Row],[Type]]="plate",Reinforcements[[#This Row],[Type]]="solid round"),"N/A",Reinforcements[[#This Row],[B (in)]])</f>
        <v>N/A</v>
      </c>
      <c r="EB33" s="6" t="str">
        <f>IF(OR(Reinforcements[[#This Row],[Type]]="plate",Reinforcements[[#This Row],[Type]]="solid round"),"N/A",Reinforcements[[#This Row],[H (in)]])</f>
        <v>N/A</v>
      </c>
      <c r="EC33" s="6" t="str">
        <f>IF(OR(Reinforcements[[#This Row],[Type]]="plate",Reinforcements[[#This Row],[Type]]="solid round"),"N/A",Reinforcements[[#This Row],[B (in)]]-Reinforcements[[#This Row],['[Channel'] Flange Thickness (in)]])</f>
        <v>N/A</v>
      </c>
      <c r="ED33" s="6" t="str">
        <f>IF(OR(Reinforcements[[#This Row],[Type]]="plate",Reinforcements[[#This Row],[Type]]="solid round"),"N/A",Reinforcements[[#This Row],['[Channel']Web Thickness (in)]])</f>
        <v>N/A</v>
      </c>
      <c r="EE33" s="6" t="str">
        <f>IF(OR(Reinforcements[[#This Row],[Type]]="plate",Reinforcements[[#This Row],[Type]]="solid round"),"N/A",Reinforcements[[#This Row],['[Channel'] Flange Thickness (in)]])</f>
        <v>N/A</v>
      </c>
      <c r="EF33" s="6" t="str">
        <f>IF(Reinforcements[[#This Row],[Type]]="channel",Reinforcements[[#This Row],[Channel Flange Width, b]]/Reinforcements[[#This Row],[Channel flange thickness, tf]],"N/A")</f>
        <v>N/A</v>
      </c>
      <c r="EG33" s="6" t="str">
        <f>IF(Reinforcements[[#This Row],[Type]]="channel",Reinforcements[[#This Row],[Channel inside depth, T]]/Reinforcements[[#This Row],[Channel web thickness, tw]],"N/A")</f>
        <v>N/A</v>
      </c>
      <c r="EH33" s="6">
        <f>29000</f>
        <v>29000</v>
      </c>
      <c r="EI33" s="6" t="str">
        <f>IF(Reinforcements[[#This Row],[Type]]="channel",0.56*SQRT(Reinforcements[[#This Row],[E, (ksi)]]/Reinforcements[[#This Row],[Fy, (ksi)]]),"N/A")</f>
        <v>N/A</v>
      </c>
      <c r="EJ33" s="6" t="str">
        <f>IF(Reinforcements[[#This Row],[Type]]="channel",1.49*SQRT(Reinforcements[[#This Row],[E, (ksi)]]/Reinforcements[[#This Row],[Fy, (ksi)]]),"N/A")</f>
        <v>N/A</v>
      </c>
      <c r="EK33" s="6">
        <f>VLOOKUP(Reinforcements[[#This Row],[Material]],Materials!$B$2:$C$30,2,FALSE)</f>
        <v>65</v>
      </c>
      <c r="EL33" s="6">
        <f>Reinforcements[[#This Row],[Lu (in)]]*Reinforcements[[#This Row],[Effective Length Factor Kx]]</f>
        <v>13.600000000000001</v>
      </c>
      <c r="EM33" s="6">
        <f>Reinforcements[[#This Row],[Lu (in)]]*Reinforcements[[#This Row],[Effective Length Factor Ky]]</f>
        <v>17</v>
      </c>
      <c r="EN33" s="6">
        <f>Reinforcements[[#This Row],[rx]]</f>
        <v>0.36084391824351614</v>
      </c>
      <c r="EO33" s="6">
        <f>Reinforcements[[#This Row],[ry]]</f>
        <v>2.4537386440559095</v>
      </c>
      <c r="EP33" s="6">
        <f>Reinforcements[[#This Row],[Lcx (in)]]/Reinforcements[[#This Row],[rx (in)]]</f>
        <v>37.689425572698774</v>
      </c>
      <c r="EQ33" s="6">
        <f>Reinforcements[[#This Row],[Lcy (in)]]/Reinforcements[[#This Row],[ry (in)]]</f>
        <v>6.9282032302755097</v>
      </c>
      <c r="ER33" s="6">
        <f>((PI()^2)*Reinforcements[[#This Row],[E, (ksi)]])/(Reinforcements[[#This Row],[Lcx/rx]]^2)</f>
        <v>201.49241702005904</v>
      </c>
      <c r="ES33" s="6">
        <f>((PI()^2)*Reinforcements[[#This Row],[E, (ksi)]])/(Reinforcements[[#This Row],[Lcy/ry]]^2)</f>
        <v>5962.8859923248192</v>
      </c>
      <c r="ET33" s="6">
        <f>4.71*(SQRT(Reinforcements[[#This Row],[E, (ksi)]]/Reinforcements[[#This Row],[Fy, (ksi)]]))</f>
        <v>99.486288193205496</v>
      </c>
      <c r="EU33" s="6">
        <f>IF(Reinforcements[[#This Row],[Lcx/rx]]&lt;=Reinforcements[[#This Row],[Fcr Limit]],(0.658^(Reinforcements[[#This Row],[Fy, (ksi)]]/Reinforcements[[#This Row],[Fex, FB (ksi)]]))*Reinforcements[[#This Row],[Fy, (ksi)]],0.877*Reinforcements[[#This Row],[Fex, FB (ksi)]])</f>
        <v>56.790323341365259</v>
      </c>
      <c r="EV33" s="6">
        <f>IF(Reinforcements[[#This Row],[Lcy/ry]]&lt;=Reinforcements[[#This Row],[Fcr Limit]],(0.658^(Reinforcements[[#This Row],[Fy, (ksi)]]/Reinforcements[[#This Row],[Fey, FB (ksi)]]))*Reinforcements[[#This Row],[Fy, (ksi)]],0.877*Reinforcements[[#This Row],[Fey, FB (ksi)]])</f>
        <v>64.704111863315191</v>
      </c>
      <c r="EW33" s="6">
        <f>Reinforcements[[#This Row],[Fcrx (ksi)]]*Reinforcements[[#This Row],[Gross Area (in2)]]</f>
        <v>603.39718550200587</v>
      </c>
      <c r="EX33" s="6">
        <f>Reinforcements[[#This Row],[Fcry (ksi)]]*Reinforcements[[#This Row],[Gross Area (in2)]]</f>
        <v>687.48118854772395</v>
      </c>
      <c r="EY33" s="6" t="str">
        <f>IF(Reinforcements[[#This Row],[Type]]="channel",0,"N/A")</f>
        <v>N/A</v>
      </c>
      <c r="EZ33" s="6" t="str">
        <f>IF(Reinforcements[[#This Row],[Type]]="channel",Reinforcements[[#This Row],[Channel Flange Width, b]]-(0.5*Reinforcements[[#This Row],[Channel web thickness, tw]]),"N/A")</f>
        <v>N/A</v>
      </c>
      <c r="FA33" s="6" t="str">
        <f>IF(Reinforcements[[#This Row],[Type]]="channel",Reinforcements[[#This Row],[Channel Height, h]]-Reinforcements[[#This Row],[Channel flange thickness, tf]],"N/A")</f>
        <v>N/A</v>
      </c>
      <c r="FB33" s="6" t="str">
        <f>IF(Reinforcements[[#This Row],[Type]]="channel",Reinforcements[[#This Row],[Channel web thickness, tw]],"N/A")</f>
        <v>N/A</v>
      </c>
      <c r="FC33" s="6" t="str">
        <f>IF(Reinforcements[[#This Row],[Type]]="channel",((3*Reinforcements[[#This Row],[b]]^2)/(Reinforcements[[#This Row],[h]]+(6*Reinforcements[[#This Row],[b]])))-Reinforcements[[#This Row],[t]]/2,"N/A")</f>
        <v>N/A</v>
      </c>
      <c r="FD33" s="6">
        <f>Reinforcements[[#This Row],[Pole Face to Centroid (in)]]</f>
        <v>0.625</v>
      </c>
      <c r="FE33" s="6" t="str">
        <f>IF(Reinforcements[[#This Row],[Type]]="channel",Reinforcements[[#This Row],[x(bar)]]+Reinforcements[[#This Row],['[Channel'] e0 (in)]],"N/A")</f>
        <v>N/A</v>
      </c>
      <c r="FF33" s="6" t="str">
        <f>IF(Reinforcements[[#This Row],[Type]]="channel",Reinforcements[[#This Row],[Ix]],"N/A")</f>
        <v>N/A</v>
      </c>
      <c r="FG33" s="6" t="str">
        <f>IF(Reinforcements[[#This Row],[Type]]="channel",Reinforcements[[#This Row],[Iy]],"N/A")</f>
        <v>N/A</v>
      </c>
      <c r="FH33" s="6" t="str">
        <f>IF(Reinforcements[[#This Row],[Type]]="channel",Reinforcements[[#This Row],[Gross Area (in2)]],"N/A")</f>
        <v>N/A</v>
      </c>
      <c r="FI33" s="6" t="str">
        <f>IF(Reinforcements[[#This Row],[Type]]="channel",(Reinforcements[[#This Row],[xo]]^2)+((Reinforcements[[#This Row],[Ix (FTB)]]+Reinforcements[[#This Row],[Iy (FTB)]])/Reinforcements[[#This Row],[Ag]]),"N/A")</f>
        <v>N/A</v>
      </c>
      <c r="FJ33" s="6" t="str">
        <f>IF(Reinforcements[[#This Row],[Type]]="channel",Reinforcements[[#This Row],[Lu (in)]],"N/A")</f>
        <v>N/A</v>
      </c>
      <c r="FK33" s="6" t="str">
        <f>IF(Reinforcements[[#This Row],[Type]]="channel",Reinforcements[[#This Row],[Effective Length Factor Kx]],"N/A")</f>
        <v>N/A</v>
      </c>
      <c r="FL33" s="6" t="str">
        <f>IF(Reinforcements[[#This Row],[Type]]="channel",Reinforcements[[#This Row],[Kz]]*Reinforcements[[#This Row],[Lz]],"N/A")</f>
        <v>N/A</v>
      </c>
      <c r="FM33" s="6" t="str">
        <f>IF(Reinforcements[[#This Row],[Type]]="channel",(((Reinforcements[[#This Row],[t]]^3)/3)*(Reinforcements[[#This Row],[h]]+(2*Reinforcements[[#This Row],[b]]))),"N/A")</f>
        <v>N/A</v>
      </c>
      <c r="FN33" s="6" t="str">
        <f>IF(Reinforcements[[#This Row],[Type]]="channel",(1-(((Reinforcements[[#This Row],[xo]]^2)+(Reinforcements[[#This Row],[yo]]^2))/Reinforcements[[#This Row],[ro^2(bar)]])),"N/A")</f>
        <v>N/A</v>
      </c>
      <c r="FO33" s="6">
        <v>11200</v>
      </c>
      <c r="FP33" s="6" t="str">
        <f>IF(Reinforcements[[#This Row],[Type]]="channel",(((Reinforcements[[#This Row],[h]]^2)*(Reinforcements[[#This Row],[b]]^3)*Reinforcements[[#This Row],[t]])/12)*(((2*Reinforcements[[#This Row],[h]])+(3*Reinforcements[[#This Row],[b]]))/(Reinforcements[[#This Row],[h]]+(6*Reinforcements[[#This Row],[b]]))),"N/A")</f>
        <v>N/A</v>
      </c>
      <c r="FQ33" s="6" t="str">
        <f>IF(Reinforcements[[#This Row],[Type]]="Channel",((((PI()^2)*Reinforcements[[#This Row],[E, (ksi)]]*Reinforcements[[#This Row],['[Channel'] CW (in6)]])/(Reinforcements[[#This Row],[Lcz]]^2))+(Reinforcements[[#This Row],[G]]*Reinforcements[[#This Row],['[Channel'] J (in4)]]))*(1/(Reinforcements[[#This Row],[Ag]]*Reinforcements[[#This Row],[ro^2(bar)]])),"N/A")</f>
        <v>N/A</v>
      </c>
      <c r="FR33" s="6" t="str">
        <f>IF(Reinforcements[[#This Row],[Type]]="channel",((PI()^2)*Reinforcements[[#This Row],[E, (ksi)]])/(Reinforcements[[#This Row],[Lcy/ry]]^2),"N/A")</f>
        <v>N/A</v>
      </c>
      <c r="FS33" s="6" t="str">
        <f>IF(Reinforcements[[#This Row],[Type]]="channel",((Reinforcements[[#This Row],[Fey]]+Reinforcements[[#This Row],[Fez]])/(2*Reinforcements[[#This Row],[H2]]))*(1-SQRT(1-((4*Reinforcements[[#This Row],[Fey]]*Reinforcements[[#This Row],[Fez]]*Reinforcements[[#This Row],[H2]])/(Reinforcements[[#This Row],[Fey]]+Reinforcements[[#This Row],[Fez]])^2))),"N/A")</f>
        <v>N/A</v>
      </c>
      <c r="FT33" s="6" t="str">
        <f>IF(Reinforcements[[#This Row],[Type]]="channel",IF(Reinforcements[[#This Row],[Lcx/rx]]&gt;(4.71*SQRT(Reinforcements[[#This Row],[E, (ksi)]]/Reinforcements[[#This Row],[Fy, (ksi)]])),0.877*Reinforcements[[#This Row],[Fe (FTB)]],0.658^(Reinforcements[[#This Row],[Fy, (ksi)]]/Reinforcements[[#This Row],[Fe (FTB)]])*Reinforcements[[#This Row],[Fy, (ksi)]]),"N/A")</f>
        <v>N/A</v>
      </c>
      <c r="FU33" s="6" t="str">
        <f>IF(Reinforcements[[#This Row],[Type]]="channel",MIN(Reinforcements[[#This Row],[Fcr(FTB)]],Reinforcements[[#This Row],[Fcry (ksi)]]),"N/A")</f>
        <v>N/A</v>
      </c>
      <c r="FV33" s="6">
        <v>0.22</v>
      </c>
      <c r="FW33" s="6">
        <v>1.49</v>
      </c>
      <c r="FX33" s="6" t="str">
        <f>IF(Reinforcements[[#This Row],[Type]]="channel",((Reinforcements[[#This Row],[c2]]*(Reinforcements[[#This Row],[λrf]]/Reinforcements[[#This Row],[λf]]))^2)*Reinforcements[[#This Row],[Fy, (ksi)]],"N/A")</f>
        <v>N/A</v>
      </c>
      <c r="FY33" s="6" t="str">
        <f>IF(Reinforcements[[#This Row],[Type]]="channel",((Reinforcements[[#This Row],[c2]]*(Reinforcements[[#This Row],[λrw]]/Reinforcements[[#This Row],[λw]]))^2)*Reinforcements[[#This Row],[Fy, (ksi)]],"N/A")</f>
        <v>N/A</v>
      </c>
      <c r="FZ3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6" t="str">
        <f>IF(Reinforcements[[#This Row],[Type]]="channel",Reinforcements[[#This Row],[Fcr]]*Reinforcements[[#This Row],[Ae]],"N/A")</f>
        <v>N/A</v>
      </c>
      <c r="GD33">
        <f>IF(Reinforcements[[#This Row],[Reinforcement]]="","",φ_c*Reinforcements[[#This Row],[Pnx, FB (kip)]])</f>
        <v>543.05746695180528</v>
      </c>
      <c r="GE33">
        <f>IF(Reinforcements[[#This Row],[Reinforcement]]="","",IF(Reinforcements[[#This Row],[Type]]="channel",φ_c*Reinforcements[[#This Row],[Pn]],φ_c*Reinforcements[[#This Row],[Pny, FB (kip)]]))</f>
        <v>618.73306969295152</v>
      </c>
      <c r="GF33">
        <f>Reinforcements[[#This Row],[Rev. G Tension Yield Capacity (kips)]]</f>
        <v>621.5625</v>
      </c>
      <c r="GG33">
        <f>Reinforcements[[#This Row],[Rev. G Tension Rupture Capacity (kips)]]</f>
        <v>543.75</v>
      </c>
      <c r="GH33">
        <f>Reinforcements[[#This Row],[Rev. G Shear Capacity (kips)]]</f>
        <v>310.78125</v>
      </c>
      <c r="GI33" t="str">
        <f>IFERROR((Reinforcements[[#This Row],['# of End Connection Bolts          (Bottom)]]-1)*Reinforcements[[#This Row],[End Connection Bolt Spacing (in) (B)]],"-")</f>
        <v>-</v>
      </c>
      <c r="GJ33">
        <f>IFERROR(IF(VLOOKUP(Reinforcements[[#This Row],[Bottom End Connection Bolt Type]],Bolts[],COLUMN(Bolts[[#Headers],[Rev. H Apply Connection Length Reduction Factor (Rb)?]])-1,FALSE)="Yes",(IF(Reinforcements[[#This Row],[Lb(bottom)]]&lt;=16,1,IF(Reinforcements[[#This Row],[Lb(bottom)]]&gt;38,0.75,0.9))),1),"-")</f>
        <v>1</v>
      </c>
      <c r="GK3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f>IFERROR(IF(Reinforcements[[#This Row],[Top End Connection Same?]]="Yes",Reinforcements[[#This Row],[Lb(bottom)]],(Reinforcements[[#This Row],['# of End Connection Bolts          (Top)]]-1)*Reinforcements[[#This Row],[End Connection Bolt Spacing (in) (T)]]),"-")</f>
        <v>48</v>
      </c>
      <c r="GM33">
        <f>IFERROR(IF(VLOOKUP(Reinforcements[[#This Row],[Top End Connection Bolt Type]],Bolts[],COLUMN(Bolts[[#Headers],[Rev. H Apply Connection Length Reduction Factor (Rb)?]])-1,FALSE)=TRUE,(IF(Reinforcements[[#This Row],[Lb(top)]]&lt;=16,1,IF(Reinforcements[[#This Row],[Lb(top)]]&gt;38,0.75,0.9))),1),"-")</f>
        <v>0.75</v>
      </c>
      <c r="GN3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t="str">
        <f>Reinforcements[[#This Row],[Rev. G Bolt-Shaft Bearing Capacity (Bottom)                No Deformation          (*t*Fu kips)]]</f>
        <v>-</v>
      </c>
      <c r="GP33" t="str">
        <f>Reinforcements[[#This Row],[Rev. G Bolt-Shaft Bearing Capacity (Bottom)                   Deformation          (*t*Fu kips)]]</f>
        <v>-</v>
      </c>
      <c r="GQ33">
        <f>Reinforcements[[#This Row],[Rev. G Bolt-Shaft Bearing Capacity (Top)                    No Deformation          (*t*Fu kips)]]</f>
        <v>33.456377952755908</v>
      </c>
      <c r="GR33">
        <f>Reinforcements[[#This Row],[Rev. G Bolt-Shaft Bearing Capacity (Top)                        Deformation          (*t*Fu kips)]]</f>
        <v>41.820472440944883</v>
      </c>
      <c r="GS33" t="str">
        <f>Reinforcements[[#This Row],[Rev. G Bolt-Reinf. Bearing Capacity (Bottom)            No Deformation (kips)]]</f>
        <v>-</v>
      </c>
      <c r="GT33" t="str">
        <f>Reinforcements[[#This Row],[Rev. G Bolt-Reinf. Bearing Capacity (Bottom)               Deformation (kips)]]</f>
        <v>-</v>
      </c>
      <c r="GU33">
        <f>Reinforcements[[#This Row],[Rev. G Bolt-Reinf. Bearing Capacity (Top)                  No Deformation (kips)]]</f>
        <v>3345.6377952755911</v>
      </c>
      <c r="GV33">
        <f>Reinforcements[[#This Row],[Rev. G Bolt-Reinf. Bearing Capacity (Top)               Deformation (kips)]]</f>
        <v>4182.0472440944886</v>
      </c>
      <c r="GW33" t="str">
        <f>Reinforcements[[#This Row],[Rev. G Bottom Transverse Weld Strength]]</f>
        <v>-</v>
      </c>
      <c r="GX33" t="str">
        <f>Reinforcements[[#This Row],[Rev. G Bottom Longitudinal Weld Strength]]</f>
        <v>-</v>
      </c>
      <c r="GY33" t="str">
        <f>Reinforcements[[#This Row],[Rev. G Top Transverse Weld Strength]]</f>
        <v>-</v>
      </c>
      <c r="GZ33" t="str">
        <f>Reinforcements[[#This Row],[Rev. G Top Longitudinal Weld Strength]]</f>
        <v>-</v>
      </c>
      <c r="HA33">
        <v>31</v>
      </c>
      <c r="HB3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49" t="s">
        <v>391</v>
      </c>
      <c r="C34" s="49" t="s">
        <v>352</v>
      </c>
      <c r="D34" s="6">
        <v>4</v>
      </c>
      <c r="E34" s="6">
        <v>0.75</v>
      </c>
      <c r="F34" s="6" t="str">
        <f>IF(Reinforcements[[#This Row],[Type]]="","",IF(Reinforcements[[#This Row],[Type]]="solid round","","n/a"))</f>
        <v>n/a</v>
      </c>
      <c r="G34" s="6" t="str">
        <f>IF(Reinforcements[[#This Row],[Type]]="","",IF(Reinforcements[[#This Row],[Type]]&lt;&gt;"channel","n/a",""))</f>
        <v>n/a</v>
      </c>
      <c r="H34" s="6" t="str">
        <f>IF(Reinforcements[[#This Row],[Type]]="","",IF(Reinforcements[[#This Row],[Type]]&lt;&gt;"channel","n/a",""))</f>
        <v>n/a</v>
      </c>
      <c r="I34" s="126" t="str">
        <f>IF(Reinforcements[[#This Row],[Type]]="","",IF(Reinforcements[[#This Row],[Type]]&lt;&gt;"channel","n/a",Reinforcements[[#This Row],[eo]]))</f>
        <v>n/a</v>
      </c>
      <c r="J34" s="126" t="str">
        <f>IF(Reinforcements[[#This Row],[Type]]="","",IF(Reinforcements[[#This Row],[Type]]&lt;&gt;"channel","n/a",Reinforcements[[#This Row],[J]]))</f>
        <v>n/a</v>
      </c>
      <c r="K34" s="126" t="str">
        <f>IF(Reinforcements[[#This Row],[Type]]="","",IF(Reinforcements[[#This Row],[Type]]&lt;&gt;"channel","n/a",Reinforcements[[#This Row],[Cw]]))</f>
        <v>n/a</v>
      </c>
      <c r="L34" s="6">
        <f>IFERROR(IF(Reinforcements[[#This Row],[Type]]="","",IF(Reinforcements[[#This Row],[Type]]="plate",Reinforcements[[#This Row],[B (in)]]*Reinforcements[[#This Row],[H (in)]],IF(Reinforcements[[#This Row],[Type]]="solid round",PI()/4*Reinforcements[[#This Row],[Diameter (in)]]^2,""))),"")</f>
        <v>3</v>
      </c>
      <c r="M34" s="6">
        <f>IFERROR(IF(Reinforcements[[#This Row],[Type]]="","",IF(Reinforcements[[#This Row],[Type]]="plate",Reinforcements[[#This Row],[H (in)]]/2,"")),"")</f>
        <v>0.375</v>
      </c>
      <c r="N34" s="34" t="s">
        <v>353</v>
      </c>
      <c r="O34" s="6" t="s">
        <v>138</v>
      </c>
      <c r="P34" s="123">
        <f>IFERROR(IF(Reinforcements[[#This Row],[Type]]="","",IF(Reinforcements[[#This Row],[Type]]="plate",Reinforcements[[#This Row],[B (in)]]*Reinforcements[[#This Row],[H (in)]]^3/12,IF(Reinforcements[[#This Row],[Type]]="solid round",PI()/64*Reinforcements[[#This Row],[Diameter (in)]]^4,""))),"")</f>
        <v>0.140625</v>
      </c>
      <c r="Q34" s="123">
        <f>IF(Reinforcements[[#This Row],[Reinforcement]]="","",SQRT(Reinforcements[[#This Row],[Ix]]/Reinforcements[[#This Row],[Gross Area (in2)]]))</f>
        <v>0.21650635094610965</v>
      </c>
      <c r="R34" s="123">
        <f>IFERROR(IF(Reinforcements[[#This Row],[Type]]="","",IF(Reinforcements[[#This Row],[Type]]="plate",Reinforcements[[#This Row],[B (in)]]^3*Reinforcements[[#This Row],[H (in)]]/12,IF(Reinforcements[[#This Row],[Type]]="solid round",PI()/64*Reinforcements[[#This Row],[Diameter (in)]]^4,""))),"")</f>
        <v>4</v>
      </c>
      <c r="S34" s="123">
        <f>IF(Reinforcements[[#This Row],[Reinforcement]]="","",SQRT(Reinforcements[[#This Row],[Iy]]/Reinforcements[[#This Row],[Gross Area (in2)]]))</f>
        <v>1.1547005383792515</v>
      </c>
      <c r="T34" s="6">
        <v>16</v>
      </c>
      <c r="U34" s="6">
        <v>0.8</v>
      </c>
      <c r="V34" s="6">
        <v>1</v>
      </c>
      <c r="W34" s="6">
        <v>1.1875</v>
      </c>
      <c r="X34" s="6">
        <f>IF(Reinforcements[[#This Row],[Bolt Hole Size (in)]]="","",IF(Reinforcements[[#This Row],[Bolt Hole Size (in)]]="n/a","n/a",Reinforcements[[#This Row],[Bolt Hole Size (in)]]*25.4))</f>
        <v>30.162499999999998</v>
      </c>
      <c r="Y3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6">
        <f>IFERROR(IF(Reinforcements[[#This Row],[Reinforcement]]="","",IF(OR(Reinforcements[[#This Row],[Type]]="plate",Reinforcements[[#This Row],[Type]]="solid round"),1,IF(Reinforcements[[#This Row],[Type]]="arbitrary","",1-Reinforcements[[#This Row],[Pole Face to Centroid (in)]]/Reinforcements[[#This Row],[Connection Length (in) '[Channels']]]))),"")</f>
        <v>1</v>
      </c>
      <c r="AA34" s="16" t="s">
        <v>382</v>
      </c>
      <c r="AB34" s="16" t="str">
        <f>IF(Reinforcements[[#This Row],[Reinforcement]]="","",IF(Reinforcements[[#This Row],[Bottom End Connection Type]]&lt;&gt;"Capacity Input","-",""))</f>
        <v>-</v>
      </c>
      <c r="AC34" s="16" t="str">
        <f>IF(Reinforcements[[#This Row],[Reinforcement]]="","",IF(Reinforcements[[#This Row],[Bottom End Connection Type]]&lt;&gt;"Capacity Input","-",""))</f>
        <v>-</v>
      </c>
      <c r="AD34" s="16" t="str">
        <f>IF(Reinforcements[[#This Row],[Reinforcement]]="","",IF(Reinforcements[[#This Row],[Bottom End Connection Type]]&lt;&gt;"Capacity Input","-",""))</f>
        <v>-</v>
      </c>
      <c r="AE34" s="74" t="str">
        <f>IF(Reinforcements[[#This Row],[Reinforcement]]="","",IF(Reinforcements[[#This Row],[Bottom End Connection Type]]="","-",IF(Reinforcements[[#This Row],[Bottom End Connection Type]]&lt;&gt;"Bolted","-","")))</f>
        <v>-</v>
      </c>
      <c r="AF34" s="6" t="str">
        <f>IF(Reinforcements[[#This Row],[Bottom End Connection Type]]="Welded","-","")</f>
        <v>-</v>
      </c>
      <c r="AG34" s="6" t="str">
        <f>IF(Reinforcements[[#This Row],[Bottom End Connection Type]]="Welded","-","")</f>
        <v>-</v>
      </c>
      <c r="AH34" s="6" t="str">
        <f>IF(Reinforcements[[#This Row],[Bottom End Connection Type]]="Welded","-","")</f>
        <v>-</v>
      </c>
      <c r="AI34" s="6" t="str">
        <f>IF(Reinforcements[[#This Row],[Bottom End Connection Type]]="Welded","-","")</f>
        <v>-</v>
      </c>
      <c r="AJ34" s="6" t="e">
        <f>Reinforcements[[#This Row],[End Connection Edge Distance (in) (B)]]-(Reinforcements[[#This Row],[Bolt Hole Size (in)]]+1/16)/2</f>
        <v>#VALUE!</v>
      </c>
      <c r="AK34" s="6" t="e">
        <f>Reinforcements[[#This Row],[End Connection Bolt Spacing (in) (B)]]-(Reinforcements[[#This Row],[Bolt Hole Size (in)]]+1/16)</f>
        <v>#VALUE!</v>
      </c>
      <c r="AL34" s="6" t="str">
        <f>Reinforcements[[#This Row],[End Connection Edge Distance (in) (B)]]</f>
        <v>-</v>
      </c>
      <c r="AM34" s="6" t="str">
        <f>Reinforcements[[#This Row],[End Connection Bolt Spacing (in) (B)]]</f>
        <v>-</v>
      </c>
      <c r="AN34" s="6" t="s">
        <v>357</v>
      </c>
      <c r="AO34" s="111">
        <v>70</v>
      </c>
      <c r="AP34" s="111" t="s">
        <v>383</v>
      </c>
      <c r="AQ34" s="111">
        <v>4</v>
      </c>
      <c r="AR34" s="6">
        <v>0.75</v>
      </c>
      <c r="AS34" s="6">
        <v>45</v>
      </c>
      <c r="AT34" s="111">
        <v>0.25</v>
      </c>
      <c r="AU3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11" t="s">
        <v>384</v>
      </c>
      <c r="AW34" s="111" t="str">
        <f>IF(Reinforcements[[#This Row],[Reinforcement]]="","",IF(OR(Reinforcements[[#This Row],[Bottom End Connection Type]]&lt;&gt;"Welded",Reinforcements[[#This Row],[Bottom Longitudinal (Vertical) Weld]]="None",Reinforcements[[#This Row],[Bottom Longitudinal (Vertical) Weld]]=""),"-",""))</f>
        <v>-</v>
      </c>
      <c r="AX34" s="111" t="str">
        <f>IF(Reinforcements[[#This Row],[Reinforcement]]="","",IF(OR(Reinforcements[[#This Row],[Bottom End Connection Type]]&lt;&gt;"Welded",Reinforcements[[#This Row],[Bottom Longitudinal (Vertical) Weld]]="None",Reinforcements[[#This Row],[Bottom Longitudinal (Vertical) Weld]]=""),"-",""))</f>
        <v>-</v>
      </c>
      <c r="AY34" s="6" t="str">
        <f>IF(Reinforcements[[#This Row],[Reinforcement]]="","",IF(OR(Reinforcements[[#This Row],[Bottom End Connection Type]]&lt;&gt;"Welded",Reinforcements[[#This Row],[Bottom Longitudinal (Vertical) Weld]]="None"),"-",SQRT(2)/2*Reinforcements[[#This Row],[Bottom Longitudinal Weld Fillet Size (in)]]))</f>
        <v>-</v>
      </c>
      <c r="AZ34" s="111" t="s">
        <v>353</v>
      </c>
      <c r="BA34" s="16" t="s">
        <v>354</v>
      </c>
      <c r="BB34" s="16" t="str">
        <f>IF(Reinforcements[[#This Row],[Reinforcement]]="","",IF(Reinforcements[[#This Row],[Top End Connection Same?]]="Yes",Reinforcements[[#This Row],[Rev. F Bottom Connection Capacity (kips)]],IF(Reinforcements[[#This Row],[Reinforcement]]="","",IF(Reinforcements[[#This Row],[Top End Connection Type]]&lt;&gt;"Capacity Input","-",""))))</f>
        <v>-</v>
      </c>
      <c r="BC34" s="16" t="str">
        <f>IF(Reinforcements[[#This Row],[Reinforcement]]="","",IF(Reinforcements[[#This Row],[Top End Connection Same?]]="Yes",Reinforcements[[#This Row],[Rev. G Bottom Connection Capacity (kips)]],IF(Reinforcements[[#This Row],[Reinforcement]]="","",IF(Reinforcements[[#This Row],[Top End Connection Type]]&lt;&gt;"Capacity Input","-",""))))</f>
        <v>-</v>
      </c>
      <c r="BD34" s="16" t="str">
        <f>IF(Reinforcements[[#This Row],[Reinforcement]]="","",IF(Reinforcements[[#This Row],[Top End Connection Same?]]="Yes",Reinforcements[[#This Row],[Rev. G Bottom Connection Capacity (kips)]],IF(Reinforcements[[#This Row],[Reinforcement]]="","",IF(Reinforcements[[#This Row],[Top End Connection Type]]&lt;&gt;"Capacity Input","-",""))))</f>
        <v>-</v>
      </c>
      <c r="BE34" s="74" t="s">
        <v>355</v>
      </c>
      <c r="BF34" s="6" t="s">
        <v>356</v>
      </c>
      <c r="BG34" s="6">
        <v>4</v>
      </c>
      <c r="BH34" s="6">
        <v>3</v>
      </c>
      <c r="BI34" s="6">
        <v>3</v>
      </c>
      <c r="BJ34" s="6">
        <f>Reinforcements[[#This Row],[End Connection Edge Distance (in) (T)]]-(Reinforcements[[#This Row],[Bolt Hole Size (in)]]+1/16)/2</f>
        <v>2.375</v>
      </c>
      <c r="BK34" s="6">
        <f>Reinforcements[[#This Row],[End Connection Bolt Spacing (in) (T)]]-(Reinforcements[[#This Row],[Bolt Hole Size (in)]]+1/16)</f>
        <v>1.75</v>
      </c>
      <c r="BL34" s="6">
        <f>Reinforcements[[#This Row],[End Connection Edge Distance (in) (T)]]</f>
        <v>3</v>
      </c>
      <c r="BM34" s="6">
        <f>Reinforcements[[#This Row],[End Connection Bolt Spacing (in) (T)]]</f>
        <v>3</v>
      </c>
      <c r="BN34" s="6" t="str">
        <f>IF(Reinforcements[[#This Row],[Reinforcement]]="","",IF(Reinforcements[[#This Row],[Top End Connection Same?]]="Yes",Reinforcements[[#This Row],[Bottom Connected to Flange/Base Plate?]],IF(Reinforcements[[#This Row],[Top End Connection Type]]="Bolted","-","")))</f>
        <v>-</v>
      </c>
      <c r="BO34" s="6" t="str">
        <f>IF(Reinforcements[[#This Row],[Reinforcement]]="","",IF(Reinforcements[[#This Row],[Top End Connection Same?]]="Yes",Reinforcements[[#This Row],[Bottom Weld Grade (ksi)]],IF(OR(Reinforcements[[#This Row],[Top End Connection Type]]&lt;&gt;"Welded",Reinforcements[[#This Row],[Top End Connection Type]]=""),"-","")))</f>
        <v>-</v>
      </c>
      <c r="BP34" s="6" t="str">
        <f>IF($AZ34="Yes",AP34,IF(Reinforcements[[#This Row],[Reinforcement]]="","",IF(OR(Reinforcements[[#This Row],[Top End Connection Type]]&lt;&gt;"Welded",Reinforcements[[#This Row],[Top End Connection Type]]=""),"-","")))</f>
        <v>-</v>
      </c>
      <c r="BQ34" s="6" t="str">
        <f>IF(Reinforcements[[#This Row],[Reinforcement]]="","",IF($AZ34="Yes",AQ34,IF(OR(Reinforcements[[#This Row],[Top End Connection Type]]&lt;&gt;"Welded",Reinforcements[[#This Row],[Top Transverse (Horizontal) Weld]]="none",Reinforcements[[#This Row],[Top Transverse (Horizontal) Weld]]=""),"-","")))</f>
        <v>-</v>
      </c>
      <c r="BR34" s="6"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6"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6" t="str">
        <f>IF(Reinforcements[[#This Row],[Reinforcement]]="","",IF($AZ34="Yes",AT34,IF(OR(Reinforcements[[#This Row],[Top Transverse (Horizontal) Weld]]="none",Reinforcements[[#This Row],[Top End Connection Type]]&lt;&gt;"Welded",Reinforcements[[#This Row],[Top Transverse (Horizontal) Weld]]=""),"-","")))</f>
        <v>-</v>
      </c>
      <c r="BU34" s="6"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6" t="str">
        <f>IF($AZ34="Yes",AV34,IF(Reinforcements[[#This Row],[Reinforcement]]="","",IF(OR(Reinforcements[[#This Row],[Top End Connection Type]]&lt;&gt;"Welded",Reinforcements[[#This Row],[Top End Connection Type]]=""),"-","")))</f>
        <v>-</v>
      </c>
      <c r="BW34" s="6"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6"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6" t="str">
        <f>IF($AZ34="Yes",AY34,IF(Reinforcements[[#This Row],[Reinforcement]]="","",IF(OR(Reinforcements[[#This Row],[Top End Connection Type]]&lt;&gt;"Welded",Reinforcements[[#This Row],[Top Longitudinal (Vertical) Weld]]="none"),"-",SQRT(2)/2*Reinforcements[[#This Row],[Top Longitudinal Weld Fillet Size (in)]])))</f>
        <v>-</v>
      </c>
      <c r="BZ3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11">
        <f>IF(Reinforcements[[#This Row],[Reinforcement]]="","",IF(Reinforcements[[#This Row],[Top End Connection Type]]&lt;&gt;"Bolted","n/a",(Reinforcements[[#This Row],['# of End Connection Bolts          (Top)]]-1)*Reinforcements[[#This Row],[End Connection Bolt Spacing (in) (T)]]+Reinforcements[[#This Row],[End Connection Edge Distance (in) (T)]]))</f>
        <v>12</v>
      </c>
      <c r="CC3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6">
        <f>IFERROR(IF(Reinforcements[[#This Row],[Type]]="","",Reinforcements[[#This Row],[Effective B (in)]]*Reinforcements[[#This Row],[Effective H (in)]]^3/12),"")</f>
        <v>0.140625</v>
      </c>
      <c r="CF34" s="6">
        <f>IFERROR(IF(Reinforcements[[#This Row],[Type]]="","",Reinforcements[[#This Row],[Effective B (in)]]^3*Reinforcements[[#This Row],[Effective H (in)]]/12),"")</f>
        <v>4</v>
      </c>
      <c r="CG34" s="126">
        <f>SQRT(2*PI()^2*29000/VLOOKUP(Reinforcements[[#This Row],[Material]],Materials[],2,FALSE))</f>
        <v>93.844147005158973</v>
      </c>
      <c r="CH3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23">
        <f>Reinforcements[[#This Row],[Effective Length Factor Kx]]*Reinforcements[[#This Row],[Lu (in)]]/(Reinforcements[[#This Row],[rx]]*PI())*SQRT(VLOOKUP(Reinforcements[[#This Row],[Material]],Materials[],2,FALSE)/29000)</f>
        <v>0.89093728863455735</v>
      </c>
      <c r="CK34" s="123">
        <f>Reinforcements[[#This Row],[Effective Length Factor Ky]]*Reinforcements[[#This Row],[Lu (in)]]/(Reinforcements[[#This Row],[ry]]*PI())*SQRT(VLOOKUP(Reinforcements[[#This Row],[Material]],Materials[],2,FALSE)/29000)</f>
        <v>0.20881342702372435</v>
      </c>
      <c r="CL34" s="123">
        <f>IF(Reinforcements[[#This Row],[λcx]]&lt;=1.5,0.658^(Reinforcements[[#This Row],[λcx]]^2)*Reinforcements[[#This Row],[F''y]],0.877/(Reinforcements[[#This Row],[λcx]]^2)*Reinforcements[[#This Row],[F''y]])</f>
        <v>46.625839044509597</v>
      </c>
      <c r="CM34" s="123">
        <f>IF(Reinforcements[[#This Row],[λcy]]&lt;=1.5,0.658^(Reinforcements[[#This Row],[λcy]]^2)*Reinforcements[[#This Row],[F''y]],0.877/(Reinforcements[[#This Row],[λcy]]^2)*Reinforcements[[#This Row],[F''y]])</f>
        <v>63.824504474805018</v>
      </c>
      <c r="CN34" s="6">
        <f>VLOOKUP(Reinforcements[[#This Row],[Material]],Materials[],2,FALSE)</f>
        <v>65</v>
      </c>
      <c r="CO34" s="126">
        <f>IF(Reinforcements[[#This Row],[Reinforcement]]="","",Reinforcements[[#This Row],[Fax]]*Reinforcements[[#This Row],[Gross Area (in2)]])</f>
        <v>83.51084774656897</v>
      </c>
      <c r="CP34" s="126">
        <f>IF(Reinforcements[[#This Row],[Reinforcement]]="","",Reinforcements[[#This Row],[Fay]]*Reinforcements[[#This Row],[Gross Area (in2)]])</f>
        <v>112.0298027001612</v>
      </c>
      <c r="CQ34" s="126">
        <f>IF(Reinforcements[[#This Row],[Reinforcement]]="","",0.6*VLOOKUP(Reinforcements[[#This Row],[Material]],Materials[],2,FALSE)*Reinforcements[[#This Row],[Gross Area (in2)]])</f>
        <v>117</v>
      </c>
      <c r="CR34" s="126">
        <f>IF(Reinforcements[[#This Row],[Reinforcement]]="","",0.5*VLOOKUP(Reinforcements[[#This Row],[Material]],Materials[],3,FALSE)*Reinforcements[[#This Row],[Net Area (in2)]]*Reinforcements[[#This Row],[Shear Lag (U)]])</f>
        <v>82.5</v>
      </c>
      <c r="CS34" s="126">
        <f>IF(Reinforcements[[#This Row],[Reinforcement]]="","",0.4*VLOOKUP(Reinforcements[[#This Row],[Material]],Materials[],2,FALSE)*Reinforcements[[#This Row],[Gross Area (in2)]])</f>
        <v>78</v>
      </c>
      <c r="CT34"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6"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6"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26">
        <f>IF(Reinforcements[[#This Row],[Reinforcement]]="","",φ_c*Reinforcements[[#This Row],[Fcr,x]]*Reinforcements[[#This Row],[Gross Area (in2)]])</f>
        <v>125.88976542017591</v>
      </c>
      <c r="DI34" s="126">
        <f>IF(Reinforcements[[#This Row],[Reinforcement]]="","",φ_c*Reinforcements[[#This Row],[Fcr,y]]*Reinforcements[[#This Row],[Gross Area (in2)]])</f>
        <v>172.32616208197356</v>
      </c>
      <c r="DJ34" s="126">
        <f>IF(Reinforcements[[#This Row],[Reinforcement]]="","",φ_t_y*VLOOKUP(Reinforcements[[#This Row],[Material]],Materials[],2,FALSE)*Reinforcements[[#This Row],[Gross Area (in2)]])</f>
        <v>175.5</v>
      </c>
      <c r="DK34" s="126">
        <f>IF(Reinforcements[[#This Row],[Reinforcement]]="","",φ_t_r*VLOOKUP(Reinforcements[[#This Row],[Material]],Materials[],3,FALSE)*Reinforcements[[#This Row],[Net Area (in2)]]*Reinforcements[[#This Row],[Shear Lag (U)]])</f>
        <v>123.75</v>
      </c>
      <c r="DL34" s="126">
        <f>IF(Reinforcements[[#This Row],[Reinforcement]]="","",φ_v*0.5*Reinforcements[[#This Row],[F''y]]*Reinforcements[[#This Row],[Gross Area (in2)]])</f>
        <v>87.75</v>
      </c>
      <c r="DM34"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6"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6"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111" t="str">
        <f>IF(OR(Reinforcements[[#This Row],[Type]]="plate",Reinforcements[[#This Row],[Type]]="solid round"),"N/A",Reinforcements[[#This Row],[B (in)]])</f>
        <v>N/A</v>
      </c>
      <c r="EB34" s="6" t="str">
        <f>IF(OR(Reinforcements[[#This Row],[Type]]="plate",Reinforcements[[#This Row],[Type]]="solid round"),"N/A",Reinforcements[[#This Row],[H (in)]])</f>
        <v>N/A</v>
      </c>
      <c r="EC34" s="6" t="str">
        <f>IF(OR(Reinforcements[[#This Row],[Type]]="plate",Reinforcements[[#This Row],[Type]]="solid round"),"N/A",Reinforcements[[#This Row],[B (in)]]-Reinforcements[[#This Row],['[Channel'] Flange Thickness (in)]])</f>
        <v>N/A</v>
      </c>
      <c r="ED34" s="6" t="str">
        <f>IF(OR(Reinforcements[[#This Row],[Type]]="plate",Reinforcements[[#This Row],[Type]]="solid round"),"N/A",Reinforcements[[#This Row],['[Channel']Web Thickness (in)]])</f>
        <v>N/A</v>
      </c>
      <c r="EE34" s="6" t="str">
        <f>IF(OR(Reinforcements[[#This Row],[Type]]="plate",Reinforcements[[#This Row],[Type]]="solid round"),"N/A",Reinforcements[[#This Row],['[Channel'] Flange Thickness (in)]])</f>
        <v>N/A</v>
      </c>
      <c r="EF34" s="6" t="str">
        <f>IF(Reinforcements[[#This Row],[Type]]="channel",Reinforcements[[#This Row],[Channel Flange Width, b]]/Reinforcements[[#This Row],[Channel flange thickness, tf]],"N/A")</f>
        <v>N/A</v>
      </c>
      <c r="EG34" s="6" t="str">
        <f>IF(Reinforcements[[#This Row],[Type]]="channel",Reinforcements[[#This Row],[Channel inside depth, T]]/Reinforcements[[#This Row],[Channel web thickness, tw]],"N/A")</f>
        <v>N/A</v>
      </c>
      <c r="EH34" s="6">
        <f>29000</f>
        <v>29000</v>
      </c>
      <c r="EI34" s="6" t="str">
        <f>IF(Reinforcements[[#This Row],[Type]]="channel",0.56*SQRT(Reinforcements[[#This Row],[E, (ksi)]]/Reinforcements[[#This Row],[Fy, (ksi)]]),"N/A")</f>
        <v>N/A</v>
      </c>
      <c r="EJ34" s="6" t="str">
        <f>IF(Reinforcements[[#This Row],[Type]]="channel",1.49*SQRT(Reinforcements[[#This Row],[E, (ksi)]]/Reinforcements[[#This Row],[Fy, (ksi)]]),"N/A")</f>
        <v>N/A</v>
      </c>
      <c r="EK34" s="6">
        <f>VLOOKUP(Reinforcements[[#This Row],[Material]],Materials!$B$2:$C$30,2,FALSE)</f>
        <v>65</v>
      </c>
      <c r="EL34" s="6">
        <f>Reinforcements[[#This Row],[Lu (in)]]*Reinforcements[[#This Row],[Effective Length Factor Kx]]</f>
        <v>12.8</v>
      </c>
      <c r="EM34" s="6">
        <f>Reinforcements[[#This Row],[Lu (in)]]*Reinforcements[[#This Row],[Effective Length Factor Ky]]</f>
        <v>16</v>
      </c>
      <c r="EN34" s="6">
        <f>Reinforcements[[#This Row],[rx]]</f>
        <v>0.21650635094610965</v>
      </c>
      <c r="EO34" s="6">
        <f>Reinforcements[[#This Row],[ry]]</f>
        <v>1.1547005383792515</v>
      </c>
      <c r="EP34" s="6">
        <f>Reinforcements[[#This Row],[Lcx (in)]]/Reinforcements[[#This Row],[rx (in)]]</f>
        <v>59.120667565017683</v>
      </c>
      <c r="EQ34" s="6">
        <f>Reinforcements[[#This Row],[Lcy (in)]]/Reinforcements[[#This Row],[ry (in)]]</f>
        <v>13.856406460551019</v>
      </c>
      <c r="ER34" s="6">
        <f>((PI()^2)*Reinforcements[[#This Row],[E, (ksi)]])/(Reinforcements[[#This Row],[Lcx/rx]]^2)</f>
        <v>81.887777604558366</v>
      </c>
      <c r="ES34" s="6">
        <f>((PI()^2)*Reinforcements[[#This Row],[E, (ksi)]])/(Reinforcements[[#This Row],[Lcy/ry]]^2)</f>
        <v>1490.7214980812048</v>
      </c>
      <c r="ET34" s="6">
        <f>4.71*(SQRT(Reinforcements[[#This Row],[E, (ksi)]]/Reinforcements[[#This Row],[Fy, (ksi)]]))</f>
        <v>99.486288193205496</v>
      </c>
      <c r="EU34" s="6">
        <f>IF(Reinforcements[[#This Row],[Lcx/rx]]&lt;=Reinforcements[[#This Row],[Fcr Limit]],(0.658^(Reinforcements[[#This Row],[Fy, (ksi)]]/Reinforcements[[#This Row],[Fex, FB (ksi)]]))*Reinforcements[[#This Row],[Fy, (ksi)]],0.877*Reinforcements[[#This Row],[Fex, FB (ksi)]])</f>
        <v>46.625839044509597</v>
      </c>
      <c r="EV34" s="6">
        <f>IF(Reinforcements[[#This Row],[Lcy/ry]]&lt;=Reinforcements[[#This Row],[Fcr Limit]],(0.658^(Reinforcements[[#This Row],[Fy, (ksi)]]/Reinforcements[[#This Row],[Fey, FB (ksi)]]))*Reinforcements[[#This Row],[Fy, (ksi)]],0.877*Reinforcements[[#This Row],[Fey, FB (ksi)]])</f>
        <v>63.824504474805018</v>
      </c>
      <c r="EW34" s="6">
        <f>Reinforcements[[#This Row],[Fcrx (ksi)]]*Reinforcements[[#This Row],[Gross Area (in2)]]</f>
        <v>139.87751713352878</v>
      </c>
      <c r="EX34" s="6">
        <f>Reinforcements[[#This Row],[Fcry (ksi)]]*Reinforcements[[#This Row],[Gross Area (in2)]]</f>
        <v>191.47351342441505</v>
      </c>
      <c r="EY34" s="6" t="str">
        <f>IF(Reinforcements[[#This Row],[Type]]="channel",0,"N/A")</f>
        <v>N/A</v>
      </c>
      <c r="EZ34" s="6" t="str">
        <f>IF(Reinforcements[[#This Row],[Type]]="channel",Reinforcements[[#This Row],[Channel Flange Width, b]]-(0.5*Reinforcements[[#This Row],[Channel web thickness, tw]]),"N/A")</f>
        <v>N/A</v>
      </c>
      <c r="FA34" s="6" t="str">
        <f>IF(Reinforcements[[#This Row],[Type]]="channel",Reinforcements[[#This Row],[Channel Height, h]]-Reinforcements[[#This Row],[Channel flange thickness, tf]],"N/A")</f>
        <v>N/A</v>
      </c>
      <c r="FB34" s="6" t="str">
        <f>IF(Reinforcements[[#This Row],[Type]]="channel",Reinforcements[[#This Row],[Channel web thickness, tw]],"N/A")</f>
        <v>N/A</v>
      </c>
      <c r="FC34" s="6" t="str">
        <f>IF(Reinforcements[[#This Row],[Type]]="channel",((3*Reinforcements[[#This Row],[b]]^2)/(Reinforcements[[#This Row],[h]]+(6*Reinforcements[[#This Row],[b]])))-Reinforcements[[#This Row],[t]]/2,"N/A")</f>
        <v>N/A</v>
      </c>
      <c r="FD34" s="6">
        <f>Reinforcements[[#This Row],[Pole Face to Centroid (in)]]</f>
        <v>0.375</v>
      </c>
      <c r="FE34" s="6" t="str">
        <f>IF(Reinforcements[[#This Row],[Type]]="channel",Reinforcements[[#This Row],[x(bar)]]+Reinforcements[[#This Row],['[Channel'] e0 (in)]],"N/A")</f>
        <v>N/A</v>
      </c>
      <c r="FF34" s="6" t="str">
        <f>IF(Reinforcements[[#This Row],[Type]]="channel",Reinforcements[[#This Row],[Ix]],"N/A")</f>
        <v>N/A</v>
      </c>
      <c r="FG34" s="6" t="str">
        <f>IF(Reinforcements[[#This Row],[Type]]="channel",Reinforcements[[#This Row],[Iy]],"N/A")</f>
        <v>N/A</v>
      </c>
      <c r="FH34" s="6" t="str">
        <f>IF(Reinforcements[[#This Row],[Type]]="channel",Reinforcements[[#This Row],[Gross Area (in2)]],"N/A")</f>
        <v>N/A</v>
      </c>
      <c r="FI34" s="6" t="str">
        <f>IF(Reinforcements[[#This Row],[Type]]="channel",(Reinforcements[[#This Row],[xo]]^2)+((Reinforcements[[#This Row],[Ix (FTB)]]+Reinforcements[[#This Row],[Iy (FTB)]])/Reinforcements[[#This Row],[Ag]]),"N/A")</f>
        <v>N/A</v>
      </c>
      <c r="FJ34" s="6" t="str">
        <f>IF(Reinforcements[[#This Row],[Type]]="channel",Reinforcements[[#This Row],[Lu (in)]],"N/A")</f>
        <v>N/A</v>
      </c>
      <c r="FK34" s="6" t="str">
        <f>IF(Reinforcements[[#This Row],[Type]]="channel",Reinforcements[[#This Row],[Effective Length Factor Kx]],"N/A")</f>
        <v>N/A</v>
      </c>
      <c r="FL34" s="6" t="str">
        <f>IF(Reinforcements[[#This Row],[Type]]="channel",Reinforcements[[#This Row],[Kz]]*Reinforcements[[#This Row],[Lz]],"N/A")</f>
        <v>N/A</v>
      </c>
      <c r="FM34" s="6" t="str">
        <f>IF(Reinforcements[[#This Row],[Type]]="channel",(((Reinforcements[[#This Row],[t]]^3)/3)*(Reinforcements[[#This Row],[h]]+(2*Reinforcements[[#This Row],[b]]))),"N/A")</f>
        <v>N/A</v>
      </c>
      <c r="FN34" s="6" t="str">
        <f>IF(Reinforcements[[#This Row],[Type]]="channel",(1-(((Reinforcements[[#This Row],[xo]]^2)+(Reinforcements[[#This Row],[yo]]^2))/Reinforcements[[#This Row],[ro^2(bar)]])),"N/A")</f>
        <v>N/A</v>
      </c>
      <c r="FO34" s="6">
        <v>11200</v>
      </c>
      <c r="FP34" s="6" t="str">
        <f>IF(Reinforcements[[#This Row],[Type]]="channel",(((Reinforcements[[#This Row],[h]]^2)*(Reinforcements[[#This Row],[b]]^3)*Reinforcements[[#This Row],[t]])/12)*(((2*Reinforcements[[#This Row],[h]])+(3*Reinforcements[[#This Row],[b]]))/(Reinforcements[[#This Row],[h]]+(6*Reinforcements[[#This Row],[b]]))),"N/A")</f>
        <v>N/A</v>
      </c>
      <c r="FQ34" s="6" t="str">
        <f>IF(Reinforcements[[#This Row],[Type]]="Channel",((((PI()^2)*Reinforcements[[#This Row],[E, (ksi)]]*Reinforcements[[#This Row],['[Channel'] CW (in6)]])/(Reinforcements[[#This Row],[Lcz]]^2))+(Reinforcements[[#This Row],[G]]*Reinforcements[[#This Row],['[Channel'] J (in4)]]))*(1/(Reinforcements[[#This Row],[Ag]]*Reinforcements[[#This Row],[ro^2(bar)]])),"N/A")</f>
        <v>N/A</v>
      </c>
      <c r="FR34" s="6" t="str">
        <f>IF(Reinforcements[[#This Row],[Type]]="channel",((PI()^2)*Reinforcements[[#This Row],[E, (ksi)]])/(Reinforcements[[#This Row],[Lcy/ry]]^2),"N/A")</f>
        <v>N/A</v>
      </c>
      <c r="FS34" s="6" t="str">
        <f>IF(Reinforcements[[#This Row],[Type]]="channel",((Reinforcements[[#This Row],[Fey]]+Reinforcements[[#This Row],[Fez]])/(2*Reinforcements[[#This Row],[H2]]))*(1-SQRT(1-((4*Reinforcements[[#This Row],[Fey]]*Reinforcements[[#This Row],[Fez]]*Reinforcements[[#This Row],[H2]])/(Reinforcements[[#This Row],[Fey]]+Reinforcements[[#This Row],[Fez]])^2))),"N/A")</f>
        <v>N/A</v>
      </c>
      <c r="FT34" s="6" t="str">
        <f>IF(Reinforcements[[#This Row],[Type]]="channel",IF(Reinforcements[[#This Row],[Lcx/rx]]&gt;(4.71*SQRT(Reinforcements[[#This Row],[E, (ksi)]]/Reinforcements[[#This Row],[Fy, (ksi)]])),0.877*Reinforcements[[#This Row],[Fe (FTB)]],0.658^(Reinforcements[[#This Row],[Fy, (ksi)]]/Reinforcements[[#This Row],[Fe (FTB)]])*Reinforcements[[#This Row],[Fy, (ksi)]]),"N/A")</f>
        <v>N/A</v>
      </c>
      <c r="FU34" s="6" t="str">
        <f>IF(Reinforcements[[#This Row],[Type]]="channel",MIN(Reinforcements[[#This Row],[Fcr(FTB)]],Reinforcements[[#This Row],[Fcry (ksi)]]),"N/A")</f>
        <v>N/A</v>
      </c>
      <c r="FV34" s="6">
        <v>0.22</v>
      </c>
      <c r="FW34" s="6">
        <v>1.49</v>
      </c>
      <c r="FX34" s="6" t="str">
        <f>IF(Reinforcements[[#This Row],[Type]]="channel",((Reinforcements[[#This Row],[c2]]*(Reinforcements[[#This Row],[λrf]]/Reinforcements[[#This Row],[λf]]))^2)*Reinforcements[[#This Row],[Fy, (ksi)]],"N/A")</f>
        <v>N/A</v>
      </c>
      <c r="FY34" s="6" t="str">
        <f>IF(Reinforcements[[#This Row],[Type]]="channel",((Reinforcements[[#This Row],[c2]]*(Reinforcements[[#This Row],[λrw]]/Reinforcements[[#This Row],[λw]]))^2)*Reinforcements[[#This Row],[Fy, (ksi)]],"N/A")</f>
        <v>N/A</v>
      </c>
      <c r="FZ3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6" t="str">
        <f>IF(Reinforcements[[#This Row],[Type]]="channel",Reinforcements[[#This Row],[Fcr]]*Reinforcements[[#This Row],[Ae]],"N/A")</f>
        <v>N/A</v>
      </c>
      <c r="GD34">
        <f>IF(Reinforcements[[#This Row],[Reinforcement]]="","",φ_c*Reinforcements[[#This Row],[Pnx, FB (kip)]])</f>
        <v>125.88976542017591</v>
      </c>
      <c r="GE34">
        <f>IF(Reinforcements[[#This Row],[Reinforcement]]="","",IF(Reinforcements[[#This Row],[Type]]="channel",φ_c*Reinforcements[[#This Row],[Pn]],φ_c*Reinforcements[[#This Row],[Pny, FB (kip)]]))</f>
        <v>172.32616208197354</v>
      </c>
      <c r="GF34">
        <f>Reinforcements[[#This Row],[Rev. G Tension Yield Capacity (kips)]]</f>
        <v>175.5</v>
      </c>
      <c r="GG34">
        <f>Reinforcements[[#This Row],[Rev. G Tension Rupture Capacity (kips)]]</f>
        <v>123.75</v>
      </c>
      <c r="GH34">
        <f>Reinforcements[[#This Row],[Rev. G Shear Capacity (kips)]]</f>
        <v>87.75</v>
      </c>
      <c r="GI34" t="str">
        <f>IFERROR((Reinforcements[[#This Row],['# of End Connection Bolts          (Bottom)]]-1)*Reinforcements[[#This Row],[End Connection Bolt Spacing (in) (B)]],"-")</f>
        <v>-</v>
      </c>
      <c r="GJ34">
        <f>IFERROR(IF(VLOOKUP(Reinforcements[[#This Row],[Bottom End Connection Bolt Type]],Bolts[],COLUMN(Bolts[[#Headers],[Rev. H Apply Connection Length Reduction Factor (Rb)?]])-1,FALSE)="Yes",(IF(Reinforcements[[#This Row],[Lb(bottom)]]&lt;=16,1,IF(Reinforcements[[#This Row],[Lb(bottom)]]&gt;38,0.75,0.9))),1),"-")</f>
        <v>1</v>
      </c>
      <c r="GK34"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f>IFERROR(IF(Reinforcements[[#This Row],[Top End Connection Same?]]="Yes",Reinforcements[[#This Row],[Lb(bottom)]],(Reinforcements[[#This Row],['# of End Connection Bolts          (Top)]]-1)*Reinforcements[[#This Row],[End Connection Bolt Spacing (in) (T)]]),"-")</f>
        <v>9</v>
      </c>
      <c r="GM34">
        <f>IFERROR(IF(VLOOKUP(Reinforcements[[#This Row],[Top End Connection Bolt Type]],Bolts[],COLUMN(Bolts[[#Headers],[Rev. H Apply Connection Length Reduction Factor (Rb)?]])-1,FALSE)=TRUE,(IF(Reinforcements[[#This Row],[Lb(top)]]&lt;=16,1,IF(Reinforcements[[#This Row],[Lb(top)]]&gt;38,0.75,0.9))),1),"-")</f>
        <v>1</v>
      </c>
      <c r="GN3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t="str">
        <f>Reinforcements[[#This Row],[Rev. G Bolt-Shaft Bearing Capacity (Bottom)                No Deformation          (*t*Fu kips)]]</f>
        <v>-</v>
      </c>
      <c r="GP34" t="str">
        <f>Reinforcements[[#This Row],[Rev. G Bolt-Shaft Bearing Capacity (Bottom)                   Deformation          (*t*Fu kips)]]</f>
        <v>-</v>
      </c>
      <c r="GQ34">
        <f>Reinforcements[[#This Row],[Rev. G Bolt-Shaft Bearing Capacity (Top)                    No Deformation          (*t*Fu kips)]]</f>
        <v>8.0541732283464569</v>
      </c>
      <c r="GR34">
        <f>Reinforcements[[#This Row],[Rev. G Bolt-Shaft Bearing Capacity (Top)                        Deformation          (*t*Fu kips)]]</f>
        <v>10.067716535433071</v>
      </c>
      <c r="GS34" t="str">
        <f>Reinforcements[[#This Row],[Rev. G Bolt-Reinf. Bearing Capacity (Bottom)            No Deformation (kips)]]</f>
        <v>-</v>
      </c>
      <c r="GT34" t="str">
        <f>Reinforcements[[#This Row],[Rev. G Bolt-Reinf. Bearing Capacity (Bottom)               Deformation (kips)]]</f>
        <v>-</v>
      </c>
      <c r="GU34">
        <f>Reinforcements[[#This Row],[Rev. G Bolt-Reinf. Bearing Capacity (Top)                  No Deformation (kips)]]</f>
        <v>483.25039370078741</v>
      </c>
      <c r="GV34">
        <f>Reinforcements[[#This Row],[Rev. G Bolt-Reinf. Bearing Capacity (Top)               Deformation (kips)]]</f>
        <v>604.06299212598424</v>
      </c>
      <c r="GW34" t="str">
        <f>Reinforcements[[#This Row],[Rev. G Bottom Transverse Weld Strength]]</f>
        <v>-</v>
      </c>
      <c r="GX34" t="str">
        <f>Reinforcements[[#This Row],[Rev. G Bottom Longitudinal Weld Strength]]</f>
        <v>-</v>
      </c>
      <c r="GY34" t="str">
        <f>Reinforcements[[#This Row],[Rev. G Top Transverse Weld Strength]]</f>
        <v>-</v>
      </c>
      <c r="GZ34" t="str">
        <f>Reinforcements[[#This Row],[Rev. G Top Longitudinal Weld Strength]]</f>
        <v>-</v>
      </c>
      <c r="HA34">
        <v>32</v>
      </c>
      <c r="HB3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49" t="s">
        <v>392</v>
      </c>
      <c r="C35" s="49" t="s">
        <v>352</v>
      </c>
      <c r="D35" s="6">
        <v>4</v>
      </c>
      <c r="E35" s="6">
        <v>1.25</v>
      </c>
      <c r="F35" s="6" t="str">
        <f>IF(Reinforcements[[#This Row],[Type]]="","",IF(Reinforcements[[#This Row],[Type]]="solid round","","n/a"))</f>
        <v>n/a</v>
      </c>
      <c r="G35" s="6" t="str">
        <f>IF(Reinforcements[[#This Row],[Type]]="","",IF(Reinforcements[[#This Row],[Type]]&lt;&gt;"channel","n/a",""))</f>
        <v>n/a</v>
      </c>
      <c r="H35" s="6" t="str">
        <f>IF(Reinforcements[[#This Row],[Type]]="","",IF(Reinforcements[[#This Row],[Type]]&lt;&gt;"channel","n/a",""))</f>
        <v>n/a</v>
      </c>
      <c r="I35" s="126" t="str">
        <f>IF(Reinforcements[[#This Row],[Type]]="","",IF(Reinforcements[[#This Row],[Type]]&lt;&gt;"channel","n/a",Reinforcements[[#This Row],[eo]]))</f>
        <v>n/a</v>
      </c>
      <c r="J35" s="126" t="str">
        <f>IF(Reinforcements[[#This Row],[Type]]="","",IF(Reinforcements[[#This Row],[Type]]&lt;&gt;"channel","n/a",Reinforcements[[#This Row],[J]]))</f>
        <v>n/a</v>
      </c>
      <c r="K35" s="126" t="str">
        <f>IF(Reinforcements[[#This Row],[Type]]="","",IF(Reinforcements[[#This Row],[Type]]&lt;&gt;"channel","n/a",Reinforcements[[#This Row],[Cw]]))</f>
        <v>n/a</v>
      </c>
      <c r="L35" s="6">
        <f>IFERROR(IF(Reinforcements[[#This Row],[Type]]="","",IF(Reinforcements[[#This Row],[Type]]="plate",Reinforcements[[#This Row],[B (in)]]*Reinforcements[[#This Row],[H (in)]],IF(Reinforcements[[#This Row],[Type]]="solid round",PI()/4*Reinforcements[[#This Row],[Diameter (in)]]^2,""))),"")</f>
        <v>5</v>
      </c>
      <c r="M35" s="6">
        <f>IFERROR(IF(Reinforcements[[#This Row],[Type]]="","",IF(Reinforcements[[#This Row],[Type]]="plate",Reinforcements[[#This Row],[H (in)]]/2,"")),"")</f>
        <v>0.625</v>
      </c>
      <c r="N35" s="34" t="s">
        <v>353</v>
      </c>
      <c r="O35" s="111" t="s">
        <v>138</v>
      </c>
      <c r="P35" s="123">
        <f>IFERROR(IF(Reinforcements[[#This Row],[Type]]="","",IF(Reinforcements[[#This Row],[Type]]="plate",Reinforcements[[#This Row],[B (in)]]*Reinforcements[[#This Row],[H (in)]]^3/12,IF(Reinforcements[[#This Row],[Type]]="solid round",PI()/64*Reinforcements[[#This Row],[Diameter (in)]]^4,""))),"")</f>
        <v>0.65104166666666663</v>
      </c>
      <c r="Q35" s="123">
        <f>IF(Reinforcements[[#This Row],[Reinforcement]]="","",SQRT(Reinforcements[[#This Row],[Ix]]/Reinforcements[[#This Row],[Gross Area (in2)]]))</f>
        <v>0.36084391824351608</v>
      </c>
      <c r="R35" s="123">
        <f>IFERROR(IF(Reinforcements[[#This Row],[Type]]="","",IF(Reinforcements[[#This Row],[Type]]="plate",Reinforcements[[#This Row],[B (in)]]^3*Reinforcements[[#This Row],[H (in)]]/12,IF(Reinforcements[[#This Row],[Type]]="solid round",PI()/64*Reinforcements[[#This Row],[Diameter (in)]]^4,""))),"")</f>
        <v>6.666666666666667</v>
      </c>
      <c r="S35" s="123">
        <f>IF(Reinforcements[[#This Row],[Reinforcement]]="","",SQRT(Reinforcements[[#This Row],[Iy]]/Reinforcements[[#This Row],[Gross Area (in2)]]))</f>
        <v>1.1547005383792517</v>
      </c>
      <c r="T35" s="6">
        <v>27</v>
      </c>
      <c r="U35" s="6">
        <v>0.8</v>
      </c>
      <c r="V35" s="6">
        <v>1</v>
      </c>
      <c r="W35" s="6">
        <v>1.1875</v>
      </c>
      <c r="X35" s="6">
        <f>IF(Reinforcements[[#This Row],[Bolt Hole Size (in)]]="","",IF(Reinforcements[[#This Row],[Bolt Hole Size (in)]]="n/a","n/a",Reinforcements[[#This Row],[Bolt Hole Size (in)]]*25.4))</f>
        <v>30.162499999999998</v>
      </c>
      <c r="Y3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6">
        <f>IFERROR(IF(Reinforcements[[#This Row],[Reinforcement]]="","",IF(OR(Reinforcements[[#This Row],[Type]]="plate",Reinforcements[[#This Row],[Type]]="solid round"),1,IF(Reinforcements[[#This Row],[Type]]="arbitrary","",1-Reinforcements[[#This Row],[Pole Face to Centroid (in)]]/Reinforcements[[#This Row],[Connection Length (in) '[Channels']]]))),"")</f>
        <v>1</v>
      </c>
      <c r="AA35" s="16" t="s">
        <v>382</v>
      </c>
      <c r="AB35" s="16" t="str">
        <f>IF(Reinforcements[[#This Row],[Reinforcement]]="","",IF(Reinforcements[[#This Row],[Bottom End Connection Type]]&lt;&gt;"Capacity Input","-",""))</f>
        <v>-</v>
      </c>
      <c r="AC35" s="16" t="str">
        <f>IF(Reinforcements[[#This Row],[Reinforcement]]="","",IF(Reinforcements[[#This Row],[Bottom End Connection Type]]&lt;&gt;"Capacity Input","-",""))</f>
        <v>-</v>
      </c>
      <c r="AD35" s="16" t="str">
        <f>IF(Reinforcements[[#This Row],[Reinforcement]]="","",IF(Reinforcements[[#This Row],[Bottom End Connection Type]]&lt;&gt;"Capacity Input","-",""))</f>
        <v>-</v>
      </c>
      <c r="AE35" s="74" t="str">
        <f>IF(Reinforcements[[#This Row],[Reinforcement]]="","",IF(Reinforcements[[#This Row],[Bottom End Connection Type]]="","-",IF(Reinforcements[[#This Row],[Bottom End Connection Type]]&lt;&gt;"Bolted","-","")))</f>
        <v>-</v>
      </c>
      <c r="AF35" s="6" t="str">
        <f>IF(Reinforcements[[#This Row],[Reinforcement]]="","",IF(Reinforcements[[#This Row],[Bottom End Connection Type]]="","-",IF(Reinforcements[[#This Row],[Bottom End Connection Type]]&lt;&gt;"Bolted","-","")))</f>
        <v>-</v>
      </c>
      <c r="AG35" s="6" t="str">
        <f>IF(Reinforcements[[#This Row],[Reinforcement]]="","",IF(Reinforcements[[#This Row],[Bottom End Connection Type]]="","-",IF(Reinforcements[[#This Row],[Bottom End Connection Type]]&lt;&gt;"Bolted","-","")))</f>
        <v>-</v>
      </c>
      <c r="AH35" s="6" t="str">
        <f>IF(Reinforcements[[#This Row],[Reinforcement]]="","",IF(Reinforcements[[#This Row],[Bottom End Connection Type]]="","-",IF(Reinforcements[[#This Row],[Bottom End Connection Type]]&lt;&gt;"Bolted","-","")))</f>
        <v>-</v>
      </c>
      <c r="AI35" s="6" t="str">
        <f>IF(Reinforcements[[#This Row],[Reinforcement]]="","",IF(Reinforcements[[#This Row],[Bottom End Connection Type]]="","-",IF(Reinforcements[[#This Row],[Bottom End Connection Type]]&lt;&gt;"Bolted","-","")))</f>
        <v>-</v>
      </c>
      <c r="AJ35" s="6" t="e">
        <f>Reinforcements[[#This Row],[End Connection Edge Distance (in) (B)]]-(Reinforcements[[#This Row],[Bolt Hole Size (in)]]+1/16)/2</f>
        <v>#VALUE!</v>
      </c>
      <c r="AK35" s="6" t="e">
        <f>Reinforcements[[#This Row],[End Connection Bolt Spacing (in) (B)]]-(Reinforcements[[#This Row],[Bolt Hole Size (in)]]+1/16)</f>
        <v>#VALUE!</v>
      </c>
      <c r="AL35" s="6" t="str">
        <f>Reinforcements[[#This Row],[End Connection Edge Distance (in) (B)]]</f>
        <v>-</v>
      </c>
      <c r="AM35" s="6" t="str">
        <f>Reinforcements[[#This Row],[End Connection Bolt Spacing (in) (B)]]</f>
        <v>-</v>
      </c>
      <c r="AN35" s="6" t="s">
        <v>357</v>
      </c>
      <c r="AO35" s="111">
        <v>70</v>
      </c>
      <c r="AP35" s="111" t="s">
        <v>383</v>
      </c>
      <c r="AQ35" s="111">
        <v>4</v>
      </c>
      <c r="AR35" s="6">
        <v>1.25</v>
      </c>
      <c r="AS35" s="6">
        <v>45</v>
      </c>
      <c r="AT35" s="111">
        <v>0.25</v>
      </c>
      <c r="AU3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11" t="s">
        <v>384</v>
      </c>
      <c r="AW35" s="111" t="str">
        <f>IF(Reinforcements[[#This Row],[Reinforcement]]="","",IF(OR(Reinforcements[[#This Row],[Bottom End Connection Type]]&lt;&gt;"Welded",Reinforcements[[#This Row],[Bottom Longitudinal (Vertical) Weld]]="None",Reinforcements[[#This Row],[Bottom Longitudinal (Vertical) Weld]]=""),"-",""))</f>
        <v>-</v>
      </c>
      <c r="AX35" s="111" t="str">
        <f>IF(Reinforcements[[#This Row],[Reinforcement]]="","",IF(OR(Reinforcements[[#This Row],[Bottom End Connection Type]]&lt;&gt;"Welded",Reinforcements[[#This Row],[Bottom Longitudinal (Vertical) Weld]]="None",Reinforcements[[#This Row],[Bottom Longitudinal (Vertical) Weld]]=""),"-",""))</f>
        <v>-</v>
      </c>
      <c r="AY35" s="6" t="str">
        <f>IF(Reinforcements[[#This Row],[Reinforcement]]="","",IF(OR(Reinforcements[[#This Row],[Bottom End Connection Type]]&lt;&gt;"Welded",Reinforcements[[#This Row],[Bottom Longitudinal (Vertical) Weld]]="None"),"-",SQRT(2)/2*Reinforcements[[#This Row],[Bottom Longitudinal Weld Fillet Size (in)]]))</f>
        <v>-</v>
      </c>
      <c r="AZ35" s="6" t="s">
        <v>353</v>
      </c>
      <c r="BA35" s="16" t="s">
        <v>354</v>
      </c>
      <c r="BB35" s="16" t="str">
        <f>IF(Reinforcements[[#This Row],[Reinforcement]]="","",IF(Reinforcements[[#This Row],[Top End Connection Same?]]="Yes",Reinforcements[[#This Row],[Rev. F Bottom Connection Capacity (kips)]],IF(Reinforcements[[#This Row],[Reinforcement]]="","",IF(Reinforcements[[#This Row],[Top End Connection Type]]&lt;&gt;"Capacity Input","-",""))))</f>
        <v>-</v>
      </c>
      <c r="BC35" s="16" t="str">
        <f>IF(Reinforcements[[#This Row],[Reinforcement]]="","",IF(Reinforcements[[#This Row],[Top End Connection Same?]]="Yes",Reinforcements[[#This Row],[Rev. G Bottom Connection Capacity (kips)]],IF(Reinforcements[[#This Row],[Reinforcement]]="","",IF(Reinforcements[[#This Row],[Top End Connection Type]]&lt;&gt;"Capacity Input","-",""))))</f>
        <v>-</v>
      </c>
      <c r="BD35" s="16" t="str">
        <f>IF(Reinforcements[[#This Row],[Reinforcement]]="","",IF(Reinforcements[[#This Row],[Top End Connection Same?]]="Yes",Reinforcements[[#This Row],[Rev. G Bottom Connection Capacity (kips)]],IF(Reinforcements[[#This Row],[Reinforcement]]="","",IF(Reinforcements[[#This Row],[Top End Connection Type]]&lt;&gt;"Capacity Input","-",""))))</f>
        <v>-</v>
      </c>
      <c r="BE35" s="74" t="s">
        <v>355</v>
      </c>
      <c r="BF35" s="6" t="s">
        <v>356</v>
      </c>
      <c r="BG35" s="6">
        <v>6</v>
      </c>
      <c r="BH35" s="6">
        <v>3</v>
      </c>
      <c r="BI35" s="6">
        <v>3</v>
      </c>
      <c r="BJ35" s="6">
        <f>Reinforcements[[#This Row],[End Connection Edge Distance (in) (T)]]-(Reinforcements[[#This Row],[Bolt Hole Size (in)]]+1/16)/2</f>
        <v>2.375</v>
      </c>
      <c r="BK35" s="6">
        <f>Reinforcements[[#This Row],[End Connection Bolt Spacing (in) (T)]]-(Reinforcements[[#This Row],[Bolt Hole Size (in)]]+1/16)</f>
        <v>1.75</v>
      </c>
      <c r="BL35" s="6">
        <f>Reinforcements[[#This Row],[End Connection Edge Distance (in) (T)]]</f>
        <v>3</v>
      </c>
      <c r="BM35" s="6">
        <f>Reinforcements[[#This Row],[End Connection Bolt Spacing (in) (T)]]</f>
        <v>3</v>
      </c>
      <c r="BN35" s="6" t="str">
        <f>IF(Reinforcements[[#This Row],[Reinforcement]]="","",IF(Reinforcements[[#This Row],[Top End Connection Same?]]="Yes",Reinforcements[[#This Row],[Bottom Connected to Flange/Base Plate?]],IF(Reinforcements[[#This Row],[Top End Connection Type]]="Bolted","-","")))</f>
        <v>-</v>
      </c>
      <c r="BO35" s="6" t="str">
        <f>IF(Reinforcements[[#This Row],[Reinforcement]]="","",IF(Reinforcements[[#This Row],[Top End Connection Same?]]="Yes",Reinforcements[[#This Row],[Bottom Weld Grade (ksi)]],IF(OR(Reinforcements[[#This Row],[Top End Connection Type]]&lt;&gt;"Welded",Reinforcements[[#This Row],[Top End Connection Type]]=""),"-","")))</f>
        <v>-</v>
      </c>
      <c r="BP35" s="6" t="str">
        <f>IF($AZ35="Yes",AP35,IF(Reinforcements[[#This Row],[Reinforcement]]="","",IF(OR(Reinforcements[[#This Row],[Top End Connection Type]]&lt;&gt;"Welded",Reinforcements[[#This Row],[Top End Connection Type]]=""),"-","")))</f>
        <v>-</v>
      </c>
      <c r="BQ35" s="6" t="str">
        <f>IF(Reinforcements[[#This Row],[Reinforcement]]="","",IF($AZ35="Yes",AQ35,IF(OR(Reinforcements[[#This Row],[Top End Connection Type]]&lt;&gt;"Welded",Reinforcements[[#This Row],[Top Transverse (Horizontal) Weld]]="none",Reinforcements[[#This Row],[Top Transverse (Horizontal) Weld]]=""),"-","")))</f>
        <v>-</v>
      </c>
      <c r="BR35" s="6"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6"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6" t="str">
        <f>IF(Reinforcements[[#This Row],[Reinforcement]]="","",IF($AZ35="Yes",AT35,IF(OR(Reinforcements[[#This Row],[Top Transverse (Horizontal) Weld]]="none",Reinforcements[[#This Row],[Top End Connection Type]]&lt;&gt;"Welded",Reinforcements[[#This Row],[Top Transverse (Horizontal) Weld]]=""),"-","")))</f>
        <v>-</v>
      </c>
      <c r="BU35" s="6"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6" t="str">
        <f>IF($AZ35="Yes",AV35,IF(Reinforcements[[#This Row],[Reinforcement]]="","",IF(OR(Reinforcements[[#This Row],[Top End Connection Type]]&lt;&gt;"Welded",Reinforcements[[#This Row],[Top End Connection Type]]=""),"-","")))</f>
        <v>-</v>
      </c>
      <c r="BW35" s="6"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6"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6" t="str">
        <f>IF($AZ35="Yes",AY35,IF(Reinforcements[[#This Row],[Reinforcement]]="","",IF(OR(Reinforcements[[#This Row],[Top End Connection Type]]&lt;&gt;"Welded",Reinforcements[[#This Row],[Top Longitudinal (Vertical) Weld]]="none"),"-",SQRT(2)/2*Reinforcements[[#This Row],[Top Longitudinal Weld Fillet Size (in)]])))</f>
        <v>-</v>
      </c>
      <c r="BZ3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11">
        <f>IF(Reinforcements[[#This Row],[Reinforcement]]="","",IF(Reinforcements[[#This Row],[Top End Connection Type]]&lt;&gt;"Bolted","n/a",(Reinforcements[[#This Row],['# of End Connection Bolts          (Top)]]-1)*Reinforcements[[#This Row],[End Connection Bolt Spacing (in) (T)]]+Reinforcements[[#This Row],[End Connection Edge Distance (in) (T)]]))</f>
        <v>18</v>
      </c>
      <c r="CC3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6">
        <f>IFERROR(IF(Reinforcements[[#This Row],[Type]]="","",Reinforcements[[#This Row],[Effective B (in)]]*Reinforcements[[#This Row],[Effective H (in)]]^3/12),"")</f>
        <v>0.65104166666666663</v>
      </c>
      <c r="CF35" s="6">
        <f>IFERROR(IF(Reinforcements[[#This Row],[Type]]="","",Reinforcements[[#This Row],[Effective B (in)]]^3*Reinforcements[[#This Row],[Effective H (in)]]/12),"")</f>
        <v>6.666666666666667</v>
      </c>
      <c r="CG35" s="126">
        <f>SQRT(2*PI()^2*29000/VLOOKUP(Reinforcements[[#This Row],[Material]],Materials[],2,FALSE))</f>
        <v>93.844147005158973</v>
      </c>
      <c r="CH3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23">
        <f>Reinforcements[[#This Row],[Effective Length Factor Kx]]*Reinforcements[[#This Row],[Lu (in)]]/(Reinforcements[[#This Row],[rx]]*PI())*SQRT(VLOOKUP(Reinforcements[[#This Row],[Material]],Materials[],2,FALSE)/29000)</f>
        <v>0.90207400474248911</v>
      </c>
      <c r="CK35" s="123">
        <f>Reinforcements[[#This Row],[Effective Length Factor Ky]]*Reinforcements[[#This Row],[Lu (in)]]/(Reinforcements[[#This Row],[ry]]*PI())*SQRT(VLOOKUP(Reinforcements[[#This Row],[Material]],Materials[],2,FALSE)/29000)</f>
        <v>0.35237265810253476</v>
      </c>
      <c r="CL35" s="123">
        <f>IF(Reinforcements[[#This Row],[λcx]]&lt;=1.5,0.658^(Reinforcements[[#This Row],[λcx]]^2)*Reinforcements[[#This Row],[F''y]],0.877/(Reinforcements[[#This Row],[λcx]]^2)*Reinforcements[[#This Row],[F''y]])</f>
        <v>46.237777195184954</v>
      </c>
      <c r="CM35" s="123">
        <f>IF(Reinforcements[[#This Row],[λcy]]&lt;=1.5,0.658^(Reinforcements[[#This Row],[λcy]]^2)*Reinforcements[[#This Row],[F''y]],0.877/(Reinforcements[[#This Row],[λcy]]^2)*Reinforcements[[#This Row],[F''y]])</f>
        <v>61.70823202958254</v>
      </c>
      <c r="CN35" s="6">
        <f>VLOOKUP(Reinforcements[[#This Row],[Material]],Materials[],2,FALSE)</f>
        <v>65</v>
      </c>
      <c r="CO35" s="126">
        <f>IF(Reinforcements[[#This Row],[Reinforcement]]="","",Reinforcements[[#This Row],[Fax]]*Reinforcements[[#This Row],[Gross Area (in2)]])</f>
        <v>138.18749913685605</v>
      </c>
      <c r="CP35" s="126">
        <f>IF(Reinforcements[[#This Row],[Reinforcement]]="","",Reinforcements[[#This Row],[Fay]]*Reinforcements[[#This Row],[Gross Area (in2)]])</f>
        <v>179.11321467721905</v>
      </c>
      <c r="CQ35" s="126">
        <f>IF(Reinforcements[[#This Row],[Reinforcement]]="","",0.6*VLOOKUP(Reinforcements[[#This Row],[Material]],Materials[],2,FALSE)*Reinforcements[[#This Row],[Gross Area (in2)]])</f>
        <v>195</v>
      </c>
      <c r="CR35" s="126">
        <f>IF(Reinforcements[[#This Row],[Reinforcement]]="","",0.5*VLOOKUP(Reinforcements[[#This Row],[Material]],Materials[],3,FALSE)*Reinforcements[[#This Row],[Net Area (in2)]]*Reinforcements[[#This Row],[Shear Lag (U)]])</f>
        <v>137.5</v>
      </c>
      <c r="CS35" s="126">
        <f>IF(Reinforcements[[#This Row],[Reinforcement]]="","",0.4*VLOOKUP(Reinforcements[[#This Row],[Material]],Materials[],2,FALSE)*Reinforcements[[#This Row],[Gross Area (in2)]])</f>
        <v>130</v>
      </c>
      <c r="CT35"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6"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6"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26">
        <f>IF(Reinforcements[[#This Row],[Reinforcement]]="","",φ_c*Reinforcements[[#This Row],[Fcr,x]]*Reinforcements[[#This Row],[Gross Area (in2)]])</f>
        <v>208.06999737833229</v>
      </c>
      <c r="DI35" s="126">
        <f>IF(Reinforcements[[#This Row],[Reinforcement]]="","",φ_c*Reinforcements[[#This Row],[Fcr,y]]*Reinforcements[[#This Row],[Gross Area (in2)]])</f>
        <v>277.68704413312145</v>
      </c>
      <c r="DJ35" s="126">
        <f>IF(Reinforcements[[#This Row],[Reinforcement]]="","",φ_t_y*VLOOKUP(Reinforcements[[#This Row],[Material]],Materials[],2,FALSE)*Reinforcements[[#This Row],[Gross Area (in2)]])</f>
        <v>292.5</v>
      </c>
      <c r="DK35" s="126">
        <f>IF(Reinforcements[[#This Row],[Reinforcement]]="","",φ_t_r*VLOOKUP(Reinforcements[[#This Row],[Material]],Materials[],3,FALSE)*Reinforcements[[#This Row],[Net Area (in2)]]*Reinforcements[[#This Row],[Shear Lag (U)]])</f>
        <v>206.25</v>
      </c>
      <c r="DL35" s="126">
        <f>IF(Reinforcements[[#This Row],[Reinforcement]]="","",φ_v*0.5*Reinforcements[[#This Row],[F''y]]*Reinforcements[[#This Row],[Gross Area (in2)]])</f>
        <v>146.25</v>
      </c>
      <c r="DM35"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6"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6"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111" t="str">
        <f>IF(OR(Reinforcements[[#This Row],[Type]]="plate",Reinforcements[[#This Row],[Type]]="solid round"),"N/A",Reinforcements[[#This Row],[B (in)]])</f>
        <v>N/A</v>
      </c>
      <c r="EB35" s="6" t="str">
        <f>IF(OR(Reinforcements[[#This Row],[Type]]="plate",Reinforcements[[#This Row],[Type]]="solid round"),"N/A",Reinforcements[[#This Row],[H (in)]])</f>
        <v>N/A</v>
      </c>
      <c r="EC35" s="6" t="str">
        <f>IF(OR(Reinforcements[[#This Row],[Type]]="plate",Reinforcements[[#This Row],[Type]]="solid round"),"N/A",Reinforcements[[#This Row],[B (in)]]-Reinforcements[[#This Row],['[Channel'] Flange Thickness (in)]])</f>
        <v>N/A</v>
      </c>
      <c r="ED35" s="6" t="str">
        <f>IF(OR(Reinforcements[[#This Row],[Type]]="plate",Reinforcements[[#This Row],[Type]]="solid round"),"N/A",Reinforcements[[#This Row],['[Channel']Web Thickness (in)]])</f>
        <v>N/A</v>
      </c>
      <c r="EE35" s="6" t="str">
        <f>IF(OR(Reinforcements[[#This Row],[Type]]="plate",Reinforcements[[#This Row],[Type]]="solid round"),"N/A",Reinforcements[[#This Row],['[Channel'] Flange Thickness (in)]])</f>
        <v>N/A</v>
      </c>
      <c r="EF35" s="6" t="str">
        <f>IF(Reinforcements[[#This Row],[Type]]="channel",Reinforcements[[#This Row],[Channel Flange Width, b]]/Reinforcements[[#This Row],[Channel flange thickness, tf]],"N/A")</f>
        <v>N/A</v>
      </c>
      <c r="EG35" s="6" t="str">
        <f>IF(Reinforcements[[#This Row],[Type]]="channel",Reinforcements[[#This Row],[Channel inside depth, T]]/Reinforcements[[#This Row],[Channel web thickness, tw]],"N/A")</f>
        <v>N/A</v>
      </c>
      <c r="EH35" s="6">
        <f>29000</f>
        <v>29000</v>
      </c>
      <c r="EI35" s="6" t="str">
        <f>IF(Reinforcements[[#This Row],[Type]]="channel",0.56*SQRT(Reinforcements[[#This Row],[E, (ksi)]]/Reinforcements[[#This Row],[Fy, (ksi)]]),"N/A")</f>
        <v>N/A</v>
      </c>
      <c r="EJ35" s="6" t="str">
        <f>IF(Reinforcements[[#This Row],[Type]]="channel",1.49*SQRT(Reinforcements[[#This Row],[E, (ksi)]]/Reinforcements[[#This Row],[Fy, (ksi)]]),"N/A")</f>
        <v>N/A</v>
      </c>
      <c r="EK35" s="6">
        <f>VLOOKUP(Reinforcements[[#This Row],[Material]],Materials!$B$2:$C$30,2,FALSE)</f>
        <v>65</v>
      </c>
      <c r="EL35" s="6">
        <f>Reinforcements[[#This Row],[Lu (in)]]*Reinforcements[[#This Row],[Effective Length Factor Kx]]</f>
        <v>21.6</v>
      </c>
      <c r="EM35" s="6">
        <f>Reinforcements[[#This Row],[Lu (in)]]*Reinforcements[[#This Row],[Effective Length Factor Ky]]</f>
        <v>27</v>
      </c>
      <c r="EN35" s="6">
        <f>Reinforcements[[#This Row],[rx]]</f>
        <v>0.36084391824351608</v>
      </c>
      <c r="EO35" s="6">
        <f>Reinforcements[[#This Row],[ry]]</f>
        <v>1.1547005383792517</v>
      </c>
      <c r="EP35" s="6">
        <f>Reinforcements[[#This Row],[Lcx (in)]]/Reinforcements[[#This Row],[rx (in)]]</f>
        <v>59.859675909580403</v>
      </c>
      <c r="EQ35" s="6">
        <f>Reinforcements[[#This Row],[Lcy (in)]]/Reinforcements[[#This Row],[ry (in)]]</f>
        <v>23.382685902179841</v>
      </c>
      <c r="ER35" s="6">
        <f>((PI()^2)*Reinforcements[[#This Row],[E, (ksi)]])/(Reinforcements[[#This Row],[Lcx/rx]]^2)</f>
        <v>79.878338160215449</v>
      </c>
      <c r="ES35" s="6">
        <f>((PI()^2)*Reinforcements[[#This Row],[E, (ksi)]])/(Reinforcements[[#This Row],[Lcy/ry]]^2)</f>
        <v>523.4906769667881</v>
      </c>
      <c r="ET35" s="6">
        <f>4.71*(SQRT(Reinforcements[[#This Row],[E, (ksi)]]/Reinforcements[[#This Row],[Fy, (ksi)]]))</f>
        <v>99.486288193205496</v>
      </c>
      <c r="EU35" s="6">
        <f>IF(Reinforcements[[#This Row],[Lcx/rx]]&lt;=Reinforcements[[#This Row],[Fcr Limit]],(0.658^(Reinforcements[[#This Row],[Fy, (ksi)]]/Reinforcements[[#This Row],[Fex, FB (ksi)]]))*Reinforcements[[#This Row],[Fy, (ksi)]],0.877*Reinforcements[[#This Row],[Fex, FB (ksi)]])</f>
        <v>46.23777719518494</v>
      </c>
      <c r="EV35" s="6">
        <f>IF(Reinforcements[[#This Row],[Lcy/ry]]&lt;=Reinforcements[[#This Row],[Fcr Limit]],(0.658^(Reinforcements[[#This Row],[Fy, (ksi)]]/Reinforcements[[#This Row],[Fey, FB (ksi)]]))*Reinforcements[[#This Row],[Fy, (ksi)]],0.877*Reinforcements[[#This Row],[Fey, FB (ksi)]])</f>
        <v>61.70823202958254</v>
      </c>
      <c r="EW35" s="6">
        <f>Reinforcements[[#This Row],[Fcrx (ksi)]]*Reinforcements[[#This Row],[Gross Area (in2)]]</f>
        <v>231.18888597592471</v>
      </c>
      <c r="EX35" s="6">
        <f>Reinforcements[[#This Row],[Fcry (ksi)]]*Reinforcements[[#This Row],[Gross Area (in2)]]</f>
        <v>308.54116014791271</v>
      </c>
      <c r="EY35" s="6" t="str">
        <f>IF(Reinforcements[[#This Row],[Type]]="channel",0,"N/A")</f>
        <v>N/A</v>
      </c>
      <c r="EZ35" s="6" t="str">
        <f>IF(Reinforcements[[#This Row],[Type]]="channel",Reinforcements[[#This Row],[Channel Flange Width, b]]-(0.5*Reinforcements[[#This Row],[Channel web thickness, tw]]),"N/A")</f>
        <v>N/A</v>
      </c>
      <c r="FA35" s="6" t="str">
        <f>IF(Reinforcements[[#This Row],[Type]]="channel",Reinforcements[[#This Row],[Channel Height, h]]-Reinforcements[[#This Row],[Channel flange thickness, tf]],"N/A")</f>
        <v>N/A</v>
      </c>
      <c r="FB35" s="6" t="str">
        <f>IF(Reinforcements[[#This Row],[Type]]="channel",Reinforcements[[#This Row],[Channel web thickness, tw]],"N/A")</f>
        <v>N/A</v>
      </c>
      <c r="FC35" s="6" t="str">
        <f>IF(Reinforcements[[#This Row],[Type]]="channel",((3*Reinforcements[[#This Row],[b]]^2)/(Reinforcements[[#This Row],[h]]+(6*Reinforcements[[#This Row],[b]])))-Reinforcements[[#This Row],[t]]/2,"N/A")</f>
        <v>N/A</v>
      </c>
      <c r="FD35" s="6">
        <f>Reinforcements[[#This Row],[Pole Face to Centroid (in)]]</f>
        <v>0.625</v>
      </c>
      <c r="FE35" s="6" t="str">
        <f>IF(Reinforcements[[#This Row],[Type]]="channel",Reinforcements[[#This Row],[x(bar)]]+Reinforcements[[#This Row],['[Channel'] e0 (in)]],"N/A")</f>
        <v>N/A</v>
      </c>
      <c r="FF35" s="6" t="str">
        <f>IF(Reinforcements[[#This Row],[Type]]="channel",Reinforcements[[#This Row],[Ix]],"N/A")</f>
        <v>N/A</v>
      </c>
      <c r="FG35" s="6" t="str">
        <f>IF(Reinforcements[[#This Row],[Type]]="channel",Reinforcements[[#This Row],[Iy]],"N/A")</f>
        <v>N/A</v>
      </c>
      <c r="FH35" s="6" t="str">
        <f>IF(Reinforcements[[#This Row],[Type]]="channel",Reinforcements[[#This Row],[Gross Area (in2)]],"N/A")</f>
        <v>N/A</v>
      </c>
      <c r="FI35" s="6" t="str">
        <f>IF(Reinforcements[[#This Row],[Type]]="channel",(Reinforcements[[#This Row],[xo]]^2)+((Reinforcements[[#This Row],[Ix (FTB)]]+Reinforcements[[#This Row],[Iy (FTB)]])/Reinforcements[[#This Row],[Ag]]),"N/A")</f>
        <v>N/A</v>
      </c>
      <c r="FJ35" s="6" t="str">
        <f>IF(Reinforcements[[#This Row],[Type]]="channel",Reinforcements[[#This Row],[Lu (in)]],"N/A")</f>
        <v>N/A</v>
      </c>
      <c r="FK35" s="6" t="str">
        <f>IF(Reinforcements[[#This Row],[Type]]="channel",Reinforcements[[#This Row],[Effective Length Factor Kx]],"N/A")</f>
        <v>N/A</v>
      </c>
      <c r="FL35" s="6" t="str">
        <f>IF(Reinforcements[[#This Row],[Type]]="channel",Reinforcements[[#This Row],[Kz]]*Reinforcements[[#This Row],[Lz]],"N/A")</f>
        <v>N/A</v>
      </c>
      <c r="FM35" s="6" t="str">
        <f>IF(Reinforcements[[#This Row],[Type]]="channel",(((Reinforcements[[#This Row],[t]]^3)/3)*(Reinforcements[[#This Row],[h]]+(2*Reinforcements[[#This Row],[b]]))),"N/A")</f>
        <v>N/A</v>
      </c>
      <c r="FN35" s="6" t="str">
        <f>IF(Reinforcements[[#This Row],[Type]]="channel",(1-(((Reinforcements[[#This Row],[xo]]^2)+(Reinforcements[[#This Row],[yo]]^2))/Reinforcements[[#This Row],[ro^2(bar)]])),"N/A")</f>
        <v>N/A</v>
      </c>
      <c r="FO35" s="6">
        <v>11200</v>
      </c>
      <c r="FP35" s="6" t="str">
        <f>IF(Reinforcements[[#This Row],[Type]]="channel",(((Reinforcements[[#This Row],[h]]^2)*(Reinforcements[[#This Row],[b]]^3)*Reinforcements[[#This Row],[t]])/12)*(((2*Reinforcements[[#This Row],[h]])+(3*Reinforcements[[#This Row],[b]]))/(Reinforcements[[#This Row],[h]]+(6*Reinforcements[[#This Row],[b]]))),"N/A")</f>
        <v>N/A</v>
      </c>
      <c r="FQ35" s="6" t="str">
        <f>IF(Reinforcements[[#This Row],[Type]]="Channel",((((PI()^2)*Reinforcements[[#This Row],[E, (ksi)]]*Reinforcements[[#This Row],['[Channel'] CW (in6)]])/(Reinforcements[[#This Row],[Lcz]]^2))+(Reinforcements[[#This Row],[G]]*Reinforcements[[#This Row],['[Channel'] J (in4)]]))*(1/(Reinforcements[[#This Row],[Ag]]*Reinforcements[[#This Row],[ro^2(bar)]])),"N/A")</f>
        <v>N/A</v>
      </c>
      <c r="FR35" s="6" t="str">
        <f>IF(Reinforcements[[#This Row],[Type]]="channel",((PI()^2)*Reinforcements[[#This Row],[E, (ksi)]])/(Reinforcements[[#This Row],[Lcy/ry]]^2),"N/A")</f>
        <v>N/A</v>
      </c>
      <c r="FS35" s="6" t="str">
        <f>IF(Reinforcements[[#This Row],[Type]]="channel",((Reinforcements[[#This Row],[Fey]]+Reinforcements[[#This Row],[Fez]])/(2*Reinforcements[[#This Row],[H2]]))*(1-SQRT(1-((4*Reinforcements[[#This Row],[Fey]]*Reinforcements[[#This Row],[Fez]]*Reinforcements[[#This Row],[H2]])/(Reinforcements[[#This Row],[Fey]]+Reinforcements[[#This Row],[Fez]])^2))),"N/A")</f>
        <v>N/A</v>
      </c>
      <c r="FT35" s="6" t="str">
        <f>IF(Reinforcements[[#This Row],[Type]]="channel",IF(Reinforcements[[#This Row],[Lcx/rx]]&gt;(4.71*SQRT(Reinforcements[[#This Row],[E, (ksi)]]/Reinforcements[[#This Row],[Fy, (ksi)]])),0.877*Reinforcements[[#This Row],[Fe (FTB)]],0.658^(Reinforcements[[#This Row],[Fy, (ksi)]]/Reinforcements[[#This Row],[Fe (FTB)]])*Reinforcements[[#This Row],[Fy, (ksi)]]),"N/A")</f>
        <v>N/A</v>
      </c>
      <c r="FU35" s="6" t="str">
        <f>IF(Reinforcements[[#This Row],[Type]]="channel",MIN(Reinforcements[[#This Row],[Fcr(FTB)]],Reinforcements[[#This Row],[Fcry (ksi)]]),"N/A")</f>
        <v>N/A</v>
      </c>
      <c r="FV35" s="6">
        <v>0.22</v>
      </c>
      <c r="FW35" s="6">
        <v>1.49</v>
      </c>
      <c r="FX35" s="6" t="str">
        <f>IF(Reinforcements[[#This Row],[Type]]="channel",((Reinforcements[[#This Row],[c2]]*(Reinforcements[[#This Row],[λrf]]/Reinforcements[[#This Row],[λf]]))^2)*Reinforcements[[#This Row],[Fy, (ksi)]],"N/A")</f>
        <v>N/A</v>
      </c>
      <c r="FY35" s="6" t="str">
        <f>IF(Reinforcements[[#This Row],[Type]]="channel",((Reinforcements[[#This Row],[c2]]*(Reinforcements[[#This Row],[λrw]]/Reinforcements[[#This Row],[λw]]))^2)*Reinforcements[[#This Row],[Fy, (ksi)]],"N/A")</f>
        <v>N/A</v>
      </c>
      <c r="FZ3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6" t="str">
        <f>IF(Reinforcements[[#This Row],[Type]]="channel",Reinforcements[[#This Row],[Fcr]]*Reinforcements[[#This Row],[Ae]],"N/A")</f>
        <v>N/A</v>
      </c>
      <c r="GD35">
        <f>IF(Reinforcements[[#This Row],[Reinforcement]]="","",φ_c*Reinforcements[[#This Row],[Pnx, FB (kip)]])</f>
        <v>208.06999737833223</v>
      </c>
      <c r="GE35">
        <f>IF(Reinforcements[[#This Row],[Reinforcement]]="","",IF(Reinforcements[[#This Row],[Type]]="channel",φ_c*Reinforcements[[#This Row],[Pn]],φ_c*Reinforcements[[#This Row],[Pny, FB (kip)]]))</f>
        <v>277.68704413312145</v>
      </c>
      <c r="GF35">
        <f>Reinforcements[[#This Row],[Rev. G Tension Yield Capacity (kips)]]</f>
        <v>292.5</v>
      </c>
      <c r="GG35">
        <f>Reinforcements[[#This Row],[Rev. G Tension Rupture Capacity (kips)]]</f>
        <v>206.25</v>
      </c>
      <c r="GH35">
        <f>Reinforcements[[#This Row],[Rev. G Shear Capacity (kips)]]</f>
        <v>146.25</v>
      </c>
      <c r="GI35" t="str">
        <f>IFERROR((Reinforcements[[#This Row],['# of End Connection Bolts          (Bottom)]]-1)*Reinforcements[[#This Row],[End Connection Bolt Spacing (in) (B)]],"-")</f>
        <v>-</v>
      </c>
      <c r="GJ35">
        <f>IFERROR(IF(VLOOKUP(Reinforcements[[#This Row],[Bottom End Connection Bolt Type]],Bolts[],COLUMN(Bolts[[#Headers],[Rev. H Apply Connection Length Reduction Factor (Rb)?]])-1,FALSE)="Yes",(IF(Reinforcements[[#This Row],[Lb(bottom)]]&lt;=16,1,IF(Reinforcements[[#This Row],[Lb(bottom)]]&gt;38,0.75,0.9))),1),"-")</f>
        <v>1</v>
      </c>
      <c r="GK3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f>IFERROR(IF(Reinforcements[[#This Row],[Top End Connection Same?]]="Yes",Reinforcements[[#This Row],[Lb(bottom)]],(Reinforcements[[#This Row],['# of End Connection Bolts          (Top)]]-1)*Reinforcements[[#This Row],[End Connection Bolt Spacing (in) (T)]]),"-")</f>
        <v>15</v>
      </c>
      <c r="GM35">
        <f>IFERROR(IF(VLOOKUP(Reinforcements[[#This Row],[Top End Connection Bolt Type]],Bolts[],COLUMN(Bolts[[#Headers],[Rev. H Apply Connection Length Reduction Factor (Rb)?]])-1,FALSE)=TRUE,(IF(Reinforcements[[#This Row],[Lb(top)]]&lt;=16,1,IF(Reinforcements[[#This Row],[Lb(top)]]&gt;38,0.75,0.9))),1),"-")</f>
        <v>1</v>
      </c>
      <c r="GN3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t="str">
        <f>Reinforcements[[#This Row],[Rev. G Bolt-Shaft Bearing Capacity (Bottom)                No Deformation          (*t*Fu kips)]]</f>
        <v>-</v>
      </c>
      <c r="GP35" t="str">
        <f>Reinforcements[[#This Row],[Rev. G Bolt-Shaft Bearing Capacity (Bottom)                   Deformation          (*t*Fu kips)]]</f>
        <v>-</v>
      </c>
      <c r="GQ35">
        <f>Reinforcements[[#This Row],[Rev. G Bolt-Shaft Bearing Capacity (Top)                    No Deformation          (*t*Fu kips)]]</f>
        <v>11.96220472440945</v>
      </c>
      <c r="GR35">
        <f>Reinforcements[[#This Row],[Rev. G Bolt-Shaft Bearing Capacity (Top)                        Deformation          (*t*Fu kips)]]</f>
        <v>14.952755905511811</v>
      </c>
      <c r="GS35" t="str">
        <f>Reinforcements[[#This Row],[Rev. G Bolt-Reinf. Bearing Capacity (Bottom)            No Deformation (kips)]]</f>
        <v>-</v>
      </c>
      <c r="GT35" t="str">
        <f>Reinforcements[[#This Row],[Rev. G Bolt-Reinf. Bearing Capacity (Bottom)               Deformation (kips)]]</f>
        <v>-</v>
      </c>
      <c r="GU35">
        <f>Reinforcements[[#This Row],[Rev. G Bolt-Reinf. Bearing Capacity (Top)                  No Deformation (kips)]]</f>
        <v>1196.2204724409448</v>
      </c>
      <c r="GV35">
        <f>Reinforcements[[#This Row],[Rev. G Bolt-Reinf. Bearing Capacity (Top)               Deformation (kips)]]</f>
        <v>1495.2755905511813</v>
      </c>
      <c r="GW35" t="str">
        <f>Reinforcements[[#This Row],[Rev. G Bottom Transverse Weld Strength]]</f>
        <v>-</v>
      </c>
      <c r="GX35" t="str">
        <f>Reinforcements[[#This Row],[Rev. G Bottom Longitudinal Weld Strength]]</f>
        <v>-</v>
      </c>
      <c r="GY35" t="str">
        <f>Reinforcements[[#This Row],[Rev. G Top Transverse Weld Strength]]</f>
        <v>-</v>
      </c>
      <c r="GZ35" t="str">
        <f>Reinforcements[[#This Row],[Rev. G Top Longitudinal Weld Strength]]</f>
        <v>-</v>
      </c>
      <c r="HA35">
        <v>33</v>
      </c>
      <c r="HB3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49" t="s">
        <v>393</v>
      </c>
      <c r="C36" s="49" t="s">
        <v>352</v>
      </c>
      <c r="D36" s="6">
        <v>4.5</v>
      </c>
      <c r="E36" s="6">
        <v>1</v>
      </c>
      <c r="F36" s="6" t="str">
        <f>IF(Reinforcements[[#This Row],[Type]]="","",IF(Reinforcements[[#This Row],[Type]]="solid round","","n/a"))</f>
        <v>n/a</v>
      </c>
      <c r="G36" s="6" t="str">
        <f>IF(Reinforcements[[#This Row],[Type]]="","",IF(Reinforcements[[#This Row],[Type]]&lt;&gt;"channel","n/a",""))</f>
        <v>n/a</v>
      </c>
      <c r="H36" s="6" t="str">
        <f>IF(Reinforcements[[#This Row],[Type]]="","",IF(Reinforcements[[#This Row],[Type]]&lt;&gt;"channel","n/a",""))</f>
        <v>n/a</v>
      </c>
      <c r="I36" s="126" t="str">
        <f>IF(Reinforcements[[#This Row],[Type]]="","",IF(Reinforcements[[#This Row],[Type]]&lt;&gt;"channel","n/a",Reinforcements[[#This Row],[eo]]))</f>
        <v>n/a</v>
      </c>
      <c r="J36" s="126" t="str">
        <f>IF(Reinforcements[[#This Row],[Type]]="","",IF(Reinforcements[[#This Row],[Type]]&lt;&gt;"channel","n/a",Reinforcements[[#This Row],[J]]))</f>
        <v>n/a</v>
      </c>
      <c r="K36" s="126" t="str">
        <f>IF(Reinforcements[[#This Row],[Type]]="","",IF(Reinforcements[[#This Row],[Type]]&lt;&gt;"channel","n/a",Reinforcements[[#This Row],[Cw]]))</f>
        <v>n/a</v>
      </c>
      <c r="L36" s="6">
        <f>IFERROR(IF(Reinforcements[[#This Row],[Type]]="","",IF(Reinforcements[[#This Row],[Type]]="plate",Reinforcements[[#This Row],[B (in)]]*Reinforcements[[#This Row],[H (in)]],IF(Reinforcements[[#This Row],[Type]]="solid round",PI()/4*Reinforcements[[#This Row],[Diameter (in)]]^2,""))),"")</f>
        <v>4.5</v>
      </c>
      <c r="M36" s="6">
        <f>IFERROR(IF(Reinforcements[[#This Row],[Type]]="","",IF(Reinforcements[[#This Row],[Type]]="plate",Reinforcements[[#This Row],[H (in)]]/2,"")),"")</f>
        <v>0.5</v>
      </c>
      <c r="N36" s="34" t="s">
        <v>353</v>
      </c>
      <c r="O36" s="6" t="s">
        <v>138</v>
      </c>
      <c r="P36" s="123">
        <f>IFERROR(IF(Reinforcements[[#This Row],[Type]]="","",IF(Reinforcements[[#This Row],[Type]]="plate",Reinforcements[[#This Row],[B (in)]]*Reinforcements[[#This Row],[H (in)]]^3/12,IF(Reinforcements[[#This Row],[Type]]="solid round",PI()/64*Reinforcements[[#This Row],[Diameter (in)]]^4,""))),"")</f>
        <v>0.375</v>
      </c>
      <c r="Q36" s="123">
        <f>IF(Reinforcements[[#This Row],[Reinforcement]]="","",SQRT(Reinforcements[[#This Row],[Ix]]/Reinforcements[[#This Row],[Gross Area (in2)]]))</f>
        <v>0.28867513459481287</v>
      </c>
      <c r="R36" s="123">
        <f>IFERROR(IF(Reinforcements[[#This Row],[Type]]="","",IF(Reinforcements[[#This Row],[Type]]="plate",Reinforcements[[#This Row],[B (in)]]^3*Reinforcements[[#This Row],[H (in)]]/12,IF(Reinforcements[[#This Row],[Type]]="solid round",PI()/64*Reinforcements[[#This Row],[Diameter (in)]]^4,""))),"")</f>
        <v>7.59375</v>
      </c>
      <c r="S36" s="123">
        <f>IF(Reinforcements[[#This Row],[Reinforcement]]="","",SQRT(Reinforcements[[#This Row],[Iy]]/Reinforcements[[#This Row],[Gross Area (in2)]]))</f>
        <v>1.299038105676658</v>
      </c>
      <c r="T36" s="6">
        <v>20</v>
      </c>
      <c r="U36" s="6">
        <v>0.8</v>
      </c>
      <c r="V36" s="6">
        <v>1</v>
      </c>
      <c r="W36" s="6">
        <v>1.1875</v>
      </c>
      <c r="X36" s="6">
        <f>IF(Reinforcements[[#This Row],[Bolt Hole Size (in)]]="","",IF(Reinforcements[[#This Row],[Bolt Hole Size (in)]]="n/a","n/a",Reinforcements[[#This Row],[Bolt Hole Size (in)]]*25.4))</f>
        <v>30.162499999999998</v>
      </c>
      <c r="Y3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6">
        <f>IFERROR(IF(Reinforcements[[#This Row],[Reinforcement]]="","",IF(OR(Reinforcements[[#This Row],[Type]]="plate",Reinforcements[[#This Row],[Type]]="solid round"),1,IF(Reinforcements[[#This Row],[Type]]="arbitrary","",1-Reinforcements[[#This Row],[Pole Face to Centroid (in)]]/Reinforcements[[#This Row],[Connection Length (in) '[Channels']]]))),"")</f>
        <v>1</v>
      </c>
      <c r="AA36" s="16" t="s">
        <v>382</v>
      </c>
      <c r="AB36" s="16" t="str">
        <f>IF(Reinforcements[[#This Row],[Reinforcement]]="","",IF(Reinforcements[[#This Row],[Bottom End Connection Type]]&lt;&gt;"Capacity Input","-",""))</f>
        <v>-</v>
      </c>
      <c r="AC36" s="16" t="str">
        <f>IF(Reinforcements[[#This Row],[Reinforcement]]="","",IF(Reinforcements[[#This Row],[Bottom End Connection Type]]&lt;&gt;"Capacity Input","-",""))</f>
        <v>-</v>
      </c>
      <c r="AD36" s="16" t="str">
        <f>IF(Reinforcements[[#This Row],[Reinforcement]]="","",IF(Reinforcements[[#This Row],[Bottom End Connection Type]]&lt;&gt;"Capacity Input","-",""))</f>
        <v>-</v>
      </c>
      <c r="AE36" s="74" t="str">
        <f>IF(Reinforcements[[#This Row],[Reinforcement]]="","",IF(Reinforcements[[#This Row],[Bottom End Connection Type]]="","-",IF(Reinforcements[[#This Row],[Bottom End Connection Type]]&lt;&gt;"Bolted","-","")))</f>
        <v>-</v>
      </c>
      <c r="AF36" s="6" t="str">
        <f>IF(Reinforcements[[#This Row],[Bottom End Connection Type]]="Welded","-","")</f>
        <v>-</v>
      </c>
      <c r="AG36" s="6" t="str">
        <f>IF(Reinforcements[[#This Row],[Bottom End Connection Type]]="Welded","-","")</f>
        <v>-</v>
      </c>
      <c r="AH36" s="6" t="str">
        <f>IF(Reinforcements[[#This Row],[Bottom End Connection Type]]="Welded","-","")</f>
        <v>-</v>
      </c>
      <c r="AI36" s="6" t="str">
        <f>IF(Reinforcements[[#This Row],[Bottom End Connection Type]]="Welded","-","")</f>
        <v>-</v>
      </c>
      <c r="AJ36" s="6" t="e">
        <f>Reinforcements[[#This Row],[End Connection Edge Distance (in) (B)]]-(Reinforcements[[#This Row],[Bolt Hole Size (in)]]+1/16)/2</f>
        <v>#VALUE!</v>
      </c>
      <c r="AK36" s="6" t="e">
        <f>Reinforcements[[#This Row],[End Connection Bolt Spacing (in) (B)]]-(Reinforcements[[#This Row],[Bolt Hole Size (in)]]+1/16)</f>
        <v>#VALUE!</v>
      </c>
      <c r="AL36" s="6" t="str">
        <f>Reinforcements[[#This Row],[End Connection Edge Distance (in) (B)]]</f>
        <v>-</v>
      </c>
      <c r="AM36" s="6" t="str">
        <f>Reinforcements[[#This Row],[End Connection Bolt Spacing (in) (B)]]</f>
        <v>-</v>
      </c>
      <c r="AN36" s="6" t="s">
        <v>357</v>
      </c>
      <c r="AO36" s="111">
        <v>70</v>
      </c>
      <c r="AP36" s="111" t="s">
        <v>383</v>
      </c>
      <c r="AQ36" s="111">
        <v>4.5</v>
      </c>
      <c r="AR36" s="6">
        <v>1</v>
      </c>
      <c r="AS36" s="6">
        <v>45</v>
      </c>
      <c r="AT36" s="111">
        <v>0.25</v>
      </c>
      <c r="AU3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11" t="s">
        <v>384</v>
      </c>
      <c r="AW36" s="111" t="str">
        <f>IF(Reinforcements[[#This Row],[Reinforcement]]="","",IF(OR(Reinforcements[[#This Row],[Bottom End Connection Type]]&lt;&gt;"Welded",Reinforcements[[#This Row],[Bottom Longitudinal (Vertical) Weld]]="None",Reinforcements[[#This Row],[Bottom Longitudinal (Vertical) Weld]]=""),"-",""))</f>
        <v>-</v>
      </c>
      <c r="AX36" s="111" t="str">
        <f>IF(Reinforcements[[#This Row],[Reinforcement]]="","",IF(OR(Reinforcements[[#This Row],[Bottom End Connection Type]]&lt;&gt;"Welded",Reinforcements[[#This Row],[Bottom Longitudinal (Vertical) Weld]]="None",Reinforcements[[#This Row],[Bottom Longitudinal (Vertical) Weld]]=""),"-",""))</f>
        <v>-</v>
      </c>
      <c r="AY36" s="6" t="str">
        <f>IF(Reinforcements[[#This Row],[Reinforcement]]="","",IF(OR(Reinforcements[[#This Row],[Bottom End Connection Type]]&lt;&gt;"Welded",Reinforcements[[#This Row],[Bottom Longitudinal (Vertical) Weld]]="None"),"-",SQRT(2)/2*Reinforcements[[#This Row],[Bottom Longitudinal Weld Fillet Size (in)]]))</f>
        <v>-</v>
      </c>
      <c r="AZ36" s="111" t="s">
        <v>353</v>
      </c>
      <c r="BA36" s="16" t="s">
        <v>354</v>
      </c>
      <c r="BB36" s="16" t="str">
        <f>IF(Reinforcements[[#This Row],[Reinforcement]]="","",IF(Reinforcements[[#This Row],[Top End Connection Same?]]="Yes",Reinforcements[[#This Row],[Rev. F Bottom Connection Capacity (kips)]],IF(Reinforcements[[#This Row],[Reinforcement]]="","",IF(Reinforcements[[#This Row],[Top End Connection Type]]&lt;&gt;"Capacity Input","-",""))))</f>
        <v>-</v>
      </c>
      <c r="BC36" s="16" t="str">
        <f>IF(Reinforcements[[#This Row],[Reinforcement]]="","",IF(Reinforcements[[#This Row],[Top End Connection Same?]]="Yes",Reinforcements[[#This Row],[Rev. G Bottom Connection Capacity (kips)]],IF(Reinforcements[[#This Row],[Reinforcement]]="","",IF(Reinforcements[[#This Row],[Top End Connection Type]]&lt;&gt;"Capacity Input","-",""))))</f>
        <v>-</v>
      </c>
      <c r="BD36" s="16" t="str">
        <f>IF(Reinforcements[[#This Row],[Reinforcement]]="","",IF(Reinforcements[[#This Row],[Top End Connection Same?]]="Yes",Reinforcements[[#This Row],[Rev. G Bottom Connection Capacity (kips)]],IF(Reinforcements[[#This Row],[Reinforcement]]="","",IF(Reinforcements[[#This Row],[Top End Connection Type]]&lt;&gt;"Capacity Input","-",""))))</f>
        <v>-</v>
      </c>
      <c r="BE36" s="74" t="s">
        <v>355</v>
      </c>
      <c r="BF36" s="6" t="s">
        <v>356</v>
      </c>
      <c r="BG36" s="6">
        <v>6</v>
      </c>
      <c r="BH36" s="6">
        <v>3</v>
      </c>
      <c r="BI36" s="6">
        <v>3</v>
      </c>
      <c r="BJ36" s="6">
        <f>Reinforcements[[#This Row],[End Connection Edge Distance (in) (T)]]-(Reinforcements[[#This Row],[Bolt Hole Size (in)]]+1/16)/2</f>
        <v>2.375</v>
      </c>
      <c r="BK36" s="6">
        <f>Reinforcements[[#This Row],[End Connection Bolt Spacing (in) (T)]]-(Reinforcements[[#This Row],[Bolt Hole Size (in)]]+1/16)</f>
        <v>1.75</v>
      </c>
      <c r="BL36" s="6">
        <f>Reinforcements[[#This Row],[End Connection Edge Distance (in) (T)]]</f>
        <v>3</v>
      </c>
      <c r="BM36" s="6">
        <f>Reinforcements[[#This Row],[End Connection Bolt Spacing (in) (T)]]</f>
        <v>3</v>
      </c>
      <c r="BN36" s="6" t="str">
        <f>IF(Reinforcements[[#This Row],[Reinforcement]]="","",IF(Reinforcements[[#This Row],[Top End Connection Same?]]="Yes",Reinforcements[[#This Row],[Bottom Connected to Flange/Base Plate?]],IF(Reinforcements[[#This Row],[Top End Connection Type]]="Bolted","-","")))</f>
        <v>-</v>
      </c>
      <c r="BO36" s="6" t="str">
        <f>IF(Reinforcements[[#This Row],[Reinforcement]]="","",IF(Reinforcements[[#This Row],[Top End Connection Same?]]="Yes",Reinforcements[[#This Row],[Bottom Weld Grade (ksi)]],IF(OR(Reinforcements[[#This Row],[Top End Connection Type]]&lt;&gt;"Welded",Reinforcements[[#This Row],[Top End Connection Type]]=""),"-","")))</f>
        <v>-</v>
      </c>
      <c r="BP36" s="6" t="str">
        <f>IF($AZ36="Yes",AP36,IF(Reinforcements[[#This Row],[Reinforcement]]="","",IF(OR(Reinforcements[[#This Row],[Top End Connection Type]]&lt;&gt;"Welded",Reinforcements[[#This Row],[Top End Connection Type]]=""),"-","")))</f>
        <v>-</v>
      </c>
      <c r="BQ36" s="6" t="str">
        <f>IF(Reinforcements[[#This Row],[Reinforcement]]="","",IF($AZ36="Yes",AQ36,IF(OR(Reinforcements[[#This Row],[Top End Connection Type]]&lt;&gt;"Welded",Reinforcements[[#This Row],[Top Transverse (Horizontal) Weld]]="none",Reinforcements[[#This Row],[Top Transverse (Horizontal) Weld]]=""),"-","")))</f>
        <v>-</v>
      </c>
      <c r="BR36" s="6"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6"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6" t="str">
        <f>IF(Reinforcements[[#This Row],[Reinforcement]]="","",IF($AZ36="Yes",AT36,IF(OR(Reinforcements[[#This Row],[Top Transverse (Horizontal) Weld]]="none",Reinforcements[[#This Row],[Top End Connection Type]]&lt;&gt;"Welded",Reinforcements[[#This Row],[Top Transverse (Horizontal) Weld]]=""),"-","")))</f>
        <v>-</v>
      </c>
      <c r="BU36" s="6"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6" t="str">
        <f>IF($AZ36="Yes",AV36,IF(Reinforcements[[#This Row],[Reinforcement]]="","",IF(OR(Reinforcements[[#This Row],[Top End Connection Type]]&lt;&gt;"Welded",Reinforcements[[#This Row],[Top End Connection Type]]=""),"-","")))</f>
        <v>-</v>
      </c>
      <c r="BW36" s="6"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6"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6" t="str">
        <f>IF($AZ36="Yes",AY36,IF(Reinforcements[[#This Row],[Reinforcement]]="","",IF(OR(Reinforcements[[#This Row],[Top End Connection Type]]&lt;&gt;"Welded",Reinforcements[[#This Row],[Top Longitudinal (Vertical) Weld]]="none"),"-",SQRT(2)/2*Reinforcements[[#This Row],[Top Longitudinal Weld Fillet Size (in)]])))</f>
        <v>-</v>
      </c>
      <c r="BZ3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11">
        <f>IF(Reinforcements[[#This Row],[Reinforcement]]="","",IF(Reinforcements[[#This Row],[Top End Connection Type]]&lt;&gt;"Bolted","n/a",(Reinforcements[[#This Row],['# of End Connection Bolts          (Top)]]-1)*Reinforcements[[#This Row],[End Connection Bolt Spacing (in) (T)]]+Reinforcements[[#This Row],[End Connection Edge Distance (in) (T)]]))</f>
        <v>18</v>
      </c>
      <c r="CC3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6">
        <f>IFERROR(IF(Reinforcements[[#This Row],[Type]]="","",Reinforcements[[#This Row],[Effective B (in)]]*Reinforcements[[#This Row],[Effective H (in)]]^3/12),"")</f>
        <v>0.375</v>
      </c>
      <c r="CF36" s="6">
        <f>IFERROR(IF(Reinforcements[[#This Row],[Type]]="","",Reinforcements[[#This Row],[Effective B (in)]]^3*Reinforcements[[#This Row],[Effective H (in)]]/12),"")</f>
        <v>7.59375</v>
      </c>
      <c r="CG36" s="126">
        <f>SQRT(2*PI()^2*29000/VLOOKUP(Reinforcements[[#This Row],[Material]],Materials[],2,FALSE))</f>
        <v>93.844147005158973</v>
      </c>
      <c r="CH3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23">
        <f>Reinforcements[[#This Row],[Effective Length Factor Kx]]*Reinforcements[[#This Row],[Lu (in)]]/(Reinforcements[[#This Row],[rx]]*PI())*SQRT(VLOOKUP(Reinforcements[[#This Row],[Material]],Materials[],2,FALSE)/29000)</f>
        <v>0.83525370809489741</v>
      </c>
      <c r="CK36" s="123">
        <f>Reinforcements[[#This Row],[Effective Length Factor Ky]]*Reinforcements[[#This Row],[Lu (in)]]/(Reinforcements[[#This Row],[ry]]*PI())*SQRT(VLOOKUP(Reinforcements[[#This Row],[Material]],Materials[],2,FALSE)/29000)</f>
        <v>0.23201491891524928</v>
      </c>
      <c r="CL36" s="123">
        <f>IF(Reinforcements[[#This Row],[λcx]]&lt;=1.5,0.658^(Reinforcements[[#This Row],[λcx]]^2)*Reinforcements[[#This Row],[F''y]],0.877/(Reinforcements[[#This Row],[λcx]]^2)*Reinforcements[[#This Row],[F''y]])</f>
        <v>48.539900000911423</v>
      </c>
      <c r="CM36" s="123">
        <f>IF(Reinforcements[[#This Row],[λcy]]&lt;=1.5,0.658^(Reinforcements[[#This Row],[λcy]]^2)*Reinforcements[[#This Row],[F''y]],0.877/(Reinforcements[[#This Row],[λcy]]^2)*Reinforcements[[#This Row],[F''y]])</f>
        <v>63.551863369977021</v>
      </c>
      <c r="CN36" s="6">
        <f>VLOOKUP(Reinforcements[[#This Row],[Material]],Materials[],2,FALSE)</f>
        <v>65</v>
      </c>
      <c r="CO36" s="126">
        <f>IF(Reinforcements[[#This Row],[Reinforcement]]="","",Reinforcements[[#This Row],[Fax]]*Reinforcements[[#This Row],[Gross Area (in2)]])</f>
        <v>129.66343780630632</v>
      </c>
      <c r="CP36" s="126">
        <f>IF(Reinforcements[[#This Row],[Reinforcement]]="","",Reinforcements[[#This Row],[Fay]]*Reinforcements[[#This Row],[Gross Area (in2)]])</f>
        <v>167.02792472849697</v>
      </c>
      <c r="CQ36" s="126">
        <f>IF(Reinforcements[[#This Row],[Reinforcement]]="","",0.6*VLOOKUP(Reinforcements[[#This Row],[Material]],Materials[],2,FALSE)*Reinforcements[[#This Row],[Gross Area (in2)]])</f>
        <v>175.5</v>
      </c>
      <c r="CR36" s="126">
        <f>IF(Reinforcements[[#This Row],[Reinforcement]]="","",0.5*VLOOKUP(Reinforcements[[#This Row],[Material]],Materials[],3,FALSE)*Reinforcements[[#This Row],[Net Area (in2)]]*Reinforcements[[#This Row],[Shear Lag (U)]])</f>
        <v>130</v>
      </c>
      <c r="CS36" s="126">
        <f>IF(Reinforcements[[#This Row],[Reinforcement]]="","",0.4*VLOOKUP(Reinforcements[[#This Row],[Material]],Materials[],2,FALSE)*Reinforcements[[#This Row],[Gross Area (in2)]])</f>
        <v>117</v>
      </c>
      <c r="CT36"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6"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6"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26">
        <f>IF(Reinforcements[[#This Row],[Reinforcement]]="","",φ_c*Reinforcements[[#This Row],[Fcr,x]]*Reinforcements[[#This Row],[Gross Area (in2)]])</f>
        <v>196.58659500369126</v>
      </c>
      <c r="DI36" s="126">
        <f>IF(Reinforcements[[#This Row],[Reinforcement]]="","",φ_c*Reinforcements[[#This Row],[Fcr,y]]*Reinforcements[[#This Row],[Gross Area (in2)]])</f>
        <v>257.3850466484069</v>
      </c>
      <c r="DJ36" s="126">
        <f>IF(Reinforcements[[#This Row],[Reinforcement]]="","",φ_t_y*VLOOKUP(Reinforcements[[#This Row],[Material]],Materials[],2,FALSE)*Reinforcements[[#This Row],[Gross Area (in2)]])</f>
        <v>263.25</v>
      </c>
      <c r="DK36" s="126">
        <f>IF(Reinforcements[[#This Row],[Reinforcement]]="","",φ_t_r*VLOOKUP(Reinforcements[[#This Row],[Material]],Materials[],3,FALSE)*Reinforcements[[#This Row],[Net Area (in2)]]*Reinforcements[[#This Row],[Shear Lag (U)]])</f>
        <v>195</v>
      </c>
      <c r="DL36" s="126">
        <f>IF(Reinforcements[[#This Row],[Reinforcement]]="","",φ_v*0.5*Reinforcements[[#This Row],[F''y]]*Reinforcements[[#This Row],[Gross Area (in2)]])</f>
        <v>131.625</v>
      </c>
      <c r="DM36"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6"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6"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111" t="str">
        <f>IF(OR(Reinforcements[[#This Row],[Type]]="plate",Reinforcements[[#This Row],[Type]]="solid round"),"N/A",Reinforcements[[#This Row],[B (in)]])</f>
        <v>N/A</v>
      </c>
      <c r="EB36" s="6" t="str">
        <f>IF(OR(Reinforcements[[#This Row],[Type]]="plate",Reinforcements[[#This Row],[Type]]="solid round"),"N/A",Reinforcements[[#This Row],[H (in)]])</f>
        <v>N/A</v>
      </c>
      <c r="EC36" s="6" t="str">
        <f>IF(OR(Reinforcements[[#This Row],[Type]]="plate",Reinforcements[[#This Row],[Type]]="solid round"),"N/A",Reinforcements[[#This Row],[B (in)]]-Reinforcements[[#This Row],['[Channel'] Flange Thickness (in)]])</f>
        <v>N/A</v>
      </c>
      <c r="ED36" s="6" t="str">
        <f>IF(OR(Reinforcements[[#This Row],[Type]]="plate",Reinforcements[[#This Row],[Type]]="solid round"),"N/A",Reinforcements[[#This Row],['[Channel']Web Thickness (in)]])</f>
        <v>N/A</v>
      </c>
      <c r="EE36" s="6" t="str">
        <f>IF(OR(Reinforcements[[#This Row],[Type]]="plate",Reinforcements[[#This Row],[Type]]="solid round"),"N/A",Reinforcements[[#This Row],['[Channel'] Flange Thickness (in)]])</f>
        <v>N/A</v>
      </c>
      <c r="EF36" s="6" t="str">
        <f>IF(Reinforcements[[#This Row],[Type]]="channel",Reinforcements[[#This Row],[Channel Flange Width, b]]/Reinforcements[[#This Row],[Channel flange thickness, tf]],"N/A")</f>
        <v>N/A</v>
      </c>
      <c r="EG36" s="6" t="str">
        <f>IF(Reinforcements[[#This Row],[Type]]="channel",Reinforcements[[#This Row],[Channel inside depth, T]]/Reinforcements[[#This Row],[Channel web thickness, tw]],"N/A")</f>
        <v>N/A</v>
      </c>
      <c r="EH36" s="6">
        <f>29000</f>
        <v>29000</v>
      </c>
      <c r="EI36" s="6" t="str">
        <f>IF(Reinforcements[[#This Row],[Type]]="channel",0.56*SQRT(Reinforcements[[#This Row],[E, (ksi)]]/Reinforcements[[#This Row],[Fy, (ksi)]]),"N/A")</f>
        <v>N/A</v>
      </c>
      <c r="EJ36" s="6" t="str">
        <f>IF(Reinforcements[[#This Row],[Type]]="channel",1.49*SQRT(Reinforcements[[#This Row],[E, (ksi)]]/Reinforcements[[#This Row],[Fy, (ksi)]]),"N/A")</f>
        <v>N/A</v>
      </c>
      <c r="EK36" s="6">
        <f>VLOOKUP(Reinforcements[[#This Row],[Material]],Materials!$B$2:$C$30,2,FALSE)</f>
        <v>65</v>
      </c>
      <c r="EL36" s="6">
        <f>Reinforcements[[#This Row],[Lu (in)]]*Reinforcements[[#This Row],[Effective Length Factor Kx]]</f>
        <v>16</v>
      </c>
      <c r="EM36" s="6">
        <f>Reinforcements[[#This Row],[Lu (in)]]*Reinforcements[[#This Row],[Effective Length Factor Ky]]</f>
        <v>20</v>
      </c>
      <c r="EN36" s="6">
        <f>Reinforcements[[#This Row],[rx]]</f>
        <v>0.28867513459481287</v>
      </c>
      <c r="EO36" s="6">
        <f>Reinforcements[[#This Row],[ry]]</f>
        <v>1.299038105676658</v>
      </c>
      <c r="EP36" s="6">
        <f>Reinforcements[[#This Row],[Lcx (in)]]/Reinforcements[[#This Row],[rx (in)]]</f>
        <v>55.425625842204077</v>
      </c>
      <c r="EQ36" s="6">
        <f>Reinforcements[[#This Row],[Lcy (in)]]/Reinforcements[[#This Row],[ry (in)]]</f>
        <v>15.39600717839002</v>
      </c>
      <c r="ER36" s="6">
        <f>((PI()^2)*Reinforcements[[#This Row],[E, (ksi)]])/(Reinforcements[[#This Row],[Lcx/rx]]^2)</f>
        <v>93.1700936300753</v>
      </c>
      <c r="ES36" s="6">
        <f>((PI()^2)*Reinforcements[[#This Row],[E, (ksi)]])/(Reinforcements[[#This Row],[Lcy/ry]]^2)</f>
        <v>1207.484413445776</v>
      </c>
      <c r="ET36" s="6">
        <f>4.71*(SQRT(Reinforcements[[#This Row],[E, (ksi)]]/Reinforcements[[#This Row],[Fy, (ksi)]]))</f>
        <v>99.486288193205496</v>
      </c>
      <c r="EU36" s="6">
        <f>IF(Reinforcements[[#This Row],[Lcx/rx]]&lt;=Reinforcements[[#This Row],[Fcr Limit]],(0.658^(Reinforcements[[#This Row],[Fy, (ksi)]]/Reinforcements[[#This Row],[Fex, FB (ksi)]]))*Reinforcements[[#This Row],[Fy, (ksi)]],0.877*Reinforcements[[#This Row],[Fex, FB (ksi)]])</f>
        <v>48.539900000911416</v>
      </c>
      <c r="EV36" s="6">
        <f>IF(Reinforcements[[#This Row],[Lcy/ry]]&lt;=Reinforcements[[#This Row],[Fcr Limit]],(0.658^(Reinforcements[[#This Row],[Fy, (ksi)]]/Reinforcements[[#This Row],[Fey, FB (ksi)]]))*Reinforcements[[#This Row],[Fy, (ksi)]],0.877*Reinforcements[[#This Row],[Fey, FB (ksi)]])</f>
        <v>63.551863369977021</v>
      </c>
      <c r="EW36" s="6">
        <f>Reinforcements[[#This Row],[Fcrx (ksi)]]*Reinforcements[[#This Row],[Gross Area (in2)]]</f>
        <v>218.42955000410137</v>
      </c>
      <c r="EX36" s="6">
        <f>Reinforcements[[#This Row],[Fcry (ksi)]]*Reinforcements[[#This Row],[Gross Area (in2)]]</f>
        <v>285.98338516489662</v>
      </c>
      <c r="EY36" s="6" t="str">
        <f>IF(Reinforcements[[#This Row],[Type]]="channel",0,"N/A")</f>
        <v>N/A</v>
      </c>
      <c r="EZ36" s="6" t="str">
        <f>IF(Reinforcements[[#This Row],[Type]]="channel",Reinforcements[[#This Row],[Channel Flange Width, b]]-(0.5*Reinforcements[[#This Row],[Channel web thickness, tw]]),"N/A")</f>
        <v>N/A</v>
      </c>
      <c r="FA36" s="6" t="str">
        <f>IF(Reinforcements[[#This Row],[Type]]="channel",Reinforcements[[#This Row],[Channel Height, h]]-Reinforcements[[#This Row],[Channel flange thickness, tf]],"N/A")</f>
        <v>N/A</v>
      </c>
      <c r="FB36" s="6" t="str">
        <f>IF(Reinforcements[[#This Row],[Type]]="channel",Reinforcements[[#This Row],[Channel web thickness, tw]],"N/A")</f>
        <v>N/A</v>
      </c>
      <c r="FC36" s="6" t="str">
        <f>IF(Reinforcements[[#This Row],[Type]]="channel",((3*Reinforcements[[#This Row],[b]]^2)/(Reinforcements[[#This Row],[h]]+(6*Reinforcements[[#This Row],[b]])))-Reinforcements[[#This Row],[t]]/2,"N/A")</f>
        <v>N/A</v>
      </c>
      <c r="FD36" s="6">
        <f>Reinforcements[[#This Row],[Pole Face to Centroid (in)]]</f>
        <v>0.5</v>
      </c>
      <c r="FE36" s="6" t="str">
        <f>IF(Reinforcements[[#This Row],[Type]]="channel",Reinforcements[[#This Row],[x(bar)]]+Reinforcements[[#This Row],['[Channel'] e0 (in)]],"N/A")</f>
        <v>N/A</v>
      </c>
      <c r="FF36" s="6" t="str">
        <f>IF(Reinforcements[[#This Row],[Type]]="channel",Reinforcements[[#This Row],[Ix]],"N/A")</f>
        <v>N/A</v>
      </c>
      <c r="FG36" s="6" t="str">
        <f>IF(Reinforcements[[#This Row],[Type]]="channel",Reinforcements[[#This Row],[Iy]],"N/A")</f>
        <v>N/A</v>
      </c>
      <c r="FH36" s="6" t="str">
        <f>IF(Reinforcements[[#This Row],[Type]]="channel",Reinforcements[[#This Row],[Gross Area (in2)]],"N/A")</f>
        <v>N/A</v>
      </c>
      <c r="FI36" s="6" t="str">
        <f>IF(Reinforcements[[#This Row],[Type]]="channel",(Reinforcements[[#This Row],[xo]]^2)+((Reinforcements[[#This Row],[Ix (FTB)]]+Reinforcements[[#This Row],[Iy (FTB)]])/Reinforcements[[#This Row],[Ag]]),"N/A")</f>
        <v>N/A</v>
      </c>
      <c r="FJ36" s="6" t="str">
        <f>IF(Reinforcements[[#This Row],[Type]]="channel",Reinforcements[[#This Row],[Lu (in)]],"N/A")</f>
        <v>N/A</v>
      </c>
      <c r="FK36" s="6" t="str">
        <f>IF(Reinforcements[[#This Row],[Type]]="channel",Reinforcements[[#This Row],[Effective Length Factor Kx]],"N/A")</f>
        <v>N/A</v>
      </c>
      <c r="FL36" s="6" t="str">
        <f>IF(Reinforcements[[#This Row],[Type]]="channel",Reinforcements[[#This Row],[Kz]]*Reinforcements[[#This Row],[Lz]],"N/A")</f>
        <v>N/A</v>
      </c>
      <c r="FM36" s="6" t="str">
        <f>IF(Reinforcements[[#This Row],[Type]]="channel",(((Reinforcements[[#This Row],[t]]^3)/3)*(Reinforcements[[#This Row],[h]]+(2*Reinforcements[[#This Row],[b]]))),"N/A")</f>
        <v>N/A</v>
      </c>
      <c r="FN36" s="6" t="str">
        <f>IF(Reinforcements[[#This Row],[Type]]="channel",(1-(((Reinforcements[[#This Row],[xo]]^2)+(Reinforcements[[#This Row],[yo]]^2))/Reinforcements[[#This Row],[ro^2(bar)]])),"N/A")</f>
        <v>N/A</v>
      </c>
      <c r="FO36" s="6">
        <v>11200</v>
      </c>
      <c r="FP36" s="6" t="str">
        <f>IF(Reinforcements[[#This Row],[Type]]="channel",(((Reinforcements[[#This Row],[h]]^2)*(Reinforcements[[#This Row],[b]]^3)*Reinforcements[[#This Row],[t]])/12)*(((2*Reinforcements[[#This Row],[h]])+(3*Reinforcements[[#This Row],[b]]))/(Reinforcements[[#This Row],[h]]+(6*Reinforcements[[#This Row],[b]]))),"N/A")</f>
        <v>N/A</v>
      </c>
      <c r="FQ36" s="6" t="str">
        <f>IF(Reinforcements[[#This Row],[Type]]="Channel",((((PI()^2)*Reinforcements[[#This Row],[E, (ksi)]]*Reinforcements[[#This Row],['[Channel'] CW (in6)]])/(Reinforcements[[#This Row],[Lcz]]^2))+(Reinforcements[[#This Row],[G]]*Reinforcements[[#This Row],['[Channel'] J (in4)]]))*(1/(Reinforcements[[#This Row],[Ag]]*Reinforcements[[#This Row],[ro^2(bar)]])),"N/A")</f>
        <v>N/A</v>
      </c>
      <c r="FR36" s="6" t="str">
        <f>IF(Reinforcements[[#This Row],[Type]]="channel",((PI()^2)*Reinforcements[[#This Row],[E, (ksi)]])/(Reinforcements[[#This Row],[Lcy/ry]]^2),"N/A")</f>
        <v>N/A</v>
      </c>
      <c r="FS36" s="6" t="str">
        <f>IF(Reinforcements[[#This Row],[Type]]="channel",((Reinforcements[[#This Row],[Fey]]+Reinforcements[[#This Row],[Fez]])/(2*Reinforcements[[#This Row],[H2]]))*(1-SQRT(1-((4*Reinforcements[[#This Row],[Fey]]*Reinforcements[[#This Row],[Fez]]*Reinforcements[[#This Row],[H2]])/(Reinforcements[[#This Row],[Fey]]+Reinforcements[[#This Row],[Fez]])^2))),"N/A")</f>
        <v>N/A</v>
      </c>
      <c r="FT36" s="6" t="str">
        <f>IF(Reinforcements[[#This Row],[Type]]="channel",IF(Reinforcements[[#This Row],[Lcx/rx]]&gt;(4.71*SQRT(Reinforcements[[#This Row],[E, (ksi)]]/Reinforcements[[#This Row],[Fy, (ksi)]])),0.877*Reinforcements[[#This Row],[Fe (FTB)]],0.658^(Reinforcements[[#This Row],[Fy, (ksi)]]/Reinforcements[[#This Row],[Fe (FTB)]])*Reinforcements[[#This Row],[Fy, (ksi)]]),"N/A")</f>
        <v>N/A</v>
      </c>
      <c r="FU36" s="6" t="str">
        <f>IF(Reinforcements[[#This Row],[Type]]="channel",MIN(Reinforcements[[#This Row],[Fcr(FTB)]],Reinforcements[[#This Row],[Fcry (ksi)]]),"N/A")</f>
        <v>N/A</v>
      </c>
      <c r="FV36" s="6">
        <v>0.22</v>
      </c>
      <c r="FW36" s="6">
        <v>1.49</v>
      </c>
      <c r="FX36" s="6" t="str">
        <f>IF(Reinforcements[[#This Row],[Type]]="channel",((Reinforcements[[#This Row],[c2]]*(Reinforcements[[#This Row],[λrf]]/Reinforcements[[#This Row],[λf]]))^2)*Reinforcements[[#This Row],[Fy, (ksi)]],"N/A")</f>
        <v>N/A</v>
      </c>
      <c r="FY36" s="6" t="str">
        <f>IF(Reinforcements[[#This Row],[Type]]="channel",((Reinforcements[[#This Row],[c2]]*(Reinforcements[[#This Row],[λrw]]/Reinforcements[[#This Row],[λw]]))^2)*Reinforcements[[#This Row],[Fy, (ksi)]],"N/A")</f>
        <v>N/A</v>
      </c>
      <c r="FZ3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6" t="str">
        <f>IF(Reinforcements[[#This Row],[Type]]="channel",Reinforcements[[#This Row],[Fcr]]*Reinforcements[[#This Row],[Ae]],"N/A")</f>
        <v>N/A</v>
      </c>
      <c r="GD36">
        <f>IF(Reinforcements[[#This Row],[Reinforcement]]="","",φ_c*Reinforcements[[#This Row],[Pnx, FB (kip)]])</f>
        <v>196.58659500369123</v>
      </c>
      <c r="GE36">
        <f>IF(Reinforcements[[#This Row],[Reinforcement]]="","",IF(Reinforcements[[#This Row],[Type]]="channel",φ_c*Reinforcements[[#This Row],[Pn]],φ_c*Reinforcements[[#This Row],[Pny, FB (kip)]]))</f>
        <v>257.38504664840696</v>
      </c>
      <c r="GF36">
        <f>Reinforcements[[#This Row],[Rev. G Tension Yield Capacity (kips)]]</f>
        <v>263.25</v>
      </c>
      <c r="GG36">
        <f>Reinforcements[[#This Row],[Rev. G Tension Rupture Capacity (kips)]]</f>
        <v>195</v>
      </c>
      <c r="GH36">
        <f>Reinforcements[[#This Row],[Rev. G Shear Capacity (kips)]]</f>
        <v>131.625</v>
      </c>
      <c r="GI36" t="str">
        <f>IFERROR((Reinforcements[[#This Row],['# of End Connection Bolts          (Bottom)]]-1)*Reinforcements[[#This Row],[End Connection Bolt Spacing (in) (B)]],"-")</f>
        <v>-</v>
      </c>
      <c r="GJ36">
        <f>IFERROR(IF(VLOOKUP(Reinforcements[[#This Row],[Bottom End Connection Bolt Type]],Bolts[],COLUMN(Bolts[[#Headers],[Rev. H Apply Connection Length Reduction Factor (Rb)?]])-1,FALSE)="Yes",(IF(Reinforcements[[#This Row],[Lb(bottom)]]&lt;=16,1,IF(Reinforcements[[#This Row],[Lb(bottom)]]&gt;38,0.75,0.9))),1),"-")</f>
        <v>1</v>
      </c>
      <c r="GK3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f>IFERROR(IF(Reinforcements[[#This Row],[Top End Connection Same?]]="Yes",Reinforcements[[#This Row],[Lb(bottom)]],(Reinforcements[[#This Row],['# of End Connection Bolts          (Top)]]-1)*Reinforcements[[#This Row],[End Connection Bolt Spacing (in) (T)]]),"-")</f>
        <v>15</v>
      </c>
      <c r="GM36">
        <f>IFERROR(IF(VLOOKUP(Reinforcements[[#This Row],[Top End Connection Bolt Type]],Bolts[],COLUMN(Bolts[[#Headers],[Rev. H Apply Connection Length Reduction Factor (Rb)?]])-1,FALSE)=TRUE,(IF(Reinforcements[[#This Row],[Lb(top)]]&lt;=16,1,IF(Reinforcements[[#This Row],[Lb(top)]]&gt;38,0.75,0.9))),1),"-")</f>
        <v>1</v>
      </c>
      <c r="GN3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t="str">
        <f>Reinforcements[[#This Row],[Rev. G Bolt-Shaft Bearing Capacity (Bottom)                No Deformation          (*t*Fu kips)]]</f>
        <v>-</v>
      </c>
      <c r="GP36" t="str">
        <f>Reinforcements[[#This Row],[Rev. G Bolt-Shaft Bearing Capacity (Bottom)                   Deformation          (*t*Fu kips)]]</f>
        <v>-</v>
      </c>
      <c r="GQ36">
        <f>Reinforcements[[#This Row],[Rev. G Bolt-Shaft Bearing Capacity (Top)                    No Deformation          (*t*Fu kips)]]</f>
        <v>11.96220472440945</v>
      </c>
      <c r="GR36">
        <f>Reinforcements[[#This Row],[Rev. G Bolt-Shaft Bearing Capacity (Top)                        Deformation          (*t*Fu kips)]]</f>
        <v>14.952755905511811</v>
      </c>
      <c r="GS36" t="str">
        <f>Reinforcements[[#This Row],[Rev. G Bolt-Reinf. Bearing Capacity (Bottom)            No Deformation (kips)]]</f>
        <v>-</v>
      </c>
      <c r="GT36" t="str">
        <f>Reinforcements[[#This Row],[Rev. G Bolt-Reinf. Bearing Capacity (Bottom)               Deformation (kips)]]</f>
        <v>-</v>
      </c>
      <c r="GU36">
        <f>Reinforcements[[#This Row],[Rev. G Bolt-Reinf. Bearing Capacity (Top)                  No Deformation (kips)]]</f>
        <v>956.97637795275591</v>
      </c>
      <c r="GV36">
        <f>Reinforcements[[#This Row],[Rev. G Bolt-Reinf. Bearing Capacity (Top)               Deformation (kips)]]</f>
        <v>1196.2204724409448</v>
      </c>
      <c r="GW36" t="str">
        <f>Reinforcements[[#This Row],[Rev. G Bottom Transverse Weld Strength]]</f>
        <v>-</v>
      </c>
      <c r="GX36" t="str">
        <f>Reinforcements[[#This Row],[Rev. G Bottom Longitudinal Weld Strength]]</f>
        <v>-</v>
      </c>
      <c r="GY36" t="str">
        <f>Reinforcements[[#This Row],[Rev. G Top Transverse Weld Strength]]</f>
        <v>-</v>
      </c>
      <c r="GZ36" t="str">
        <f>Reinforcements[[#This Row],[Rev. G Top Longitudinal Weld Strength]]</f>
        <v>-</v>
      </c>
      <c r="HA36">
        <v>34</v>
      </c>
      <c r="HB3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49" t="s">
        <v>394</v>
      </c>
      <c r="C37" s="49" t="s">
        <v>352</v>
      </c>
      <c r="D37" s="6">
        <v>5</v>
      </c>
      <c r="E37" s="6">
        <v>1.25</v>
      </c>
      <c r="F37" s="6" t="str">
        <f>IF(Reinforcements[[#This Row],[Type]]="","",IF(Reinforcements[[#This Row],[Type]]="solid round","","n/a"))</f>
        <v>n/a</v>
      </c>
      <c r="G37" s="6" t="str">
        <f>IF(Reinforcements[[#This Row],[Type]]="","",IF(Reinforcements[[#This Row],[Type]]&lt;&gt;"channel","n/a",""))</f>
        <v>n/a</v>
      </c>
      <c r="H37" s="6" t="str">
        <f>IF(Reinforcements[[#This Row],[Type]]="","",IF(Reinforcements[[#This Row],[Type]]&lt;&gt;"channel","n/a",""))</f>
        <v>n/a</v>
      </c>
      <c r="I37" s="126" t="str">
        <f>IF(Reinforcements[[#This Row],[Type]]="","",IF(Reinforcements[[#This Row],[Type]]&lt;&gt;"channel","n/a",Reinforcements[[#This Row],[eo]]))</f>
        <v>n/a</v>
      </c>
      <c r="J37" s="126" t="str">
        <f>IF(Reinforcements[[#This Row],[Type]]="","",IF(Reinforcements[[#This Row],[Type]]&lt;&gt;"channel","n/a",Reinforcements[[#This Row],[J]]))</f>
        <v>n/a</v>
      </c>
      <c r="K37" s="126" t="str">
        <f>IF(Reinforcements[[#This Row],[Type]]="","",IF(Reinforcements[[#This Row],[Type]]&lt;&gt;"channel","n/a",Reinforcements[[#This Row],[Cw]]))</f>
        <v>n/a</v>
      </c>
      <c r="L37" s="6">
        <f>IFERROR(IF(Reinforcements[[#This Row],[Type]]="","",IF(Reinforcements[[#This Row],[Type]]="plate",Reinforcements[[#This Row],[B (in)]]*Reinforcements[[#This Row],[H (in)]],IF(Reinforcements[[#This Row],[Type]]="solid round",PI()/4*Reinforcements[[#This Row],[Diameter (in)]]^2,""))),"")</f>
        <v>6.25</v>
      </c>
      <c r="M37" s="6">
        <f>IFERROR(IF(Reinforcements[[#This Row],[Type]]="","",IF(Reinforcements[[#This Row],[Type]]="plate",Reinforcements[[#This Row],[H (in)]]/2,"")),"")</f>
        <v>0.625</v>
      </c>
      <c r="N37" s="34" t="s">
        <v>353</v>
      </c>
      <c r="O37" s="111" t="s">
        <v>138</v>
      </c>
      <c r="P37" s="123">
        <f>IFERROR(IF(Reinforcements[[#This Row],[Type]]="","",IF(Reinforcements[[#This Row],[Type]]="plate",Reinforcements[[#This Row],[B (in)]]*Reinforcements[[#This Row],[H (in)]]^3/12,IF(Reinforcements[[#This Row],[Type]]="solid round",PI()/64*Reinforcements[[#This Row],[Diameter (in)]]^4,""))),"")</f>
        <v>0.81380208333333337</v>
      </c>
      <c r="Q37" s="123">
        <f>IF(Reinforcements[[#This Row],[Reinforcement]]="","",SQRT(Reinforcements[[#This Row],[Ix]]/Reinforcements[[#This Row],[Gross Area (in2)]]))</f>
        <v>0.36084391824351614</v>
      </c>
      <c r="R37" s="123">
        <f>IFERROR(IF(Reinforcements[[#This Row],[Type]]="","",IF(Reinforcements[[#This Row],[Type]]="plate",Reinforcements[[#This Row],[B (in)]]^3*Reinforcements[[#This Row],[H (in)]]/12,IF(Reinforcements[[#This Row],[Type]]="solid round",PI()/64*Reinforcements[[#This Row],[Diameter (in)]]^4,""))),"")</f>
        <v>13.020833333333334</v>
      </c>
      <c r="S37" s="123">
        <f>IF(Reinforcements[[#This Row],[Reinforcement]]="","",SQRT(Reinforcements[[#This Row],[Iy]]/Reinforcements[[#This Row],[Gross Area (in2)]]))</f>
        <v>1.4433756729740645</v>
      </c>
      <c r="T37" s="6">
        <v>23</v>
      </c>
      <c r="U37" s="6">
        <v>0.8</v>
      </c>
      <c r="V37" s="6">
        <v>1</v>
      </c>
      <c r="W37" s="6">
        <v>1.1875</v>
      </c>
      <c r="X37" s="6">
        <f>IF(Reinforcements[[#This Row],[Bolt Hole Size (in)]]="","",IF(Reinforcements[[#This Row],[Bolt Hole Size (in)]]="n/a","n/a",Reinforcements[[#This Row],[Bolt Hole Size (in)]]*25.4))</f>
        <v>30.162499999999998</v>
      </c>
      <c r="Y3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6">
        <f>IFERROR(IF(Reinforcements[[#This Row],[Reinforcement]]="","",IF(OR(Reinforcements[[#This Row],[Type]]="plate",Reinforcements[[#This Row],[Type]]="solid round"),1,IF(Reinforcements[[#This Row],[Type]]="arbitrary","",1-Reinforcements[[#This Row],[Pole Face to Centroid (in)]]/Reinforcements[[#This Row],[Connection Length (in) '[Channels']]]))),"")</f>
        <v>1</v>
      </c>
      <c r="AA37" s="34" t="s">
        <v>382</v>
      </c>
      <c r="AB37" s="16" t="str">
        <f>IF(Reinforcements[[#This Row],[Reinforcement]]="","",IF(Reinforcements[[#This Row],[Bottom End Connection Type]]&lt;&gt;"Capacity Input","-",""))</f>
        <v>-</v>
      </c>
      <c r="AC37" s="16" t="str">
        <f>IF(Reinforcements[[#This Row],[Reinforcement]]="","",IF(Reinforcements[[#This Row],[Bottom End Connection Type]]&lt;&gt;"Capacity Input","-",""))</f>
        <v>-</v>
      </c>
      <c r="AD37" s="16" t="str">
        <f>IF(Reinforcements[[#This Row],[Reinforcement]]="","",IF(Reinforcements[[#This Row],[Bottom End Connection Type]]&lt;&gt;"Capacity Input","-",""))</f>
        <v>-</v>
      </c>
      <c r="AE37" s="74" t="str">
        <f>IF(Reinforcements[[#This Row],[Reinforcement]]="","",IF(Reinforcements[[#This Row],[Bottom End Connection Type]]="","-",IF(Reinforcements[[#This Row],[Bottom End Connection Type]]&lt;&gt;"Bolted","-","")))</f>
        <v>-</v>
      </c>
      <c r="AF37" s="6" t="str">
        <f>IF(Reinforcements[[#This Row],[Reinforcement]]="","",IF(Reinforcements[[#This Row],[Bottom End Connection Type]]="","-",IF(Reinforcements[[#This Row],[Bottom End Connection Type]]&lt;&gt;"Bolted","-","")))</f>
        <v>-</v>
      </c>
      <c r="AG37" s="6" t="str">
        <f>IF(Reinforcements[[#This Row],[Reinforcement]]="","",IF(Reinforcements[[#This Row],[Bottom End Connection Type]]="","-",IF(Reinforcements[[#This Row],[Bottom End Connection Type]]&lt;&gt;"Bolted","-","")))</f>
        <v>-</v>
      </c>
      <c r="AH37" s="6" t="str">
        <f>IF(Reinforcements[[#This Row],[Reinforcement]]="","",IF(Reinforcements[[#This Row],[Bottom End Connection Type]]="","-",IF(Reinforcements[[#This Row],[Bottom End Connection Type]]&lt;&gt;"Bolted","-","")))</f>
        <v>-</v>
      </c>
      <c r="AI37" s="6" t="str">
        <f>IF(Reinforcements[[#This Row],[Reinforcement]]="","",IF(Reinforcements[[#This Row],[Bottom End Connection Type]]="","-",IF(Reinforcements[[#This Row],[Bottom End Connection Type]]&lt;&gt;"Bolted","-","")))</f>
        <v>-</v>
      </c>
      <c r="AJ37" s="6" t="e">
        <f>Reinforcements[[#This Row],[End Connection Edge Distance (in) (B)]]-(Reinforcements[[#This Row],[Bolt Hole Size (in)]]+1/16)/2</f>
        <v>#VALUE!</v>
      </c>
      <c r="AK37" s="6" t="e">
        <f>Reinforcements[[#This Row],[End Connection Bolt Spacing (in) (B)]]-(Reinforcements[[#This Row],[Bolt Hole Size (in)]]+1/16)</f>
        <v>#VALUE!</v>
      </c>
      <c r="AL37" s="6" t="str">
        <f>Reinforcements[[#This Row],[End Connection Edge Distance (in) (B)]]</f>
        <v>-</v>
      </c>
      <c r="AM37" s="6" t="str">
        <f>Reinforcements[[#This Row],[End Connection Bolt Spacing (in) (B)]]</f>
        <v>-</v>
      </c>
      <c r="AN37" s="111" t="s">
        <v>357</v>
      </c>
      <c r="AO37" s="111">
        <v>70</v>
      </c>
      <c r="AP37" s="111" t="s">
        <v>383</v>
      </c>
      <c r="AQ37" s="111">
        <v>5</v>
      </c>
      <c r="AR37" s="6">
        <v>1.25</v>
      </c>
      <c r="AS37" s="6">
        <v>45</v>
      </c>
      <c r="AT37" s="111">
        <v>0.3125</v>
      </c>
      <c r="AU3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11" t="s">
        <v>384</v>
      </c>
      <c r="AW37" s="111" t="str">
        <f>IF(Reinforcements[[#This Row],[Reinforcement]]="","",IF(OR(Reinforcements[[#This Row],[Bottom End Connection Type]]&lt;&gt;"Welded",Reinforcements[[#This Row],[Bottom Longitudinal (Vertical) Weld]]="None",Reinforcements[[#This Row],[Bottom Longitudinal (Vertical) Weld]]=""),"-",""))</f>
        <v>-</v>
      </c>
      <c r="AX37" s="111" t="str">
        <f>IF(Reinforcements[[#This Row],[Reinforcement]]="","",IF(OR(Reinforcements[[#This Row],[Bottom End Connection Type]]&lt;&gt;"Welded",Reinforcements[[#This Row],[Bottom Longitudinal (Vertical) Weld]]="None",Reinforcements[[#This Row],[Bottom Longitudinal (Vertical) Weld]]=""),"-",""))</f>
        <v>-</v>
      </c>
      <c r="AY37" s="6" t="str">
        <f>IF(Reinforcements[[#This Row],[Reinforcement]]="","",IF(OR(Reinforcements[[#This Row],[Bottom End Connection Type]]&lt;&gt;"Welded",Reinforcements[[#This Row],[Bottom Longitudinal (Vertical) Weld]]="None"),"-",SQRT(2)/2*Reinforcements[[#This Row],[Bottom Longitudinal Weld Fillet Size (in)]]))</f>
        <v>-</v>
      </c>
      <c r="AZ37" s="111" t="s">
        <v>353</v>
      </c>
      <c r="BA37" s="34" t="s">
        <v>354</v>
      </c>
      <c r="BB37" s="16" t="str">
        <f>IF(Reinforcements[[#This Row],[Reinforcement]]="","",IF(Reinforcements[[#This Row],[Top End Connection Same?]]="Yes",Reinforcements[[#This Row],[Rev. F Bottom Connection Capacity (kips)]],IF(Reinforcements[[#This Row],[Reinforcement]]="","",IF(Reinforcements[[#This Row],[Top End Connection Type]]&lt;&gt;"Capacity Input","-",""))))</f>
        <v>-</v>
      </c>
      <c r="BC37" s="16" t="str">
        <f>IF(Reinforcements[[#This Row],[Reinforcement]]="","",IF(Reinforcements[[#This Row],[Top End Connection Same?]]="Yes",Reinforcements[[#This Row],[Rev. G Bottom Connection Capacity (kips)]],IF(Reinforcements[[#This Row],[Reinforcement]]="","",IF(Reinforcements[[#This Row],[Top End Connection Type]]&lt;&gt;"Capacity Input","-",""))))</f>
        <v>-</v>
      </c>
      <c r="BD37" s="16" t="str">
        <f>IF(Reinforcements[[#This Row],[Reinforcement]]="","",IF(Reinforcements[[#This Row],[Top End Connection Same?]]="Yes",Reinforcements[[#This Row],[Rev. G Bottom Connection Capacity (kips)]],IF(Reinforcements[[#This Row],[Reinforcement]]="","",IF(Reinforcements[[#This Row],[Top End Connection Type]]&lt;&gt;"Capacity Input","-",""))))</f>
        <v>-</v>
      </c>
      <c r="BE37" s="128" t="s">
        <v>355</v>
      </c>
      <c r="BF37" s="111" t="s">
        <v>356</v>
      </c>
      <c r="BG37" s="6">
        <v>8</v>
      </c>
      <c r="BH37" s="6">
        <v>3</v>
      </c>
      <c r="BI37" s="6">
        <v>3</v>
      </c>
      <c r="BJ37" s="6">
        <f>Reinforcements[[#This Row],[End Connection Edge Distance (in) (T)]]-(Reinforcements[[#This Row],[Bolt Hole Size (in)]]+1/16)/2</f>
        <v>2.375</v>
      </c>
      <c r="BK37" s="6">
        <f>Reinforcements[[#This Row],[End Connection Bolt Spacing (in) (T)]]-(Reinforcements[[#This Row],[Bolt Hole Size (in)]]+1/16)</f>
        <v>1.75</v>
      </c>
      <c r="BL37" s="6">
        <f>Reinforcements[[#This Row],[End Connection Edge Distance (in) (T)]]</f>
        <v>3</v>
      </c>
      <c r="BM37" s="6">
        <f>Reinforcements[[#This Row],[End Connection Bolt Spacing (in) (T)]]</f>
        <v>3</v>
      </c>
      <c r="BN37" s="6" t="str">
        <f>IF(Reinforcements[[#This Row],[Reinforcement]]="","",IF(Reinforcements[[#This Row],[Top End Connection Same?]]="Yes",Reinforcements[[#This Row],[Bottom Connected to Flange/Base Plate?]],IF(Reinforcements[[#This Row],[Top End Connection Type]]="Bolted","-","")))</f>
        <v>-</v>
      </c>
      <c r="BO37" s="6" t="str">
        <f>IF(Reinforcements[[#This Row],[Reinforcement]]="","",IF(Reinforcements[[#This Row],[Top End Connection Same?]]="Yes",Reinforcements[[#This Row],[Bottom Weld Grade (ksi)]],IF(OR(Reinforcements[[#This Row],[Top End Connection Type]]&lt;&gt;"Welded",Reinforcements[[#This Row],[Top End Connection Type]]=""),"-","")))</f>
        <v>-</v>
      </c>
      <c r="BP37" s="6" t="str">
        <f>IF($AZ37="Yes",AP37,IF(Reinforcements[[#This Row],[Reinforcement]]="","",IF(OR(Reinforcements[[#This Row],[Top End Connection Type]]&lt;&gt;"Welded",Reinforcements[[#This Row],[Top End Connection Type]]=""),"-","")))</f>
        <v>-</v>
      </c>
      <c r="BQ37" s="6" t="str">
        <f>IF(Reinforcements[[#This Row],[Reinforcement]]="","",IF($AZ37="Yes",AQ37,IF(OR(Reinforcements[[#This Row],[Top End Connection Type]]&lt;&gt;"Welded",Reinforcements[[#This Row],[Top Transverse (Horizontal) Weld]]="none",Reinforcements[[#This Row],[Top Transverse (Horizontal) Weld]]=""),"-","")))</f>
        <v>-</v>
      </c>
      <c r="BR37" s="6"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6"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6" t="str">
        <f>IF(Reinforcements[[#This Row],[Reinforcement]]="","",IF($AZ37="Yes",AT37,IF(OR(Reinforcements[[#This Row],[Top Transverse (Horizontal) Weld]]="none",Reinforcements[[#This Row],[Top End Connection Type]]&lt;&gt;"Welded",Reinforcements[[#This Row],[Top Transverse (Horizontal) Weld]]=""),"-","")))</f>
        <v>-</v>
      </c>
      <c r="BU37" s="6"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6" t="str">
        <f>IF($AZ37="Yes",AV37,IF(Reinforcements[[#This Row],[Reinforcement]]="","",IF(OR(Reinforcements[[#This Row],[Top End Connection Type]]&lt;&gt;"Welded",Reinforcements[[#This Row],[Top End Connection Type]]=""),"-","")))</f>
        <v>-</v>
      </c>
      <c r="BW37" s="6"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6"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6" t="str">
        <f>IF($AZ37="Yes",AY37,IF(Reinforcements[[#This Row],[Reinforcement]]="","",IF(OR(Reinforcements[[#This Row],[Top End Connection Type]]&lt;&gt;"Welded",Reinforcements[[#This Row],[Top Longitudinal (Vertical) Weld]]="none"),"-",SQRT(2)/2*Reinforcements[[#This Row],[Top Longitudinal Weld Fillet Size (in)]])))</f>
        <v>-</v>
      </c>
      <c r="BZ3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11">
        <f>IF(Reinforcements[[#This Row],[Reinforcement]]="","",IF(Reinforcements[[#This Row],[Top End Connection Type]]&lt;&gt;"Bolted","n/a",(Reinforcements[[#This Row],['# of End Connection Bolts          (Top)]]-1)*Reinforcements[[#This Row],[End Connection Bolt Spacing (in) (T)]]+Reinforcements[[#This Row],[End Connection Edge Distance (in) (T)]]))</f>
        <v>24</v>
      </c>
      <c r="CC3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6">
        <f>IFERROR(IF(Reinforcements[[#This Row],[Type]]="","",Reinforcements[[#This Row],[Effective B (in)]]*Reinforcements[[#This Row],[Effective H (in)]]^3/12),"")</f>
        <v>0.81380208333333337</v>
      </c>
      <c r="CF37" s="6">
        <f>IFERROR(IF(Reinforcements[[#This Row],[Type]]="","",Reinforcements[[#This Row],[Effective B (in)]]^3*Reinforcements[[#This Row],[Effective H (in)]]/12),"")</f>
        <v>13.020833333333334</v>
      </c>
      <c r="CG37" s="126">
        <f>SQRT(2*PI()^2*29000/VLOOKUP(Reinforcements[[#This Row],[Material]],Materials[],2,FALSE))</f>
        <v>93.844147005158973</v>
      </c>
      <c r="CH3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23">
        <f>Reinforcements[[#This Row],[Effective Length Factor Kx]]*Reinforcements[[#This Row],[Lu (in)]]/(Reinforcements[[#This Row],[rx]]*PI())*SQRT(VLOOKUP(Reinforcements[[#This Row],[Material]],Materials[],2,FALSE)/29000)</f>
        <v>0.76843341144730548</v>
      </c>
      <c r="CK37" s="123">
        <f>Reinforcements[[#This Row],[Effective Length Factor Ky]]*Reinforcements[[#This Row],[Lu (in)]]/(Reinforcements[[#This Row],[ry]]*PI())*SQRT(VLOOKUP(Reinforcements[[#This Row],[Material]],Materials[],2,FALSE)/29000)</f>
        <v>0.24013544107728296</v>
      </c>
      <c r="CL37" s="123">
        <f>IF(Reinforcements[[#This Row],[λcx]]&lt;=1.5,0.658^(Reinforcements[[#This Row],[λcx]]^2)*Reinforcements[[#This Row],[F''y]],0.877/(Reinforcements[[#This Row],[λcx]]^2)*Reinforcements[[#This Row],[F''y]])</f>
        <v>50.766541905358231</v>
      </c>
      <c r="CM37" s="123">
        <f>IF(Reinforcements[[#This Row],[λcy]]&lt;=1.5,0.658^(Reinforcements[[#This Row],[λcy]]^2)*Reinforcements[[#This Row],[F''y]],0.877/(Reinforcements[[#This Row],[λcy]]^2)*Reinforcements[[#This Row],[F''y]])</f>
        <v>63.449959224213764</v>
      </c>
      <c r="CN37" s="6">
        <f>VLOOKUP(Reinforcements[[#This Row],[Material]],Materials[],2,FALSE)</f>
        <v>65</v>
      </c>
      <c r="CO37" s="126">
        <f>IF(Reinforcements[[#This Row],[Reinforcement]]="","",Reinforcements[[#This Row],[Fax]]*Reinforcements[[#This Row],[Gross Area (in2)]])</f>
        <v>187.13954848184918</v>
      </c>
      <c r="CP37" s="126">
        <f>IF(Reinforcements[[#This Row],[Reinforcement]]="","",Reinforcements[[#This Row],[Fay]]*Reinforcements[[#This Row],[Gross Area (in2)]])</f>
        <v>231.47736662721647</v>
      </c>
      <c r="CQ37" s="126">
        <f>IF(Reinforcements[[#This Row],[Reinforcement]]="","",0.6*VLOOKUP(Reinforcements[[#This Row],[Material]],Materials[],2,FALSE)*Reinforcements[[#This Row],[Gross Area (in2)]])</f>
        <v>243.75</v>
      </c>
      <c r="CR37" s="126">
        <f>IF(Reinforcements[[#This Row],[Reinforcement]]="","",0.5*VLOOKUP(Reinforcements[[#This Row],[Material]],Materials[],3,FALSE)*Reinforcements[[#This Row],[Net Area (in2)]]*Reinforcements[[#This Row],[Shear Lag (U)]])</f>
        <v>187.5</v>
      </c>
      <c r="CS37" s="126">
        <f>IF(Reinforcements[[#This Row],[Reinforcement]]="","",0.4*VLOOKUP(Reinforcements[[#This Row],[Material]],Materials[],2,FALSE)*Reinforcements[[#This Row],[Gross Area (in2)]])</f>
        <v>162.5</v>
      </c>
      <c r="CT37"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6"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6"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26">
        <f>IF(Reinforcements[[#This Row],[Reinforcement]]="","",φ_c*Reinforcements[[#This Row],[Fcr,x]]*Reinforcements[[#This Row],[Gross Area (in2)]])</f>
        <v>285.56179821764005</v>
      </c>
      <c r="DI37" s="126">
        <f>IF(Reinforcements[[#This Row],[Reinforcement]]="","",φ_c*Reinforcements[[#This Row],[Fcr,y]]*Reinforcements[[#This Row],[Gross Area (in2)]])</f>
        <v>356.90602063620241</v>
      </c>
      <c r="DJ37" s="126">
        <f>IF(Reinforcements[[#This Row],[Reinforcement]]="","",φ_t_y*VLOOKUP(Reinforcements[[#This Row],[Material]],Materials[],2,FALSE)*Reinforcements[[#This Row],[Gross Area (in2)]])</f>
        <v>365.625</v>
      </c>
      <c r="DK37" s="126">
        <f>IF(Reinforcements[[#This Row],[Reinforcement]]="","",φ_t_r*VLOOKUP(Reinforcements[[#This Row],[Material]],Materials[],3,FALSE)*Reinforcements[[#This Row],[Net Area (in2)]]*Reinforcements[[#This Row],[Shear Lag (U)]])</f>
        <v>281.25</v>
      </c>
      <c r="DL37" s="126">
        <f>IF(Reinforcements[[#This Row],[Reinforcement]]="","",φ_v*0.5*Reinforcements[[#This Row],[F''y]]*Reinforcements[[#This Row],[Gross Area (in2)]])</f>
        <v>182.8125</v>
      </c>
      <c r="DM37"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6"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6"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111" t="str">
        <f>IF(OR(Reinforcements[[#This Row],[Type]]="plate",Reinforcements[[#This Row],[Type]]="solid round"),"N/A",Reinforcements[[#This Row],[B (in)]])</f>
        <v>N/A</v>
      </c>
      <c r="EB37" s="6" t="str">
        <f>IF(OR(Reinforcements[[#This Row],[Type]]="plate",Reinforcements[[#This Row],[Type]]="solid round"),"N/A",Reinforcements[[#This Row],[H (in)]])</f>
        <v>N/A</v>
      </c>
      <c r="EC37" s="6" t="str">
        <f>IF(OR(Reinforcements[[#This Row],[Type]]="plate",Reinforcements[[#This Row],[Type]]="solid round"),"N/A",Reinforcements[[#This Row],[B (in)]]-Reinforcements[[#This Row],['[Channel'] Flange Thickness (in)]])</f>
        <v>N/A</v>
      </c>
      <c r="ED37" s="6" t="str">
        <f>IF(OR(Reinforcements[[#This Row],[Type]]="plate",Reinforcements[[#This Row],[Type]]="solid round"),"N/A",Reinforcements[[#This Row],['[Channel']Web Thickness (in)]])</f>
        <v>N/A</v>
      </c>
      <c r="EE37" s="6" t="str">
        <f>IF(OR(Reinforcements[[#This Row],[Type]]="plate",Reinforcements[[#This Row],[Type]]="solid round"),"N/A",Reinforcements[[#This Row],['[Channel'] Flange Thickness (in)]])</f>
        <v>N/A</v>
      </c>
      <c r="EF37" s="6" t="str">
        <f>IF(Reinforcements[[#This Row],[Type]]="channel",Reinforcements[[#This Row],[Channel Flange Width, b]]/Reinforcements[[#This Row],[Channel flange thickness, tf]],"N/A")</f>
        <v>N/A</v>
      </c>
      <c r="EG37" s="6" t="str">
        <f>IF(Reinforcements[[#This Row],[Type]]="channel",Reinforcements[[#This Row],[Channel inside depth, T]]/Reinforcements[[#This Row],[Channel web thickness, tw]],"N/A")</f>
        <v>N/A</v>
      </c>
      <c r="EH37" s="6">
        <f>29000</f>
        <v>29000</v>
      </c>
      <c r="EI37" s="6" t="str">
        <f>IF(Reinforcements[[#This Row],[Type]]="channel",0.56*SQRT(Reinforcements[[#This Row],[E, (ksi)]]/Reinforcements[[#This Row],[Fy, (ksi)]]),"N/A")</f>
        <v>N/A</v>
      </c>
      <c r="EJ37" s="6" t="str">
        <f>IF(Reinforcements[[#This Row],[Type]]="channel",1.49*SQRT(Reinforcements[[#This Row],[E, (ksi)]]/Reinforcements[[#This Row],[Fy, (ksi)]]),"N/A")</f>
        <v>N/A</v>
      </c>
      <c r="EK37" s="6">
        <f>VLOOKUP(Reinforcements[[#This Row],[Material]],Materials!$B$2:$C$30,2,FALSE)</f>
        <v>65</v>
      </c>
      <c r="EL37" s="6">
        <f>Reinforcements[[#This Row],[Lu (in)]]*Reinforcements[[#This Row],[Effective Length Factor Kx]]</f>
        <v>18.400000000000002</v>
      </c>
      <c r="EM37" s="6">
        <f>Reinforcements[[#This Row],[Lu (in)]]*Reinforcements[[#This Row],[Effective Length Factor Ky]]</f>
        <v>23</v>
      </c>
      <c r="EN37" s="6">
        <f>Reinforcements[[#This Row],[rx]]</f>
        <v>0.36084391824351614</v>
      </c>
      <c r="EO37" s="6">
        <f>Reinforcements[[#This Row],[ry]]</f>
        <v>1.4433756729740645</v>
      </c>
      <c r="EP37" s="6">
        <f>Reinforcements[[#This Row],[Lcx (in)]]/Reinforcements[[#This Row],[rx (in)]]</f>
        <v>50.991575774827751</v>
      </c>
      <c r="EQ37" s="6">
        <f>Reinforcements[[#This Row],[Lcy (in)]]/Reinforcements[[#This Row],[ry (in)]]</f>
        <v>15.93486742963367</v>
      </c>
      <c r="ER37" s="6">
        <f>((PI()^2)*Reinforcements[[#This Row],[E, (ksi)]])/(Reinforcements[[#This Row],[Lcx/rx]]^2)</f>
        <v>110.07808793723451</v>
      </c>
      <c r="ES37" s="6">
        <f>((PI()^2)*Reinforcements[[#This Row],[E, (ksi)]])/(Reinforcements[[#This Row],[Lcy/ry]]^2)</f>
        <v>1127.1996204772818</v>
      </c>
      <c r="ET37" s="6">
        <f>4.71*(SQRT(Reinforcements[[#This Row],[E, (ksi)]]/Reinforcements[[#This Row],[Fy, (ksi)]]))</f>
        <v>99.486288193205496</v>
      </c>
      <c r="EU37" s="6">
        <f>IF(Reinforcements[[#This Row],[Lcx/rx]]&lt;=Reinforcements[[#This Row],[Fcr Limit]],(0.658^(Reinforcements[[#This Row],[Fy, (ksi)]]/Reinforcements[[#This Row],[Fex, FB (ksi)]]))*Reinforcements[[#This Row],[Fy, (ksi)]],0.877*Reinforcements[[#This Row],[Fex, FB (ksi)]])</f>
        <v>50.766541905358217</v>
      </c>
      <c r="EV37" s="6">
        <f>IF(Reinforcements[[#This Row],[Lcy/ry]]&lt;=Reinforcements[[#This Row],[Fcr Limit]],(0.658^(Reinforcements[[#This Row],[Fy, (ksi)]]/Reinforcements[[#This Row],[Fey, FB (ksi)]]))*Reinforcements[[#This Row],[Fy, (ksi)]],0.877*Reinforcements[[#This Row],[Fey, FB (ksi)]])</f>
        <v>63.449959224213764</v>
      </c>
      <c r="EW37" s="6">
        <f>Reinforcements[[#This Row],[Fcrx (ksi)]]*Reinforcements[[#This Row],[Gross Area (in2)]]</f>
        <v>317.29088690848886</v>
      </c>
      <c r="EX37" s="6">
        <f>Reinforcements[[#This Row],[Fcry (ksi)]]*Reinforcements[[#This Row],[Gross Area (in2)]]</f>
        <v>396.56224515133601</v>
      </c>
      <c r="EY37" s="6" t="str">
        <f>IF(Reinforcements[[#This Row],[Type]]="channel",0,"N/A")</f>
        <v>N/A</v>
      </c>
      <c r="EZ37" s="6" t="str">
        <f>IF(Reinforcements[[#This Row],[Type]]="channel",Reinforcements[[#This Row],[Channel Flange Width, b]]-(0.5*Reinforcements[[#This Row],[Channel web thickness, tw]]),"N/A")</f>
        <v>N/A</v>
      </c>
      <c r="FA37" s="6" t="str">
        <f>IF(Reinforcements[[#This Row],[Type]]="channel",Reinforcements[[#This Row],[Channel Height, h]]-Reinforcements[[#This Row],[Channel flange thickness, tf]],"N/A")</f>
        <v>N/A</v>
      </c>
      <c r="FB37" s="6" t="str">
        <f>IF(Reinforcements[[#This Row],[Type]]="channel",Reinforcements[[#This Row],[Channel web thickness, tw]],"N/A")</f>
        <v>N/A</v>
      </c>
      <c r="FC37" s="6" t="str">
        <f>IF(Reinforcements[[#This Row],[Type]]="channel",((3*Reinforcements[[#This Row],[b]]^2)/(Reinforcements[[#This Row],[h]]+(6*Reinforcements[[#This Row],[b]])))-Reinforcements[[#This Row],[t]]/2,"N/A")</f>
        <v>N/A</v>
      </c>
      <c r="FD37" s="6">
        <f>Reinforcements[[#This Row],[Pole Face to Centroid (in)]]</f>
        <v>0.625</v>
      </c>
      <c r="FE37" s="6" t="str">
        <f>IF(Reinforcements[[#This Row],[Type]]="channel",Reinforcements[[#This Row],[x(bar)]]+Reinforcements[[#This Row],['[Channel'] e0 (in)]],"N/A")</f>
        <v>N/A</v>
      </c>
      <c r="FF37" s="6" t="str">
        <f>IF(Reinforcements[[#This Row],[Type]]="channel",Reinforcements[[#This Row],[Ix]],"N/A")</f>
        <v>N/A</v>
      </c>
      <c r="FG37" s="6" t="str">
        <f>IF(Reinforcements[[#This Row],[Type]]="channel",Reinforcements[[#This Row],[Iy]],"N/A")</f>
        <v>N/A</v>
      </c>
      <c r="FH37" s="6" t="str">
        <f>IF(Reinforcements[[#This Row],[Type]]="channel",Reinforcements[[#This Row],[Gross Area (in2)]],"N/A")</f>
        <v>N/A</v>
      </c>
      <c r="FI37" s="6" t="str">
        <f>IF(Reinforcements[[#This Row],[Type]]="channel",(Reinforcements[[#This Row],[xo]]^2)+((Reinforcements[[#This Row],[Ix (FTB)]]+Reinforcements[[#This Row],[Iy (FTB)]])/Reinforcements[[#This Row],[Ag]]),"N/A")</f>
        <v>N/A</v>
      </c>
      <c r="FJ37" s="6" t="str">
        <f>IF(Reinforcements[[#This Row],[Type]]="channel",Reinforcements[[#This Row],[Lu (in)]],"N/A")</f>
        <v>N/A</v>
      </c>
      <c r="FK37" s="6" t="str">
        <f>IF(Reinforcements[[#This Row],[Type]]="channel",Reinforcements[[#This Row],[Effective Length Factor Kx]],"N/A")</f>
        <v>N/A</v>
      </c>
      <c r="FL37" s="6" t="str">
        <f>IF(Reinforcements[[#This Row],[Type]]="channel",Reinforcements[[#This Row],[Kz]]*Reinforcements[[#This Row],[Lz]],"N/A")</f>
        <v>N/A</v>
      </c>
      <c r="FM37" s="6" t="str">
        <f>IF(Reinforcements[[#This Row],[Type]]="channel",(((Reinforcements[[#This Row],[t]]^3)/3)*(Reinforcements[[#This Row],[h]]+(2*Reinforcements[[#This Row],[b]]))),"N/A")</f>
        <v>N/A</v>
      </c>
      <c r="FN37" s="6" t="str">
        <f>IF(Reinforcements[[#This Row],[Type]]="channel",(1-(((Reinforcements[[#This Row],[xo]]^2)+(Reinforcements[[#This Row],[yo]]^2))/Reinforcements[[#This Row],[ro^2(bar)]])),"N/A")</f>
        <v>N/A</v>
      </c>
      <c r="FO37" s="6">
        <v>11200</v>
      </c>
      <c r="FP37" s="6" t="str">
        <f>IF(Reinforcements[[#This Row],[Type]]="channel",(((Reinforcements[[#This Row],[h]]^2)*(Reinforcements[[#This Row],[b]]^3)*Reinforcements[[#This Row],[t]])/12)*(((2*Reinforcements[[#This Row],[h]])+(3*Reinforcements[[#This Row],[b]]))/(Reinforcements[[#This Row],[h]]+(6*Reinforcements[[#This Row],[b]]))),"N/A")</f>
        <v>N/A</v>
      </c>
      <c r="FQ37" s="6" t="str">
        <f>IF(Reinforcements[[#This Row],[Type]]="Channel",((((PI()^2)*Reinforcements[[#This Row],[E, (ksi)]]*Reinforcements[[#This Row],['[Channel'] CW (in6)]])/(Reinforcements[[#This Row],[Lcz]]^2))+(Reinforcements[[#This Row],[G]]*Reinforcements[[#This Row],['[Channel'] J (in4)]]))*(1/(Reinforcements[[#This Row],[Ag]]*Reinforcements[[#This Row],[ro^2(bar)]])),"N/A")</f>
        <v>N/A</v>
      </c>
      <c r="FR37" s="6" t="str">
        <f>IF(Reinforcements[[#This Row],[Type]]="channel",((PI()^2)*Reinforcements[[#This Row],[E, (ksi)]])/(Reinforcements[[#This Row],[Lcy/ry]]^2),"N/A")</f>
        <v>N/A</v>
      </c>
      <c r="FS37" s="6" t="str">
        <f>IF(Reinforcements[[#This Row],[Type]]="channel",((Reinforcements[[#This Row],[Fey]]+Reinforcements[[#This Row],[Fez]])/(2*Reinforcements[[#This Row],[H2]]))*(1-SQRT(1-((4*Reinforcements[[#This Row],[Fey]]*Reinforcements[[#This Row],[Fez]]*Reinforcements[[#This Row],[H2]])/(Reinforcements[[#This Row],[Fey]]+Reinforcements[[#This Row],[Fez]])^2))),"N/A")</f>
        <v>N/A</v>
      </c>
      <c r="FT37" s="6" t="str">
        <f>IF(Reinforcements[[#This Row],[Type]]="channel",IF(Reinforcements[[#This Row],[Lcx/rx]]&gt;(4.71*SQRT(Reinforcements[[#This Row],[E, (ksi)]]/Reinforcements[[#This Row],[Fy, (ksi)]])),0.877*Reinforcements[[#This Row],[Fe (FTB)]],0.658^(Reinforcements[[#This Row],[Fy, (ksi)]]/Reinforcements[[#This Row],[Fe (FTB)]])*Reinforcements[[#This Row],[Fy, (ksi)]]),"N/A")</f>
        <v>N/A</v>
      </c>
      <c r="FU37" s="6" t="str">
        <f>IF(Reinforcements[[#This Row],[Type]]="channel",MIN(Reinforcements[[#This Row],[Fcr(FTB)]],Reinforcements[[#This Row],[Fcry (ksi)]]),"N/A")</f>
        <v>N/A</v>
      </c>
      <c r="FV37" s="6">
        <v>0.22</v>
      </c>
      <c r="FW37" s="6">
        <v>1.49</v>
      </c>
      <c r="FX37" s="6" t="str">
        <f>IF(Reinforcements[[#This Row],[Type]]="channel",((Reinforcements[[#This Row],[c2]]*(Reinforcements[[#This Row],[λrf]]/Reinforcements[[#This Row],[λf]]))^2)*Reinforcements[[#This Row],[Fy, (ksi)]],"N/A")</f>
        <v>N/A</v>
      </c>
      <c r="FY37" s="6" t="str">
        <f>IF(Reinforcements[[#This Row],[Type]]="channel",((Reinforcements[[#This Row],[c2]]*(Reinforcements[[#This Row],[λrw]]/Reinforcements[[#This Row],[λw]]))^2)*Reinforcements[[#This Row],[Fy, (ksi)]],"N/A")</f>
        <v>N/A</v>
      </c>
      <c r="FZ3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6" t="str">
        <f>IF(Reinforcements[[#This Row],[Type]]="channel",Reinforcements[[#This Row],[Fcr]]*Reinforcements[[#This Row],[Ae]],"N/A")</f>
        <v>N/A</v>
      </c>
      <c r="GD37">
        <f>IF(Reinforcements[[#This Row],[Reinforcement]]="","",φ_c*Reinforcements[[#This Row],[Pnx, FB (kip)]])</f>
        <v>285.56179821763999</v>
      </c>
      <c r="GE37">
        <f>IF(Reinforcements[[#This Row],[Reinforcement]]="","",IF(Reinforcements[[#This Row],[Type]]="channel",φ_c*Reinforcements[[#This Row],[Pn]],φ_c*Reinforcements[[#This Row],[Pny, FB (kip)]]))</f>
        <v>356.90602063620241</v>
      </c>
      <c r="GF37">
        <f>Reinforcements[[#This Row],[Rev. G Tension Yield Capacity (kips)]]</f>
        <v>365.625</v>
      </c>
      <c r="GG37">
        <f>Reinforcements[[#This Row],[Rev. G Tension Rupture Capacity (kips)]]</f>
        <v>281.25</v>
      </c>
      <c r="GH37">
        <f>Reinforcements[[#This Row],[Rev. G Shear Capacity (kips)]]</f>
        <v>182.8125</v>
      </c>
      <c r="GI37" t="str">
        <f>IFERROR((Reinforcements[[#This Row],['# of End Connection Bolts          (Bottom)]]-1)*Reinforcements[[#This Row],[End Connection Bolt Spacing (in) (B)]],"-")</f>
        <v>-</v>
      </c>
      <c r="GJ37">
        <f>IFERROR(IF(VLOOKUP(Reinforcements[[#This Row],[Bottom End Connection Bolt Type]],Bolts[],COLUMN(Bolts[[#Headers],[Rev. H Apply Connection Length Reduction Factor (Rb)?]])-1,FALSE)="Yes",(IF(Reinforcements[[#This Row],[Lb(bottom)]]&lt;=16,1,IF(Reinforcements[[#This Row],[Lb(bottom)]]&gt;38,0.75,0.9))),1),"-")</f>
        <v>1</v>
      </c>
      <c r="GK37"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f>IFERROR(IF(Reinforcements[[#This Row],[Top End Connection Same?]]="Yes",Reinforcements[[#This Row],[Lb(bottom)]],(Reinforcements[[#This Row],['# of End Connection Bolts          (Top)]]-1)*Reinforcements[[#This Row],[End Connection Bolt Spacing (in) (T)]]),"-")</f>
        <v>21</v>
      </c>
      <c r="GM37">
        <f>IFERROR(IF(VLOOKUP(Reinforcements[[#This Row],[Top End Connection Bolt Type]],Bolts[],COLUMN(Bolts[[#Headers],[Rev. H Apply Connection Length Reduction Factor (Rb)?]])-1,FALSE)=TRUE,(IF(Reinforcements[[#This Row],[Lb(top)]]&lt;=16,1,IF(Reinforcements[[#This Row],[Lb(top)]]&gt;38,0.75,0.9))),1),"-")</f>
        <v>0.9</v>
      </c>
      <c r="GN3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t="str">
        <f>Reinforcements[[#This Row],[Rev. G Bolt-Shaft Bearing Capacity (Bottom)                No Deformation          (*t*Fu kips)]]</f>
        <v>-</v>
      </c>
      <c r="GP37" t="str">
        <f>Reinforcements[[#This Row],[Rev. G Bolt-Shaft Bearing Capacity (Bottom)                   Deformation          (*t*Fu kips)]]</f>
        <v>-</v>
      </c>
      <c r="GQ37">
        <f>Reinforcements[[#This Row],[Rev. G Bolt-Shaft Bearing Capacity (Top)                    No Deformation          (*t*Fu kips)]]</f>
        <v>15.870236220472439</v>
      </c>
      <c r="GR37">
        <f>Reinforcements[[#This Row],[Rev. G Bolt-Shaft Bearing Capacity (Top)                        Deformation          (*t*Fu kips)]]</f>
        <v>19.837795275590551</v>
      </c>
      <c r="GS37" t="str">
        <f>Reinforcements[[#This Row],[Rev. G Bolt-Reinf. Bearing Capacity (Bottom)            No Deformation (kips)]]</f>
        <v>-</v>
      </c>
      <c r="GT37" t="str">
        <f>Reinforcements[[#This Row],[Rev. G Bolt-Reinf. Bearing Capacity (Bottom)               Deformation (kips)]]</f>
        <v>-</v>
      </c>
      <c r="GU37">
        <f>Reinforcements[[#This Row],[Rev. G Bolt-Reinf. Bearing Capacity (Top)                  No Deformation (kips)]]</f>
        <v>1587.0236220472443</v>
      </c>
      <c r="GV37">
        <f>Reinforcements[[#This Row],[Rev. G Bolt-Reinf. Bearing Capacity (Top)               Deformation (kips)]]</f>
        <v>1983.7795275590552</v>
      </c>
      <c r="GW37" t="str">
        <f>Reinforcements[[#This Row],[Rev. G Bottom Transverse Weld Strength]]</f>
        <v>-</v>
      </c>
      <c r="GX37" t="str">
        <f>Reinforcements[[#This Row],[Rev. G Bottom Longitudinal Weld Strength]]</f>
        <v>-</v>
      </c>
      <c r="GY37" t="str">
        <f>Reinforcements[[#This Row],[Rev. G Top Transverse Weld Strength]]</f>
        <v>-</v>
      </c>
      <c r="GZ37" t="str">
        <f>Reinforcements[[#This Row],[Rev. G Top Longitudinal Weld Strength]]</f>
        <v>-</v>
      </c>
      <c r="HA37">
        <v>35</v>
      </c>
      <c r="HB3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49" t="s">
        <v>395</v>
      </c>
      <c r="C38" s="49" t="s">
        <v>352</v>
      </c>
      <c r="D38" s="6">
        <v>6</v>
      </c>
      <c r="E38" s="6">
        <v>1</v>
      </c>
      <c r="F38" s="6" t="str">
        <f>IF(Reinforcements[[#This Row],[Type]]="","",IF(Reinforcements[[#This Row],[Type]]="solid round","","n/a"))</f>
        <v>n/a</v>
      </c>
      <c r="G38" s="6" t="str">
        <f>IF(Reinforcements[[#This Row],[Type]]="","",IF(Reinforcements[[#This Row],[Type]]&lt;&gt;"channel","n/a",""))</f>
        <v>n/a</v>
      </c>
      <c r="H38" s="6" t="str">
        <f>IF(Reinforcements[[#This Row],[Type]]="","",IF(Reinforcements[[#This Row],[Type]]&lt;&gt;"channel","n/a",""))</f>
        <v>n/a</v>
      </c>
      <c r="I38" s="126" t="str">
        <f>IF(Reinforcements[[#This Row],[Type]]="","",IF(Reinforcements[[#This Row],[Type]]&lt;&gt;"channel","n/a",Reinforcements[[#This Row],[eo]]))</f>
        <v>n/a</v>
      </c>
      <c r="J38" s="126" t="str">
        <f>IF(Reinforcements[[#This Row],[Type]]="","",IF(Reinforcements[[#This Row],[Type]]&lt;&gt;"channel","n/a",Reinforcements[[#This Row],[J]]))</f>
        <v>n/a</v>
      </c>
      <c r="K38" s="126" t="str">
        <f>IF(Reinforcements[[#This Row],[Type]]="","",IF(Reinforcements[[#This Row],[Type]]&lt;&gt;"channel","n/a",Reinforcements[[#This Row],[Cw]]))</f>
        <v>n/a</v>
      </c>
      <c r="L38" s="6">
        <f>IFERROR(IF(Reinforcements[[#This Row],[Type]]="","",IF(Reinforcements[[#This Row],[Type]]="plate",Reinforcements[[#This Row],[B (in)]]*Reinforcements[[#This Row],[H (in)]],IF(Reinforcements[[#This Row],[Type]]="solid round",PI()/4*Reinforcements[[#This Row],[Diameter (in)]]^2,""))),"")</f>
        <v>6</v>
      </c>
      <c r="M38" s="6">
        <f>IFERROR(IF(Reinforcements[[#This Row],[Type]]="","",IF(Reinforcements[[#This Row],[Type]]="plate",Reinforcements[[#This Row],[H (in)]]/2,"")),"")</f>
        <v>0.5</v>
      </c>
      <c r="N38" s="34" t="s">
        <v>353</v>
      </c>
      <c r="O38" s="6" t="s">
        <v>138</v>
      </c>
      <c r="P38" s="123">
        <f>IFERROR(IF(Reinforcements[[#This Row],[Type]]="","",IF(Reinforcements[[#This Row],[Type]]="plate",Reinforcements[[#This Row],[B (in)]]*Reinforcements[[#This Row],[H (in)]]^3/12,IF(Reinforcements[[#This Row],[Type]]="solid round",PI()/64*Reinforcements[[#This Row],[Diameter (in)]]^4,""))),"")</f>
        <v>0.5</v>
      </c>
      <c r="Q38" s="123">
        <f>IF(Reinforcements[[#This Row],[Reinforcement]]="","",SQRT(Reinforcements[[#This Row],[Ix]]/Reinforcements[[#This Row],[Gross Area (in2)]]))</f>
        <v>0.28867513459481287</v>
      </c>
      <c r="R38" s="123">
        <f>IFERROR(IF(Reinforcements[[#This Row],[Type]]="","",IF(Reinforcements[[#This Row],[Type]]="plate",Reinforcements[[#This Row],[B (in)]]^3*Reinforcements[[#This Row],[H (in)]]/12,IF(Reinforcements[[#This Row],[Type]]="solid round",PI()/64*Reinforcements[[#This Row],[Diameter (in)]]^4,""))),"")</f>
        <v>18</v>
      </c>
      <c r="S38" s="123">
        <f>IF(Reinforcements[[#This Row],[Reinforcement]]="","",SQRT(Reinforcements[[#This Row],[Iy]]/Reinforcements[[#This Row],[Gross Area (in2)]]))</f>
        <v>1.7320508075688772</v>
      </c>
      <c r="T38" s="6">
        <v>16</v>
      </c>
      <c r="U38" s="6">
        <v>0.8</v>
      </c>
      <c r="V38" s="6">
        <v>1</v>
      </c>
      <c r="W38" s="6">
        <v>1.1875</v>
      </c>
      <c r="X38" s="6">
        <f>IF(Reinforcements[[#This Row],[Bolt Hole Size (in)]]="","",IF(Reinforcements[[#This Row],[Bolt Hole Size (in)]]="n/a","n/a",Reinforcements[[#This Row],[Bolt Hole Size (in)]]*25.4))</f>
        <v>30.162499999999998</v>
      </c>
      <c r="Y3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6">
        <f>IFERROR(IF(Reinforcements[[#This Row],[Reinforcement]]="","",IF(OR(Reinforcements[[#This Row],[Type]]="plate",Reinforcements[[#This Row],[Type]]="solid round"),1,IF(Reinforcements[[#This Row],[Type]]="arbitrary","",1-Reinforcements[[#This Row],[Pole Face to Centroid (in)]]/Reinforcements[[#This Row],[Connection Length (in) '[Channels']]]))),"")</f>
        <v>1</v>
      </c>
      <c r="AA38" s="16" t="s">
        <v>382</v>
      </c>
      <c r="AB38" s="16" t="str">
        <f>IF(Reinforcements[[#This Row],[Reinforcement]]="","",IF(Reinforcements[[#This Row],[Bottom End Connection Type]]&lt;&gt;"Capacity Input","-",""))</f>
        <v>-</v>
      </c>
      <c r="AC38" s="16" t="str">
        <f>IF(Reinforcements[[#This Row],[Reinforcement]]="","",IF(Reinforcements[[#This Row],[Bottom End Connection Type]]&lt;&gt;"Capacity Input","-",""))</f>
        <v>-</v>
      </c>
      <c r="AD38" s="16" t="str">
        <f>IF(Reinforcements[[#This Row],[Reinforcement]]="","",IF(Reinforcements[[#This Row],[Bottom End Connection Type]]&lt;&gt;"Capacity Input","-",""))</f>
        <v>-</v>
      </c>
      <c r="AE38" s="74" t="str">
        <f>IF(Reinforcements[[#This Row],[Reinforcement]]="","",IF(Reinforcements[[#This Row],[Bottom End Connection Type]]="","-",IF(Reinforcements[[#This Row],[Bottom End Connection Type]]&lt;&gt;"Bolted","-","")))</f>
        <v>-</v>
      </c>
      <c r="AF38" s="6" t="str">
        <f>IF(Reinforcements[[#This Row],[Bottom End Connection Type]]="Welded","-","")</f>
        <v>-</v>
      </c>
      <c r="AG38" s="6" t="str">
        <f>IF(Reinforcements[[#This Row],[Bottom End Connection Type]]="Welded","-","")</f>
        <v>-</v>
      </c>
      <c r="AH38" s="6" t="str">
        <f>IF(Reinforcements[[#This Row],[Bottom End Connection Type]]="Welded","-","")</f>
        <v>-</v>
      </c>
      <c r="AI38" s="6" t="str">
        <f>IF(Reinforcements[[#This Row],[Bottom End Connection Type]]="Welded","-","")</f>
        <v>-</v>
      </c>
      <c r="AJ38" s="6" t="e">
        <f>Reinforcements[[#This Row],[End Connection Edge Distance (in) (B)]]-(Reinforcements[[#This Row],[Bolt Hole Size (in)]]+1/16)/2</f>
        <v>#VALUE!</v>
      </c>
      <c r="AK38" s="6" t="e">
        <f>Reinforcements[[#This Row],[End Connection Bolt Spacing (in) (B)]]-(Reinforcements[[#This Row],[Bolt Hole Size (in)]]+1/16)</f>
        <v>#VALUE!</v>
      </c>
      <c r="AL38" s="6" t="str">
        <f>Reinforcements[[#This Row],[End Connection Edge Distance (in) (B)]]</f>
        <v>-</v>
      </c>
      <c r="AM38" s="6" t="str">
        <f>Reinforcements[[#This Row],[End Connection Bolt Spacing (in) (B)]]</f>
        <v>-</v>
      </c>
      <c r="AN38" s="6" t="s">
        <v>357</v>
      </c>
      <c r="AO38" s="111">
        <v>70</v>
      </c>
      <c r="AP38" s="111" t="s">
        <v>383</v>
      </c>
      <c r="AQ38" s="111">
        <v>6</v>
      </c>
      <c r="AR38" s="6">
        <v>1</v>
      </c>
      <c r="AS38" s="6">
        <v>45</v>
      </c>
      <c r="AT38" s="111">
        <v>0.375</v>
      </c>
      <c r="AU3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11" t="s">
        <v>384</v>
      </c>
      <c r="AW38" s="111" t="str">
        <f>IF(Reinforcements[[#This Row],[Reinforcement]]="","",IF(OR(Reinforcements[[#This Row],[Bottom End Connection Type]]&lt;&gt;"Welded",Reinforcements[[#This Row],[Bottom Longitudinal (Vertical) Weld]]="None",Reinforcements[[#This Row],[Bottom Longitudinal (Vertical) Weld]]=""),"-",""))</f>
        <v>-</v>
      </c>
      <c r="AX38" s="111" t="str">
        <f>IF(Reinforcements[[#This Row],[Reinforcement]]="","",IF(OR(Reinforcements[[#This Row],[Bottom End Connection Type]]&lt;&gt;"Welded",Reinforcements[[#This Row],[Bottom Longitudinal (Vertical) Weld]]="None",Reinforcements[[#This Row],[Bottom Longitudinal (Vertical) Weld]]=""),"-",""))</f>
        <v>-</v>
      </c>
      <c r="AY38" s="6" t="str">
        <f>IF(Reinforcements[[#This Row],[Reinforcement]]="","",IF(OR(Reinforcements[[#This Row],[Bottom End Connection Type]]&lt;&gt;"Welded",Reinforcements[[#This Row],[Bottom Longitudinal (Vertical) Weld]]="None"),"-",SQRT(2)/2*Reinforcements[[#This Row],[Bottom Longitudinal Weld Fillet Size (in)]]))</f>
        <v>-</v>
      </c>
      <c r="AZ38" s="111" t="s">
        <v>353</v>
      </c>
      <c r="BA38" s="16" t="s">
        <v>354</v>
      </c>
      <c r="BB38" s="16" t="str">
        <f>IF(Reinforcements[[#This Row],[Reinforcement]]="","",IF(Reinforcements[[#This Row],[Top End Connection Same?]]="Yes",Reinforcements[[#This Row],[Rev. F Bottom Connection Capacity (kips)]],IF(Reinforcements[[#This Row],[Reinforcement]]="","",IF(Reinforcements[[#This Row],[Top End Connection Type]]&lt;&gt;"Capacity Input","-",""))))</f>
        <v>-</v>
      </c>
      <c r="BC38" s="16" t="str">
        <f>IF(Reinforcements[[#This Row],[Reinforcement]]="","",IF(Reinforcements[[#This Row],[Top End Connection Same?]]="Yes",Reinforcements[[#This Row],[Rev. G Bottom Connection Capacity (kips)]],IF(Reinforcements[[#This Row],[Reinforcement]]="","",IF(Reinforcements[[#This Row],[Top End Connection Type]]&lt;&gt;"Capacity Input","-",""))))</f>
        <v>-</v>
      </c>
      <c r="BD38" s="16" t="str">
        <f>IF(Reinforcements[[#This Row],[Reinforcement]]="","",IF(Reinforcements[[#This Row],[Top End Connection Same?]]="Yes",Reinforcements[[#This Row],[Rev. G Bottom Connection Capacity (kips)]],IF(Reinforcements[[#This Row],[Reinforcement]]="","",IF(Reinforcements[[#This Row],[Top End Connection Type]]&lt;&gt;"Capacity Input","-",""))))</f>
        <v>-</v>
      </c>
      <c r="BE38" s="74" t="s">
        <v>355</v>
      </c>
      <c r="BF38" s="6" t="s">
        <v>356</v>
      </c>
      <c r="BG38" s="6">
        <v>8</v>
      </c>
      <c r="BH38" s="6">
        <v>3</v>
      </c>
      <c r="BI38" s="6">
        <v>3</v>
      </c>
      <c r="BJ38" s="6">
        <f>Reinforcements[[#This Row],[End Connection Edge Distance (in) (T)]]-(Reinforcements[[#This Row],[Bolt Hole Size (in)]]+1/16)/2</f>
        <v>2.375</v>
      </c>
      <c r="BK38" s="6">
        <f>Reinforcements[[#This Row],[End Connection Bolt Spacing (in) (T)]]-(Reinforcements[[#This Row],[Bolt Hole Size (in)]]+1/16)</f>
        <v>1.75</v>
      </c>
      <c r="BL38" s="6">
        <f>Reinforcements[[#This Row],[End Connection Edge Distance (in) (T)]]</f>
        <v>3</v>
      </c>
      <c r="BM38" s="6">
        <f>Reinforcements[[#This Row],[End Connection Bolt Spacing (in) (T)]]</f>
        <v>3</v>
      </c>
      <c r="BN38" s="6" t="str">
        <f>IF(Reinforcements[[#This Row],[Reinforcement]]="","",IF(Reinforcements[[#This Row],[Top End Connection Same?]]="Yes",Reinforcements[[#This Row],[Bottom Connected to Flange/Base Plate?]],IF(Reinforcements[[#This Row],[Top End Connection Type]]="Bolted","-","")))</f>
        <v>-</v>
      </c>
      <c r="BO38" s="6" t="str">
        <f>IF(Reinforcements[[#This Row],[Reinforcement]]="","",IF(Reinforcements[[#This Row],[Top End Connection Same?]]="Yes",Reinforcements[[#This Row],[Bottom Weld Grade (ksi)]],IF(OR(Reinforcements[[#This Row],[Top End Connection Type]]&lt;&gt;"Welded",Reinforcements[[#This Row],[Top End Connection Type]]=""),"-","")))</f>
        <v>-</v>
      </c>
      <c r="BP38" s="6" t="str">
        <f>IF($AZ38="Yes",AP38,IF(Reinforcements[[#This Row],[Reinforcement]]="","",IF(OR(Reinforcements[[#This Row],[Top End Connection Type]]&lt;&gt;"Welded",Reinforcements[[#This Row],[Top End Connection Type]]=""),"-","")))</f>
        <v>-</v>
      </c>
      <c r="BQ38" s="6" t="str">
        <f>IF(Reinforcements[[#This Row],[Reinforcement]]="","",IF($AZ38="Yes",AQ38,IF(OR(Reinforcements[[#This Row],[Top End Connection Type]]&lt;&gt;"Welded",Reinforcements[[#This Row],[Top Transverse (Horizontal) Weld]]="none",Reinforcements[[#This Row],[Top Transverse (Horizontal) Weld]]=""),"-","")))</f>
        <v>-</v>
      </c>
      <c r="BR38" s="6"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6"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6" t="str">
        <f>IF(Reinforcements[[#This Row],[Reinforcement]]="","",IF($AZ38="Yes",AT38,IF(OR(Reinforcements[[#This Row],[Top Transverse (Horizontal) Weld]]="none",Reinforcements[[#This Row],[Top End Connection Type]]&lt;&gt;"Welded",Reinforcements[[#This Row],[Top Transverse (Horizontal) Weld]]=""),"-","")))</f>
        <v>-</v>
      </c>
      <c r="BU38" s="6"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6" t="str">
        <f>IF($AZ38="Yes",AV38,IF(Reinforcements[[#This Row],[Reinforcement]]="","",IF(OR(Reinforcements[[#This Row],[Top End Connection Type]]&lt;&gt;"Welded",Reinforcements[[#This Row],[Top End Connection Type]]=""),"-","")))</f>
        <v>-</v>
      </c>
      <c r="BW38" s="6"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6"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6" t="str">
        <f>IF($AZ38="Yes",AY38,IF(Reinforcements[[#This Row],[Reinforcement]]="","",IF(OR(Reinforcements[[#This Row],[Top End Connection Type]]&lt;&gt;"Welded",Reinforcements[[#This Row],[Top Longitudinal (Vertical) Weld]]="none"),"-",SQRT(2)/2*Reinforcements[[#This Row],[Top Longitudinal Weld Fillet Size (in)]])))</f>
        <v>-</v>
      </c>
      <c r="BZ3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11">
        <f>IF(Reinforcements[[#This Row],[Reinforcement]]="","",IF(Reinforcements[[#This Row],[Top End Connection Type]]&lt;&gt;"Bolted","n/a",(Reinforcements[[#This Row],['# of End Connection Bolts          (Top)]]-1)*Reinforcements[[#This Row],[End Connection Bolt Spacing (in) (T)]]+Reinforcements[[#This Row],[End Connection Edge Distance (in) (T)]]))</f>
        <v>24</v>
      </c>
      <c r="CC3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6">
        <f>IFERROR(IF(Reinforcements[[#This Row],[Type]]="","",Reinforcements[[#This Row],[Effective B (in)]]*Reinforcements[[#This Row],[Effective H (in)]]^3/12),"")</f>
        <v>0.5</v>
      </c>
      <c r="CF38" s="6">
        <f>IFERROR(IF(Reinforcements[[#This Row],[Type]]="","",Reinforcements[[#This Row],[Effective B (in)]]^3*Reinforcements[[#This Row],[Effective H (in)]]/12),"")</f>
        <v>18</v>
      </c>
      <c r="CG38" s="126">
        <f>SQRT(2*PI()^2*29000/VLOOKUP(Reinforcements[[#This Row],[Material]],Materials[],2,FALSE))</f>
        <v>93.844147005158973</v>
      </c>
      <c r="CH3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23">
        <f>Reinforcements[[#This Row],[Effective Length Factor Kx]]*Reinforcements[[#This Row],[Lu (in)]]/(Reinforcements[[#This Row],[rx]]*PI())*SQRT(VLOOKUP(Reinforcements[[#This Row],[Material]],Materials[],2,FALSE)/29000)</f>
        <v>0.66820296647591804</v>
      </c>
      <c r="CK38" s="123">
        <f>Reinforcements[[#This Row],[Effective Length Factor Ky]]*Reinforcements[[#This Row],[Lu (in)]]/(Reinforcements[[#This Row],[ry]]*PI())*SQRT(VLOOKUP(Reinforcements[[#This Row],[Material]],Materials[],2,FALSE)/29000)</f>
        <v>0.13920895134914957</v>
      </c>
      <c r="CL38" s="123">
        <f>IF(Reinforcements[[#This Row],[λcx]]&lt;=1.5,0.658^(Reinforcements[[#This Row],[λcx]]^2)*Reinforcements[[#This Row],[F''y]],0.877/(Reinforcements[[#This Row],[λcx]]^2)*Reinforcements[[#This Row],[F''y]])</f>
        <v>53.9202739283065</v>
      </c>
      <c r="CM38" s="123">
        <f>IF(Reinforcements[[#This Row],[λcy]]&lt;=1.5,0.658^(Reinforcements[[#This Row],[λcy]]^2)*Reinforcements[[#This Row],[F''y]],0.877/(Reinforcements[[#This Row],[λcy]]^2)*Reinforcements[[#This Row],[F''y]])</f>
        <v>64.474908164166294</v>
      </c>
      <c r="CN38" s="6">
        <f>VLOOKUP(Reinforcements[[#This Row],[Material]],Materials[],2,FALSE)</f>
        <v>65</v>
      </c>
      <c r="CO38" s="126">
        <f>IF(Reinforcements[[#This Row],[Reinforcement]]="","",Reinforcements[[#This Row],[Fax]]*Reinforcements[[#This Row],[Gross Area (in2)]])</f>
        <v>189.25725701315989</v>
      </c>
      <c r="CP38" s="126">
        <f>IF(Reinforcements[[#This Row],[Reinforcement]]="","",Reinforcements[[#This Row],[Fay]]*Reinforcements[[#This Row],[Gross Area (in2)]])</f>
        <v>227.83649439954195</v>
      </c>
      <c r="CQ38" s="126">
        <f>IF(Reinforcements[[#This Row],[Reinforcement]]="","",0.6*VLOOKUP(Reinforcements[[#This Row],[Material]],Materials[],2,FALSE)*Reinforcements[[#This Row],[Gross Area (in2)]])</f>
        <v>234</v>
      </c>
      <c r="CR38" s="126">
        <f>IF(Reinforcements[[#This Row],[Reinforcement]]="","",0.5*VLOOKUP(Reinforcements[[#This Row],[Material]],Materials[],3,FALSE)*Reinforcements[[#This Row],[Net Area (in2)]]*Reinforcements[[#This Row],[Shear Lag (U)]])</f>
        <v>190</v>
      </c>
      <c r="CS38" s="126">
        <f>IF(Reinforcements[[#This Row],[Reinforcement]]="","",0.4*VLOOKUP(Reinforcements[[#This Row],[Material]],Materials[],2,FALSE)*Reinforcements[[#This Row],[Gross Area (in2)]])</f>
        <v>156</v>
      </c>
      <c r="CT38"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6"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6"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26">
        <f>IF(Reinforcements[[#This Row],[Reinforcement]]="","",φ_c*Reinforcements[[#This Row],[Fcr,x]]*Reinforcements[[#This Row],[Gross Area (in2)]])</f>
        <v>291.16947921285509</v>
      </c>
      <c r="DI38" s="126">
        <f>IF(Reinforcements[[#This Row],[Reinforcement]]="","",φ_c*Reinforcements[[#This Row],[Fcr,y]]*Reinforcements[[#This Row],[Gross Area (in2)]])</f>
        <v>348.16450408649803</v>
      </c>
      <c r="DJ38" s="126">
        <f>IF(Reinforcements[[#This Row],[Reinforcement]]="","",φ_t_y*VLOOKUP(Reinforcements[[#This Row],[Material]],Materials[],2,FALSE)*Reinforcements[[#This Row],[Gross Area (in2)]])</f>
        <v>351</v>
      </c>
      <c r="DK38" s="126">
        <f>IF(Reinforcements[[#This Row],[Reinforcement]]="","",φ_t_r*VLOOKUP(Reinforcements[[#This Row],[Material]],Materials[],3,FALSE)*Reinforcements[[#This Row],[Net Area (in2)]]*Reinforcements[[#This Row],[Shear Lag (U)]])</f>
        <v>285</v>
      </c>
      <c r="DL38" s="126">
        <f>IF(Reinforcements[[#This Row],[Reinforcement]]="","",φ_v*0.5*Reinforcements[[#This Row],[F''y]]*Reinforcements[[#This Row],[Gross Area (in2)]])</f>
        <v>175.5</v>
      </c>
      <c r="DM38"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6"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6"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111" t="str">
        <f>IF(OR(Reinforcements[[#This Row],[Type]]="plate",Reinforcements[[#This Row],[Type]]="solid round"),"N/A",Reinforcements[[#This Row],[B (in)]])</f>
        <v>N/A</v>
      </c>
      <c r="EB38" s="6" t="str">
        <f>IF(OR(Reinforcements[[#This Row],[Type]]="plate",Reinforcements[[#This Row],[Type]]="solid round"),"N/A",Reinforcements[[#This Row],[H (in)]])</f>
        <v>N/A</v>
      </c>
      <c r="EC38" s="6" t="str">
        <f>IF(OR(Reinforcements[[#This Row],[Type]]="plate",Reinforcements[[#This Row],[Type]]="solid round"),"N/A",Reinforcements[[#This Row],[B (in)]]-Reinforcements[[#This Row],['[Channel'] Flange Thickness (in)]])</f>
        <v>N/A</v>
      </c>
      <c r="ED38" s="6" t="str">
        <f>IF(OR(Reinforcements[[#This Row],[Type]]="plate",Reinforcements[[#This Row],[Type]]="solid round"),"N/A",Reinforcements[[#This Row],['[Channel']Web Thickness (in)]])</f>
        <v>N/A</v>
      </c>
      <c r="EE38" s="6" t="str">
        <f>IF(OR(Reinforcements[[#This Row],[Type]]="plate",Reinforcements[[#This Row],[Type]]="solid round"),"N/A",Reinforcements[[#This Row],['[Channel'] Flange Thickness (in)]])</f>
        <v>N/A</v>
      </c>
      <c r="EF38" s="6" t="str">
        <f>IF(Reinforcements[[#This Row],[Type]]="channel",Reinforcements[[#This Row],[Channel Flange Width, b]]/Reinforcements[[#This Row],[Channel flange thickness, tf]],"N/A")</f>
        <v>N/A</v>
      </c>
      <c r="EG38" s="6" t="str">
        <f>IF(Reinforcements[[#This Row],[Type]]="channel",Reinforcements[[#This Row],[Channel inside depth, T]]/Reinforcements[[#This Row],[Channel web thickness, tw]],"N/A")</f>
        <v>N/A</v>
      </c>
      <c r="EH38" s="6">
        <f>29000</f>
        <v>29000</v>
      </c>
      <c r="EI38" s="6" t="str">
        <f>IF(Reinforcements[[#This Row],[Type]]="channel",0.56*SQRT(Reinforcements[[#This Row],[E, (ksi)]]/Reinforcements[[#This Row],[Fy, (ksi)]]),"N/A")</f>
        <v>N/A</v>
      </c>
      <c r="EJ38" s="6" t="str">
        <f>IF(Reinforcements[[#This Row],[Type]]="channel",1.49*SQRT(Reinforcements[[#This Row],[E, (ksi)]]/Reinforcements[[#This Row],[Fy, (ksi)]]),"N/A")</f>
        <v>N/A</v>
      </c>
      <c r="EK38" s="6">
        <f>VLOOKUP(Reinforcements[[#This Row],[Material]],Materials!$B$2:$C$30,2,FALSE)</f>
        <v>65</v>
      </c>
      <c r="EL38" s="6">
        <f>Reinforcements[[#This Row],[Lu (in)]]*Reinforcements[[#This Row],[Effective Length Factor Kx]]</f>
        <v>12.8</v>
      </c>
      <c r="EM38" s="6">
        <f>Reinforcements[[#This Row],[Lu (in)]]*Reinforcements[[#This Row],[Effective Length Factor Ky]]</f>
        <v>16</v>
      </c>
      <c r="EN38" s="6">
        <f>Reinforcements[[#This Row],[rx]]</f>
        <v>0.28867513459481287</v>
      </c>
      <c r="EO38" s="6">
        <f>Reinforcements[[#This Row],[ry]]</f>
        <v>1.7320508075688772</v>
      </c>
      <c r="EP38" s="6">
        <f>Reinforcements[[#This Row],[Lcx (in)]]/Reinforcements[[#This Row],[rx (in)]]</f>
        <v>44.340500673763266</v>
      </c>
      <c r="EQ38" s="6">
        <f>Reinforcements[[#This Row],[Lcy (in)]]/Reinforcements[[#This Row],[ry (in)]]</f>
        <v>9.2376043070340135</v>
      </c>
      <c r="ER38" s="6">
        <f>((PI()^2)*Reinforcements[[#This Row],[E, (ksi)]])/(Reinforcements[[#This Row],[Lcx/rx]]^2)</f>
        <v>145.57827129699263</v>
      </c>
      <c r="ES38" s="6">
        <f>((PI()^2)*Reinforcements[[#This Row],[E, (ksi)]])/(Reinforcements[[#This Row],[Lcy/ry]]^2)</f>
        <v>3354.1233706827102</v>
      </c>
      <c r="ET38" s="6">
        <f>4.71*(SQRT(Reinforcements[[#This Row],[E, (ksi)]]/Reinforcements[[#This Row],[Fy, (ksi)]]))</f>
        <v>99.486288193205496</v>
      </c>
      <c r="EU38" s="6">
        <f>IF(Reinforcements[[#This Row],[Lcx/rx]]&lt;=Reinforcements[[#This Row],[Fcr Limit]],(0.658^(Reinforcements[[#This Row],[Fy, (ksi)]]/Reinforcements[[#This Row],[Fex, FB (ksi)]]))*Reinforcements[[#This Row],[Fy, (ksi)]],0.877*Reinforcements[[#This Row],[Fex, FB (ksi)]])</f>
        <v>53.9202739283065</v>
      </c>
      <c r="EV38" s="6">
        <f>IF(Reinforcements[[#This Row],[Lcy/ry]]&lt;=Reinforcements[[#This Row],[Fcr Limit]],(0.658^(Reinforcements[[#This Row],[Fy, (ksi)]]/Reinforcements[[#This Row],[Fey, FB (ksi)]]))*Reinforcements[[#This Row],[Fy, (ksi)]],0.877*Reinforcements[[#This Row],[Fey, FB (ksi)]])</f>
        <v>64.474908164166294</v>
      </c>
      <c r="EW38" s="6">
        <f>Reinforcements[[#This Row],[Fcrx (ksi)]]*Reinforcements[[#This Row],[Gross Area (in2)]]</f>
        <v>323.521643569839</v>
      </c>
      <c r="EX38" s="6">
        <f>Reinforcements[[#This Row],[Fcry (ksi)]]*Reinforcements[[#This Row],[Gross Area (in2)]]</f>
        <v>386.84944898499776</v>
      </c>
      <c r="EY38" s="6" t="str">
        <f>IF(Reinforcements[[#This Row],[Type]]="channel",0,"N/A")</f>
        <v>N/A</v>
      </c>
      <c r="EZ38" s="6" t="str">
        <f>IF(Reinforcements[[#This Row],[Type]]="channel",Reinforcements[[#This Row],[Channel Flange Width, b]]-(0.5*Reinforcements[[#This Row],[Channel web thickness, tw]]),"N/A")</f>
        <v>N/A</v>
      </c>
      <c r="FA38" s="6" t="str">
        <f>IF(Reinforcements[[#This Row],[Type]]="channel",Reinforcements[[#This Row],[Channel Height, h]]-Reinforcements[[#This Row],[Channel flange thickness, tf]],"N/A")</f>
        <v>N/A</v>
      </c>
      <c r="FB38" s="6" t="str">
        <f>IF(Reinforcements[[#This Row],[Type]]="channel",Reinforcements[[#This Row],[Channel web thickness, tw]],"N/A")</f>
        <v>N/A</v>
      </c>
      <c r="FC38" s="6" t="str">
        <f>IF(Reinforcements[[#This Row],[Type]]="channel",((3*Reinforcements[[#This Row],[b]]^2)/(Reinforcements[[#This Row],[h]]+(6*Reinforcements[[#This Row],[b]])))-Reinforcements[[#This Row],[t]]/2,"N/A")</f>
        <v>N/A</v>
      </c>
      <c r="FD38" s="6">
        <f>Reinforcements[[#This Row],[Pole Face to Centroid (in)]]</f>
        <v>0.5</v>
      </c>
      <c r="FE38" s="6" t="str">
        <f>IF(Reinforcements[[#This Row],[Type]]="channel",Reinforcements[[#This Row],[x(bar)]]+Reinforcements[[#This Row],['[Channel'] e0 (in)]],"N/A")</f>
        <v>N/A</v>
      </c>
      <c r="FF38" s="6" t="str">
        <f>IF(Reinforcements[[#This Row],[Type]]="channel",Reinforcements[[#This Row],[Ix]],"N/A")</f>
        <v>N/A</v>
      </c>
      <c r="FG38" s="6" t="str">
        <f>IF(Reinforcements[[#This Row],[Type]]="channel",Reinforcements[[#This Row],[Iy]],"N/A")</f>
        <v>N/A</v>
      </c>
      <c r="FH38" s="6" t="str">
        <f>IF(Reinforcements[[#This Row],[Type]]="channel",Reinforcements[[#This Row],[Gross Area (in2)]],"N/A")</f>
        <v>N/A</v>
      </c>
      <c r="FI38" s="6" t="str">
        <f>IF(Reinforcements[[#This Row],[Type]]="channel",(Reinforcements[[#This Row],[xo]]^2)+((Reinforcements[[#This Row],[Ix (FTB)]]+Reinforcements[[#This Row],[Iy (FTB)]])/Reinforcements[[#This Row],[Ag]]),"N/A")</f>
        <v>N/A</v>
      </c>
      <c r="FJ38" s="6" t="str">
        <f>IF(Reinforcements[[#This Row],[Type]]="channel",Reinforcements[[#This Row],[Lu (in)]],"N/A")</f>
        <v>N/A</v>
      </c>
      <c r="FK38" s="6" t="str">
        <f>IF(Reinforcements[[#This Row],[Type]]="channel",Reinforcements[[#This Row],[Effective Length Factor Kx]],"N/A")</f>
        <v>N/A</v>
      </c>
      <c r="FL38" s="6" t="str">
        <f>IF(Reinforcements[[#This Row],[Type]]="channel",Reinforcements[[#This Row],[Kz]]*Reinforcements[[#This Row],[Lz]],"N/A")</f>
        <v>N/A</v>
      </c>
      <c r="FM38" s="6" t="str">
        <f>IF(Reinforcements[[#This Row],[Type]]="channel",(((Reinforcements[[#This Row],[t]]^3)/3)*(Reinforcements[[#This Row],[h]]+(2*Reinforcements[[#This Row],[b]]))),"N/A")</f>
        <v>N/A</v>
      </c>
      <c r="FN38" s="6" t="str">
        <f>IF(Reinforcements[[#This Row],[Type]]="channel",(1-(((Reinforcements[[#This Row],[xo]]^2)+(Reinforcements[[#This Row],[yo]]^2))/Reinforcements[[#This Row],[ro^2(bar)]])),"N/A")</f>
        <v>N/A</v>
      </c>
      <c r="FO38" s="6">
        <v>11200</v>
      </c>
      <c r="FP38" s="6" t="str">
        <f>IF(Reinforcements[[#This Row],[Type]]="channel",(((Reinforcements[[#This Row],[h]]^2)*(Reinforcements[[#This Row],[b]]^3)*Reinforcements[[#This Row],[t]])/12)*(((2*Reinforcements[[#This Row],[h]])+(3*Reinforcements[[#This Row],[b]]))/(Reinforcements[[#This Row],[h]]+(6*Reinforcements[[#This Row],[b]]))),"N/A")</f>
        <v>N/A</v>
      </c>
      <c r="FQ38" s="6" t="str">
        <f>IF(Reinforcements[[#This Row],[Type]]="Channel",((((PI()^2)*Reinforcements[[#This Row],[E, (ksi)]]*Reinforcements[[#This Row],['[Channel'] CW (in6)]])/(Reinforcements[[#This Row],[Lcz]]^2))+(Reinforcements[[#This Row],[G]]*Reinforcements[[#This Row],['[Channel'] J (in4)]]))*(1/(Reinforcements[[#This Row],[Ag]]*Reinforcements[[#This Row],[ro^2(bar)]])),"N/A")</f>
        <v>N/A</v>
      </c>
      <c r="FR38" s="6" t="str">
        <f>IF(Reinforcements[[#This Row],[Type]]="channel",((PI()^2)*Reinforcements[[#This Row],[E, (ksi)]])/(Reinforcements[[#This Row],[Lcy/ry]]^2),"N/A")</f>
        <v>N/A</v>
      </c>
      <c r="FS38" s="6" t="str">
        <f>IF(Reinforcements[[#This Row],[Type]]="channel",((Reinforcements[[#This Row],[Fey]]+Reinforcements[[#This Row],[Fez]])/(2*Reinforcements[[#This Row],[H2]]))*(1-SQRT(1-((4*Reinforcements[[#This Row],[Fey]]*Reinforcements[[#This Row],[Fez]]*Reinforcements[[#This Row],[H2]])/(Reinforcements[[#This Row],[Fey]]+Reinforcements[[#This Row],[Fez]])^2))),"N/A")</f>
        <v>N/A</v>
      </c>
      <c r="FT38" s="6" t="str">
        <f>IF(Reinforcements[[#This Row],[Type]]="channel",IF(Reinforcements[[#This Row],[Lcx/rx]]&gt;(4.71*SQRT(Reinforcements[[#This Row],[E, (ksi)]]/Reinforcements[[#This Row],[Fy, (ksi)]])),0.877*Reinforcements[[#This Row],[Fe (FTB)]],0.658^(Reinforcements[[#This Row],[Fy, (ksi)]]/Reinforcements[[#This Row],[Fe (FTB)]])*Reinforcements[[#This Row],[Fy, (ksi)]]),"N/A")</f>
        <v>N/A</v>
      </c>
      <c r="FU38" s="6" t="str">
        <f>IF(Reinforcements[[#This Row],[Type]]="channel",MIN(Reinforcements[[#This Row],[Fcr(FTB)]],Reinforcements[[#This Row],[Fcry (ksi)]]),"N/A")</f>
        <v>N/A</v>
      </c>
      <c r="FV38" s="6">
        <v>0.22</v>
      </c>
      <c r="FW38" s="6">
        <v>1.49</v>
      </c>
      <c r="FX38" s="6" t="str">
        <f>IF(Reinforcements[[#This Row],[Type]]="channel",((Reinforcements[[#This Row],[c2]]*(Reinforcements[[#This Row],[λrf]]/Reinforcements[[#This Row],[λf]]))^2)*Reinforcements[[#This Row],[Fy, (ksi)]],"N/A")</f>
        <v>N/A</v>
      </c>
      <c r="FY38" s="6" t="str">
        <f>IF(Reinforcements[[#This Row],[Type]]="channel",((Reinforcements[[#This Row],[c2]]*(Reinforcements[[#This Row],[λrw]]/Reinforcements[[#This Row],[λw]]))^2)*Reinforcements[[#This Row],[Fy, (ksi)]],"N/A")</f>
        <v>N/A</v>
      </c>
      <c r="FZ3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6" t="str">
        <f>IF(Reinforcements[[#This Row],[Type]]="channel",Reinforcements[[#This Row],[Fcr]]*Reinforcements[[#This Row],[Ae]],"N/A")</f>
        <v>N/A</v>
      </c>
      <c r="GD38">
        <f>IF(Reinforcements[[#This Row],[Reinforcement]]="","",φ_c*Reinforcements[[#This Row],[Pnx, FB (kip)]])</f>
        <v>291.16947921285509</v>
      </c>
      <c r="GE38">
        <f>IF(Reinforcements[[#This Row],[Reinforcement]]="","",IF(Reinforcements[[#This Row],[Type]]="channel",φ_c*Reinforcements[[#This Row],[Pn]],φ_c*Reinforcements[[#This Row],[Pny, FB (kip)]]))</f>
        <v>348.16450408649797</v>
      </c>
      <c r="GF38">
        <f>Reinforcements[[#This Row],[Rev. G Tension Yield Capacity (kips)]]</f>
        <v>351</v>
      </c>
      <c r="GG38">
        <f>Reinforcements[[#This Row],[Rev. G Tension Rupture Capacity (kips)]]</f>
        <v>285</v>
      </c>
      <c r="GH38">
        <f>Reinforcements[[#This Row],[Rev. G Shear Capacity (kips)]]</f>
        <v>175.5</v>
      </c>
      <c r="GI38" t="str">
        <f>IFERROR((Reinforcements[[#This Row],['# of End Connection Bolts          (Bottom)]]-1)*Reinforcements[[#This Row],[End Connection Bolt Spacing (in) (B)]],"-")</f>
        <v>-</v>
      </c>
      <c r="GJ38">
        <f>IFERROR(IF(VLOOKUP(Reinforcements[[#This Row],[Bottom End Connection Bolt Type]],Bolts[],COLUMN(Bolts[[#Headers],[Rev. H Apply Connection Length Reduction Factor (Rb)?]])-1,FALSE)="Yes",(IF(Reinforcements[[#This Row],[Lb(bottom)]]&lt;=16,1,IF(Reinforcements[[#This Row],[Lb(bottom)]]&gt;38,0.75,0.9))),1),"-")</f>
        <v>1</v>
      </c>
      <c r="GK38"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f>IFERROR(IF(Reinforcements[[#This Row],[Top End Connection Same?]]="Yes",Reinforcements[[#This Row],[Lb(bottom)]],(Reinforcements[[#This Row],['# of End Connection Bolts          (Top)]]-1)*Reinforcements[[#This Row],[End Connection Bolt Spacing (in) (T)]]),"-")</f>
        <v>21</v>
      </c>
      <c r="GM38">
        <f>IFERROR(IF(VLOOKUP(Reinforcements[[#This Row],[Top End Connection Bolt Type]],Bolts[],COLUMN(Bolts[[#Headers],[Rev. H Apply Connection Length Reduction Factor (Rb)?]])-1,FALSE)=TRUE,(IF(Reinforcements[[#This Row],[Lb(top)]]&lt;=16,1,IF(Reinforcements[[#This Row],[Lb(top)]]&gt;38,0.75,0.9))),1),"-")</f>
        <v>0.9</v>
      </c>
      <c r="GN3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t="str">
        <f>Reinforcements[[#This Row],[Rev. G Bolt-Shaft Bearing Capacity (Bottom)                No Deformation          (*t*Fu kips)]]</f>
        <v>-</v>
      </c>
      <c r="GP38" t="str">
        <f>Reinforcements[[#This Row],[Rev. G Bolt-Shaft Bearing Capacity (Bottom)                   Deformation          (*t*Fu kips)]]</f>
        <v>-</v>
      </c>
      <c r="GQ38">
        <f>Reinforcements[[#This Row],[Rev. G Bolt-Shaft Bearing Capacity (Top)                    No Deformation          (*t*Fu kips)]]</f>
        <v>15.870236220472439</v>
      </c>
      <c r="GR38">
        <f>Reinforcements[[#This Row],[Rev. G Bolt-Shaft Bearing Capacity (Top)                        Deformation          (*t*Fu kips)]]</f>
        <v>19.837795275590551</v>
      </c>
      <c r="GS38" t="str">
        <f>Reinforcements[[#This Row],[Rev. G Bolt-Reinf. Bearing Capacity (Bottom)            No Deformation (kips)]]</f>
        <v>-</v>
      </c>
      <c r="GT38" t="str">
        <f>Reinforcements[[#This Row],[Rev. G Bolt-Reinf. Bearing Capacity (Bottom)               Deformation (kips)]]</f>
        <v>-</v>
      </c>
      <c r="GU38">
        <f>Reinforcements[[#This Row],[Rev. G Bolt-Reinf. Bearing Capacity (Top)                  No Deformation (kips)]]</f>
        <v>1269.6188976377953</v>
      </c>
      <c r="GV38">
        <f>Reinforcements[[#This Row],[Rev. G Bolt-Reinf. Bearing Capacity (Top)               Deformation (kips)]]</f>
        <v>1587.0236220472443</v>
      </c>
      <c r="GW38" t="str">
        <f>Reinforcements[[#This Row],[Rev. G Bottom Transverse Weld Strength]]</f>
        <v>-</v>
      </c>
      <c r="GX38" t="str">
        <f>Reinforcements[[#This Row],[Rev. G Bottom Longitudinal Weld Strength]]</f>
        <v>-</v>
      </c>
      <c r="GY38" t="str">
        <f>Reinforcements[[#This Row],[Rev. G Top Transverse Weld Strength]]</f>
        <v>-</v>
      </c>
      <c r="GZ38" t="str">
        <f>Reinforcements[[#This Row],[Rev. G Top Longitudinal Weld Strength]]</f>
        <v>-</v>
      </c>
      <c r="HA38">
        <v>36</v>
      </c>
      <c r="HB3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49" t="s">
        <v>396</v>
      </c>
      <c r="C39" s="49" t="s">
        <v>352</v>
      </c>
      <c r="D39" s="6">
        <v>6.5</v>
      </c>
      <c r="E39" s="6">
        <v>1.25</v>
      </c>
      <c r="F39" s="6" t="str">
        <f>IF(Reinforcements[[#This Row],[Type]]="","",IF(Reinforcements[[#This Row],[Type]]="solid round","","n/a"))</f>
        <v>n/a</v>
      </c>
      <c r="G39" s="6" t="str">
        <f>IF(Reinforcements[[#This Row],[Type]]="","",IF(Reinforcements[[#This Row],[Type]]&lt;&gt;"channel","n/a",""))</f>
        <v>n/a</v>
      </c>
      <c r="H39" s="6" t="str">
        <f>IF(Reinforcements[[#This Row],[Type]]="","",IF(Reinforcements[[#This Row],[Type]]&lt;&gt;"channel","n/a",""))</f>
        <v>n/a</v>
      </c>
      <c r="I39" s="126" t="str">
        <f>IF(Reinforcements[[#This Row],[Type]]="","",IF(Reinforcements[[#This Row],[Type]]&lt;&gt;"channel","n/a",Reinforcements[[#This Row],[eo]]))</f>
        <v>n/a</v>
      </c>
      <c r="J39" s="126" t="str">
        <f>IF(Reinforcements[[#This Row],[Type]]="","",IF(Reinforcements[[#This Row],[Type]]&lt;&gt;"channel","n/a",Reinforcements[[#This Row],[J]]))</f>
        <v>n/a</v>
      </c>
      <c r="K39" s="126" t="str">
        <f>IF(Reinforcements[[#This Row],[Type]]="","",IF(Reinforcements[[#This Row],[Type]]&lt;&gt;"channel","n/a",Reinforcements[[#This Row],[Cw]]))</f>
        <v>n/a</v>
      </c>
      <c r="L39" s="6">
        <f>IFERROR(IF(Reinforcements[[#This Row],[Type]]="","",IF(Reinforcements[[#This Row],[Type]]="plate",Reinforcements[[#This Row],[B (in)]]*Reinforcements[[#This Row],[H (in)]],IF(Reinforcements[[#This Row],[Type]]="solid round",PI()/4*Reinforcements[[#This Row],[Diameter (in)]]^2,""))),"")</f>
        <v>8.125</v>
      </c>
      <c r="M39" s="6">
        <f>IFERROR(IF(Reinforcements[[#This Row],[Type]]="","",IF(Reinforcements[[#This Row],[Type]]="plate",Reinforcements[[#This Row],[H (in)]]/2,"")),"")</f>
        <v>0.625</v>
      </c>
      <c r="N39" s="34" t="s">
        <v>353</v>
      </c>
      <c r="O39" s="6" t="s">
        <v>138</v>
      </c>
      <c r="P39" s="123">
        <f>IFERROR(IF(Reinforcements[[#This Row],[Type]]="","",IF(Reinforcements[[#This Row],[Type]]="plate",Reinforcements[[#This Row],[B (in)]]*Reinforcements[[#This Row],[H (in)]]^3/12,IF(Reinforcements[[#This Row],[Type]]="solid round",PI()/64*Reinforcements[[#This Row],[Diameter (in)]]^4,""))),"")</f>
        <v>1.0579427083333333</v>
      </c>
      <c r="Q39" s="123">
        <f>IF(Reinforcements[[#This Row],[Reinforcement]]="","",SQRT(Reinforcements[[#This Row],[Ix]]/Reinforcements[[#This Row],[Gross Area (in2)]]))</f>
        <v>0.36084391824351608</v>
      </c>
      <c r="R39" s="123">
        <f>IFERROR(IF(Reinforcements[[#This Row],[Type]]="","",IF(Reinforcements[[#This Row],[Type]]="plate",Reinforcements[[#This Row],[B (in)]]^3*Reinforcements[[#This Row],[H (in)]]/12,IF(Reinforcements[[#This Row],[Type]]="solid round",PI()/64*Reinforcements[[#This Row],[Diameter (in)]]^4,""))),"")</f>
        <v>28.606770833333332</v>
      </c>
      <c r="S39" s="123">
        <f>IF(Reinforcements[[#This Row],[Reinforcement]]="","",SQRT(Reinforcements[[#This Row],[Iy]]/Reinforcements[[#This Row],[Gross Area (in2)]]))</f>
        <v>1.8763883748662837</v>
      </c>
      <c r="T39" s="6">
        <v>19</v>
      </c>
      <c r="U39" s="6">
        <v>0.8</v>
      </c>
      <c r="V39" s="6">
        <v>1</v>
      </c>
      <c r="W39" s="6">
        <v>1.1875</v>
      </c>
      <c r="X39" s="6">
        <f>IF(Reinforcements[[#This Row],[Bolt Hole Size (in)]]="","",IF(Reinforcements[[#This Row],[Bolt Hole Size (in)]]="n/a","n/a",Reinforcements[[#This Row],[Bolt Hole Size (in)]]*25.4))</f>
        <v>30.162499999999998</v>
      </c>
      <c r="Y3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6">
        <f>IFERROR(IF(Reinforcements[[#This Row],[Reinforcement]]="","",IF(OR(Reinforcements[[#This Row],[Type]]="plate",Reinforcements[[#This Row],[Type]]="solid round"),1,IF(Reinforcements[[#This Row],[Type]]="arbitrary","",1-Reinforcements[[#This Row],[Pole Face to Centroid (in)]]/Reinforcements[[#This Row],[Connection Length (in) '[Channels']]]))),"")</f>
        <v>1</v>
      </c>
      <c r="AA39" s="16" t="s">
        <v>382</v>
      </c>
      <c r="AB39" s="16" t="str">
        <f>IF(Reinforcements[[#This Row],[Reinforcement]]="","",IF(Reinforcements[[#This Row],[Bottom End Connection Type]]&lt;&gt;"Capacity Input","-",""))</f>
        <v>-</v>
      </c>
      <c r="AC39" s="16" t="str">
        <f>IF(Reinforcements[[#This Row],[Reinforcement]]="","",IF(Reinforcements[[#This Row],[Bottom End Connection Type]]&lt;&gt;"Capacity Input","-",""))</f>
        <v>-</v>
      </c>
      <c r="AD39" s="16" t="str">
        <f>IF(Reinforcements[[#This Row],[Reinforcement]]="","",IF(Reinforcements[[#This Row],[Bottom End Connection Type]]&lt;&gt;"Capacity Input","-",""))</f>
        <v>-</v>
      </c>
      <c r="AE39" s="74" t="str">
        <f>IF(Reinforcements[[#This Row],[Reinforcement]]="","",IF(Reinforcements[[#This Row],[Bottom End Connection Type]]="","-",IF(Reinforcements[[#This Row],[Bottom End Connection Type]]&lt;&gt;"Bolted","-","")))</f>
        <v>-</v>
      </c>
      <c r="AF39" s="6" t="str">
        <f>IF(Reinforcements[[#This Row],[Bottom End Connection Type]]="Welded","-","")</f>
        <v>-</v>
      </c>
      <c r="AG39" s="6" t="str">
        <f>IF(Reinforcements[[#This Row],[Bottom End Connection Type]]="Welded","-","")</f>
        <v>-</v>
      </c>
      <c r="AH39" s="6" t="str">
        <f>IF(Reinforcements[[#This Row],[Bottom End Connection Type]]="Welded","-","")</f>
        <v>-</v>
      </c>
      <c r="AI39" s="6" t="str">
        <f>IF(Reinforcements[[#This Row],[Bottom End Connection Type]]="Welded","-","")</f>
        <v>-</v>
      </c>
      <c r="AJ39" s="6" t="e">
        <f>Reinforcements[[#This Row],[End Connection Edge Distance (in) (B)]]-(Reinforcements[[#This Row],[Bolt Hole Size (in)]]+1/16)/2</f>
        <v>#VALUE!</v>
      </c>
      <c r="AK39" s="6" t="e">
        <f>Reinforcements[[#This Row],[End Connection Bolt Spacing (in) (B)]]-(Reinforcements[[#This Row],[Bolt Hole Size (in)]]+1/16)</f>
        <v>#VALUE!</v>
      </c>
      <c r="AL39" s="6" t="str">
        <f>Reinforcements[[#This Row],[End Connection Edge Distance (in) (B)]]</f>
        <v>-</v>
      </c>
      <c r="AM39" s="6" t="str">
        <f>Reinforcements[[#This Row],[End Connection Bolt Spacing (in) (B)]]</f>
        <v>-</v>
      </c>
      <c r="AN39" s="6" t="s">
        <v>357</v>
      </c>
      <c r="AO39" s="111">
        <v>70</v>
      </c>
      <c r="AP39" s="111" t="s">
        <v>383</v>
      </c>
      <c r="AQ39" s="111">
        <v>6.5</v>
      </c>
      <c r="AR39" s="6">
        <v>1.25</v>
      </c>
      <c r="AS39" s="6">
        <v>45</v>
      </c>
      <c r="AT39" s="111">
        <v>0.5</v>
      </c>
      <c r="AU3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11" t="s">
        <v>384</v>
      </c>
      <c r="AW39" s="111" t="str">
        <f>IF(Reinforcements[[#This Row],[Reinforcement]]="","",IF(OR(Reinforcements[[#This Row],[Bottom End Connection Type]]&lt;&gt;"Welded",Reinforcements[[#This Row],[Bottom Longitudinal (Vertical) Weld]]="None",Reinforcements[[#This Row],[Bottom Longitudinal (Vertical) Weld]]=""),"-",""))</f>
        <v>-</v>
      </c>
      <c r="AX39" s="111" t="str">
        <f>IF(Reinforcements[[#This Row],[Reinforcement]]="","",IF(OR(Reinforcements[[#This Row],[Bottom End Connection Type]]&lt;&gt;"Welded",Reinforcements[[#This Row],[Bottom Longitudinal (Vertical) Weld]]="None",Reinforcements[[#This Row],[Bottom Longitudinal (Vertical) Weld]]=""),"-",""))</f>
        <v>-</v>
      </c>
      <c r="AY39" s="6" t="str">
        <f>IF(Reinforcements[[#This Row],[Reinforcement]]="","",IF(OR(Reinforcements[[#This Row],[Bottom End Connection Type]]&lt;&gt;"Welded",Reinforcements[[#This Row],[Bottom Longitudinal (Vertical) Weld]]="None"),"-",SQRT(2)/2*Reinforcements[[#This Row],[Bottom Longitudinal Weld Fillet Size (in)]]))</f>
        <v>-</v>
      </c>
      <c r="AZ39" s="111" t="s">
        <v>353</v>
      </c>
      <c r="BA39" s="16" t="s">
        <v>354</v>
      </c>
      <c r="BB39" s="16" t="str">
        <f>IF(Reinforcements[[#This Row],[Reinforcement]]="","",IF(Reinforcements[[#This Row],[Top End Connection Same?]]="Yes",Reinforcements[[#This Row],[Rev. F Bottom Connection Capacity (kips)]],IF(Reinforcements[[#This Row],[Reinforcement]]="","",IF(Reinforcements[[#This Row],[Top End Connection Type]]&lt;&gt;"Capacity Input","-",""))))</f>
        <v>-</v>
      </c>
      <c r="BC39" s="16" t="str">
        <f>IF(Reinforcements[[#This Row],[Reinforcement]]="","",IF(Reinforcements[[#This Row],[Top End Connection Same?]]="Yes",Reinforcements[[#This Row],[Rev. G Bottom Connection Capacity (kips)]],IF(Reinforcements[[#This Row],[Reinforcement]]="","",IF(Reinforcements[[#This Row],[Top End Connection Type]]&lt;&gt;"Capacity Input","-",""))))</f>
        <v>-</v>
      </c>
      <c r="BD39" s="16" t="str">
        <f>IF(Reinforcements[[#This Row],[Reinforcement]]="","",IF(Reinforcements[[#This Row],[Top End Connection Same?]]="Yes",Reinforcements[[#This Row],[Rev. G Bottom Connection Capacity (kips)]],IF(Reinforcements[[#This Row],[Reinforcement]]="","",IF(Reinforcements[[#This Row],[Top End Connection Type]]&lt;&gt;"Capacity Input","-",""))))</f>
        <v>-</v>
      </c>
      <c r="BE39" s="74" t="s">
        <v>355</v>
      </c>
      <c r="BF39" s="6" t="s">
        <v>356</v>
      </c>
      <c r="BG39" s="6">
        <v>11</v>
      </c>
      <c r="BH39" s="6">
        <v>3</v>
      </c>
      <c r="BI39" s="6">
        <v>3</v>
      </c>
      <c r="BJ39" s="6">
        <f>Reinforcements[[#This Row],[End Connection Edge Distance (in) (T)]]-(Reinforcements[[#This Row],[Bolt Hole Size (in)]]+1/16)/2</f>
        <v>2.375</v>
      </c>
      <c r="BK39" s="6">
        <f>Reinforcements[[#This Row],[End Connection Bolt Spacing (in) (T)]]-(Reinforcements[[#This Row],[Bolt Hole Size (in)]]+1/16)</f>
        <v>1.75</v>
      </c>
      <c r="BL39" s="6">
        <f>Reinforcements[[#This Row],[End Connection Edge Distance (in) (T)]]</f>
        <v>3</v>
      </c>
      <c r="BM39" s="6">
        <f>Reinforcements[[#This Row],[End Connection Bolt Spacing (in) (T)]]</f>
        <v>3</v>
      </c>
      <c r="BN39" s="6" t="str">
        <f>IF(Reinforcements[[#This Row],[Reinforcement]]="","",IF(Reinforcements[[#This Row],[Top End Connection Same?]]="Yes",Reinforcements[[#This Row],[Bottom Connected to Flange/Base Plate?]],IF(Reinforcements[[#This Row],[Top End Connection Type]]="Bolted","-","")))</f>
        <v>-</v>
      </c>
      <c r="BO39" s="6" t="str">
        <f>IF(Reinforcements[[#This Row],[Reinforcement]]="","",IF(Reinforcements[[#This Row],[Top End Connection Same?]]="Yes",Reinforcements[[#This Row],[Bottom Weld Grade (ksi)]],IF(OR(Reinforcements[[#This Row],[Top End Connection Type]]&lt;&gt;"Welded",Reinforcements[[#This Row],[Top End Connection Type]]=""),"-","")))</f>
        <v>-</v>
      </c>
      <c r="BP39" s="6" t="str">
        <f>IF($AZ39="Yes",AP39,IF(Reinforcements[[#This Row],[Reinforcement]]="","",IF(OR(Reinforcements[[#This Row],[Top End Connection Type]]&lt;&gt;"Welded",Reinforcements[[#This Row],[Top End Connection Type]]=""),"-","")))</f>
        <v>-</v>
      </c>
      <c r="BQ39" s="6" t="str">
        <f>IF(Reinforcements[[#This Row],[Reinforcement]]="","",IF($AZ39="Yes",AQ39,IF(OR(Reinforcements[[#This Row],[Top End Connection Type]]&lt;&gt;"Welded",Reinforcements[[#This Row],[Top Transverse (Horizontal) Weld]]="none",Reinforcements[[#This Row],[Top Transverse (Horizontal) Weld]]=""),"-","")))</f>
        <v>-</v>
      </c>
      <c r="BR39" s="6"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6"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6" t="str">
        <f>IF(Reinforcements[[#This Row],[Reinforcement]]="","",IF($AZ39="Yes",AT39,IF(OR(Reinforcements[[#This Row],[Top Transverse (Horizontal) Weld]]="none",Reinforcements[[#This Row],[Top End Connection Type]]&lt;&gt;"Welded",Reinforcements[[#This Row],[Top Transverse (Horizontal) Weld]]=""),"-","")))</f>
        <v>-</v>
      </c>
      <c r="BU39" s="6"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6" t="str">
        <f>IF($AZ39="Yes",AV39,IF(Reinforcements[[#This Row],[Reinforcement]]="","",IF(OR(Reinforcements[[#This Row],[Top End Connection Type]]&lt;&gt;"Welded",Reinforcements[[#This Row],[Top End Connection Type]]=""),"-","")))</f>
        <v>-</v>
      </c>
      <c r="BW39" s="6"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6"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6" t="str">
        <f>IF($AZ39="Yes",AY39,IF(Reinforcements[[#This Row],[Reinforcement]]="","",IF(OR(Reinforcements[[#This Row],[Top End Connection Type]]&lt;&gt;"Welded",Reinforcements[[#This Row],[Top Longitudinal (Vertical) Weld]]="none"),"-",SQRT(2)/2*Reinforcements[[#This Row],[Top Longitudinal Weld Fillet Size (in)]])))</f>
        <v>-</v>
      </c>
      <c r="BZ3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11">
        <f>IF(Reinforcements[[#This Row],[Reinforcement]]="","",IF(Reinforcements[[#This Row],[Top End Connection Type]]&lt;&gt;"Bolted","n/a",(Reinforcements[[#This Row],['# of End Connection Bolts          (Top)]]-1)*Reinforcements[[#This Row],[End Connection Bolt Spacing (in) (T)]]+Reinforcements[[#This Row],[End Connection Edge Distance (in) (T)]]))</f>
        <v>33</v>
      </c>
      <c r="CC3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6">
        <f>IFERROR(IF(Reinforcements[[#This Row],[Type]]="","",Reinforcements[[#This Row],[Effective B (in)]]*Reinforcements[[#This Row],[Effective H (in)]]^3/12),"")</f>
        <v>1.0579427083333333</v>
      </c>
      <c r="CF39" s="6">
        <f>IFERROR(IF(Reinforcements[[#This Row],[Type]]="","",Reinforcements[[#This Row],[Effective B (in)]]^3*Reinforcements[[#This Row],[Effective H (in)]]/12),"")</f>
        <v>28.606770833333332</v>
      </c>
      <c r="CG39" s="126">
        <f>SQRT(2*PI()^2*29000/VLOOKUP(Reinforcements[[#This Row],[Material]],Materials[],2,FALSE))</f>
        <v>93.844147005158973</v>
      </c>
      <c r="CH3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23">
        <f>Reinforcements[[#This Row],[Effective Length Factor Kx]]*Reinforcements[[#This Row],[Lu (in)]]/(Reinforcements[[#This Row],[rx]]*PI())*SQRT(VLOOKUP(Reinforcements[[#This Row],[Material]],Materials[],2,FALSE)/29000)</f>
        <v>0.63479281815212207</v>
      </c>
      <c r="CK39" s="123">
        <f>Reinforcements[[#This Row],[Effective Length Factor Ky]]*Reinforcements[[#This Row],[Lu (in)]]/(Reinforcements[[#This Row],[ry]]*PI())*SQRT(VLOOKUP(Reinforcements[[#This Row],[Material]],Materials[],2,FALSE)/29000)</f>
        <v>0.15259442744041396</v>
      </c>
      <c r="CL39" s="123">
        <f>IF(Reinforcements[[#This Row],[λcx]]&lt;=1.5,0.658^(Reinforcements[[#This Row],[λcx]]^2)*Reinforcements[[#This Row],[F''y]],0.877/(Reinforcements[[#This Row],[λcx]]^2)*Reinforcements[[#This Row],[F''y]])</f>
        <v>54.911753637534716</v>
      </c>
      <c r="CM39" s="123">
        <f>IF(Reinforcements[[#This Row],[λcy]]&lt;=1.5,0.658^(Reinforcements[[#This Row],[λcy]]^2)*Reinforcements[[#This Row],[F''y]],0.877/(Reinforcements[[#This Row],[λcy]]^2)*Reinforcements[[#This Row],[F''y]])</f>
        <v>64.369588945551428</v>
      </c>
      <c r="CN39" s="6">
        <f>VLOOKUP(Reinforcements[[#This Row],[Material]],Materials[],2,FALSE)</f>
        <v>65</v>
      </c>
      <c r="CO39" s="126">
        <f>IF(Reinforcements[[#This Row],[Reinforcement]]="","",Reinforcements[[#This Row],[Fax]]*Reinforcements[[#This Row],[Gross Area (in2)]])</f>
        <v>260.41831252128219</v>
      </c>
      <c r="CP39" s="126">
        <f>IF(Reinforcements[[#This Row],[Reinforcement]]="","",Reinforcements[[#This Row],[Fay]]*Reinforcements[[#This Row],[Gross Area (in2)]])</f>
        <v>307.59176972550898</v>
      </c>
      <c r="CQ39" s="126">
        <f>IF(Reinforcements[[#This Row],[Reinforcement]]="","",0.6*VLOOKUP(Reinforcements[[#This Row],[Material]],Materials[],2,FALSE)*Reinforcements[[#This Row],[Gross Area (in2)]])</f>
        <v>316.875</v>
      </c>
      <c r="CR39" s="126">
        <f>IF(Reinforcements[[#This Row],[Reinforcement]]="","",0.5*VLOOKUP(Reinforcements[[#This Row],[Material]],Materials[],3,FALSE)*Reinforcements[[#This Row],[Net Area (in2)]]*Reinforcements[[#This Row],[Shear Lag (U)]])</f>
        <v>262.5</v>
      </c>
      <c r="CS39" s="126">
        <f>IF(Reinforcements[[#This Row],[Reinforcement]]="","",0.4*VLOOKUP(Reinforcements[[#This Row],[Material]],Materials[],2,FALSE)*Reinforcements[[#This Row],[Gross Area (in2)]])</f>
        <v>211.25</v>
      </c>
      <c r="CT39"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6"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6"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26">
        <f>IF(Reinforcements[[#This Row],[Reinforcement]]="","",φ_c*Reinforcements[[#This Row],[Fcr,x]]*Reinforcements[[#This Row],[Gross Area (in2)]])</f>
        <v>401.54219847447263</v>
      </c>
      <c r="DI39" s="126">
        <f>IF(Reinforcements[[#This Row],[Reinforcement]]="","",φ_c*Reinforcements[[#This Row],[Fcr,y]]*Reinforcements[[#This Row],[Gross Area (in2)]])</f>
        <v>470.70261916434481</v>
      </c>
      <c r="DJ39" s="126">
        <f>IF(Reinforcements[[#This Row],[Reinforcement]]="","",φ_t_y*VLOOKUP(Reinforcements[[#This Row],[Material]],Materials[],2,FALSE)*Reinforcements[[#This Row],[Gross Area (in2)]])</f>
        <v>475.3125</v>
      </c>
      <c r="DK39" s="126">
        <f>IF(Reinforcements[[#This Row],[Reinforcement]]="","",φ_t_r*VLOOKUP(Reinforcements[[#This Row],[Material]],Materials[],3,FALSE)*Reinforcements[[#This Row],[Net Area (in2)]]*Reinforcements[[#This Row],[Shear Lag (U)]])</f>
        <v>393.75</v>
      </c>
      <c r="DL39" s="126">
        <f>IF(Reinforcements[[#This Row],[Reinforcement]]="","",φ_v*0.5*Reinforcements[[#This Row],[F''y]]*Reinforcements[[#This Row],[Gross Area (in2)]])</f>
        <v>237.65625</v>
      </c>
      <c r="DM39"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6"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6"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111" t="str">
        <f>IF(OR(Reinforcements[[#This Row],[Type]]="plate",Reinforcements[[#This Row],[Type]]="solid round"),"N/A",Reinforcements[[#This Row],[B (in)]])</f>
        <v>N/A</v>
      </c>
      <c r="EB39" s="6" t="str">
        <f>IF(OR(Reinforcements[[#This Row],[Type]]="plate",Reinforcements[[#This Row],[Type]]="solid round"),"N/A",Reinforcements[[#This Row],[H (in)]])</f>
        <v>N/A</v>
      </c>
      <c r="EC39" s="6" t="str">
        <f>IF(OR(Reinforcements[[#This Row],[Type]]="plate",Reinforcements[[#This Row],[Type]]="solid round"),"N/A",Reinforcements[[#This Row],[B (in)]]-Reinforcements[[#This Row],['[Channel'] Flange Thickness (in)]])</f>
        <v>N/A</v>
      </c>
      <c r="ED39" s="6" t="str">
        <f>IF(OR(Reinforcements[[#This Row],[Type]]="plate",Reinforcements[[#This Row],[Type]]="solid round"),"N/A",Reinforcements[[#This Row],['[Channel']Web Thickness (in)]])</f>
        <v>N/A</v>
      </c>
      <c r="EE39" s="6" t="str">
        <f>IF(OR(Reinforcements[[#This Row],[Type]]="plate",Reinforcements[[#This Row],[Type]]="solid round"),"N/A",Reinforcements[[#This Row],['[Channel'] Flange Thickness (in)]])</f>
        <v>N/A</v>
      </c>
      <c r="EF39" s="6" t="str">
        <f>IF(Reinforcements[[#This Row],[Type]]="channel",Reinforcements[[#This Row],[Channel Flange Width, b]]/Reinforcements[[#This Row],[Channel flange thickness, tf]],"N/A")</f>
        <v>N/A</v>
      </c>
      <c r="EG39" s="6" t="str">
        <f>IF(Reinforcements[[#This Row],[Type]]="channel",Reinforcements[[#This Row],[Channel inside depth, T]]/Reinforcements[[#This Row],[Channel web thickness, tw]],"N/A")</f>
        <v>N/A</v>
      </c>
      <c r="EH39" s="6">
        <f>29000</f>
        <v>29000</v>
      </c>
      <c r="EI39" s="6" t="str">
        <f>IF(Reinforcements[[#This Row],[Type]]="channel",0.56*SQRT(Reinforcements[[#This Row],[E, (ksi)]]/Reinforcements[[#This Row],[Fy, (ksi)]]),"N/A")</f>
        <v>N/A</v>
      </c>
      <c r="EJ39" s="6" t="str">
        <f>IF(Reinforcements[[#This Row],[Type]]="channel",1.49*SQRT(Reinforcements[[#This Row],[E, (ksi)]]/Reinforcements[[#This Row],[Fy, (ksi)]]),"N/A")</f>
        <v>N/A</v>
      </c>
      <c r="EK39" s="6">
        <f>VLOOKUP(Reinforcements[[#This Row],[Material]],Materials!$B$2:$C$30,2,FALSE)</f>
        <v>65</v>
      </c>
      <c r="EL39" s="6">
        <f>Reinforcements[[#This Row],[Lu (in)]]*Reinforcements[[#This Row],[Effective Length Factor Kx]]</f>
        <v>15.200000000000001</v>
      </c>
      <c r="EM39" s="6">
        <f>Reinforcements[[#This Row],[Lu (in)]]*Reinforcements[[#This Row],[Effective Length Factor Ky]]</f>
        <v>19</v>
      </c>
      <c r="EN39" s="6">
        <f>Reinforcements[[#This Row],[rx]]</f>
        <v>0.36084391824351608</v>
      </c>
      <c r="EO39" s="6">
        <f>Reinforcements[[#This Row],[ry]]</f>
        <v>1.8763883748662837</v>
      </c>
      <c r="EP39" s="6">
        <f>Reinforcements[[#This Row],[Lcx (in)]]/Reinforcements[[#This Row],[rx (in)]]</f>
        <v>42.1234756400751</v>
      </c>
      <c r="EQ39" s="6">
        <f>Reinforcements[[#This Row],[Lcy (in)]]/Reinforcements[[#This Row],[ry (in)]]</f>
        <v>10.125835490402666</v>
      </c>
      <c r="ER39" s="6">
        <f>((PI()^2)*Reinforcements[[#This Row],[E, (ksi)]])/(Reinforcements[[#This Row],[Lcx/rx]]^2)</f>
        <v>161.30556376398079</v>
      </c>
      <c r="ES39" s="6">
        <f>((PI()^2)*Reinforcements[[#This Row],[E, (ksi)]])/(Reinforcements[[#This Row],[Lcy/ry]]^2)</f>
        <v>2791.4895642739466</v>
      </c>
      <c r="ET39" s="6">
        <f>4.71*(SQRT(Reinforcements[[#This Row],[E, (ksi)]]/Reinforcements[[#This Row],[Fy, (ksi)]]))</f>
        <v>99.486288193205496</v>
      </c>
      <c r="EU39" s="6">
        <f>IF(Reinforcements[[#This Row],[Lcx/rx]]&lt;=Reinforcements[[#This Row],[Fcr Limit]],(0.658^(Reinforcements[[#This Row],[Fy, (ksi)]]/Reinforcements[[#This Row],[Fex, FB (ksi)]]))*Reinforcements[[#This Row],[Fy, (ksi)]],0.877*Reinforcements[[#This Row],[Fex, FB (ksi)]])</f>
        <v>54.911753637534716</v>
      </c>
      <c r="EV39" s="6">
        <f>IF(Reinforcements[[#This Row],[Lcy/ry]]&lt;=Reinforcements[[#This Row],[Fcr Limit]],(0.658^(Reinforcements[[#This Row],[Fy, (ksi)]]/Reinforcements[[#This Row],[Fey, FB (ksi)]]))*Reinforcements[[#This Row],[Fy, (ksi)]],0.877*Reinforcements[[#This Row],[Fey, FB (ksi)]])</f>
        <v>64.369588945551428</v>
      </c>
      <c r="EW39" s="6">
        <f>Reinforcements[[#This Row],[Fcrx (ksi)]]*Reinforcements[[#This Row],[Gross Area (in2)]]</f>
        <v>446.15799830496957</v>
      </c>
      <c r="EX39" s="6">
        <f>Reinforcements[[#This Row],[Fcry (ksi)]]*Reinforcements[[#This Row],[Gross Area (in2)]]</f>
        <v>523.00291018260532</v>
      </c>
      <c r="EY39" s="6" t="str">
        <f>IF(Reinforcements[[#This Row],[Type]]="channel",0,"N/A")</f>
        <v>N/A</v>
      </c>
      <c r="EZ39" s="6" t="str">
        <f>IF(Reinforcements[[#This Row],[Type]]="channel",Reinforcements[[#This Row],[Channel Flange Width, b]]-(0.5*Reinforcements[[#This Row],[Channel web thickness, tw]]),"N/A")</f>
        <v>N/A</v>
      </c>
      <c r="FA39" s="6" t="str">
        <f>IF(Reinforcements[[#This Row],[Type]]="channel",Reinforcements[[#This Row],[Channel Height, h]]-Reinforcements[[#This Row],[Channel flange thickness, tf]],"N/A")</f>
        <v>N/A</v>
      </c>
      <c r="FB39" s="6" t="str">
        <f>IF(Reinforcements[[#This Row],[Type]]="channel",Reinforcements[[#This Row],[Channel web thickness, tw]],"N/A")</f>
        <v>N/A</v>
      </c>
      <c r="FC39" s="6" t="str">
        <f>IF(Reinforcements[[#This Row],[Type]]="channel",((3*Reinforcements[[#This Row],[b]]^2)/(Reinforcements[[#This Row],[h]]+(6*Reinforcements[[#This Row],[b]])))-Reinforcements[[#This Row],[t]]/2,"N/A")</f>
        <v>N/A</v>
      </c>
      <c r="FD39" s="6">
        <f>Reinforcements[[#This Row],[Pole Face to Centroid (in)]]</f>
        <v>0.625</v>
      </c>
      <c r="FE39" s="6" t="str">
        <f>IF(Reinforcements[[#This Row],[Type]]="channel",Reinforcements[[#This Row],[x(bar)]]+Reinforcements[[#This Row],['[Channel'] e0 (in)]],"N/A")</f>
        <v>N/A</v>
      </c>
      <c r="FF39" s="6" t="str">
        <f>IF(Reinforcements[[#This Row],[Type]]="channel",Reinforcements[[#This Row],[Ix]],"N/A")</f>
        <v>N/A</v>
      </c>
      <c r="FG39" s="6" t="str">
        <f>IF(Reinforcements[[#This Row],[Type]]="channel",Reinforcements[[#This Row],[Iy]],"N/A")</f>
        <v>N/A</v>
      </c>
      <c r="FH39" s="6" t="str">
        <f>IF(Reinforcements[[#This Row],[Type]]="channel",Reinforcements[[#This Row],[Gross Area (in2)]],"N/A")</f>
        <v>N/A</v>
      </c>
      <c r="FI39" s="6" t="str">
        <f>IF(Reinforcements[[#This Row],[Type]]="channel",(Reinforcements[[#This Row],[xo]]^2)+((Reinforcements[[#This Row],[Ix (FTB)]]+Reinforcements[[#This Row],[Iy (FTB)]])/Reinforcements[[#This Row],[Ag]]),"N/A")</f>
        <v>N/A</v>
      </c>
      <c r="FJ39" s="6" t="str">
        <f>IF(Reinforcements[[#This Row],[Type]]="channel",Reinforcements[[#This Row],[Lu (in)]],"N/A")</f>
        <v>N/A</v>
      </c>
      <c r="FK39" s="6" t="str">
        <f>IF(Reinforcements[[#This Row],[Type]]="channel",Reinforcements[[#This Row],[Effective Length Factor Kx]],"N/A")</f>
        <v>N/A</v>
      </c>
      <c r="FL39" s="6" t="str">
        <f>IF(Reinforcements[[#This Row],[Type]]="channel",Reinforcements[[#This Row],[Kz]]*Reinforcements[[#This Row],[Lz]],"N/A")</f>
        <v>N/A</v>
      </c>
      <c r="FM39" s="6" t="str">
        <f>IF(Reinforcements[[#This Row],[Type]]="channel",(((Reinforcements[[#This Row],[t]]^3)/3)*(Reinforcements[[#This Row],[h]]+(2*Reinforcements[[#This Row],[b]]))),"N/A")</f>
        <v>N/A</v>
      </c>
      <c r="FN39" s="6" t="str">
        <f>IF(Reinforcements[[#This Row],[Type]]="channel",(1-(((Reinforcements[[#This Row],[xo]]^2)+(Reinforcements[[#This Row],[yo]]^2))/Reinforcements[[#This Row],[ro^2(bar)]])),"N/A")</f>
        <v>N/A</v>
      </c>
      <c r="FO39" s="6">
        <v>11200</v>
      </c>
      <c r="FP39" s="6" t="str">
        <f>IF(Reinforcements[[#This Row],[Type]]="channel",(((Reinforcements[[#This Row],[h]]^2)*(Reinforcements[[#This Row],[b]]^3)*Reinforcements[[#This Row],[t]])/12)*(((2*Reinforcements[[#This Row],[h]])+(3*Reinforcements[[#This Row],[b]]))/(Reinforcements[[#This Row],[h]]+(6*Reinforcements[[#This Row],[b]]))),"N/A")</f>
        <v>N/A</v>
      </c>
      <c r="FQ39" s="6" t="str">
        <f>IF(Reinforcements[[#This Row],[Type]]="Channel",((((PI()^2)*Reinforcements[[#This Row],[E, (ksi)]]*Reinforcements[[#This Row],['[Channel'] CW (in6)]])/(Reinforcements[[#This Row],[Lcz]]^2))+(Reinforcements[[#This Row],[G]]*Reinforcements[[#This Row],['[Channel'] J (in4)]]))*(1/(Reinforcements[[#This Row],[Ag]]*Reinforcements[[#This Row],[ro^2(bar)]])),"N/A")</f>
        <v>N/A</v>
      </c>
      <c r="FR39" s="6" t="str">
        <f>IF(Reinforcements[[#This Row],[Type]]="channel",((PI()^2)*Reinforcements[[#This Row],[E, (ksi)]])/(Reinforcements[[#This Row],[Lcy/ry]]^2),"N/A")</f>
        <v>N/A</v>
      </c>
      <c r="FS39" s="6" t="str">
        <f>IF(Reinforcements[[#This Row],[Type]]="channel",((Reinforcements[[#This Row],[Fey]]+Reinforcements[[#This Row],[Fez]])/(2*Reinforcements[[#This Row],[H2]]))*(1-SQRT(1-((4*Reinforcements[[#This Row],[Fey]]*Reinforcements[[#This Row],[Fez]]*Reinforcements[[#This Row],[H2]])/(Reinforcements[[#This Row],[Fey]]+Reinforcements[[#This Row],[Fez]])^2))),"N/A")</f>
        <v>N/A</v>
      </c>
      <c r="FT39" s="6" t="str">
        <f>IF(Reinforcements[[#This Row],[Type]]="channel",IF(Reinforcements[[#This Row],[Lcx/rx]]&gt;(4.71*SQRT(Reinforcements[[#This Row],[E, (ksi)]]/Reinforcements[[#This Row],[Fy, (ksi)]])),0.877*Reinforcements[[#This Row],[Fe (FTB)]],0.658^(Reinforcements[[#This Row],[Fy, (ksi)]]/Reinforcements[[#This Row],[Fe (FTB)]])*Reinforcements[[#This Row],[Fy, (ksi)]]),"N/A")</f>
        <v>N/A</v>
      </c>
      <c r="FU39" s="6" t="str">
        <f>IF(Reinforcements[[#This Row],[Type]]="channel",MIN(Reinforcements[[#This Row],[Fcr(FTB)]],Reinforcements[[#This Row],[Fcry (ksi)]]),"N/A")</f>
        <v>N/A</v>
      </c>
      <c r="FV39" s="6">
        <v>0.22</v>
      </c>
      <c r="FW39" s="6">
        <v>1.49</v>
      </c>
      <c r="FX39" s="6" t="str">
        <f>IF(Reinforcements[[#This Row],[Type]]="channel",((Reinforcements[[#This Row],[c2]]*(Reinforcements[[#This Row],[λrf]]/Reinforcements[[#This Row],[λf]]))^2)*Reinforcements[[#This Row],[Fy, (ksi)]],"N/A")</f>
        <v>N/A</v>
      </c>
      <c r="FY39" s="6" t="str">
        <f>IF(Reinforcements[[#This Row],[Type]]="channel",((Reinforcements[[#This Row],[c2]]*(Reinforcements[[#This Row],[λrw]]/Reinforcements[[#This Row],[λw]]))^2)*Reinforcements[[#This Row],[Fy, (ksi)]],"N/A")</f>
        <v>N/A</v>
      </c>
      <c r="FZ3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6" t="str">
        <f>IF(Reinforcements[[#This Row],[Type]]="channel",Reinforcements[[#This Row],[Fcr]]*Reinforcements[[#This Row],[Ae]],"N/A")</f>
        <v>N/A</v>
      </c>
      <c r="GD39">
        <f>IF(Reinforcements[[#This Row],[Reinforcement]]="","",φ_c*Reinforcements[[#This Row],[Pnx, FB (kip)]])</f>
        <v>401.54219847447263</v>
      </c>
      <c r="GE39">
        <f>IF(Reinforcements[[#This Row],[Reinforcement]]="","",IF(Reinforcements[[#This Row],[Type]]="channel",φ_c*Reinforcements[[#This Row],[Pn]],φ_c*Reinforcements[[#This Row],[Pny, FB (kip)]]))</f>
        <v>470.70261916434481</v>
      </c>
      <c r="GF39">
        <f>Reinforcements[[#This Row],[Rev. G Tension Yield Capacity (kips)]]</f>
        <v>475.3125</v>
      </c>
      <c r="GG39">
        <f>Reinforcements[[#This Row],[Rev. G Tension Rupture Capacity (kips)]]</f>
        <v>393.75</v>
      </c>
      <c r="GH39">
        <f>Reinforcements[[#This Row],[Rev. G Shear Capacity (kips)]]</f>
        <v>237.65625</v>
      </c>
      <c r="GI39" t="str">
        <f>IFERROR((Reinforcements[[#This Row],['# of End Connection Bolts          (Bottom)]]-1)*Reinforcements[[#This Row],[End Connection Bolt Spacing (in) (B)]],"-")</f>
        <v>-</v>
      </c>
      <c r="GJ39">
        <f>IFERROR(IF(VLOOKUP(Reinforcements[[#This Row],[Bottom End Connection Bolt Type]],Bolts[],COLUMN(Bolts[[#Headers],[Rev. H Apply Connection Length Reduction Factor (Rb)?]])-1,FALSE)="Yes",(IF(Reinforcements[[#This Row],[Lb(bottom)]]&lt;=16,1,IF(Reinforcements[[#This Row],[Lb(bottom)]]&gt;38,0.75,0.9))),1),"-")</f>
        <v>1</v>
      </c>
      <c r="GK3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f>IFERROR(IF(Reinforcements[[#This Row],[Top End Connection Same?]]="Yes",Reinforcements[[#This Row],[Lb(bottom)]],(Reinforcements[[#This Row],['# of End Connection Bolts          (Top)]]-1)*Reinforcements[[#This Row],[End Connection Bolt Spacing (in) (T)]]),"-")</f>
        <v>30</v>
      </c>
      <c r="GM39">
        <f>IFERROR(IF(VLOOKUP(Reinforcements[[#This Row],[Top End Connection Bolt Type]],Bolts[],COLUMN(Bolts[[#Headers],[Rev. H Apply Connection Length Reduction Factor (Rb)?]])-1,FALSE)=TRUE,(IF(Reinforcements[[#This Row],[Lb(top)]]&lt;=16,1,IF(Reinforcements[[#This Row],[Lb(top)]]&gt;38,0.75,0.9))),1),"-")</f>
        <v>0.9</v>
      </c>
      <c r="GN3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t="str">
        <f>Reinforcements[[#This Row],[Rev. G Bolt-Shaft Bearing Capacity (Bottom)                No Deformation          (*t*Fu kips)]]</f>
        <v>-</v>
      </c>
      <c r="GP39" t="str">
        <f>Reinforcements[[#This Row],[Rev. G Bolt-Shaft Bearing Capacity (Bottom)                   Deformation          (*t*Fu kips)]]</f>
        <v>-</v>
      </c>
      <c r="GQ39">
        <f>Reinforcements[[#This Row],[Rev. G Bolt-Shaft Bearing Capacity (Top)                    No Deformation          (*t*Fu kips)]]</f>
        <v>21.73228346456693</v>
      </c>
      <c r="GR39">
        <f>Reinforcements[[#This Row],[Rev. G Bolt-Shaft Bearing Capacity (Top)                        Deformation          (*t*Fu kips)]]</f>
        <v>27.165354330708666</v>
      </c>
      <c r="GS39" t="str">
        <f>Reinforcements[[#This Row],[Rev. G Bolt-Reinf. Bearing Capacity (Bottom)            No Deformation (kips)]]</f>
        <v>-</v>
      </c>
      <c r="GT39" t="str">
        <f>Reinforcements[[#This Row],[Rev. G Bolt-Reinf. Bearing Capacity (Bottom)               Deformation (kips)]]</f>
        <v>-</v>
      </c>
      <c r="GU39">
        <f>Reinforcements[[#This Row],[Rev. G Bolt-Reinf. Bearing Capacity (Top)                  No Deformation (kips)]]</f>
        <v>2173.2283464566931</v>
      </c>
      <c r="GV39">
        <f>Reinforcements[[#This Row],[Rev. G Bolt-Reinf. Bearing Capacity (Top)               Deformation (kips)]]</f>
        <v>2716.535433070866</v>
      </c>
      <c r="GW39" t="str">
        <f>Reinforcements[[#This Row],[Rev. G Bottom Transverse Weld Strength]]</f>
        <v>-</v>
      </c>
      <c r="GX39" t="str">
        <f>Reinforcements[[#This Row],[Rev. G Bottom Longitudinal Weld Strength]]</f>
        <v>-</v>
      </c>
      <c r="GY39" t="str">
        <f>Reinforcements[[#This Row],[Rev. G Top Transverse Weld Strength]]</f>
        <v>-</v>
      </c>
      <c r="GZ39" t="str">
        <f>Reinforcements[[#This Row],[Rev. G Top Longitudinal Weld Strength]]</f>
        <v>-</v>
      </c>
      <c r="HA39">
        <v>37</v>
      </c>
      <c r="HB3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49" t="s">
        <v>397</v>
      </c>
      <c r="C40" s="49" t="s">
        <v>352</v>
      </c>
      <c r="D40" s="111">
        <v>8.5</v>
      </c>
      <c r="E40" s="111">
        <v>1.25</v>
      </c>
      <c r="F40" s="111" t="str">
        <f>IF(Reinforcements[[#This Row],[Type]]="","",IF(Reinforcements[[#This Row],[Type]]="solid round","","n/a"))</f>
        <v>n/a</v>
      </c>
      <c r="G40" s="111" t="str">
        <f>IF(Reinforcements[[#This Row],[Type]]="","",IF(Reinforcements[[#This Row],[Type]]&lt;&gt;"channel","n/a",""))</f>
        <v>n/a</v>
      </c>
      <c r="H40" s="111" t="str">
        <f>IF(Reinforcements[[#This Row],[Type]]="","",IF(Reinforcements[[#This Row],[Type]]&lt;&gt;"channel","n/a",""))</f>
        <v>n/a</v>
      </c>
      <c r="I40" s="124" t="str">
        <f>IF(Reinforcements[[#This Row],[Type]]="","",IF(Reinforcements[[#This Row],[Type]]&lt;&gt;"channel","n/a",Reinforcements[[#This Row],[eo]]))</f>
        <v>n/a</v>
      </c>
      <c r="J40" s="124" t="str">
        <f>IF(Reinforcements[[#This Row],[Type]]="","",IF(Reinforcements[[#This Row],[Type]]&lt;&gt;"channel","n/a",Reinforcements[[#This Row],[J]]))</f>
        <v>n/a</v>
      </c>
      <c r="K40" s="124" t="str">
        <f>IF(Reinforcements[[#This Row],[Type]]="","",IF(Reinforcements[[#This Row],[Type]]&lt;&gt;"channel","n/a",Reinforcements[[#This Row],[Cw]]))</f>
        <v>n/a</v>
      </c>
      <c r="L40" s="111">
        <f>IFERROR(IF(Reinforcements[[#This Row],[Type]]="","",IF(Reinforcements[[#This Row],[Type]]="plate",Reinforcements[[#This Row],[B (in)]]*Reinforcements[[#This Row],[H (in)]],IF(Reinforcements[[#This Row],[Type]]="solid round",PI()/4*Reinforcements[[#This Row],[Diameter (in)]]^2,""))),"")</f>
        <v>10.625</v>
      </c>
      <c r="M40" s="111">
        <f>IFERROR(IF(Reinforcements[[#This Row],[Type]]="","",IF(Reinforcements[[#This Row],[Type]]="plate",Reinforcements[[#This Row],[H (in)]]/2,"")),"")</f>
        <v>0.625</v>
      </c>
      <c r="N40" s="34" t="s">
        <v>353</v>
      </c>
      <c r="O40" s="111" t="s">
        <v>138</v>
      </c>
      <c r="P40" s="125">
        <f>IFERROR(IF(Reinforcements[[#This Row],[Type]]="","",IF(Reinforcements[[#This Row],[Type]]="plate",Reinforcements[[#This Row],[B (in)]]*Reinforcements[[#This Row],[H (in)]]^3/12,IF(Reinforcements[[#This Row],[Type]]="solid round",PI()/64*Reinforcements[[#This Row],[Diameter (in)]]^4,""))),"")</f>
        <v>1.3834635416666667</v>
      </c>
      <c r="Q40" s="125">
        <f>IF(Reinforcements[[#This Row],[Reinforcement]]="","",SQRT(Reinforcements[[#This Row],[Ix]]/Reinforcements[[#This Row],[Gross Area (in2)]]))</f>
        <v>0.36084391824351614</v>
      </c>
      <c r="R40" s="125">
        <f>IFERROR(IF(Reinforcements[[#This Row],[Type]]="","",IF(Reinforcements[[#This Row],[Type]]="plate",Reinforcements[[#This Row],[B (in)]]^3*Reinforcements[[#This Row],[H (in)]]/12,IF(Reinforcements[[#This Row],[Type]]="solid round",PI()/64*Reinforcements[[#This Row],[Diameter (in)]]^4,""))),"")</f>
        <v>63.971354166666664</v>
      </c>
      <c r="S40" s="125">
        <f>IF(Reinforcements[[#This Row],[Reinforcement]]="","",SQRT(Reinforcements[[#This Row],[Iy]]/Reinforcements[[#This Row],[Gross Area (in2)]]))</f>
        <v>2.4537386440559095</v>
      </c>
      <c r="T40" s="111">
        <v>17</v>
      </c>
      <c r="U40" s="111">
        <v>0.8</v>
      </c>
      <c r="V40" s="111">
        <v>1</v>
      </c>
      <c r="W40" s="111">
        <v>1.1875</v>
      </c>
      <c r="X40" s="111">
        <f>IF(Reinforcements[[#This Row],[Bolt Hole Size (in)]]="","",IF(Reinforcements[[#This Row],[Bolt Hole Size (in)]]="n/a","n/a",Reinforcements[[#This Row],[Bolt Hole Size (in)]]*25.4))</f>
        <v>30.162499999999998</v>
      </c>
      <c r="Y40" s="111">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111">
        <f>IFERROR(IF(Reinforcements[[#This Row],[Reinforcement]]="","",IF(OR(Reinforcements[[#This Row],[Type]]="plate",Reinforcements[[#This Row],[Type]]="solid round"),1,IF(Reinforcements[[#This Row],[Type]]="arbitrary","",1-Reinforcements[[#This Row],[Pole Face to Centroid (in)]]/Reinforcements[[#This Row],[Connection Length (in) '[Channels']]]))),"")</f>
        <v>1</v>
      </c>
      <c r="AA40" s="34" t="s">
        <v>382</v>
      </c>
      <c r="AB40" s="34" t="str">
        <f>IF(Reinforcements[[#This Row],[Reinforcement]]="","",IF(Reinforcements[[#This Row],[Bottom End Connection Type]]&lt;&gt;"Capacity Input","-",""))</f>
        <v>-</v>
      </c>
      <c r="AC40" s="34" t="str">
        <f>IF(Reinforcements[[#This Row],[Reinforcement]]="","",IF(Reinforcements[[#This Row],[Bottom End Connection Type]]&lt;&gt;"Capacity Input","-",""))</f>
        <v>-</v>
      </c>
      <c r="AD40" s="16" t="str">
        <f>IF(Reinforcements[[#This Row],[Reinforcement]]="","",IF(Reinforcements[[#This Row],[Bottom End Connection Type]]&lt;&gt;"Capacity Input","-",""))</f>
        <v>-</v>
      </c>
      <c r="AE40" s="74" t="str">
        <f>IF(Reinforcements[[#This Row],[Reinforcement]]="","",IF(Reinforcements[[#This Row],[Bottom End Connection Type]]="","-",IF(Reinforcements[[#This Row],[Bottom End Connection Type]]&lt;&gt;"Bolted","-","")))</f>
        <v>-</v>
      </c>
      <c r="AF40" s="111" t="str">
        <f>IF(Reinforcements[[#This Row],[Bottom End Connection Type]]="Welded","-","")</f>
        <v>-</v>
      </c>
      <c r="AG40" s="111" t="str">
        <f>IF(Reinforcements[[#This Row],[Bottom End Connection Type]]="Welded","-","")</f>
        <v>-</v>
      </c>
      <c r="AH40" s="111" t="str">
        <f>IF(Reinforcements[[#This Row],[Bottom End Connection Type]]="Welded","-","")</f>
        <v>-</v>
      </c>
      <c r="AI40" s="111" t="str">
        <f>IF(Reinforcements[[#This Row],[Bottom End Connection Type]]="Welded","-","")</f>
        <v>-</v>
      </c>
      <c r="AJ40" s="111" t="e">
        <f>Reinforcements[[#This Row],[End Connection Edge Distance (in) (B)]]-(Reinforcements[[#This Row],[Bolt Hole Size (in)]]+1/16)/2</f>
        <v>#VALUE!</v>
      </c>
      <c r="AK40" s="111" t="e">
        <f>Reinforcements[[#This Row],[End Connection Bolt Spacing (in) (B)]]-(Reinforcements[[#This Row],[Bolt Hole Size (in)]]+1/16)</f>
        <v>#VALUE!</v>
      </c>
      <c r="AL40" s="111" t="str">
        <f>Reinforcements[[#This Row],[End Connection Edge Distance (in) (B)]]</f>
        <v>-</v>
      </c>
      <c r="AM40" s="111" t="str">
        <f>Reinforcements[[#This Row],[End Connection Bolt Spacing (in) (B)]]</f>
        <v>-</v>
      </c>
      <c r="AN40" s="111" t="s">
        <v>357</v>
      </c>
      <c r="AO40" s="111">
        <v>70</v>
      </c>
      <c r="AP40" s="111" t="s">
        <v>383</v>
      </c>
      <c r="AQ40" s="111">
        <v>8.5</v>
      </c>
      <c r="AR40" s="111">
        <v>1.25</v>
      </c>
      <c r="AS40" s="111">
        <v>45</v>
      </c>
      <c r="AT40" s="111">
        <v>0.625</v>
      </c>
      <c r="AU40"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111" t="s">
        <v>384</v>
      </c>
      <c r="AW40" s="111" t="str">
        <f>IF(Reinforcements[[#This Row],[Reinforcement]]="","",IF(OR(Reinforcements[[#This Row],[Bottom End Connection Type]]&lt;&gt;"Welded",Reinforcements[[#This Row],[Bottom Longitudinal (Vertical) Weld]]="None",Reinforcements[[#This Row],[Bottom Longitudinal (Vertical) Weld]]=""),"-",""))</f>
        <v>-</v>
      </c>
      <c r="AX40" s="111" t="str">
        <f>IF(Reinforcements[[#This Row],[Reinforcement]]="","",IF(OR(Reinforcements[[#This Row],[Bottom End Connection Type]]&lt;&gt;"Welded",Reinforcements[[#This Row],[Bottom Longitudinal (Vertical) Weld]]="None",Reinforcements[[#This Row],[Bottom Longitudinal (Vertical) Weld]]=""),"-",""))</f>
        <v>-</v>
      </c>
      <c r="AY40" s="111" t="str">
        <f>IF(Reinforcements[[#This Row],[Reinforcement]]="","",IF(OR(Reinforcements[[#This Row],[Bottom End Connection Type]]&lt;&gt;"Welded",Reinforcements[[#This Row],[Bottom Longitudinal (Vertical) Weld]]="None"),"-",SQRT(2)/2*Reinforcements[[#This Row],[Bottom Longitudinal Weld Fillet Size (in)]]))</f>
        <v>-</v>
      </c>
      <c r="AZ40" s="111" t="s">
        <v>353</v>
      </c>
      <c r="BA40" s="34" t="s">
        <v>354</v>
      </c>
      <c r="BB40" s="34" t="str">
        <f>IF(Reinforcements[[#This Row],[Reinforcement]]="","",IF(Reinforcements[[#This Row],[Top End Connection Same?]]="Yes",Reinforcements[[#This Row],[Rev. F Bottom Connection Capacity (kips)]],IF(Reinforcements[[#This Row],[Reinforcement]]="","",IF(Reinforcements[[#This Row],[Top End Connection Type]]&lt;&gt;"Capacity Input","-",""))))</f>
        <v>-</v>
      </c>
      <c r="BC40" s="34" t="str">
        <f>IF(Reinforcements[[#This Row],[Reinforcement]]="","",IF(Reinforcements[[#This Row],[Top End Connection Same?]]="Yes",Reinforcements[[#This Row],[Rev. G Bottom Connection Capacity (kips)]],IF(Reinforcements[[#This Row],[Reinforcement]]="","",IF(Reinforcements[[#This Row],[Top End Connection Type]]&lt;&gt;"Capacity Input","-",""))))</f>
        <v>-</v>
      </c>
      <c r="BD40" s="16" t="str">
        <f>IF(Reinforcements[[#This Row],[Reinforcement]]="","",IF(Reinforcements[[#This Row],[Top End Connection Same?]]="Yes",Reinforcements[[#This Row],[Rev. G Bottom Connection Capacity (kips)]],IF(Reinforcements[[#This Row],[Reinforcement]]="","",IF(Reinforcements[[#This Row],[Top End Connection Type]]&lt;&gt;"Capacity Input","-",""))))</f>
        <v>-</v>
      </c>
      <c r="BE40" s="128" t="s">
        <v>355</v>
      </c>
      <c r="BF40" s="111" t="s">
        <v>356</v>
      </c>
      <c r="BG40" s="111">
        <v>15</v>
      </c>
      <c r="BH40" s="111">
        <v>3</v>
      </c>
      <c r="BI40" s="111">
        <v>3</v>
      </c>
      <c r="BJ40" s="111">
        <f>Reinforcements[[#This Row],[End Connection Edge Distance (in) (T)]]-(Reinforcements[[#This Row],[Bolt Hole Size (in)]]+1/16)/2</f>
        <v>2.375</v>
      </c>
      <c r="BK40" s="111">
        <f>Reinforcements[[#This Row],[End Connection Bolt Spacing (in) (T)]]-(Reinforcements[[#This Row],[Bolt Hole Size (in)]]+1/16)</f>
        <v>1.75</v>
      </c>
      <c r="BL40" s="111">
        <f>Reinforcements[[#This Row],[End Connection Edge Distance (in) (T)]]</f>
        <v>3</v>
      </c>
      <c r="BM40" s="111">
        <f>Reinforcements[[#This Row],[End Connection Bolt Spacing (in) (T)]]</f>
        <v>3</v>
      </c>
      <c r="BN40" s="111" t="str">
        <f>IF(Reinforcements[[#This Row],[Reinforcement]]="","",IF(Reinforcements[[#This Row],[Top End Connection Same?]]="Yes",Reinforcements[[#This Row],[Bottom Connected to Flange/Base Plate?]],IF(Reinforcements[[#This Row],[Top End Connection Type]]="Bolted","-","")))</f>
        <v>-</v>
      </c>
      <c r="BO40" s="111" t="str">
        <f>IF(Reinforcements[[#This Row],[Reinforcement]]="","",IF(Reinforcements[[#This Row],[Top End Connection Same?]]="Yes",Reinforcements[[#This Row],[Bottom Weld Grade (ksi)]],IF(OR(Reinforcements[[#This Row],[Top End Connection Type]]&lt;&gt;"Welded",Reinforcements[[#This Row],[Top End Connection Type]]=""),"-","")))</f>
        <v>-</v>
      </c>
      <c r="BP40" s="111" t="str">
        <f>IF($AZ40="Yes",AP40,IF(Reinforcements[[#This Row],[Reinforcement]]="","",IF(OR(Reinforcements[[#This Row],[Top End Connection Type]]&lt;&gt;"Welded",Reinforcements[[#This Row],[Top End Connection Type]]=""),"-","")))</f>
        <v>-</v>
      </c>
      <c r="BQ40" s="111" t="str">
        <f>IF(Reinforcements[[#This Row],[Reinforcement]]="","",IF($AZ40="Yes",AQ40,IF(OR(Reinforcements[[#This Row],[Top End Connection Type]]&lt;&gt;"Welded",Reinforcements[[#This Row],[Top Transverse (Horizontal) Weld]]="none",Reinforcements[[#This Row],[Top Transverse (Horizontal) Weld]]=""),"-","")))</f>
        <v>-</v>
      </c>
      <c r="BR40" s="111"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111"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111" t="str">
        <f>IF(Reinforcements[[#This Row],[Reinforcement]]="","",IF($AZ40="Yes",AT40,IF(OR(Reinforcements[[#This Row],[Top Transverse (Horizontal) Weld]]="none",Reinforcements[[#This Row],[Top End Connection Type]]&lt;&gt;"Welded",Reinforcements[[#This Row],[Top Transverse (Horizontal) Weld]]=""),"-","")))</f>
        <v>-</v>
      </c>
      <c r="BU40" s="111"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111" t="str">
        <f>IF($AZ40="Yes",AV40,IF(Reinforcements[[#This Row],[Reinforcement]]="","",IF(OR(Reinforcements[[#This Row],[Top End Connection Type]]&lt;&gt;"Welded",Reinforcements[[#This Row],[Top End Connection Type]]=""),"-","")))</f>
        <v>-</v>
      </c>
      <c r="BW40" s="111"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111"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111" t="str">
        <f>IF($AZ40="Yes",AY40,IF(Reinforcements[[#This Row],[Reinforcement]]="","",IF(OR(Reinforcements[[#This Row],[Top End Connection Type]]&lt;&gt;"Welded",Reinforcements[[#This Row],[Top Longitudinal (Vertical) Weld]]="none"),"-",SQRT(2)/2*Reinforcements[[#This Row],[Top Longitudinal Weld Fillet Size (in)]])))</f>
        <v>-</v>
      </c>
      <c r="BZ4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111">
        <f>IF(Reinforcements[[#This Row],[Reinforcement]]="","",IF(Reinforcements[[#This Row],[Top End Connection Type]]&lt;&gt;"Bolted","n/a",(Reinforcements[[#This Row],['# of End Connection Bolts          (Top)]]-1)*Reinforcements[[#This Row],[End Connection Bolt Spacing (in) (T)]]+Reinforcements[[#This Row],[End Connection Edge Distance (in) (T)]]))</f>
        <v>45</v>
      </c>
      <c r="CC40" s="11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11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111">
        <f>IFERROR(IF(Reinforcements[[#This Row],[Type]]="","",Reinforcements[[#This Row],[Effective B (in)]]*Reinforcements[[#This Row],[Effective H (in)]]^3/12),"")</f>
        <v>1.3834635416666667</v>
      </c>
      <c r="CF40" s="111">
        <f>IFERROR(IF(Reinforcements[[#This Row],[Type]]="","",Reinforcements[[#This Row],[Effective B (in)]]^3*Reinforcements[[#This Row],[Effective H (in)]]/12),"")</f>
        <v>63.971354166666664</v>
      </c>
      <c r="CG40" s="124">
        <f>SQRT(2*PI()^2*29000/VLOOKUP(Reinforcements[[#This Row],[Material]],Materials[],2,FALSE))</f>
        <v>93.844147005158973</v>
      </c>
      <c r="CH40" s="12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12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125">
        <f>Reinforcements[[#This Row],[Effective Length Factor Kx]]*Reinforcements[[#This Row],[Lu (in)]]/(Reinforcements[[#This Row],[rx]]*PI())*SQRT(VLOOKUP(Reinforcements[[#This Row],[Material]],Materials[],2,FALSE)/29000)</f>
        <v>0.56797252150453015</v>
      </c>
      <c r="CK40" s="125">
        <f>Reinforcements[[#This Row],[Effective Length Factor Ky]]*Reinforcements[[#This Row],[Lu (in)]]/(Reinforcements[[#This Row],[ry]]*PI())*SQRT(VLOOKUP(Reinforcements[[#This Row],[Material]],Materials[],2,FALSE)/29000)</f>
        <v>0.10440671351186218</v>
      </c>
      <c r="CL40" s="125">
        <f>IF(Reinforcements[[#This Row],[λcx]]&lt;=1.5,0.658^(Reinforcements[[#This Row],[λcx]]^2)*Reinforcements[[#This Row],[F''y]],0.877/(Reinforcements[[#This Row],[λcx]]^2)*Reinforcements[[#This Row],[F''y]])</f>
        <v>56.790323341365259</v>
      </c>
      <c r="CM40" s="125">
        <f>IF(Reinforcements[[#This Row],[λcy]]&lt;=1.5,0.658^(Reinforcements[[#This Row],[λcy]]^2)*Reinforcements[[#This Row],[F''y]],0.877/(Reinforcements[[#This Row],[λcy]]^2)*Reinforcements[[#This Row],[F''y]])</f>
        <v>64.704111863315191</v>
      </c>
      <c r="CN40" s="111">
        <f>VLOOKUP(Reinforcements[[#This Row],[Material]],Materials[],2,FALSE)</f>
        <v>65</v>
      </c>
      <c r="CO40" s="124">
        <f>IF(Reinforcements[[#This Row],[Reinforcement]]="","",Reinforcements[[#This Row],[Fax]]*Reinforcements[[#This Row],[Gross Area (in2)]])</f>
        <v>350.94841254296813</v>
      </c>
      <c r="CP40" s="124">
        <f>IF(Reinforcements[[#This Row],[Reinforcement]]="","",Reinforcements[[#This Row],[Fay]]*Reinforcements[[#This Row],[Gross Area (in2)]])</f>
        <v>406.50555073613361</v>
      </c>
      <c r="CQ40" s="124">
        <f>IF(Reinforcements[[#This Row],[Reinforcement]]="","",0.6*VLOOKUP(Reinforcements[[#This Row],[Material]],Materials[],2,FALSE)*Reinforcements[[#This Row],[Gross Area (in2)]])</f>
        <v>414.375</v>
      </c>
      <c r="CR40" s="124">
        <f>IF(Reinforcements[[#This Row],[Reinforcement]]="","",0.5*VLOOKUP(Reinforcements[[#This Row],[Material]],Materials[],3,FALSE)*Reinforcements[[#This Row],[Net Area (in2)]]*Reinforcements[[#This Row],[Shear Lag (U)]])</f>
        <v>362.5</v>
      </c>
      <c r="CS40" s="124">
        <f>IF(Reinforcements[[#This Row],[Reinforcement]]="","",0.4*VLOOKUP(Reinforcements[[#This Row],[Material]],Materials[],2,FALSE)*Reinforcements[[#This Row],[Gross Area (in2)]])</f>
        <v>276.25</v>
      </c>
      <c r="CT40" s="1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124">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1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1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124">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124">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1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124">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124">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111"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111"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124">
        <f>IF(Reinforcements[[#This Row],[Reinforcement]]="","",φ_c*Reinforcements[[#This Row],[Fcr,x]]*Reinforcements[[#This Row],[Gross Area (in2)]])</f>
        <v>543.05746695180528</v>
      </c>
      <c r="DI40" s="124">
        <f>IF(Reinforcements[[#This Row],[Reinforcement]]="","",φ_c*Reinforcements[[#This Row],[Fcr,y]]*Reinforcements[[#This Row],[Gross Area (in2)]])</f>
        <v>618.73306969295152</v>
      </c>
      <c r="DJ40" s="124">
        <f>IF(Reinforcements[[#This Row],[Reinforcement]]="","",φ_t_y*VLOOKUP(Reinforcements[[#This Row],[Material]],Materials[],2,FALSE)*Reinforcements[[#This Row],[Gross Area (in2)]])</f>
        <v>621.5625</v>
      </c>
      <c r="DK40" s="124">
        <f>IF(Reinforcements[[#This Row],[Reinforcement]]="","",φ_t_r*VLOOKUP(Reinforcements[[#This Row],[Material]],Materials[],3,FALSE)*Reinforcements[[#This Row],[Net Area (in2)]]*Reinforcements[[#This Row],[Shear Lag (U)]])</f>
        <v>543.75</v>
      </c>
      <c r="DL40" s="124">
        <f>IF(Reinforcements[[#This Row],[Reinforcement]]="","",φ_v*0.5*Reinforcements[[#This Row],[F''y]]*Reinforcements[[#This Row],[Gross Area (in2)]])</f>
        <v>310.78125</v>
      </c>
      <c r="DM40" s="1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124">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1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1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124">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124">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1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1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124">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124">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111"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111"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111" t="str">
        <f>IF(OR(Reinforcements[[#This Row],[Type]]="plate",Reinforcements[[#This Row],[Type]]="solid round"),"N/A",Reinforcements[[#This Row],[B (in)]])</f>
        <v>N/A</v>
      </c>
      <c r="EB40" s="6" t="str">
        <f>IF(OR(Reinforcements[[#This Row],[Type]]="plate",Reinforcements[[#This Row],[Type]]="solid round"),"N/A",Reinforcements[[#This Row],[H (in)]])</f>
        <v>N/A</v>
      </c>
      <c r="EC40" s="6" t="str">
        <f>IF(OR(Reinforcements[[#This Row],[Type]]="plate",Reinforcements[[#This Row],[Type]]="solid round"),"N/A",Reinforcements[[#This Row],[B (in)]]-Reinforcements[[#This Row],['[Channel'] Flange Thickness (in)]])</f>
        <v>N/A</v>
      </c>
      <c r="ED40" s="6" t="str">
        <f>IF(OR(Reinforcements[[#This Row],[Type]]="plate",Reinforcements[[#This Row],[Type]]="solid round"),"N/A",Reinforcements[[#This Row],['[Channel']Web Thickness (in)]])</f>
        <v>N/A</v>
      </c>
      <c r="EE40" s="6" t="str">
        <f>IF(OR(Reinforcements[[#This Row],[Type]]="plate",Reinforcements[[#This Row],[Type]]="solid round"),"N/A",Reinforcements[[#This Row],['[Channel'] Flange Thickness (in)]])</f>
        <v>N/A</v>
      </c>
      <c r="EF40" s="6" t="str">
        <f>IF(Reinforcements[[#This Row],[Type]]="channel",Reinforcements[[#This Row],[Channel Flange Width, b]]/Reinforcements[[#This Row],[Channel flange thickness, tf]],"N/A")</f>
        <v>N/A</v>
      </c>
      <c r="EG40" s="6" t="str">
        <f>IF(Reinforcements[[#This Row],[Type]]="channel",Reinforcements[[#This Row],[Channel inside depth, T]]/Reinforcements[[#This Row],[Channel web thickness, tw]],"N/A")</f>
        <v>N/A</v>
      </c>
      <c r="EH40" s="6">
        <f>29000</f>
        <v>29000</v>
      </c>
      <c r="EI40" s="6" t="str">
        <f>IF(Reinforcements[[#This Row],[Type]]="channel",0.56*SQRT(Reinforcements[[#This Row],[E, (ksi)]]/Reinforcements[[#This Row],[Fy, (ksi)]]),"N/A")</f>
        <v>N/A</v>
      </c>
      <c r="EJ40" s="6" t="str">
        <f>IF(Reinforcements[[#This Row],[Type]]="channel",1.49*SQRT(Reinforcements[[#This Row],[E, (ksi)]]/Reinforcements[[#This Row],[Fy, (ksi)]]),"N/A")</f>
        <v>N/A</v>
      </c>
      <c r="EK40" s="6">
        <f>VLOOKUP(Reinforcements[[#This Row],[Material]],Materials!$B$2:$C$30,2,FALSE)</f>
        <v>65</v>
      </c>
      <c r="EL40" s="6">
        <f>Reinforcements[[#This Row],[Lu (in)]]*Reinforcements[[#This Row],[Effective Length Factor Kx]]</f>
        <v>13.600000000000001</v>
      </c>
      <c r="EM40" s="6">
        <f>Reinforcements[[#This Row],[Lu (in)]]*Reinforcements[[#This Row],[Effective Length Factor Ky]]</f>
        <v>17</v>
      </c>
      <c r="EN40" s="6">
        <f>Reinforcements[[#This Row],[rx]]</f>
        <v>0.36084391824351614</v>
      </c>
      <c r="EO40" s="6">
        <f>Reinforcements[[#This Row],[ry]]</f>
        <v>2.4537386440559095</v>
      </c>
      <c r="EP40" s="6">
        <f>Reinforcements[[#This Row],[Lcx (in)]]/Reinforcements[[#This Row],[rx (in)]]</f>
        <v>37.689425572698774</v>
      </c>
      <c r="EQ40" s="6">
        <f>Reinforcements[[#This Row],[Lcy (in)]]/Reinforcements[[#This Row],[ry (in)]]</f>
        <v>6.9282032302755097</v>
      </c>
      <c r="ER40" s="6">
        <f>((PI()^2)*Reinforcements[[#This Row],[E, (ksi)]])/(Reinforcements[[#This Row],[Lcx/rx]]^2)</f>
        <v>201.49241702005904</v>
      </c>
      <c r="ES40" s="6">
        <f>((PI()^2)*Reinforcements[[#This Row],[E, (ksi)]])/(Reinforcements[[#This Row],[Lcy/ry]]^2)</f>
        <v>5962.8859923248192</v>
      </c>
      <c r="ET40" s="6">
        <f>4.71*(SQRT(Reinforcements[[#This Row],[E, (ksi)]]/Reinforcements[[#This Row],[Fy, (ksi)]]))</f>
        <v>99.486288193205496</v>
      </c>
      <c r="EU40" s="6">
        <f>IF(Reinforcements[[#This Row],[Lcx/rx]]&lt;=Reinforcements[[#This Row],[Fcr Limit]],(0.658^(Reinforcements[[#This Row],[Fy, (ksi)]]/Reinforcements[[#This Row],[Fex, FB (ksi)]]))*Reinforcements[[#This Row],[Fy, (ksi)]],0.877*Reinforcements[[#This Row],[Fex, FB (ksi)]])</f>
        <v>56.790323341365259</v>
      </c>
      <c r="EV40" s="6">
        <f>IF(Reinforcements[[#This Row],[Lcy/ry]]&lt;=Reinforcements[[#This Row],[Fcr Limit]],(0.658^(Reinforcements[[#This Row],[Fy, (ksi)]]/Reinforcements[[#This Row],[Fey, FB (ksi)]]))*Reinforcements[[#This Row],[Fy, (ksi)]],0.877*Reinforcements[[#This Row],[Fey, FB (ksi)]])</f>
        <v>64.704111863315191</v>
      </c>
      <c r="EW40" s="6">
        <f>Reinforcements[[#This Row],[Fcrx (ksi)]]*Reinforcements[[#This Row],[Gross Area (in2)]]</f>
        <v>603.39718550200587</v>
      </c>
      <c r="EX40" s="6">
        <f>Reinforcements[[#This Row],[Fcry (ksi)]]*Reinforcements[[#This Row],[Gross Area (in2)]]</f>
        <v>687.48118854772395</v>
      </c>
      <c r="EY40" s="6" t="str">
        <f>IF(Reinforcements[[#This Row],[Type]]="channel",0,"N/A")</f>
        <v>N/A</v>
      </c>
      <c r="EZ40" s="6" t="str">
        <f>IF(Reinforcements[[#This Row],[Type]]="channel",Reinforcements[[#This Row],[Channel Flange Width, b]]-(0.5*Reinforcements[[#This Row],[Channel web thickness, tw]]),"N/A")</f>
        <v>N/A</v>
      </c>
      <c r="FA40" s="6" t="str">
        <f>IF(Reinforcements[[#This Row],[Type]]="channel",Reinforcements[[#This Row],[Channel Height, h]]-Reinforcements[[#This Row],[Channel flange thickness, tf]],"N/A")</f>
        <v>N/A</v>
      </c>
      <c r="FB40" s="6" t="str">
        <f>IF(Reinforcements[[#This Row],[Type]]="channel",Reinforcements[[#This Row],[Channel web thickness, tw]],"N/A")</f>
        <v>N/A</v>
      </c>
      <c r="FC40" s="6" t="str">
        <f>IF(Reinforcements[[#This Row],[Type]]="channel",((3*Reinforcements[[#This Row],[b]]^2)/(Reinforcements[[#This Row],[h]]+(6*Reinforcements[[#This Row],[b]])))-Reinforcements[[#This Row],[t]]/2,"N/A")</f>
        <v>N/A</v>
      </c>
      <c r="FD40" s="6">
        <f>Reinforcements[[#This Row],[Pole Face to Centroid (in)]]</f>
        <v>0.625</v>
      </c>
      <c r="FE40" s="6" t="str">
        <f>IF(Reinforcements[[#This Row],[Type]]="channel",Reinforcements[[#This Row],[x(bar)]]+Reinforcements[[#This Row],['[Channel'] e0 (in)]],"N/A")</f>
        <v>N/A</v>
      </c>
      <c r="FF40" s="6" t="str">
        <f>IF(Reinforcements[[#This Row],[Type]]="channel",Reinforcements[[#This Row],[Ix]],"N/A")</f>
        <v>N/A</v>
      </c>
      <c r="FG40" s="6" t="str">
        <f>IF(Reinforcements[[#This Row],[Type]]="channel",Reinforcements[[#This Row],[Iy]],"N/A")</f>
        <v>N/A</v>
      </c>
      <c r="FH40" s="6" t="str">
        <f>IF(Reinforcements[[#This Row],[Type]]="channel",Reinforcements[[#This Row],[Gross Area (in2)]],"N/A")</f>
        <v>N/A</v>
      </c>
      <c r="FI40" s="6" t="str">
        <f>IF(Reinforcements[[#This Row],[Type]]="channel",(Reinforcements[[#This Row],[xo]]^2)+((Reinforcements[[#This Row],[Ix (FTB)]]+Reinforcements[[#This Row],[Iy (FTB)]])/Reinforcements[[#This Row],[Ag]]),"N/A")</f>
        <v>N/A</v>
      </c>
      <c r="FJ40" s="6" t="str">
        <f>IF(Reinforcements[[#This Row],[Type]]="channel",Reinforcements[[#This Row],[Lu (in)]],"N/A")</f>
        <v>N/A</v>
      </c>
      <c r="FK40" s="6" t="str">
        <f>IF(Reinforcements[[#This Row],[Type]]="channel",Reinforcements[[#This Row],[Effective Length Factor Kx]],"N/A")</f>
        <v>N/A</v>
      </c>
      <c r="FL40" s="6" t="str">
        <f>IF(Reinforcements[[#This Row],[Type]]="channel",Reinforcements[[#This Row],[Kz]]*Reinforcements[[#This Row],[Lz]],"N/A")</f>
        <v>N/A</v>
      </c>
      <c r="FM40" s="6" t="str">
        <f>IF(Reinforcements[[#This Row],[Type]]="channel",(((Reinforcements[[#This Row],[t]]^3)/3)*(Reinforcements[[#This Row],[h]]+(2*Reinforcements[[#This Row],[b]]))),"N/A")</f>
        <v>N/A</v>
      </c>
      <c r="FN40" s="6" t="str">
        <f>IF(Reinforcements[[#This Row],[Type]]="channel",(1-(((Reinforcements[[#This Row],[xo]]^2)+(Reinforcements[[#This Row],[yo]]^2))/Reinforcements[[#This Row],[ro^2(bar)]])),"N/A")</f>
        <v>N/A</v>
      </c>
      <c r="FO40" s="6">
        <v>11200</v>
      </c>
      <c r="FP40" s="6" t="str">
        <f>IF(Reinforcements[[#This Row],[Type]]="channel",(((Reinforcements[[#This Row],[h]]^2)*(Reinforcements[[#This Row],[b]]^3)*Reinforcements[[#This Row],[t]])/12)*(((2*Reinforcements[[#This Row],[h]])+(3*Reinforcements[[#This Row],[b]]))/(Reinforcements[[#This Row],[h]]+(6*Reinforcements[[#This Row],[b]]))),"N/A")</f>
        <v>N/A</v>
      </c>
      <c r="FQ40" s="6" t="str">
        <f>IF(Reinforcements[[#This Row],[Type]]="Channel",((((PI()^2)*Reinforcements[[#This Row],[E, (ksi)]]*Reinforcements[[#This Row],['[Channel'] CW (in6)]])/(Reinforcements[[#This Row],[Lcz]]^2))+(Reinforcements[[#This Row],[G]]*Reinforcements[[#This Row],['[Channel'] J (in4)]]))*(1/(Reinforcements[[#This Row],[Ag]]*Reinforcements[[#This Row],[ro^2(bar)]])),"N/A")</f>
        <v>N/A</v>
      </c>
      <c r="FR40" s="6" t="str">
        <f>IF(Reinforcements[[#This Row],[Type]]="channel",((PI()^2)*Reinforcements[[#This Row],[E, (ksi)]])/(Reinforcements[[#This Row],[Lcy/ry]]^2),"N/A")</f>
        <v>N/A</v>
      </c>
      <c r="FS40" s="6" t="str">
        <f>IF(Reinforcements[[#This Row],[Type]]="channel",((Reinforcements[[#This Row],[Fey]]+Reinforcements[[#This Row],[Fez]])/(2*Reinforcements[[#This Row],[H2]]))*(1-SQRT(1-((4*Reinforcements[[#This Row],[Fey]]*Reinforcements[[#This Row],[Fez]]*Reinforcements[[#This Row],[H2]])/(Reinforcements[[#This Row],[Fey]]+Reinforcements[[#This Row],[Fez]])^2))),"N/A")</f>
        <v>N/A</v>
      </c>
      <c r="FT40" s="6" t="str">
        <f>IF(Reinforcements[[#This Row],[Type]]="channel",IF(Reinforcements[[#This Row],[Lcx/rx]]&gt;(4.71*SQRT(Reinforcements[[#This Row],[E, (ksi)]]/Reinforcements[[#This Row],[Fy, (ksi)]])),0.877*Reinforcements[[#This Row],[Fe (FTB)]],0.658^(Reinforcements[[#This Row],[Fy, (ksi)]]/Reinforcements[[#This Row],[Fe (FTB)]])*Reinforcements[[#This Row],[Fy, (ksi)]]),"N/A")</f>
        <v>N/A</v>
      </c>
      <c r="FU40" s="6" t="str">
        <f>IF(Reinforcements[[#This Row],[Type]]="channel",MIN(Reinforcements[[#This Row],[Fcr(FTB)]],Reinforcements[[#This Row],[Fcry (ksi)]]),"N/A")</f>
        <v>N/A</v>
      </c>
      <c r="FV40" s="6">
        <v>0.22</v>
      </c>
      <c r="FW40" s="6">
        <v>1.49</v>
      </c>
      <c r="FX40" s="6" t="str">
        <f>IF(Reinforcements[[#This Row],[Type]]="channel",((Reinforcements[[#This Row],[c2]]*(Reinforcements[[#This Row],[λrf]]/Reinforcements[[#This Row],[λf]]))^2)*Reinforcements[[#This Row],[Fy, (ksi)]],"N/A")</f>
        <v>N/A</v>
      </c>
      <c r="FY40" s="6" t="str">
        <f>IF(Reinforcements[[#This Row],[Type]]="channel",((Reinforcements[[#This Row],[c2]]*(Reinforcements[[#This Row],[λrw]]/Reinforcements[[#This Row],[λw]]))^2)*Reinforcements[[#This Row],[Fy, (ksi)]],"N/A")</f>
        <v>N/A</v>
      </c>
      <c r="FZ4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6" t="str">
        <f>IF(Reinforcements[[#This Row],[Type]]="channel",Reinforcements[[#This Row],[Fcr]]*Reinforcements[[#This Row],[Ae]],"N/A")</f>
        <v>N/A</v>
      </c>
      <c r="GD40">
        <f>IF(Reinforcements[[#This Row],[Reinforcement]]="","",φ_c*Reinforcements[[#This Row],[Pnx, FB (kip)]])</f>
        <v>543.05746695180528</v>
      </c>
      <c r="GE40">
        <f>IF(Reinforcements[[#This Row],[Reinforcement]]="","",IF(Reinforcements[[#This Row],[Type]]="channel",φ_c*Reinforcements[[#This Row],[Pn]],φ_c*Reinforcements[[#This Row],[Pny, FB (kip)]]))</f>
        <v>618.73306969295152</v>
      </c>
      <c r="GF40">
        <f>Reinforcements[[#This Row],[Rev. G Tension Yield Capacity (kips)]]</f>
        <v>621.5625</v>
      </c>
      <c r="GG40">
        <f>Reinforcements[[#This Row],[Rev. G Tension Rupture Capacity (kips)]]</f>
        <v>543.75</v>
      </c>
      <c r="GH40">
        <f>Reinforcements[[#This Row],[Rev. G Shear Capacity (kips)]]</f>
        <v>310.78125</v>
      </c>
      <c r="GI40" t="str">
        <f>IFERROR((Reinforcements[[#This Row],['# of End Connection Bolts          (Bottom)]]-1)*Reinforcements[[#This Row],[End Connection Bolt Spacing (in) (B)]],"-")</f>
        <v>-</v>
      </c>
      <c r="GJ40">
        <f>IFERROR(IF(VLOOKUP(Reinforcements[[#This Row],[Bottom End Connection Bolt Type]],Bolts[],COLUMN(Bolts[[#Headers],[Rev. H Apply Connection Length Reduction Factor (Rb)?]])-1,FALSE)="Yes",(IF(Reinforcements[[#This Row],[Lb(bottom)]]&lt;=16,1,IF(Reinforcements[[#This Row],[Lb(bottom)]]&gt;38,0.75,0.9))),1),"-")</f>
        <v>1</v>
      </c>
      <c r="GK4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f>IFERROR(IF(Reinforcements[[#This Row],[Top End Connection Same?]]="Yes",Reinforcements[[#This Row],[Lb(bottom)]],(Reinforcements[[#This Row],['# of End Connection Bolts          (Top)]]-1)*Reinforcements[[#This Row],[End Connection Bolt Spacing (in) (T)]]),"-")</f>
        <v>42</v>
      </c>
      <c r="GM40">
        <f>IFERROR(IF(VLOOKUP(Reinforcements[[#This Row],[Top End Connection Bolt Type]],Bolts[],COLUMN(Bolts[[#Headers],[Rev. H Apply Connection Length Reduction Factor (Rb)?]])-1,FALSE)=TRUE,(IF(Reinforcements[[#This Row],[Lb(top)]]&lt;=16,1,IF(Reinforcements[[#This Row],[Lb(top)]]&gt;38,0.75,0.9))),1),"-")</f>
        <v>0.75</v>
      </c>
      <c r="GN4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t="str">
        <f>Reinforcements[[#This Row],[Rev. G Bolt-Shaft Bearing Capacity (Bottom)                No Deformation          (*t*Fu kips)]]</f>
        <v>-</v>
      </c>
      <c r="GP40" t="str">
        <f>Reinforcements[[#This Row],[Rev. G Bolt-Shaft Bearing Capacity (Bottom)                   Deformation          (*t*Fu kips)]]</f>
        <v>-</v>
      </c>
      <c r="GQ40">
        <f>Reinforcements[[#This Row],[Rev. G Bolt-Shaft Bearing Capacity (Top)                    No Deformation          (*t*Fu kips)]]</f>
        <v>29.548346456692911</v>
      </c>
      <c r="GR40">
        <f>Reinforcements[[#This Row],[Rev. G Bolt-Shaft Bearing Capacity (Top)                        Deformation          (*t*Fu kips)]]</f>
        <v>36.935433070866146</v>
      </c>
      <c r="GS40" t="str">
        <f>Reinforcements[[#This Row],[Rev. G Bolt-Reinf. Bearing Capacity (Bottom)            No Deformation (kips)]]</f>
        <v>-</v>
      </c>
      <c r="GT40" t="str">
        <f>Reinforcements[[#This Row],[Rev. G Bolt-Reinf. Bearing Capacity (Bottom)               Deformation (kips)]]</f>
        <v>-</v>
      </c>
      <c r="GU40">
        <f>Reinforcements[[#This Row],[Rev. G Bolt-Reinf. Bearing Capacity (Top)                  No Deformation (kips)]]</f>
        <v>2954.8346456692916</v>
      </c>
      <c r="GV40">
        <f>Reinforcements[[#This Row],[Rev. G Bolt-Reinf. Bearing Capacity (Top)               Deformation (kips)]]</f>
        <v>3693.5433070866147</v>
      </c>
      <c r="GW40" t="str">
        <f>Reinforcements[[#This Row],[Rev. G Bottom Transverse Weld Strength]]</f>
        <v>-</v>
      </c>
      <c r="GX40" t="str">
        <f>Reinforcements[[#This Row],[Rev. G Bottom Longitudinal Weld Strength]]</f>
        <v>-</v>
      </c>
      <c r="GY40" t="str">
        <f>Reinforcements[[#This Row],[Rev. G Top Transverse Weld Strength]]</f>
        <v>-</v>
      </c>
      <c r="GZ40" t="str">
        <f>Reinforcements[[#This Row],[Rev. G Top Longitudinal Weld Strength]]</f>
        <v>-</v>
      </c>
      <c r="HA40">
        <v>38</v>
      </c>
      <c r="HB4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49" customFormat="1" x14ac:dyDescent="0.2">
      <c r="B41" s="49" t="s">
        <v>398</v>
      </c>
      <c r="C41" s="49" t="s">
        <v>399</v>
      </c>
      <c r="D41" s="6">
        <v>4.0599999999999996</v>
      </c>
      <c r="E41" s="6">
        <v>1.57</v>
      </c>
      <c r="F41" s="6" t="str">
        <f>IF(Reinforcements[[#This Row],[Type]]="","",IF(Reinforcements[[#This Row],[Type]]="solid round","","n/a"))</f>
        <v>n/a</v>
      </c>
      <c r="G41" s="6">
        <v>0.3</v>
      </c>
      <c r="H41" s="6">
        <v>0.64</v>
      </c>
      <c r="I41" s="126">
        <f>IF(Reinforcements[[#This Row],[Type]]="","",IF(Reinforcements[[#This Row],[Type]]&lt;&gt;"channel","n/a",Reinforcements[[#This Row],[eo]]))</f>
        <v>0.35663316582914573</v>
      </c>
      <c r="J41" s="126">
        <f>IF(Reinforcements[[#This Row],[Type]]="","",IF(Reinforcements[[#This Row],[Type]]&lt;&gt;"channel","n/a",Reinforcements[[#This Row],[J]]))</f>
        <v>5.6339999999999994E-2</v>
      </c>
      <c r="K41" s="126">
        <f>IF(Reinforcements[[#This Row],[Type]]="","",IF(Reinforcements[[#This Row],[Type]]&lt;&gt;"channel","n/a",Reinforcements[[#This Row],[Cw]]))</f>
        <v>0.77835174952160791</v>
      </c>
      <c r="L41" s="6">
        <v>2.92</v>
      </c>
      <c r="M41" s="6">
        <v>0.59</v>
      </c>
      <c r="N41" s="16" t="s">
        <v>353</v>
      </c>
      <c r="O41" s="6" t="s">
        <v>138</v>
      </c>
      <c r="P41" s="123">
        <v>0.66</v>
      </c>
      <c r="Q41" s="123">
        <f>IF(Reinforcements[[#This Row],[Reinforcement]]="","",SQRT(Reinforcements[[#This Row],[Ix]]/Reinforcements[[#This Row],[Gross Area (in2)]]))</f>
        <v>0.47542338737200757</v>
      </c>
      <c r="R41" s="123">
        <v>6.57</v>
      </c>
      <c r="S41" s="123">
        <f>IF(Reinforcements[[#This Row],[Reinforcement]]="","",SQRT(Reinforcements[[#This Row],[Iy]]/Reinforcements[[#This Row],[Gross Area (in2)]]))</f>
        <v>1.5</v>
      </c>
      <c r="T41" s="6">
        <v>18</v>
      </c>
      <c r="U41" s="6">
        <v>0.8</v>
      </c>
      <c r="V41" s="6">
        <v>1</v>
      </c>
      <c r="W41" s="6">
        <v>1.1875</v>
      </c>
      <c r="X41" s="6">
        <f>IF(Reinforcements[[#This Row],[Bolt Hole Size (in)]]="","",IF(Reinforcements[[#This Row],[Bolt Hole Size (in)]]="n/a","n/a",Reinforcements[[#This Row],[Bolt Hole Size (in)]]*25.4))</f>
        <v>30.162499999999998</v>
      </c>
      <c r="Y4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6">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34" t="s">
        <v>354</v>
      </c>
      <c r="AB41" s="34" t="str">
        <f>IF(Reinforcements[[#This Row],[Reinforcement]]="","",IF(Reinforcements[[#This Row],[Bottom End Connection Type]]&lt;&gt;"Capacity Input","-",""))</f>
        <v>-</v>
      </c>
      <c r="AC41" s="34" t="str">
        <f>IF(Reinforcements[[#This Row],[Reinforcement]]="","",IF(Reinforcements[[#This Row],[Bottom End Connection Type]]&lt;&gt;"Capacity Input","-",""))</f>
        <v>-</v>
      </c>
      <c r="AD41" s="16" t="str">
        <f>IF(Reinforcements[[#This Row],[Reinforcement]]="","",IF(Reinforcements[[#This Row],[Bottom End Connection Type]]&lt;&gt;"Capacity Input","-",""))</f>
        <v>-</v>
      </c>
      <c r="AE41" s="74" t="s">
        <v>355</v>
      </c>
      <c r="AF41" s="6" t="s">
        <v>356</v>
      </c>
      <c r="AG41" s="6">
        <v>5</v>
      </c>
      <c r="AH41" s="6">
        <v>3</v>
      </c>
      <c r="AI41" s="6">
        <v>2</v>
      </c>
      <c r="AJ41" s="6">
        <f>Reinforcements[[#This Row],[End Connection Edge Distance (in) (B)]]-(Reinforcements[[#This Row],[Bolt Hole Size (in)]]+1/16)/2</f>
        <v>1.375</v>
      </c>
      <c r="AK41" s="6">
        <f>Reinforcements[[#This Row],[End Connection Bolt Spacing (in) (B)]]-(Reinforcements[[#This Row],[Bolt Hole Size (in)]]+1/16)</f>
        <v>1.75</v>
      </c>
      <c r="AL41" s="6">
        <f>Reinforcements[[#This Row],[End Connection Edge Distance (in) (B)]]</f>
        <v>2</v>
      </c>
      <c r="AM41" s="6">
        <f>Reinforcements[[#This Row],[End Connection Bolt Spacing (in) (B)]]</f>
        <v>3</v>
      </c>
      <c r="AN41" s="6" t="str">
        <f>IF(Reinforcements[[#This Row],[Reinforcement]]="","",IF(OR(Reinforcements[[#This Row],[Bottom End Connection Type]]="Bolted",Reinforcements[[#This Row],[Bottom End Connection Type]]=""),"-",""))</f>
        <v>-</v>
      </c>
      <c r="AO41" s="111" t="str">
        <f>IF(Reinforcements[[#This Row],[Reinforcement]]="","",IF(OR(Reinforcements[[#This Row],[Bottom End Connection Type]]="Bolted",Reinforcements[[#This Row],[Bottom End Connection Type]]=""),"-",""))</f>
        <v>-</v>
      </c>
      <c r="AP41" s="111" t="str">
        <f>IF(Reinforcements[[#This Row],[Reinforcement]]="","",IF(OR(Reinforcements[[#This Row],[Bottom End Connection Type]]="Bolted",Reinforcements[[#This Row],[Bottom End Connection Type]]=""),"-",""))</f>
        <v>-</v>
      </c>
      <c r="AQ41" s="111" t="str">
        <f>IF(OR(Reinforcements[[#This Row],[Bottom End Connection Type]]="Bolted",Reinforcements[[#This Row],[Bottom Transverse (Horizontal) Weld]]="none"),"-","")</f>
        <v>-</v>
      </c>
      <c r="AR4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11" t="str">
        <f>IF(OR(Reinforcements[[#This Row],[Bottom Transverse (Horizontal) Weld]]="none",Reinforcements[[#This Row],[Bottom End Connection Type]]="Bolted"),"-","")</f>
        <v>-</v>
      </c>
      <c r="AU4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11" t="str">
        <f>IF(Reinforcements[[#This Row],[Reinforcement]]="","",IF(OR(Reinforcements[[#This Row],[Bottom End Connection Type]]="Bolted",Reinforcements[[#This Row],[Bottom End Connection Type]]=""),"-",""))</f>
        <v>-</v>
      </c>
      <c r="AW41" s="111" t="str">
        <f>IF(Reinforcements[[#This Row],[Reinforcement]]="","",IF(OR(Reinforcements[[#This Row],[Bottom End Connection Type]]&lt;&gt;"Welded",Reinforcements[[#This Row],[Bottom Longitudinal (Vertical) Weld]]="None",Reinforcements[[#This Row],[Bottom Longitudinal (Vertical) Weld]]=""),"-",""))</f>
        <v>-</v>
      </c>
      <c r="AX41" s="111" t="str">
        <f>IF(Reinforcements[[#This Row],[Reinforcement]]="","",IF(OR(Reinforcements[[#This Row],[Bottom End Connection Type]]&lt;&gt;"Welded",Reinforcements[[#This Row],[Bottom Longitudinal (Vertical) Weld]]="None",Reinforcements[[#This Row],[Bottom Longitudinal (Vertical) Weld]]=""),"-",""))</f>
        <v>-</v>
      </c>
      <c r="AY41" s="6" t="str">
        <f>IF(Reinforcements[[#This Row],[Reinforcement]]="","",IF(OR(Reinforcements[[#This Row],[Bottom End Connection Type]]&lt;&gt;"Welded",Reinforcements[[#This Row],[Bottom Longitudinal (Vertical) Weld]]="None"),"-",SQRT(2)/2*Reinforcements[[#This Row],[Bottom Longitudinal Weld Fillet Size (in)]]))</f>
        <v>-</v>
      </c>
      <c r="AZ41" s="6" t="s">
        <v>357</v>
      </c>
      <c r="BA41" s="16" t="str">
        <f>IF(Reinforcements[[#This Row],[Top End Connection Same?]]="Yes",Reinforcements[[#This Row],[Bottom End Connection Type]],"")</f>
        <v>Bolted</v>
      </c>
      <c r="BB41" s="16" t="str">
        <f>IF(Reinforcements[[#This Row],[Reinforcement]]="","",IF(Reinforcements[[#This Row],[Top End Connection Same?]]="Yes",Reinforcements[[#This Row],[Rev. F Bottom Connection Capacity (kips)]],IF(Reinforcements[[#This Row],[Reinforcement]]="","",IF(Reinforcements[[#This Row],[Top End Connection Type]]&lt;&gt;"Capacity Input","-",""))))</f>
        <v>-</v>
      </c>
      <c r="BC41" s="16" t="str">
        <f>IF(Reinforcements[[#This Row],[Reinforcement]]="","",IF(Reinforcements[[#This Row],[Top End Connection Same?]]="Yes",Reinforcements[[#This Row],[Rev. G Bottom Connection Capacity (kips)]],IF(Reinforcements[[#This Row],[Reinforcement]]="","",IF(Reinforcements[[#This Row],[Top End Connection Type]]&lt;&gt;"Capacity Input","-",""))))</f>
        <v>-</v>
      </c>
      <c r="BD41" s="16" t="str">
        <f>IF(Reinforcements[[#This Row],[Reinforcement]]="","",IF(Reinforcements[[#This Row],[Top End Connection Same?]]="Yes",Reinforcements[[#This Row],[Rev. G Bottom Connection Capacity (kips)]],IF(Reinforcements[[#This Row],[Reinforcement]]="","",IF(Reinforcements[[#This Row],[Top End Connection Type]]&lt;&gt;"Capacity Input","-",""))))</f>
        <v>-</v>
      </c>
      <c r="BE41" s="74" t="str">
        <f>IF(Reinforcements[[#This Row],[Top End Connection Same?]]="Yes",Reinforcements[[#This Row],[Bottom End Connection Bolt Type]],IF(Reinforcements[[#This Row],[Top End Connection Type]]="Welded","-",""))</f>
        <v>PC 8.8 - M20 (100)</v>
      </c>
      <c r="BF41" s="6" t="str">
        <f>IF(Reinforcements[[#This Row],[Top End Connection Same?]]="Yes",Reinforcements[[#This Row],[Threads Included (N) or Excluded (X) (Bottom)]],IF(Reinforcements[[#This Row],[Top End Connection Type]]="Welded","-",""))</f>
        <v>N</v>
      </c>
      <c r="BG41" s="6">
        <f>IF(Reinforcements[[#This Row],[Top End Connection Same?]]="Yes",Reinforcements[[#This Row],['# of End Connection Bolts          (Bottom)]],IF(Reinforcements[[#This Row],[Top End Connection Type]]="Welded","-",""))</f>
        <v>5</v>
      </c>
      <c r="BH41" s="6">
        <f>IF(Reinforcements[[#This Row],[Top End Connection Same?]]="Yes",Reinforcements[[#This Row],[End Connection Bolt Spacing (in) (B)]],IF(Reinforcements[[#This Row],[Top End Connection Type]]="Welded","-",""))</f>
        <v>3</v>
      </c>
      <c r="BI41" s="6">
        <f>IF(Reinforcements[[#This Row],[Top End Connection Same?]]="Yes",Reinforcements[[#This Row],[End Connection Edge Distance (in) (B)]],IF(Reinforcements[[#This Row],[Top End Connection Type]]="Welded","-",""))</f>
        <v>2</v>
      </c>
      <c r="BJ41" s="6">
        <f>Reinforcements[[#This Row],[End Connection Edge Distance (in) (T)]]-(Reinforcements[[#This Row],[Bolt Hole Size (in)]]+1/16)/2</f>
        <v>1.375</v>
      </c>
      <c r="BK41" s="6">
        <f>Reinforcements[[#This Row],[End Connection Bolt Spacing (in) (T)]]-(Reinforcements[[#This Row],[Bolt Hole Size (in)]]+1/16)</f>
        <v>1.75</v>
      </c>
      <c r="BL41" s="6">
        <f>Reinforcements[[#This Row],[End Connection Edge Distance (in) (T)]]</f>
        <v>2</v>
      </c>
      <c r="BM41" s="6">
        <f>Reinforcements[[#This Row],[End Connection Bolt Spacing (in) (T)]]</f>
        <v>3</v>
      </c>
      <c r="BN41" s="6" t="str">
        <f>IF(Reinforcements[[#This Row],[Reinforcement]]="","",IF(Reinforcements[[#This Row],[Top End Connection Same?]]="Yes",Reinforcements[[#This Row],[Bottom Connected to Flange/Base Plate?]],IF(Reinforcements[[#This Row],[Top End Connection Type]]="Bolted","-","")))</f>
        <v>-</v>
      </c>
      <c r="BO41" s="6" t="str">
        <f>IF(Reinforcements[[#This Row],[Reinforcement]]="","",IF(Reinforcements[[#This Row],[Top End Connection Same?]]="Yes",Reinforcements[[#This Row],[Bottom Weld Grade (ksi)]],IF(OR(Reinforcements[[#This Row],[Top End Connection Type]]&lt;&gt;"Welded",Reinforcements[[#This Row],[Top End Connection Type]]=""),"-","")))</f>
        <v>-</v>
      </c>
      <c r="BP41" s="6" t="str">
        <f>IF($AZ41="Yes",AP41,IF(Reinforcements[[#This Row],[Reinforcement]]="","",IF(OR(Reinforcements[[#This Row],[Top End Connection Type]]&lt;&gt;"Welded",Reinforcements[[#This Row],[Top End Connection Type]]=""),"-","")))</f>
        <v>-</v>
      </c>
      <c r="BQ41" s="6" t="str">
        <f>IF(Reinforcements[[#This Row],[Reinforcement]]="","",IF($AZ41="Yes",AQ41,IF(OR(Reinforcements[[#This Row],[Top End Connection Type]]&lt;&gt;"Welded",Reinforcements[[#This Row],[Top Transverse (Horizontal) Weld]]="none",Reinforcements[[#This Row],[Top Transverse (Horizontal) Weld]]=""),"-","")))</f>
        <v>-</v>
      </c>
      <c r="BR41" s="6"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6"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6" t="str">
        <f>IF(Reinforcements[[#This Row],[Reinforcement]]="","",IF($AZ41="Yes",AT41,IF(OR(Reinforcements[[#This Row],[Top Transverse (Horizontal) Weld]]="none",Reinforcements[[#This Row],[Top End Connection Type]]&lt;&gt;"Welded",Reinforcements[[#This Row],[Top Transverse (Horizontal) Weld]]=""),"-","")))</f>
        <v>-</v>
      </c>
      <c r="BU41" s="6"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6" t="str">
        <f>IF($AZ41="Yes",AV41,IF(Reinforcements[[#This Row],[Reinforcement]]="","",IF(OR(Reinforcements[[#This Row],[Top End Connection Type]]&lt;&gt;"Welded",Reinforcements[[#This Row],[Top End Connection Type]]=""),"-","")))</f>
        <v>-</v>
      </c>
      <c r="BW41" s="6"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6"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6" t="str">
        <f>IF($AZ41="Yes",AY41,IF(Reinforcements[[#This Row],[Reinforcement]]="","",IF(OR(Reinforcements[[#This Row],[Top End Connection Type]]&lt;&gt;"Welded",Reinforcements[[#This Row],[Top Longitudinal (Vertical) Weld]]="none"),"-",SQRT(2)/2*Reinforcements[[#This Row],[Top Longitudinal Weld Fillet Size (in)]])))</f>
        <v>-</v>
      </c>
      <c r="BZ41"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111">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111">
        <f>IF(Reinforcements[[#This Row],[Reinforcement]]="","",IF(Reinforcements[[#This Row],[Top End Connection Type]]&lt;&gt;"Bolted","n/a",(Reinforcements[[#This Row],['# of End Connection Bolts          (Top)]]-1)*Reinforcements[[#This Row],[End Connection Bolt Spacing (in) (T)]]+Reinforcements[[#This Row],[End Connection Edge Distance (in) (T)]]))</f>
        <v>14</v>
      </c>
      <c r="CC4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6">
        <f>IFERROR(IF(Reinforcements[[#This Row],[Type]]="","",Reinforcements[[#This Row],[Effective B (in)]]*Reinforcements[[#This Row],[Effective H (in)]]^3/12),"")</f>
        <v>0.3388173333333333</v>
      </c>
      <c r="CF41" s="6">
        <f>IFERROR(IF(Reinforcements[[#This Row],[Type]]="","",Reinforcements[[#This Row],[Effective B (in)]]^3*Reinforcements[[#This Row],[Effective H (in)]]/12),"")</f>
        <v>1.4900584123336207</v>
      </c>
      <c r="CG41" s="126">
        <f>SQRT(2*PI()^2*29000/VLOOKUP(Reinforcements[[#This Row],[Material]],Materials[],2,FALSE))</f>
        <v>93.844147005158973</v>
      </c>
      <c r="CH4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123">
        <f>Reinforcements[[#This Row],[Effective Length Factor Kx]]*Reinforcements[[#This Row],[Lu (in)]]/(Reinforcements[[#This Row],[rx]]*PI())*SQRT(VLOOKUP(Reinforcements[[#This Row],[Material]],Materials[],2,FALSE)/29000)</f>
        <v>0.45644636908616876</v>
      </c>
      <c r="CK41" s="123">
        <f>Reinforcements[[#This Row],[Effective Length Factor Ky]]*Reinforcements[[#This Row],[Lu (in)]]/(Reinforcements[[#This Row],[ry]]*PI())*SQRT(VLOOKUP(Reinforcements[[#This Row],[Material]],Materials[],2,FALSE)/29000)</f>
        <v>0.18083773245383328</v>
      </c>
      <c r="CL41" s="123">
        <f>IF(Reinforcements[[#This Row],[λcx]]&lt;=1.5,0.658^(Reinforcements[[#This Row],[λcx]]^2)*Reinforcements[[#This Row],[F''y]],0.877/(Reinforcements[[#This Row],[λcx]]^2)*Reinforcements[[#This Row],[F''y]])</f>
        <v>59.57196719428164</v>
      </c>
      <c r="CM41" s="123">
        <f>IF(Reinforcements[[#This Row],[λcy]]&lt;=1.5,0.658^(Reinforcements[[#This Row],[λcy]]^2)*Reinforcements[[#This Row],[F''y]],0.877/(Reinforcements[[#This Row],[λcy]]^2)*Reinforcements[[#This Row],[F''y]])</f>
        <v>64.116370218110077</v>
      </c>
      <c r="CN41" s="6">
        <f>VLOOKUP(Reinforcements[[#This Row],[Material]],Materials[],2,FALSE)</f>
        <v>65</v>
      </c>
      <c r="CO41" s="126">
        <f>IF(Reinforcements[[#This Row],[Reinforcement]]="","",Reinforcements[[#This Row],[Fax]]*Reinforcements[[#This Row],[Gross Area (in2)]])</f>
        <v>100.87712929287211</v>
      </c>
      <c r="CP41" s="126">
        <f>IF(Reinforcements[[#This Row],[Reinforcement]]="","",Reinforcements[[#This Row],[Fay]]*Reinforcements[[#This Row],[Gross Area (in2)]])</f>
        <v>109.80691853038222</v>
      </c>
      <c r="CQ41" s="126">
        <f>IF(Reinforcements[[#This Row],[Reinforcement]]="","",0.6*VLOOKUP(Reinforcements[[#This Row],[Material]],Materials[],2,FALSE)*Reinforcements[[#This Row],[Gross Area (in2)]])</f>
        <v>113.88</v>
      </c>
      <c r="CR41" s="126">
        <f>IF(Reinforcements[[#This Row],[Reinforcement]]="","",0.5*VLOOKUP(Reinforcements[[#This Row],[Material]],Materials[],3,FALSE)*Reinforcements[[#This Row],[Net Area (in2)]]*Reinforcements[[#This Row],[Shear Lag (U)]])</f>
        <v>96.79483333333333</v>
      </c>
      <c r="CS41" s="126">
        <f>IF(Reinforcements[[#This Row],[Reinforcement]]="","",0.4*VLOOKUP(Reinforcements[[#This Row],[Material]],Materials[],2,FALSE)*Reinforcements[[#This Row],[Gross Area (in2)]])</f>
        <v>75.92</v>
      </c>
      <c r="CT41"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6"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6"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126">
        <f>IF(Reinforcements[[#This Row],[Reinforcement]]="","",φ_c*Reinforcements[[#This Row],[Fcr,x]]*Reinforcements[[#This Row],[Gross Area (in2)]])</f>
        <v>156.55512978657217</v>
      </c>
      <c r="DI41" s="126">
        <f>IF(Reinforcements[[#This Row],[Reinforcement]]="","",φ_c*Reinforcements[[#This Row],[Fcr,y]]*Reinforcements[[#This Row],[Gross Area (in2)]])</f>
        <v>168.49782093319328</v>
      </c>
      <c r="DJ41" s="126">
        <f>IF(Reinforcements[[#This Row],[Reinforcement]]="","",φ_t_y*VLOOKUP(Reinforcements[[#This Row],[Material]],Materials[],2,FALSE)*Reinforcements[[#This Row],[Gross Area (in2)]])</f>
        <v>170.82</v>
      </c>
      <c r="DK41" s="126">
        <f>IF(Reinforcements[[#This Row],[Reinforcement]]="","",φ_t_r*VLOOKUP(Reinforcements[[#This Row],[Material]],Materials[],3,FALSE)*Reinforcements[[#This Row],[Net Area (in2)]]*Reinforcements[[#This Row],[Shear Lag (U)]])</f>
        <v>145.19224999999997</v>
      </c>
      <c r="DL41" s="126">
        <f>IF(Reinforcements[[#This Row],[Reinforcement]]="","",φ_v*0.5*Reinforcements[[#This Row],[F''y]]*Reinforcements[[#This Row],[Gross Area (in2)]])</f>
        <v>85.41</v>
      </c>
      <c r="DM41"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6"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6"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111">
        <f>IF(OR(Reinforcements[[#This Row],[Type]]="plate",Reinforcements[[#This Row],[Type]]="solid round"),"N/A",Reinforcements[[#This Row],[B (in)]])</f>
        <v>4.0599999999999996</v>
      </c>
      <c r="EB41" s="6">
        <f>IF(OR(Reinforcements[[#This Row],[Type]]="plate",Reinforcements[[#This Row],[Type]]="solid round"),"N/A",Reinforcements[[#This Row],[H (in)]])</f>
        <v>1.57</v>
      </c>
      <c r="EC41" s="6">
        <f>IF(OR(Reinforcements[[#This Row],[Type]]="plate",Reinforcements[[#This Row],[Type]]="solid round"),"N/A",Reinforcements[[#This Row],[B (in)]]-Reinforcements[[#This Row],['[Channel'] Flange Thickness (in)]])</f>
        <v>3.4199999999999995</v>
      </c>
      <c r="ED41" s="6">
        <f>IF(OR(Reinforcements[[#This Row],[Type]]="plate",Reinforcements[[#This Row],[Type]]="solid round"),"N/A",Reinforcements[[#This Row],['[Channel']Web Thickness (in)]])</f>
        <v>0.3</v>
      </c>
      <c r="EE41" s="6">
        <f>IF(OR(Reinforcements[[#This Row],[Type]]="plate",Reinforcements[[#This Row],[Type]]="solid round"),"N/A",Reinforcements[[#This Row],['[Channel'] Flange Thickness (in)]])</f>
        <v>0.64</v>
      </c>
      <c r="EF41" s="6">
        <f>IF(Reinforcements[[#This Row],[Type]]="channel",Reinforcements[[#This Row],[Channel Flange Width, b]]/Reinforcements[[#This Row],[Channel flange thickness, tf]],"N/A")</f>
        <v>2.453125</v>
      </c>
      <c r="EG41" s="6">
        <f>IF(Reinforcements[[#This Row],[Type]]="channel",Reinforcements[[#This Row],[Channel inside depth, T]]/Reinforcements[[#This Row],[Channel web thickness, tw]],"N/A")</f>
        <v>11.399999999999999</v>
      </c>
      <c r="EH41" s="6">
        <f>29000</f>
        <v>29000</v>
      </c>
      <c r="EI41" s="6">
        <f>IF(Reinforcements[[#This Row],[Type]]="channel",0.56*SQRT(Reinforcements[[#This Row],[E, (ksi)]]/Reinforcements[[#This Row],[Fy, (ksi)]]),"N/A")</f>
        <v>11.828518341442694</v>
      </c>
      <c r="EJ41" s="6">
        <f>IF(Reinforcements[[#This Row],[Type]]="channel",1.49*SQRT(Reinforcements[[#This Row],[E, (ksi)]]/Reinforcements[[#This Row],[Fy, (ksi)]]),"N/A")</f>
        <v>31.472307729910018</v>
      </c>
      <c r="EK41" s="6">
        <f>VLOOKUP(Reinforcements[[#This Row],[Material]],Materials!$B$2:$C$30,2,FALSE)</f>
        <v>65</v>
      </c>
      <c r="EL41" s="6">
        <f>Reinforcements[[#This Row],[Lu (in)]]*Reinforcements[[#This Row],[Effective Length Factor Kx]]</f>
        <v>14.4</v>
      </c>
      <c r="EM41" s="6">
        <f>Reinforcements[[#This Row],[Lu (in)]]*Reinforcements[[#This Row],[Effective Length Factor Ky]]</f>
        <v>18</v>
      </c>
      <c r="EN41" s="6">
        <f>Reinforcements[[#This Row],[rx]]</f>
        <v>0.47542338737200757</v>
      </c>
      <c r="EO41" s="6">
        <f>Reinforcements[[#This Row],[ry]]</f>
        <v>1.5</v>
      </c>
      <c r="EP41" s="6">
        <f>Reinforcements[[#This Row],[Lcx (in)]]/Reinforcements[[#This Row],[rx (in)]]</f>
        <v>30.288791806391174</v>
      </c>
      <c r="EQ41" s="6">
        <f>Reinforcements[[#This Row],[Lcy (in)]]/Reinforcements[[#This Row],[ry (in)]]</f>
        <v>12</v>
      </c>
      <c r="ER41" s="6">
        <f>((PI()^2)*Reinforcements[[#This Row],[E, (ksi)]])/(Reinforcements[[#This Row],[Lcx/rx]]^2)</f>
        <v>311.98509282521411</v>
      </c>
      <c r="ES41" s="6">
        <f>((PI()^2)*Reinforcements[[#This Row],[E, (ksi)]])/(Reinforcements[[#This Row],[Lcy/ry]]^2)</f>
        <v>1987.6286641082734</v>
      </c>
      <c r="ET41" s="6">
        <f>4.71*(SQRT(Reinforcements[[#This Row],[E, (ksi)]]/Reinforcements[[#This Row],[Fy, (ksi)]]))</f>
        <v>99.486288193205496</v>
      </c>
      <c r="EU41" s="6">
        <f>IF(Reinforcements[[#This Row],[Lcx/rx]]&lt;=Reinforcements[[#This Row],[Fcr Limit]],(0.658^(Reinforcements[[#This Row],[Fy, (ksi)]]/Reinforcements[[#This Row],[Fex, FB (ksi)]]))*Reinforcements[[#This Row],[Fy, (ksi)]],0.877*Reinforcements[[#This Row],[Fex, FB (ksi)]])</f>
        <v>59.571967194281633</v>
      </c>
      <c r="EV41" s="6">
        <f>IF(Reinforcements[[#This Row],[Lcy/ry]]&lt;=Reinforcements[[#This Row],[Fcr Limit]],(0.658^(Reinforcements[[#This Row],[Fy, (ksi)]]/Reinforcements[[#This Row],[Fey, FB (ksi)]]))*Reinforcements[[#This Row],[Fy, (ksi)]],0.877*Reinforcements[[#This Row],[Fey, FB (ksi)]])</f>
        <v>64.116370218110077</v>
      </c>
      <c r="EW41" s="6">
        <f>Reinforcements[[#This Row],[Fcrx (ksi)]]*Reinforcements[[#This Row],[Gross Area (in2)]]</f>
        <v>173.95014420730237</v>
      </c>
      <c r="EX41" s="6">
        <f>Reinforcements[[#This Row],[Fcry (ksi)]]*Reinforcements[[#This Row],[Gross Area (in2)]]</f>
        <v>187.21980103688142</v>
      </c>
      <c r="EY41" s="6">
        <f>IF(Reinforcements[[#This Row],[Type]]="channel",0,"N/A")</f>
        <v>0</v>
      </c>
      <c r="EZ41" s="6">
        <f>IF(Reinforcements[[#This Row],[Type]]="channel",Reinforcements[[#This Row],[Channel Flange Width, b]]-(0.5*Reinforcements[[#This Row],[Channel web thickness, tw]]),"N/A")</f>
        <v>1.4200000000000002</v>
      </c>
      <c r="FA41" s="6">
        <f>IF(Reinforcements[[#This Row],[Type]]="channel",Reinforcements[[#This Row],[Channel Height, h]]-Reinforcements[[#This Row],[Channel flange thickness, tf]],"N/A")</f>
        <v>3.4199999999999995</v>
      </c>
      <c r="FB41" s="6">
        <f>IF(Reinforcements[[#This Row],[Type]]="channel",Reinforcements[[#This Row],[Channel web thickness, tw]],"N/A")</f>
        <v>0.3</v>
      </c>
      <c r="FC41" s="6">
        <f>IF(Reinforcements[[#This Row],[Type]]="channel",((3*Reinforcements[[#This Row],[b]]^2)/(Reinforcements[[#This Row],[h]]+(6*Reinforcements[[#This Row],[b]])))-Reinforcements[[#This Row],[t]]/2,"N/A")</f>
        <v>0.35663316582914573</v>
      </c>
      <c r="FD41" s="6">
        <f>Reinforcements[[#This Row],[Pole Face to Centroid (in)]]</f>
        <v>0.59</v>
      </c>
      <c r="FE41" s="6">
        <f>IF(Reinforcements[[#This Row],[Type]]="channel",Reinforcements[[#This Row],[x(bar)]]+Reinforcements[[#This Row],['[Channel'] e0 (in)]],"N/A")</f>
        <v>0.9466331658291457</v>
      </c>
      <c r="FF41" s="6">
        <f>IF(Reinforcements[[#This Row],[Type]]="channel",Reinforcements[[#This Row],[Ix]],"N/A")</f>
        <v>0.66</v>
      </c>
      <c r="FG41" s="6">
        <f>IF(Reinforcements[[#This Row],[Type]]="channel",Reinforcements[[#This Row],[Iy]],"N/A")</f>
        <v>6.57</v>
      </c>
      <c r="FH41" s="6">
        <f>IF(Reinforcements[[#This Row],[Type]]="channel",Reinforcements[[#This Row],[Gross Area (in2)]],"N/A")</f>
        <v>2.92</v>
      </c>
      <c r="FI41" s="6">
        <f>IF(Reinforcements[[#This Row],[Type]]="channel",(Reinforcements[[#This Row],[xo]]^2)+((Reinforcements[[#This Row],[Ix (FTB)]]+Reinforcements[[#This Row],[Iy (FTB)]])/Reinforcements[[#This Row],[Ag]]),"N/A")</f>
        <v>3.3721417479079849</v>
      </c>
      <c r="FJ41" s="6">
        <f>IF(Reinforcements[[#This Row],[Type]]="channel",Reinforcements[[#This Row],[Lu (in)]],"N/A")</f>
        <v>18</v>
      </c>
      <c r="FK41" s="6">
        <f>IF(Reinforcements[[#This Row],[Type]]="channel",Reinforcements[[#This Row],[Effective Length Factor Kx]],"N/A")</f>
        <v>0.8</v>
      </c>
      <c r="FL41" s="6">
        <f>IF(Reinforcements[[#This Row],[Type]]="channel",Reinforcements[[#This Row],[Kz]]*Reinforcements[[#This Row],[Lz]],"N/A")</f>
        <v>14.4</v>
      </c>
      <c r="FM41" s="6">
        <f>IF(Reinforcements[[#This Row],[Type]]="channel",(((Reinforcements[[#This Row],[t]]^3)/3)*(Reinforcements[[#This Row],[h]]+(2*Reinforcements[[#This Row],[b]]))),"N/A")</f>
        <v>5.6339999999999994E-2</v>
      </c>
      <c r="FN41" s="6">
        <f>IF(Reinforcements[[#This Row],[Type]]="channel",(1-(((Reinforcements[[#This Row],[xo]]^2)+(Reinforcements[[#This Row],[yo]]^2))/Reinforcements[[#This Row],[ro^2(bar)]])),"N/A")</f>
        <v>0.73425958407482605</v>
      </c>
      <c r="FO41" s="6">
        <v>11200</v>
      </c>
      <c r="FP41" s="6">
        <f>IF(Reinforcements[[#This Row],[Type]]="channel",(((Reinforcements[[#This Row],[h]]^2)*(Reinforcements[[#This Row],[b]]^3)*Reinforcements[[#This Row],[t]])/12)*(((2*Reinforcements[[#This Row],[h]])+(3*Reinforcements[[#This Row],[b]]))/(Reinforcements[[#This Row],[h]]+(6*Reinforcements[[#This Row],[b]]))),"N/A")</f>
        <v>0.77835174952160791</v>
      </c>
      <c r="FQ41" s="6">
        <f>IF(Reinforcements[[#This Row],[Type]]="Channel",((((PI()^2)*Reinforcements[[#This Row],[E, (ksi)]]*Reinforcements[[#This Row],['[Channel'] CW (in6)]])/(Reinforcements[[#This Row],[Lcz]]^2))+(Reinforcements[[#This Row],[G]]*Reinforcements[[#This Row],['[Channel'] J (in4)]]))*(1/(Reinforcements[[#This Row],[Ag]]*Reinforcements[[#This Row],[ro^2(bar)]])),"N/A")</f>
        <v>173.19234872952123</v>
      </c>
      <c r="FR41" s="6">
        <f>IF(Reinforcements[[#This Row],[Type]]="channel",((PI()^2)*Reinforcements[[#This Row],[E, (ksi)]])/(Reinforcements[[#This Row],[Lcy/ry]]^2),"N/A")</f>
        <v>1987.6286641082734</v>
      </c>
      <c r="FS41" s="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6">
        <f>IF(Reinforcements[[#This Row],[Type]]="channel",MIN(Reinforcements[[#This Row],[Fcr(FTB)]],Reinforcements[[#This Row],[Fcry (ksi)]]),"N/A")</f>
        <v>55.3359924004533</v>
      </c>
      <c r="FV41" s="6">
        <v>0.22</v>
      </c>
      <c r="FW41" s="6">
        <v>1.49</v>
      </c>
      <c r="FX41" s="6">
        <f>IF(Reinforcements[[#This Row],[Type]]="channel",((Reinforcements[[#This Row],[c2]]*(Reinforcements[[#This Row],[λrf]]/Reinforcements[[#This Row],[λf]]))^2)*Reinforcements[[#This Row],[Fy, (ksi)]],"N/A")</f>
        <v>3355.1136189800823</v>
      </c>
      <c r="FY41" s="6">
        <f>IF(Reinforcements[[#This Row],[Type]]="channel",((Reinforcements[[#This Row],[c2]]*(Reinforcements[[#This Row],[λrw]]/Reinforcements[[#This Row],[λw]]))^2)*Reinforcements[[#This Row],[Fy, (ksi)]],"N/A")</f>
        <v>1099.8497713911975</v>
      </c>
      <c r="FZ41"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6">
        <f>IF(Reinforcements[[#This Row],[Type]]="channel",Reinforcements[[#This Row],[Fcr]]*Reinforcements[[#This Row],[Ae]],"N/A")</f>
        <v>161.58109780932364</v>
      </c>
      <c r="GD41">
        <f>IF(Reinforcements[[#This Row],[Reinforcement]]="","",φ_c*Reinforcements[[#This Row],[Pnx, FB (kip)]])</f>
        <v>156.55512978657214</v>
      </c>
      <c r="GE41">
        <f>IF(Reinforcements[[#This Row],[Reinforcement]]="","",IF(Reinforcements[[#This Row],[Type]]="channel",φ_c*Reinforcements[[#This Row],[Pn]],φ_c*Reinforcements[[#This Row],[Pny, FB (kip)]]))</f>
        <v>145.42298802839127</v>
      </c>
      <c r="GF41">
        <f>Reinforcements[[#This Row],[Rev. G Tension Yield Capacity (kips)]]</f>
        <v>170.82</v>
      </c>
      <c r="GG41">
        <f>Reinforcements[[#This Row],[Rev. G Tension Rupture Capacity (kips)]]</f>
        <v>145.19224999999997</v>
      </c>
      <c r="GH41">
        <f>Reinforcements[[#This Row],[Rev. G Shear Capacity (kips)]]</f>
        <v>85.41</v>
      </c>
      <c r="GI41">
        <f>IFERROR((Reinforcements[[#This Row],['# of End Connection Bolts          (Bottom)]]-1)*Reinforcements[[#This Row],[End Connection Bolt Spacing (in) (B)]],"-")</f>
        <v>12</v>
      </c>
      <c r="GJ41">
        <f>IFERROR(IF(VLOOKUP(Reinforcements[[#This Row],[Bottom End Connection Bolt Type]],Bolts[],COLUMN(Bolts[[#Headers],[Rev. H Apply Connection Length Reduction Factor (Rb)?]])-1,FALSE)="Yes",(IF(Reinforcements[[#This Row],[Lb(bottom)]]&lt;=16,1,IF(Reinforcements[[#This Row],[Lb(bottom)]]&gt;38,0.75,0.9))),1),"-")</f>
        <v>1</v>
      </c>
      <c r="GK41">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f>IFERROR(IF(Reinforcements[[#This Row],[Top End Connection Same?]]="Yes",Reinforcements[[#This Row],[Lb(bottom)]],(Reinforcements[[#This Row],['# of End Connection Bolts          (Top)]]-1)*Reinforcements[[#This Row],[End Connection Bolt Spacing (in) (T)]]),"-")</f>
        <v>12</v>
      </c>
      <c r="GM41">
        <f>IFERROR(IF(VLOOKUP(Reinforcements[[#This Row],[Top End Connection Bolt Type]],Bolts[],COLUMN(Bolts[[#Headers],[Rev. H Apply Connection Length Reduction Factor (Rb)?]])-1,FALSE)=TRUE,(IF(Reinforcements[[#This Row],[Lb(top)]]&lt;=16,1,IF(Reinforcements[[#This Row],[Lb(top)]]&gt;38,0.75,0.9))),1),"-")</f>
        <v>1</v>
      </c>
      <c r="GN4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f>Reinforcements[[#This Row],[Rev. G Bolt-Shaft Bearing Capacity (Bottom)                No Deformation          (*t*Fu kips)]]</f>
        <v>10.008188976377953</v>
      </c>
      <c r="GP41">
        <f>Reinforcements[[#This Row],[Rev. G Bolt-Shaft Bearing Capacity (Bottom)                   Deformation          (*t*Fu kips)]]</f>
        <v>12.510236220472443</v>
      </c>
      <c r="GQ41">
        <f>Reinforcements[[#This Row],[Rev. G Bolt-Shaft Bearing Capacity (Top)                    No Deformation          (*t*Fu kips)]]</f>
        <v>10.008188976377953</v>
      </c>
      <c r="GR41">
        <f>Reinforcements[[#This Row],[Rev. G Bolt-Shaft Bearing Capacity (Top)                        Deformation          (*t*Fu kips)]]</f>
        <v>12.510236220472443</v>
      </c>
      <c r="GS41">
        <f>Reinforcements[[#This Row],[Rev. G Bolt-Reinf. Bearing Capacity (Bottom)            No Deformation (kips)]]</f>
        <v>225.84188976377951</v>
      </c>
      <c r="GT41">
        <f>Reinforcements[[#This Row],[Rev. G Bolt-Reinf. Bearing Capacity (Bottom)               Deformation (kips)]]</f>
        <v>282.30236220472437</v>
      </c>
      <c r="GU41">
        <f>Reinforcements[[#This Row],[Rev. G Bolt-Reinf. Bearing Capacity (Top)                  No Deformation (kips)]]</f>
        <v>225.84188976377951</v>
      </c>
      <c r="GV41">
        <f>Reinforcements[[#This Row],[Rev. G Bolt-Reinf. Bearing Capacity (Top)               Deformation (kips)]]</f>
        <v>282.30236220472437</v>
      </c>
      <c r="GW41" t="str">
        <f>Reinforcements[[#This Row],[Rev. G Bottom Transverse Weld Strength]]</f>
        <v>-</v>
      </c>
      <c r="GX41" t="str">
        <f>Reinforcements[[#This Row],[Rev. G Bottom Longitudinal Weld Strength]]</f>
        <v>-</v>
      </c>
      <c r="GY41" t="str">
        <f>Reinforcements[[#This Row],[Rev. G Top Transverse Weld Strength]]</f>
        <v>-</v>
      </c>
      <c r="GZ41" t="str">
        <f>Reinforcements[[#This Row],[Rev. G Top Longitudinal Weld Strength]]</f>
        <v>-</v>
      </c>
      <c r="HA41">
        <v>39</v>
      </c>
      <c r="HB41" s="4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49" t="s">
        <v>400</v>
      </c>
      <c r="C42" s="49" t="s">
        <v>399</v>
      </c>
      <c r="D42" s="6">
        <v>4.0599999999999996</v>
      </c>
      <c r="E42" s="6">
        <v>1.57</v>
      </c>
      <c r="F42" s="6" t="str">
        <f>IF(Reinforcements[[#This Row],[Type]]="","",IF(Reinforcements[[#This Row],[Type]]="solid round","","n/a"))</f>
        <v>n/a</v>
      </c>
      <c r="G42" s="6">
        <v>0.3</v>
      </c>
      <c r="H42" s="6">
        <v>0.64</v>
      </c>
      <c r="I42" s="126">
        <f>IF(Reinforcements[[#This Row],[Type]]="","",IF(Reinforcements[[#This Row],[Type]]&lt;&gt;"channel","n/a",Reinforcements[[#This Row],[eo]]))</f>
        <v>0.35663316582914573</v>
      </c>
      <c r="J42" s="126">
        <f>IF(Reinforcements[[#This Row],[Type]]="","",IF(Reinforcements[[#This Row],[Type]]&lt;&gt;"channel","n/a",Reinforcements[[#This Row],[J]]))</f>
        <v>5.6339999999999994E-2</v>
      </c>
      <c r="K42" s="126">
        <f>IF(Reinforcements[[#This Row],[Type]]="","",IF(Reinforcements[[#This Row],[Type]]&lt;&gt;"channel","n/a",Reinforcements[[#This Row],[Cw]]))</f>
        <v>0.77835174952160791</v>
      </c>
      <c r="L42" s="6">
        <v>2.92</v>
      </c>
      <c r="M42" s="6">
        <v>0.59</v>
      </c>
      <c r="N42" s="16" t="s">
        <v>353</v>
      </c>
      <c r="O42" s="6" t="s">
        <v>138</v>
      </c>
      <c r="P42" s="123">
        <v>0.66</v>
      </c>
      <c r="Q42" s="123">
        <f>IF(Reinforcements[[#This Row],[Reinforcement]]="","",SQRT(Reinforcements[[#This Row],[Ix]]/Reinforcements[[#This Row],[Gross Area (in2)]]))</f>
        <v>0.47542338737200757</v>
      </c>
      <c r="R42" s="123">
        <v>6.57</v>
      </c>
      <c r="S42" s="123">
        <f>IF(Reinforcements[[#This Row],[Reinforcement]]="","",SQRT(Reinforcements[[#This Row],[Iy]]/Reinforcements[[#This Row],[Gross Area (in2)]]))</f>
        <v>1.5</v>
      </c>
      <c r="T42" s="6">
        <v>18</v>
      </c>
      <c r="U42" s="6">
        <v>0.8</v>
      </c>
      <c r="V42" s="6">
        <v>1</v>
      </c>
      <c r="W42" s="6">
        <v>1.25</v>
      </c>
      <c r="X42" s="6">
        <f>IF(Reinforcements[[#This Row],[Bolt Hole Size (in)]]="","",IF(Reinforcements[[#This Row],[Bolt Hole Size (in)]]="n/a","n/a",Reinforcements[[#This Row],[Bolt Hole Size (in)]]*25.4))</f>
        <v>31.75</v>
      </c>
      <c r="Y4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6">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34" t="s">
        <v>354</v>
      </c>
      <c r="AB42" s="34" t="str">
        <f>IF(Reinforcements[[#This Row],[Reinforcement]]="","",IF(Reinforcements[[#This Row],[Bottom End Connection Type]]&lt;&gt;"Capacity Input","-",""))</f>
        <v>-</v>
      </c>
      <c r="AC42" s="34" t="str">
        <f>IF(Reinforcements[[#This Row],[Reinforcement]]="","",IF(Reinforcements[[#This Row],[Bottom End Connection Type]]&lt;&gt;"Capacity Input","-",""))</f>
        <v>-</v>
      </c>
      <c r="AD42" s="16" t="str">
        <f>IF(Reinforcements[[#This Row],[Reinforcement]]="","",IF(Reinforcements[[#This Row],[Bottom End Connection Type]]&lt;&gt;"Capacity Input","-",""))</f>
        <v>-</v>
      </c>
      <c r="AE42" s="74" t="s">
        <v>355</v>
      </c>
      <c r="AF42" s="6" t="s">
        <v>356</v>
      </c>
      <c r="AG42" s="6">
        <v>5</v>
      </c>
      <c r="AH42" s="6">
        <v>3</v>
      </c>
      <c r="AI42" s="6">
        <v>2</v>
      </c>
      <c r="AJ42" s="6">
        <f>Reinforcements[[#This Row],[End Connection Edge Distance (in) (B)]]-(Reinforcements[[#This Row],[Bolt Hole Size (in)]]+1/16)/2</f>
        <v>1.34375</v>
      </c>
      <c r="AK42" s="6">
        <f>Reinforcements[[#This Row],[End Connection Bolt Spacing (in) (B)]]-(Reinforcements[[#This Row],[Bolt Hole Size (in)]]+1/16)</f>
        <v>1.6875</v>
      </c>
      <c r="AL42" s="6">
        <f>Reinforcements[[#This Row],[End Connection Edge Distance (in) (B)]]</f>
        <v>2</v>
      </c>
      <c r="AM42" s="6">
        <f>Reinforcements[[#This Row],[End Connection Bolt Spacing (in) (B)]]</f>
        <v>3</v>
      </c>
      <c r="AN42" s="6" t="str">
        <f>IF(Reinforcements[[#This Row],[Reinforcement]]="","",IF(OR(Reinforcements[[#This Row],[Bottom End Connection Type]]="Bolted",Reinforcements[[#This Row],[Bottom End Connection Type]]=""),"-",""))</f>
        <v>-</v>
      </c>
      <c r="AO42" s="111" t="str">
        <f>IF(Reinforcements[[#This Row],[Reinforcement]]="","",IF(OR(Reinforcements[[#This Row],[Bottom End Connection Type]]="Bolted",Reinforcements[[#This Row],[Bottom End Connection Type]]=""),"-",""))</f>
        <v>-</v>
      </c>
      <c r="AP42" s="111" t="str">
        <f>IF(Reinforcements[[#This Row],[Reinforcement]]="","",IF(OR(Reinforcements[[#This Row],[Bottom End Connection Type]]="Bolted",Reinforcements[[#This Row],[Bottom End Connection Type]]=""),"-",""))</f>
        <v>-</v>
      </c>
      <c r="AQ42" s="111" t="str">
        <f>IF(OR(Reinforcements[[#This Row],[Bottom End Connection Type]]="Bolted",Reinforcements[[#This Row],[Bottom Transverse (Horizontal) Weld]]="none"),"-","")</f>
        <v>-</v>
      </c>
      <c r="AR4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11" t="str">
        <f>IF(OR(Reinforcements[[#This Row],[Bottom Transverse (Horizontal) Weld]]="none",Reinforcements[[#This Row],[Bottom End Connection Type]]="Bolted"),"-","")</f>
        <v>-</v>
      </c>
      <c r="AU4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11" t="str">
        <f>IF(Reinforcements[[#This Row],[Reinforcement]]="","",IF(OR(Reinforcements[[#This Row],[Bottom End Connection Type]]="Bolted",Reinforcements[[#This Row],[Bottom End Connection Type]]=""),"-",""))</f>
        <v>-</v>
      </c>
      <c r="AW42" s="111" t="str">
        <f>IF(Reinforcements[[#This Row],[Reinforcement]]="","",IF(OR(Reinforcements[[#This Row],[Bottom End Connection Type]]&lt;&gt;"Welded",Reinforcements[[#This Row],[Bottom Longitudinal (Vertical) Weld]]="None",Reinforcements[[#This Row],[Bottom Longitudinal (Vertical) Weld]]=""),"-",""))</f>
        <v>-</v>
      </c>
      <c r="AX42" s="111" t="str">
        <f>IF(Reinforcements[[#This Row],[Reinforcement]]="","",IF(OR(Reinforcements[[#This Row],[Bottom End Connection Type]]&lt;&gt;"Welded",Reinforcements[[#This Row],[Bottom Longitudinal (Vertical) Weld]]="None",Reinforcements[[#This Row],[Bottom Longitudinal (Vertical) Weld]]=""),"-",""))</f>
        <v>-</v>
      </c>
      <c r="AY42" s="6" t="str">
        <f>IF(Reinforcements[[#This Row],[Reinforcement]]="","",IF(OR(Reinforcements[[#This Row],[Bottom End Connection Type]]&lt;&gt;"Welded",Reinforcements[[#This Row],[Bottom Longitudinal (Vertical) Weld]]="None"),"-",SQRT(2)/2*Reinforcements[[#This Row],[Bottom Longitudinal Weld Fillet Size (in)]]))</f>
        <v>-</v>
      </c>
      <c r="AZ42" s="111" t="s">
        <v>357</v>
      </c>
      <c r="BA42" s="16" t="str">
        <f>IF(Reinforcements[[#This Row],[Top End Connection Same?]]="Yes",Reinforcements[[#This Row],[Bottom End Connection Type]],"")</f>
        <v>Bolted</v>
      </c>
      <c r="BB42" s="16" t="str">
        <f>IF(Reinforcements[[#This Row],[Reinforcement]]="","",IF(Reinforcements[[#This Row],[Top End Connection Same?]]="Yes",Reinforcements[[#This Row],[Rev. F Bottom Connection Capacity (kips)]],IF(Reinforcements[[#This Row],[Reinforcement]]="","",IF(Reinforcements[[#This Row],[Top End Connection Type]]&lt;&gt;"Capacity Input","-",""))))</f>
        <v>-</v>
      </c>
      <c r="BC42" s="16" t="str">
        <f>IF(Reinforcements[[#This Row],[Reinforcement]]="","",IF(Reinforcements[[#This Row],[Top End Connection Same?]]="Yes",Reinforcements[[#This Row],[Rev. G Bottom Connection Capacity (kips)]],IF(Reinforcements[[#This Row],[Reinforcement]]="","",IF(Reinforcements[[#This Row],[Top End Connection Type]]&lt;&gt;"Capacity Input","-",""))))</f>
        <v>-</v>
      </c>
      <c r="BD42" s="16" t="str">
        <f>IF(Reinforcements[[#This Row],[Reinforcement]]="","",IF(Reinforcements[[#This Row],[Top End Connection Same?]]="Yes",Reinforcements[[#This Row],[Rev. G Bottom Connection Capacity (kips)]],IF(Reinforcements[[#This Row],[Reinforcement]]="","",IF(Reinforcements[[#This Row],[Top End Connection Type]]&lt;&gt;"Capacity Input","-",""))))</f>
        <v>-</v>
      </c>
      <c r="BE42" s="74" t="str">
        <f>IF(Reinforcements[[#This Row],[Top End Connection Same?]]="Yes",Reinforcements[[#This Row],[Bottom End Connection Bolt Type]],IF(Reinforcements[[#This Row],[Top End Connection Type]]="Welded","-",""))</f>
        <v>PC 8.8 - M20 (100)</v>
      </c>
      <c r="BF42" s="6" t="str">
        <f>IF(Reinforcements[[#This Row],[Top End Connection Same?]]="Yes",Reinforcements[[#This Row],[Threads Included (N) or Excluded (X) (Bottom)]],IF(Reinforcements[[#This Row],[Top End Connection Type]]="Welded","-",""))</f>
        <v>N</v>
      </c>
      <c r="BG42" s="6">
        <f>IF(Reinforcements[[#This Row],[Top End Connection Same?]]="Yes",Reinforcements[[#This Row],['# of End Connection Bolts          (Bottom)]],IF(Reinforcements[[#This Row],[Top End Connection Type]]="Welded","-",""))</f>
        <v>5</v>
      </c>
      <c r="BH42" s="6">
        <f>IF(Reinforcements[[#This Row],[Top End Connection Same?]]="Yes",Reinforcements[[#This Row],[End Connection Bolt Spacing (in) (B)]],IF(Reinforcements[[#This Row],[Top End Connection Type]]="Welded","-",""))</f>
        <v>3</v>
      </c>
      <c r="BI42" s="6">
        <f>IF(Reinforcements[[#This Row],[Top End Connection Same?]]="Yes",Reinforcements[[#This Row],[End Connection Edge Distance (in) (B)]],IF(Reinforcements[[#This Row],[Top End Connection Type]]="Welded","-",""))</f>
        <v>2</v>
      </c>
      <c r="BJ42" s="6">
        <f>Reinforcements[[#This Row],[End Connection Edge Distance (in) (T)]]-(Reinforcements[[#This Row],[Bolt Hole Size (in)]]+1/16)/2</f>
        <v>1.34375</v>
      </c>
      <c r="BK42" s="6">
        <f>Reinforcements[[#This Row],[End Connection Bolt Spacing (in) (T)]]-(Reinforcements[[#This Row],[Bolt Hole Size (in)]]+1/16)</f>
        <v>1.6875</v>
      </c>
      <c r="BL42" s="6">
        <f>Reinforcements[[#This Row],[End Connection Edge Distance (in) (T)]]</f>
        <v>2</v>
      </c>
      <c r="BM42" s="6">
        <f>Reinforcements[[#This Row],[End Connection Bolt Spacing (in) (T)]]</f>
        <v>3</v>
      </c>
      <c r="BN42" s="6" t="str">
        <f>IF(Reinforcements[[#This Row],[Reinforcement]]="","",IF(Reinforcements[[#This Row],[Top End Connection Same?]]="Yes",Reinforcements[[#This Row],[Bottom Connected to Flange/Base Plate?]],IF(Reinforcements[[#This Row],[Top End Connection Type]]="Bolted","-","")))</f>
        <v>-</v>
      </c>
      <c r="BO42" s="6" t="str">
        <f>IF(Reinforcements[[#This Row],[Reinforcement]]="","",IF(Reinforcements[[#This Row],[Top End Connection Same?]]="Yes",Reinforcements[[#This Row],[Bottom Weld Grade (ksi)]],IF(OR(Reinforcements[[#This Row],[Top End Connection Type]]&lt;&gt;"Welded",Reinforcements[[#This Row],[Top End Connection Type]]=""),"-","")))</f>
        <v>-</v>
      </c>
      <c r="BP42" s="6" t="str">
        <f>IF($AZ42="Yes",AP42,IF(Reinforcements[[#This Row],[Reinforcement]]="","",IF(OR(Reinforcements[[#This Row],[Top End Connection Type]]&lt;&gt;"Welded",Reinforcements[[#This Row],[Top End Connection Type]]=""),"-","")))</f>
        <v>-</v>
      </c>
      <c r="BQ42" s="6" t="str">
        <f>IF(Reinforcements[[#This Row],[Reinforcement]]="","",IF($AZ42="Yes",AQ42,IF(OR(Reinforcements[[#This Row],[Top End Connection Type]]&lt;&gt;"Welded",Reinforcements[[#This Row],[Top Transverse (Horizontal) Weld]]="none",Reinforcements[[#This Row],[Top Transverse (Horizontal) Weld]]=""),"-","")))</f>
        <v>-</v>
      </c>
      <c r="BR42" s="6"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6"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6" t="str">
        <f>IF(Reinforcements[[#This Row],[Reinforcement]]="","",IF($AZ42="Yes",AT42,IF(OR(Reinforcements[[#This Row],[Top Transverse (Horizontal) Weld]]="none",Reinforcements[[#This Row],[Top End Connection Type]]&lt;&gt;"Welded",Reinforcements[[#This Row],[Top Transverse (Horizontal) Weld]]=""),"-","")))</f>
        <v>-</v>
      </c>
      <c r="BU42" s="6"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6" t="str">
        <f>IF($AZ42="Yes",AV42,IF(Reinforcements[[#This Row],[Reinforcement]]="","",IF(OR(Reinforcements[[#This Row],[Top End Connection Type]]&lt;&gt;"Welded",Reinforcements[[#This Row],[Top End Connection Type]]=""),"-","")))</f>
        <v>-</v>
      </c>
      <c r="BW42" s="6"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6"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6" t="str">
        <f>IF($AZ42="Yes",AY42,IF(Reinforcements[[#This Row],[Reinforcement]]="","",IF(OR(Reinforcements[[#This Row],[Top End Connection Type]]&lt;&gt;"Welded",Reinforcements[[#This Row],[Top Longitudinal (Vertical) Weld]]="none"),"-",SQRT(2)/2*Reinforcements[[#This Row],[Top Longitudinal Weld Fillet Size (in)]])))</f>
        <v>-</v>
      </c>
      <c r="BZ42"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111">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111">
        <f>IF(Reinforcements[[#This Row],[Reinforcement]]="","",IF(Reinforcements[[#This Row],[Top End Connection Type]]&lt;&gt;"Bolted","n/a",(Reinforcements[[#This Row],['# of End Connection Bolts          (Top)]]-1)*Reinforcements[[#This Row],[End Connection Bolt Spacing (in) (T)]]+Reinforcements[[#This Row],[End Connection Edge Distance (in) (T)]]))</f>
        <v>14</v>
      </c>
      <c r="CC4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6">
        <f>IFERROR(IF(Reinforcements[[#This Row],[Type]]="","",Reinforcements[[#This Row],[Effective B (in)]]*Reinforcements[[#This Row],[Effective H (in)]]^3/12),"")</f>
        <v>0.3388173333333333</v>
      </c>
      <c r="CF42" s="6">
        <f>IFERROR(IF(Reinforcements[[#This Row],[Type]]="","",Reinforcements[[#This Row],[Effective B (in)]]^3*Reinforcements[[#This Row],[Effective H (in)]]/12),"")</f>
        <v>1.4900584123336207</v>
      </c>
      <c r="CG42" s="126">
        <f>SQRT(2*PI()^2*29000/VLOOKUP(Reinforcements[[#This Row],[Material]],Materials[],2,FALSE))</f>
        <v>93.844147005158973</v>
      </c>
      <c r="CH4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123">
        <f>Reinforcements[[#This Row],[Effective Length Factor Kx]]*Reinforcements[[#This Row],[Lu (in)]]/(Reinforcements[[#This Row],[rx]]*PI())*SQRT(VLOOKUP(Reinforcements[[#This Row],[Material]],Materials[],2,FALSE)/29000)</f>
        <v>0.45644636908616876</v>
      </c>
      <c r="CK42" s="123">
        <f>Reinforcements[[#This Row],[Effective Length Factor Ky]]*Reinforcements[[#This Row],[Lu (in)]]/(Reinforcements[[#This Row],[ry]]*PI())*SQRT(VLOOKUP(Reinforcements[[#This Row],[Material]],Materials[],2,FALSE)/29000)</f>
        <v>0.18083773245383328</v>
      </c>
      <c r="CL42" s="123">
        <f>IF(Reinforcements[[#This Row],[λcx]]&lt;=1.5,0.658^(Reinforcements[[#This Row],[λcx]]^2)*Reinforcements[[#This Row],[F''y]],0.877/(Reinforcements[[#This Row],[λcx]]^2)*Reinforcements[[#This Row],[F''y]])</f>
        <v>59.57196719428164</v>
      </c>
      <c r="CM42" s="123">
        <f>IF(Reinforcements[[#This Row],[λcy]]&lt;=1.5,0.658^(Reinforcements[[#This Row],[λcy]]^2)*Reinforcements[[#This Row],[F''y]],0.877/(Reinforcements[[#This Row],[λcy]]^2)*Reinforcements[[#This Row],[F''y]])</f>
        <v>64.116370218110077</v>
      </c>
      <c r="CN42" s="6">
        <f>VLOOKUP(Reinforcements[[#This Row],[Material]],Materials[],2,FALSE)</f>
        <v>65</v>
      </c>
      <c r="CO42" s="126">
        <f>IF(Reinforcements[[#This Row],[Reinforcement]]="","",Reinforcements[[#This Row],[Fax]]*Reinforcements[[#This Row],[Gross Area (in2)]])</f>
        <v>100.87712929287211</v>
      </c>
      <c r="CP42" s="126">
        <f>IF(Reinforcements[[#This Row],[Reinforcement]]="","",Reinforcements[[#This Row],[Fay]]*Reinforcements[[#This Row],[Gross Area (in2)]])</f>
        <v>109.80691853038222</v>
      </c>
      <c r="CQ42" s="126">
        <f>IF(Reinforcements[[#This Row],[Reinforcement]]="","",0.6*VLOOKUP(Reinforcements[[#This Row],[Material]],Materials[],2,FALSE)*Reinforcements[[#This Row],[Gross Area (in2)]])</f>
        <v>113.88</v>
      </c>
      <c r="CR42" s="126">
        <f>IF(Reinforcements[[#This Row],[Reinforcement]]="","",0.5*VLOOKUP(Reinforcements[[#This Row],[Material]],Materials[],3,FALSE)*Reinforcements[[#This Row],[Net Area (in2)]]*Reinforcements[[#This Row],[Shear Lag (U)]])</f>
        <v>96.081708333333339</v>
      </c>
      <c r="CS42" s="126">
        <f>IF(Reinforcements[[#This Row],[Reinforcement]]="","",0.4*VLOOKUP(Reinforcements[[#This Row],[Material]],Materials[],2,FALSE)*Reinforcements[[#This Row],[Gross Area (in2)]])</f>
        <v>75.92</v>
      </c>
      <c r="CT42"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6"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6"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126">
        <f>IF(Reinforcements[[#This Row],[Reinforcement]]="","",φ_c*Reinforcements[[#This Row],[Fcr,x]]*Reinforcements[[#This Row],[Gross Area (in2)]])</f>
        <v>156.55512978657217</v>
      </c>
      <c r="DI42" s="126">
        <f>IF(Reinforcements[[#This Row],[Reinforcement]]="","",φ_c*Reinforcements[[#This Row],[Fcr,y]]*Reinforcements[[#This Row],[Gross Area (in2)]])</f>
        <v>168.49782093319328</v>
      </c>
      <c r="DJ42" s="126">
        <f>IF(Reinforcements[[#This Row],[Reinforcement]]="","",φ_t_y*VLOOKUP(Reinforcements[[#This Row],[Material]],Materials[],2,FALSE)*Reinforcements[[#This Row],[Gross Area (in2)]])</f>
        <v>170.82</v>
      </c>
      <c r="DK42" s="126">
        <f>IF(Reinforcements[[#This Row],[Reinforcement]]="","",φ_t_r*VLOOKUP(Reinforcements[[#This Row],[Material]],Materials[],3,FALSE)*Reinforcements[[#This Row],[Net Area (in2)]]*Reinforcements[[#This Row],[Shear Lag (U)]])</f>
        <v>144.12256250000002</v>
      </c>
      <c r="DL42" s="126">
        <f>IF(Reinforcements[[#This Row],[Reinforcement]]="","",φ_v*0.5*Reinforcements[[#This Row],[F''y]]*Reinforcements[[#This Row],[Gross Area (in2)]])</f>
        <v>85.41</v>
      </c>
      <c r="DM42"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6"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6"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111">
        <f>IF(OR(Reinforcements[[#This Row],[Type]]="plate",Reinforcements[[#This Row],[Type]]="solid round"),"N/A",Reinforcements[[#This Row],[B (in)]])</f>
        <v>4.0599999999999996</v>
      </c>
      <c r="EB42" s="6">
        <f>IF(OR(Reinforcements[[#This Row],[Type]]="plate",Reinforcements[[#This Row],[Type]]="solid round"),"N/A",Reinforcements[[#This Row],[H (in)]])</f>
        <v>1.57</v>
      </c>
      <c r="EC42" s="6">
        <f>IF(OR(Reinforcements[[#This Row],[Type]]="plate",Reinforcements[[#This Row],[Type]]="solid round"),"N/A",Reinforcements[[#This Row],[B (in)]]-Reinforcements[[#This Row],['[Channel'] Flange Thickness (in)]])</f>
        <v>3.4199999999999995</v>
      </c>
      <c r="ED42" s="6">
        <f>IF(OR(Reinforcements[[#This Row],[Type]]="plate",Reinforcements[[#This Row],[Type]]="solid round"),"N/A",Reinforcements[[#This Row],['[Channel']Web Thickness (in)]])</f>
        <v>0.3</v>
      </c>
      <c r="EE42" s="6">
        <f>IF(OR(Reinforcements[[#This Row],[Type]]="plate",Reinforcements[[#This Row],[Type]]="solid round"),"N/A",Reinforcements[[#This Row],['[Channel'] Flange Thickness (in)]])</f>
        <v>0.64</v>
      </c>
      <c r="EF42" s="6">
        <f>IF(Reinforcements[[#This Row],[Type]]="channel",Reinforcements[[#This Row],[Channel Flange Width, b]]/Reinforcements[[#This Row],[Channel flange thickness, tf]],"N/A")</f>
        <v>2.453125</v>
      </c>
      <c r="EG42" s="6">
        <f>IF(Reinforcements[[#This Row],[Type]]="channel",Reinforcements[[#This Row],[Channel inside depth, T]]/Reinforcements[[#This Row],[Channel web thickness, tw]],"N/A")</f>
        <v>11.399999999999999</v>
      </c>
      <c r="EH42" s="6">
        <f>29000</f>
        <v>29000</v>
      </c>
      <c r="EI42" s="6">
        <f>IF(Reinforcements[[#This Row],[Type]]="channel",0.56*SQRT(Reinforcements[[#This Row],[E, (ksi)]]/Reinforcements[[#This Row],[Fy, (ksi)]]),"N/A")</f>
        <v>11.828518341442694</v>
      </c>
      <c r="EJ42" s="6">
        <f>IF(Reinforcements[[#This Row],[Type]]="channel",1.49*SQRT(Reinforcements[[#This Row],[E, (ksi)]]/Reinforcements[[#This Row],[Fy, (ksi)]]),"N/A")</f>
        <v>31.472307729910018</v>
      </c>
      <c r="EK42" s="6">
        <f>VLOOKUP(Reinforcements[[#This Row],[Material]],Materials!$B$2:$C$30,2,FALSE)</f>
        <v>65</v>
      </c>
      <c r="EL42" s="6">
        <f>Reinforcements[[#This Row],[Lu (in)]]*Reinforcements[[#This Row],[Effective Length Factor Kx]]</f>
        <v>14.4</v>
      </c>
      <c r="EM42" s="6">
        <f>Reinforcements[[#This Row],[Lu (in)]]*Reinforcements[[#This Row],[Effective Length Factor Ky]]</f>
        <v>18</v>
      </c>
      <c r="EN42" s="6">
        <f>Reinforcements[[#This Row],[rx]]</f>
        <v>0.47542338737200757</v>
      </c>
      <c r="EO42" s="6">
        <f>Reinforcements[[#This Row],[ry]]</f>
        <v>1.5</v>
      </c>
      <c r="EP42" s="6">
        <f>Reinforcements[[#This Row],[Lcx (in)]]/Reinforcements[[#This Row],[rx (in)]]</f>
        <v>30.288791806391174</v>
      </c>
      <c r="EQ42" s="6">
        <f>Reinforcements[[#This Row],[Lcy (in)]]/Reinforcements[[#This Row],[ry (in)]]</f>
        <v>12</v>
      </c>
      <c r="ER42" s="6">
        <f>((PI()^2)*Reinforcements[[#This Row],[E, (ksi)]])/(Reinforcements[[#This Row],[Lcx/rx]]^2)</f>
        <v>311.98509282521411</v>
      </c>
      <c r="ES42" s="6">
        <f>((PI()^2)*Reinforcements[[#This Row],[E, (ksi)]])/(Reinforcements[[#This Row],[Lcy/ry]]^2)</f>
        <v>1987.6286641082734</v>
      </c>
      <c r="ET42" s="6">
        <f>4.71*(SQRT(Reinforcements[[#This Row],[E, (ksi)]]/Reinforcements[[#This Row],[Fy, (ksi)]]))</f>
        <v>99.486288193205496</v>
      </c>
      <c r="EU42" s="6">
        <f>IF(Reinforcements[[#This Row],[Lcx/rx]]&lt;=Reinforcements[[#This Row],[Fcr Limit]],(0.658^(Reinforcements[[#This Row],[Fy, (ksi)]]/Reinforcements[[#This Row],[Fex, FB (ksi)]]))*Reinforcements[[#This Row],[Fy, (ksi)]],0.877*Reinforcements[[#This Row],[Fex, FB (ksi)]])</f>
        <v>59.571967194281633</v>
      </c>
      <c r="EV42" s="6">
        <f>IF(Reinforcements[[#This Row],[Lcy/ry]]&lt;=Reinforcements[[#This Row],[Fcr Limit]],(0.658^(Reinforcements[[#This Row],[Fy, (ksi)]]/Reinforcements[[#This Row],[Fey, FB (ksi)]]))*Reinforcements[[#This Row],[Fy, (ksi)]],0.877*Reinforcements[[#This Row],[Fey, FB (ksi)]])</f>
        <v>64.116370218110077</v>
      </c>
      <c r="EW42" s="6">
        <f>Reinforcements[[#This Row],[Fcrx (ksi)]]*Reinforcements[[#This Row],[Gross Area (in2)]]</f>
        <v>173.95014420730237</v>
      </c>
      <c r="EX42" s="6">
        <f>Reinforcements[[#This Row],[Fcry (ksi)]]*Reinforcements[[#This Row],[Gross Area (in2)]]</f>
        <v>187.21980103688142</v>
      </c>
      <c r="EY42" s="6">
        <f>IF(Reinforcements[[#This Row],[Type]]="channel",0,"N/A")</f>
        <v>0</v>
      </c>
      <c r="EZ42" s="6">
        <f>IF(Reinforcements[[#This Row],[Type]]="channel",Reinforcements[[#This Row],[Channel Flange Width, b]]-(0.5*Reinforcements[[#This Row],[Channel web thickness, tw]]),"N/A")</f>
        <v>1.4200000000000002</v>
      </c>
      <c r="FA42" s="6">
        <f>IF(Reinforcements[[#This Row],[Type]]="channel",Reinforcements[[#This Row],[Channel Height, h]]-Reinforcements[[#This Row],[Channel flange thickness, tf]],"N/A")</f>
        <v>3.4199999999999995</v>
      </c>
      <c r="FB42" s="6">
        <f>IF(Reinforcements[[#This Row],[Type]]="channel",Reinforcements[[#This Row],[Channel web thickness, tw]],"N/A")</f>
        <v>0.3</v>
      </c>
      <c r="FC42" s="6">
        <f>IF(Reinforcements[[#This Row],[Type]]="channel",((3*Reinforcements[[#This Row],[b]]^2)/(Reinforcements[[#This Row],[h]]+(6*Reinforcements[[#This Row],[b]])))-Reinforcements[[#This Row],[t]]/2,"N/A")</f>
        <v>0.35663316582914573</v>
      </c>
      <c r="FD42" s="6">
        <f>Reinforcements[[#This Row],[Pole Face to Centroid (in)]]</f>
        <v>0.59</v>
      </c>
      <c r="FE42" s="6">
        <f>IF(Reinforcements[[#This Row],[Type]]="channel",Reinforcements[[#This Row],[x(bar)]]+Reinforcements[[#This Row],['[Channel'] e0 (in)]],"N/A")</f>
        <v>0.9466331658291457</v>
      </c>
      <c r="FF42" s="6">
        <f>IF(Reinforcements[[#This Row],[Type]]="channel",Reinforcements[[#This Row],[Ix]],"N/A")</f>
        <v>0.66</v>
      </c>
      <c r="FG42" s="6">
        <f>IF(Reinforcements[[#This Row],[Type]]="channel",Reinforcements[[#This Row],[Iy]],"N/A")</f>
        <v>6.57</v>
      </c>
      <c r="FH42" s="6">
        <f>IF(Reinforcements[[#This Row],[Type]]="channel",Reinforcements[[#This Row],[Gross Area (in2)]],"N/A")</f>
        <v>2.92</v>
      </c>
      <c r="FI42" s="6">
        <f>IF(Reinforcements[[#This Row],[Type]]="channel",(Reinforcements[[#This Row],[xo]]^2)+((Reinforcements[[#This Row],[Ix (FTB)]]+Reinforcements[[#This Row],[Iy (FTB)]])/Reinforcements[[#This Row],[Ag]]),"N/A")</f>
        <v>3.3721417479079849</v>
      </c>
      <c r="FJ42" s="6">
        <f>IF(Reinforcements[[#This Row],[Type]]="channel",Reinforcements[[#This Row],[Lu (in)]],"N/A")</f>
        <v>18</v>
      </c>
      <c r="FK42" s="6">
        <f>IF(Reinforcements[[#This Row],[Type]]="channel",Reinforcements[[#This Row],[Effective Length Factor Kx]],"N/A")</f>
        <v>0.8</v>
      </c>
      <c r="FL42" s="6">
        <f>IF(Reinforcements[[#This Row],[Type]]="channel",Reinforcements[[#This Row],[Kz]]*Reinforcements[[#This Row],[Lz]],"N/A")</f>
        <v>14.4</v>
      </c>
      <c r="FM42" s="6">
        <f>IF(Reinforcements[[#This Row],[Type]]="channel",(((Reinforcements[[#This Row],[t]]^3)/3)*(Reinforcements[[#This Row],[h]]+(2*Reinforcements[[#This Row],[b]]))),"N/A")</f>
        <v>5.6339999999999994E-2</v>
      </c>
      <c r="FN42" s="6">
        <f>IF(Reinforcements[[#This Row],[Type]]="channel",(1-(((Reinforcements[[#This Row],[xo]]^2)+(Reinforcements[[#This Row],[yo]]^2))/Reinforcements[[#This Row],[ro^2(bar)]])),"N/A")</f>
        <v>0.73425958407482605</v>
      </c>
      <c r="FO42" s="6">
        <v>11200</v>
      </c>
      <c r="FP42" s="6">
        <f>IF(Reinforcements[[#This Row],[Type]]="channel",(((Reinforcements[[#This Row],[h]]^2)*(Reinforcements[[#This Row],[b]]^3)*Reinforcements[[#This Row],[t]])/12)*(((2*Reinforcements[[#This Row],[h]])+(3*Reinforcements[[#This Row],[b]]))/(Reinforcements[[#This Row],[h]]+(6*Reinforcements[[#This Row],[b]]))),"N/A")</f>
        <v>0.77835174952160791</v>
      </c>
      <c r="FQ42" s="6">
        <f>IF(Reinforcements[[#This Row],[Type]]="Channel",((((PI()^2)*Reinforcements[[#This Row],[E, (ksi)]]*Reinforcements[[#This Row],['[Channel'] CW (in6)]])/(Reinforcements[[#This Row],[Lcz]]^2))+(Reinforcements[[#This Row],[G]]*Reinforcements[[#This Row],['[Channel'] J (in4)]]))*(1/(Reinforcements[[#This Row],[Ag]]*Reinforcements[[#This Row],[ro^2(bar)]])),"N/A")</f>
        <v>173.19234872952123</v>
      </c>
      <c r="FR42" s="6">
        <f>IF(Reinforcements[[#This Row],[Type]]="channel",((PI()^2)*Reinforcements[[#This Row],[E, (ksi)]])/(Reinforcements[[#This Row],[Lcy/ry]]^2),"N/A")</f>
        <v>1987.6286641082734</v>
      </c>
      <c r="FS42" s="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6">
        <f>IF(Reinforcements[[#This Row],[Type]]="channel",MIN(Reinforcements[[#This Row],[Fcr(FTB)]],Reinforcements[[#This Row],[Fcry (ksi)]]),"N/A")</f>
        <v>55.3359924004533</v>
      </c>
      <c r="FV42" s="6">
        <v>0.22</v>
      </c>
      <c r="FW42" s="6">
        <v>1.49</v>
      </c>
      <c r="FX42" s="6">
        <f>IF(Reinforcements[[#This Row],[Type]]="channel",((Reinforcements[[#This Row],[c2]]*(Reinforcements[[#This Row],[λrf]]/Reinforcements[[#This Row],[λf]]))^2)*Reinforcements[[#This Row],[Fy, (ksi)]],"N/A")</f>
        <v>3355.1136189800823</v>
      </c>
      <c r="FY42" s="6">
        <f>IF(Reinforcements[[#This Row],[Type]]="channel",((Reinforcements[[#This Row],[c2]]*(Reinforcements[[#This Row],[λrw]]/Reinforcements[[#This Row],[λw]]))^2)*Reinforcements[[#This Row],[Fy, (ksi)]],"N/A")</f>
        <v>1099.8497713911975</v>
      </c>
      <c r="FZ42"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6">
        <f>IF(Reinforcements[[#This Row],[Type]]="channel",Reinforcements[[#This Row],[Fcr]]*Reinforcements[[#This Row],[Ae]],"N/A")</f>
        <v>161.58109780932364</v>
      </c>
      <c r="GD42">
        <f>IF(Reinforcements[[#This Row],[Reinforcement]]="","",φ_c*Reinforcements[[#This Row],[Pnx, FB (kip)]])</f>
        <v>156.55512978657214</v>
      </c>
      <c r="GE42">
        <f>IF(Reinforcements[[#This Row],[Reinforcement]]="","",IF(Reinforcements[[#This Row],[Type]]="channel",φ_c*Reinforcements[[#This Row],[Pn]],φ_c*Reinforcements[[#This Row],[Pny, FB (kip)]]))</f>
        <v>145.42298802839127</v>
      </c>
      <c r="GF42">
        <f>Reinforcements[[#This Row],[Rev. G Tension Yield Capacity (kips)]]</f>
        <v>170.82</v>
      </c>
      <c r="GG42">
        <f>Reinforcements[[#This Row],[Rev. G Tension Rupture Capacity (kips)]]</f>
        <v>144.12256250000002</v>
      </c>
      <c r="GH42">
        <f>Reinforcements[[#This Row],[Rev. G Shear Capacity (kips)]]</f>
        <v>85.41</v>
      </c>
      <c r="GI42">
        <f>IFERROR((Reinforcements[[#This Row],['# of End Connection Bolts          (Bottom)]]-1)*Reinforcements[[#This Row],[End Connection Bolt Spacing (in) (B)]],"-")</f>
        <v>12</v>
      </c>
      <c r="GJ42">
        <f>IFERROR(IF(VLOOKUP(Reinforcements[[#This Row],[Bottom End Connection Bolt Type]],Bolts[],COLUMN(Bolts[[#Headers],[Rev. H Apply Connection Length Reduction Factor (Rb)?]])-1,FALSE)="Yes",(IF(Reinforcements[[#This Row],[Lb(bottom)]]&lt;=16,1,IF(Reinforcements[[#This Row],[Lb(bottom)]]&gt;38,0.75,0.9))),1),"-")</f>
        <v>1</v>
      </c>
      <c r="GK42">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f>IFERROR(IF(Reinforcements[[#This Row],[Top End Connection Same?]]="Yes",Reinforcements[[#This Row],[Lb(bottom)]],(Reinforcements[[#This Row],['# of End Connection Bolts          (Top)]]-1)*Reinforcements[[#This Row],[End Connection Bolt Spacing (in) (T)]]),"-")</f>
        <v>12</v>
      </c>
      <c r="GM42">
        <f>IFERROR(IF(VLOOKUP(Reinforcements[[#This Row],[Top End Connection Bolt Type]],Bolts[],COLUMN(Bolts[[#Headers],[Rev. H Apply Connection Length Reduction Factor (Rb)?]])-1,FALSE)=TRUE,(IF(Reinforcements[[#This Row],[Lb(top)]]&lt;=16,1,IF(Reinforcements[[#This Row],[Lb(top)]]&gt;38,0.75,0.9))),1),"-")</f>
        <v>1</v>
      </c>
      <c r="GN4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f>Reinforcements[[#This Row],[Rev. G Bolt-Shaft Bearing Capacity (Bottom)                No Deformation          (*t*Fu kips)]]</f>
        <v>9.768188976377953</v>
      </c>
      <c r="GP42">
        <f>Reinforcements[[#This Row],[Rev. G Bolt-Shaft Bearing Capacity (Bottom)                   Deformation          (*t*Fu kips)]]</f>
        <v>12.210236220472442</v>
      </c>
      <c r="GQ42">
        <f>Reinforcements[[#This Row],[Rev. G Bolt-Shaft Bearing Capacity (Top)                    No Deformation          (*t*Fu kips)]]</f>
        <v>9.768188976377953</v>
      </c>
      <c r="GR42">
        <f>Reinforcements[[#This Row],[Rev. G Bolt-Shaft Bearing Capacity (Top)                        Deformation          (*t*Fu kips)]]</f>
        <v>12.210236220472442</v>
      </c>
      <c r="GS42">
        <f>Reinforcements[[#This Row],[Rev. G Bolt-Reinf. Bearing Capacity (Bottom)            No Deformation (kips)]]</f>
        <v>219.36188976377954</v>
      </c>
      <c r="GT42">
        <f>Reinforcements[[#This Row],[Rev. G Bolt-Reinf. Bearing Capacity (Bottom)               Deformation (kips)]]</f>
        <v>274.20236220472441</v>
      </c>
      <c r="GU42">
        <f>Reinforcements[[#This Row],[Rev. G Bolt-Reinf. Bearing Capacity (Top)                  No Deformation (kips)]]</f>
        <v>219.36188976377954</v>
      </c>
      <c r="GV42">
        <f>Reinforcements[[#This Row],[Rev. G Bolt-Reinf. Bearing Capacity (Top)               Deformation (kips)]]</f>
        <v>274.20236220472441</v>
      </c>
      <c r="GW42" t="str">
        <f>Reinforcements[[#This Row],[Rev. G Bottom Transverse Weld Strength]]</f>
        <v>-</v>
      </c>
      <c r="GX42" t="str">
        <f>Reinforcements[[#This Row],[Rev. G Bottom Longitudinal Weld Strength]]</f>
        <v>-</v>
      </c>
      <c r="GY42" t="str">
        <f>Reinforcements[[#This Row],[Rev. G Top Transverse Weld Strength]]</f>
        <v>-</v>
      </c>
      <c r="GZ42" t="str">
        <f>Reinforcements[[#This Row],[Rev. G Top Longitudinal Weld Strength]]</f>
        <v>-</v>
      </c>
      <c r="HA42">
        <v>40</v>
      </c>
      <c r="HB4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49" t="s">
        <v>401</v>
      </c>
      <c r="C43" s="49" t="s">
        <v>399</v>
      </c>
      <c r="D43" s="6">
        <v>4.78</v>
      </c>
      <c r="E43" s="6">
        <v>1.61</v>
      </c>
      <c r="F43" s="6" t="str">
        <f>IF(Reinforcements[[#This Row],[Type]]="","",IF(Reinforcements[[#This Row],[Type]]="solid round","","n/a"))</f>
        <v>n/a</v>
      </c>
      <c r="G43" s="6">
        <v>0.43</v>
      </c>
      <c r="H43" s="6">
        <v>0.84</v>
      </c>
      <c r="I43" s="126">
        <f>IF(Reinforcements[[#This Row],[Type]]="","",IF(Reinforcements[[#This Row],[Type]]&lt;&gt;"channel","n/a",Reinforcements[[#This Row],[eo]]))</f>
        <v>0.25925467099918753</v>
      </c>
      <c r="J43" s="126">
        <f>IF(Reinforcements[[#This Row],[Type]]="","",IF(Reinforcements[[#This Row],[Type]]&lt;&gt;"channel","n/a",Reinforcements[[#This Row],[J]]))</f>
        <v>0.17836070333333334</v>
      </c>
      <c r="K43" s="126">
        <f>IF(Reinforcements[[#This Row],[Type]]="","",IF(Reinforcements[[#This Row],[Type]]&lt;&gt;"channel","n/a",Reinforcements[[#This Row],[Cw]]))</f>
        <v>1.4800335127028132</v>
      </c>
      <c r="L43" s="6">
        <v>4.13</v>
      </c>
      <c r="M43" s="6">
        <v>0.61</v>
      </c>
      <c r="N43" s="16" t="s">
        <v>353</v>
      </c>
      <c r="O43" s="6" t="s">
        <v>138</v>
      </c>
      <c r="P43" s="123">
        <v>0.91</v>
      </c>
      <c r="Q43" s="123">
        <f>IF(Reinforcements[[#This Row],[Reinforcement]]="","",SQRT(Reinforcements[[#This Row],[Ix]]/Reinforcements[[#This Row],[Gross Area (in2)]]))</f>
        <v>0.46940279403817731</v>
      </c>
      <c r="R43" s="123">
        <v>11.86</v>
      </c>
      <c r="S43" s="123">
        <f>IF(Reinforcements[[#This Row],[Reinforcement]]="","",SQRT(Reinforcements[[#This Row],[Iy]]/Reinforcements[[#This Row],[Gross Area (in2)]]))</f>
        <v>1.6946004550274312</v>
      </c>
      <c r="T43" s="6">
        <v>18</v>
      </c>
      <c r="U43" s="6">
        <v>0.8</v>
      </c>
      <c r="V43" s="6">
        <v>1</v>
      </c>
      <c r="W43" s="6">
        <v>1.1875</v>
      </c>
      <c r="X43" s="6">
        <f>IF(Reinforcements[[#This Row],[Bolt Hole Size (in)]]="","",IF(Reinforcements[[#This Row],[Bolt Hole Size (in)]]="n/a","n/a",Reinforcements[[#This Row],[Bolt Hole Size (in)]]*25.4))</f>
        <v>30.162499999999998</v>
      </c>
      <c r="Y4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6">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34" t="s">
        <v>354</v>
      </c>
      <c r="AB43" s="34" t="str">
        <f>IF(Reinforcements[[#This Row],[Reinforcement]]="","",IF(Reinforcements[[#This Row],[Bottom End Connection Type]]&lt;&gt;"Capacity Input","-",""))</f>
        <v>-</v>
      </c>
      <c r="AC43" s="34" t="str">
        <f>IF(Reinforcements[[#This Row],[Reinforcement]]="","",IF(Reinforcements[[#This Row],[Bottom End Connection Type]]&lt;&gt;"Capacity Input","-",""))</f>
        <v>-</v>
      </c>
      <c r="AD43" s="16" t="str">
        <f>IF(Reinforcements[[#This Row],[Reinforcement]]="","",IF(Reinforcements[[#This Row],[Bottom End Connection Type]]&lt;&gt;"Capacity Input","-",""))</f>
        <v>-</v>
      </c>
      <c r="AE43" s="74" t="s">
        <v>355</v>
      </c>
      <c r="AF43" s="6" t="s">
        <v>356</v>
      </c>
      <c r="AG43" s="6">
        <v>6</v>
      </c>
      <c r="AH43" s="6">
        <v>3</v>
      </c>
      <c r="AI43" s="6">
        <v>2</v>
      </c>
      <c r="AJ43" s="6">
        <f>Reinforcements[[#This Row],[End Connection Edge Distance (in) (B)]]-(Reinforcements[[#This Row],[Bolt Hole Size (in)]]+1/16)/2</f>
        <v>1.375</v>
      </c>
      <c r="AK43" s="6">
        <f>Reinforcements[[#This Row],[End Connection Bolt Spacing (in) (B)]]-(Reinforcements[[#This Row],[Bolt Hole Size (in)]]+1/16)</f>
        <v>1.75</v>
      </c>
      <c r="AL43" s="6">
        <f>Reinforcements[[#This Row],[End Connection Edge Distance (in) (B)]]</f>
        <v>2</v>
      </c>
      <c r="AM43" s="6">
        <f>Reinforcements[[#This Row],[End Connection Bolt Spacing (in) (B)]]</f>
        <v>3</v>
      </c>
      <c r="AN43" s="6" t="str">
        <f>IF(Reinforcements[[#This Row],[Reinforcement]]="","",IF(OR(Reinforcements[[#This Row],[Bottom End Connection Type]]="Bolted",Reinforcements[[#This Row],[Bottom End Connection Type]]=""),"-",""))</f>
        <v>-</v>
      </c>
      <c r="AO43" s="111" t="str">
        <f>IF(Reinforcements[[#This Row],[Reinforcement]]="","",IF(OR(Reinforcements[[#This Row],[Bottom End Connection Type]]="Bolted",Reinforcements[[#This Row],[Bottom End Connection Type]]=""),"-",""))</f>
        <v>-</v>
      </c>
      <c r="AP43" s="111" t="str">
        <f>IF(Reinforcements[[#This Row],[Reinforcement]]="","",IF(OR(Reinforcements[[#This Row],[Bottom End Connection Type]]="Bolted",Reinforcements[[#This Row],[Bottom End Connection Type]]=""),"-",""))</f>
        <v>-</v>
      </c>
      <c r="AQ43" s="111" t="str">
        <f>IF(OR(Reinforcements[[#This Row],[Bottom End Connection Type]]="Bolted",Reinforcements[[#This Row],[Bottom Transverse (Horizontal) Weld]]="none"),"-","")</f>
        <v>-</v>
      </c>
      <c r="AR4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11" t="str">
        <f>IF(OR(Reinforcements[[#This Row],[Bottom Transverse (Horizontal) Weld]]="none",Reinforcements[[#This Row],[Bottom End Connection Type]]="Bolted"),"-","")</f>
        <v>-</v>
      </c>
      <c r="AU4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11" t="str">
        <f>IF(Reinforcements[[#This Row],[Reinforcement]]="","",IF(OR(Reinforcements[[#This Row],[Bottom End Connection Type]]="Bolted",Reinforcements[[#This Row],[Bottom End Connection Type]]=""),"-",""))</f>
        <v>-</v>
      </c>
      <c r="AW43" s="111" t="str">
        <f>IF(Reinforcements[[#This Row],[Reinforcement]]="","",IF(OR(Reinforcements[[#This Row],[Bottom End Connection Type]]&lt;&gt;"Welded",Reinforcements[[#This Row],[Bottom Longitudinal (Vertical) Weld]]="None",Reinforcements[[#This Row],[Bottom Longitudinal (Vertical) Weld]]=""),"-",""))</f>
        <v>-</v>
      </c>
      <c r="AX43" s="111" t="str">
        <f>IF(Reinforcements[[#This Row],[Reinforcement]]="","",IF(OR(Reinforcements[[#This Row],[Bottom End Connection Type]]&lt;&gt;"Welded",Reinforcements[[#This Row],[Bottom Longitudinal (Vertical) Weld]]="None",Reinforcements[[#This Row],[Bottom Longitudinal (Vertical) Weld]]=""),"-",""))</f>
        <v>-</v>
      </c>
      <c r="AY43" s="6" t="str">
        <f>IF(Reinforcements[[#This Row],[Reinforcement]]="","",IF(OR(Reinforcements[[#This Row],[Bottom End Connection Type]]&lt;&gt;"Welded",Reinforcements[[#This Row],[Bottom Longitudinal (Vertical) Weld]]="None"),"-",SQRT(2)/2*Reinforcements[[#This Row],[Bottom Longitudinal Weld Fillet Size (in)]]))</f>
        <v>-</v>
      </c>
      <c r="AZ43" s="6" t="s">
        <v>357</v>
      </c>
      <c r="BA43" s="16" t="str">
        <f>IF(Reinforcements[[#This Row],[Top End Connection Same?]]="Yes",Reinforcements[[#This Row],[Bottom End Connection Type]],"")</f>
        <v>Bolted</v>
      </c>
      <c r="BB43" s="16" t="str">
        <f>IF(Reinforcements[[#This Row],[Reinforcement]]="","",IF(Reinforcements[[#This Row],[Top End Connection Same?]]="Yes",Reinforcements[[#This Row],[Rev. F Bottom Connection Capacity (kips)]],IF(Reinforcements[[#This Row],[Reinforcement]]="","",IF(Reinforcements[[#This Row],[Top End Connection Type]]&lt;&gt;"Capacity Input","-",""))))</f>
        <v>-</v>
      </c>
      <c r="BC43" s="16" t="str">
        <f>IF(Reinforcements[[#This Row],[Reinforcement]]="","",IF(Reinforcements[[#This Row],[Top End Connection Same?]]="Yes",Reinforcements[[#This Row],[Rev. G Bottom Connection Capacity (kips)]],IF(Reinforcements[[#This Row],[Reinforcement]]="","",IF(Reinforcements[[#This Row],[Top End Connection Type]]&lt;&gt;"Capacity Input","-",""))))</f>
        <v>-</v>
      </c>
      <c r="BD43" s="16" t="str">
        <f>IF(Reinforcements[[#This Row],[Reinforcement]]="","",IF(Reinforcements[[#This Row],[Top End Connection Same?]]="Yes",Reinforcements[[#This Row],[Rev. G Bottom Connection Capacity (kips)]],IF(Reinforcements[[#This Row],[Reinforcement]]="","",IF(Reinforcements[[#This Row],[Top End Connection Type]]&lt;&gt;"Capacity Input","-",""))))</f>
        <v>-</v>
      </c>
      <c r="BE43" s="74" t="str">
        <f>IF(Reinforcements[[#This Row],[Top End Connection Same?]]="Yes",Reinforcements[[#This Row],[Bottom End Connection Bolt Type]],IF(Reinforcements[[#This Row],[Top End Connection Type]]="Welded","-",""))</f>
        <v>PC 8.8 - M20 (100)</v>
      </c>
      <c r="BF43" s="6" t="str">
        <f>IF(Reinforcements[[#This Row],[Top End Connection Same?]]="Yes",Reinforcements[[#This Row],[Threads Included (N) or Excluded (X) (Bottom)]],IF(Reinforcements[[#This Row],[Top End Connection Type]]="Welded","-",""))</f>
        <v>N</v>
      </c>
      <c r="BG43" s="6">
        <f>IF(Reinforcements[[#This Row],[Top End Connection Same?]]="Yes",Reinforcements[[#This Row],['# of End Connection Bolts          (Bottom)]],IF(Reinforcements[[#This Row],[Top End Connection Type]]="Welded","-",""))</f>
        <v>6</v>
      </c>
      <c r="BH43" s="6">
        <f>IF(Reinforcements[[#This Row],[Top End Connection Same?]]="Yes",Reinforcements[[#This Row],[End Connection Bolt Spacing (in) (B)]],IF(Reinforcements[[#This Row],[Top End Connection Type]]="Welded","-",""))</f>
        <v>3</v>
      </c>
      <c r="BI43" s="6">
        <f>IF(Reinforcements[[#This Row],[Top End Connection Same?]]="Yes",Reinforcements[[#This Row],[End Connection Edge Distance (in) (B)]],IF(Reinforcements[[#This Row],[Top End Connection Type]]="Welded","-",""))</f>
        <v>2</v>
      </c>
      <c r="BJ43" s="6">
        <f>Reinforcements[[#This Row],[End Connection Edge Distance (in) (T)]]-(Reinforcements[[#This Row],[Bolt Hole Size (in)]]+1/16)/2</f>
        <v>1.375</v>
      </c>
      <c r="BK43" s="6">
        <f>Reinforcements[[#This Row],[End Connection Bolt Spacing (in) (T)]]-(Reinforcements[[#This Row],[Bolt Hole Size (in)]]+1/16)</f>
        <v>1.75</v>
      </c>
      <c r="BL43" s="6">
        <f>Reinforcements[[#This Row],[End Connection Edge Distance (in) (T)]]</f>
        <v>2</v>
      </c>
      <c r="BM43" s="6">
        <f>Reinforcements[[#This Row],[End Connection Bolt Spacing (in) (T)]]</f>
        <v>3</v>
      </c>
      <c r="BN43" s="6" t="str">
        <f>IF(Reinforcements[[#This Row],[Reinforcement]]="","",IF(Reinforcements[[#This Row],[Top End Connection Same?]]="Yes",Reinforcements[[#This Row],[Bottom Connected to Flange/Base Plate?]],IF(Reinforcements[[#This Row],[Top End Connection Type]]="Bolted","-","")))</f>
        <v>-</v>
      </c>
      <c r="BO43" s="6" t="str">
        <f>IF(Reinforcements[[#This Row],[Reinforcement]]="","",IF(Reinforcements[[#This Row],[Top End Connection Same?]]="Yes",Reinforcements[[#This Row],[Bottom Weld Grade (ksi)]],IF(OR(Reinforcements[[#This Row],[Top End Connection Type]]&lt;&gt;"Welded",Reinforcements[[#This Row],[Top End Connection Type]]=""),"-","")))</f>
        <v>-</v>
      </c>
      <c r="BP43" s="6" t="str">
        <f>IF($AZ43="Yes",AP43,IF(Reinforcements[[#This Row],[Reinforcement]]="","",IF(OR(Reinforcements[[#This Row],[Top End Connection Type]]&lt;&gt;"Welded",Reinforcements[[#This Row],[Top End Connection Type]]=""),"-","")))</f>
        <v>-</v>
      </c>
      <c r="BQ43" s="6" t="str">
        <f>IF(Reinforcements[[#This Row],[Reinforcement]]="","",IF($AZ43="Yes",AQ43,IF(OR(Reinforcements[[#This Row],[Top End Connection Type]]&lt;&gt;"Welded",Reinforcements[[#This Row],[Top Transverse (Horizontal) Weld]]="none",Reinforcements[[#This Row],[Top Transverse (Horizontal) Weld]]=""),"-","")))</f>
        <v>-</v>
      </c>
      <c r="BR43" s="6"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6"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6" t="str">
        <f>IF(Reinforcements[[#This Row],[Reinforcement]]="","",IF($AZ43="Yes",AT43,IF(OR(Reinforcements[[#This Row],[Top Transverse (Horizontal) Weld]]="none",Reinforcements[[#This Row],[Top End Connection Type]]&lt;&gt;"Welded",Reinforcements[[#This Row],[Top Transverse (Horizontal) Weld]]=""),"-","")))</f>
        <v>-</v>
      </c>
      <c r="BU43" s="6"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6" t="str">
        <f>IF($AZ43="Yes",AV43,IF(Reinforcements[[#This Row],[Reinforcement]]="","",IF(OR(Reinforcements[[#This Row],[Top End Connection Type]]&lt;&gt;"Welded",Reinforcements[[#This Row],[Top End Connection Type]]=""),"-","")))</f>
        <v>-</v>
      </c>
      <c r="BW43" s="6"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6"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6" t="str">
        <f>IF($AZ43="Yes",AY43,IF(Reinforcements[[#This Row],[Reinforcement]]="","",IF(OR(Reinforcements[[#This Row],[Top End Connection Type]]&lt;&gt;"Welded",Reinforcements[[#This Row],[Top Longitudinal (Vertical) Weld]]="none"),"-",SQRT(2)/2*Reinforcements[[#This Row],[Top Longitudinal Weld Fillet Size (in)]])))</f>
        <v>-</v>
      </c>
      <c r="BZ43"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111">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111">
        <f>IF(Reinforcements[[#This Row],[Reinforcement]]="","",IF(Reinforcements[[#This Row],[Top End Connection Type]]&lt;&gt;"Bolted","n/a",(Reinforcements[[#This Row],['# of End Connection Bolts          (Top)]]-1)*Reinforcements[[#This Row],[End Connection Bolt Spacing (in) (T)]]+Reinforcements[[#This Row],[End Connection Edge Distance (in) (T)]]))</f>
        <v>17</v>
      </c>
      <c r="CC4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6">
        <f>IFERROR(IF(Reinforcements[[#This Row],[Type]]="","",Reinforcements[[#This Row],[Effective B (in)]]*Reinforcements[[#This Row],[Effective H (in)]]^3/12),"")</f>
        <v>0.51225766666666661</v>
      </c>
      <c r="CF43" s="6">
        <f>IFERROR(IF(Reinforcements[[#This Row],[Type]]="","",Reinforcements[[#This Row],[Effective B (in)]]^3*Reinforcements[[#This Row],[Effective H (in)]]/12),"")</f>
        <v>3.9441120778464573</v>
      </c>
      <c r="CG43" s="126">
        <f>SQRT(2*PI()^2*29000/VLOOKUP(Reinforcements[[#This Row],[Material]],Materials[],2,FALSE))</f>
        <v>93.844147005158973</v>
      </c>
      <c r="CH4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123">
        <f>Reinforcements[[#This Row],[Effective Length Factor Kx]]*Reinforcements[[#This Row],[Lu (in)]]/(Reinforcements[[#This Row],[rx]]*PI())*SQRT(VLOOKUP(Reinforcements[[#This Row],[Material]],Materials[],2,FALSE)/29000)</f>
        <v>0.46230078240000971</v>
      </c>
      <c r="CK43" s="123">
        <f>Reinforcements[[#This Row],[Effective Length Factor Ky]]*Reinforcements[[#This Row],[Lu (in)]]/(Reinforcements[[#This Row],[ry]]*PI())*SQRT(VLOOKUP(Reinforcements[[#This Row],[Material]],Materials[],2,FALSE)/29000)</f>
        <v>0.1600711234769254</v>
      </c>
      <c r="CL43" s="123">
        <f>IF(Reinforcements[[#This Row],[λcx]]&lt;=1.5,0.658^(Reinforcements[[#This Row],[λcx]]^2)*Reinforcements[[#This Row],[F''y]],0.877/(Reinforcements[[#This Row],[λcx]]^2)*Reinforcements[[#This Row],[F''y]])</f>
        <v>59.438005611781477</v>
      </c>
      <c r="CM43" s="123">
        <f>IF(Reinforcements[[#This Row],[λcy]]&lt;=1.5,0.658^(Reinforcements[[#This Row],[λcy]]^2)*Reinforcements[[#This Row],[F''y]],0.877/(Reinforcements[[#This Row],[λcy]]^2)*Reinforcements[[#This Row],[F''y]])</f>
        <v>64.306637493554334</v>
      </c>
      <c r="CN43" s="6">
        <f>VLOOKUP(Reinforcements[[#This Row],[Material]],Materials[],2,FALSE)</f>
        <v>65</v>
      </c>
      <c r="CO43" s="126">
        <f>IF(Reinforcements[[#This Row],[Reinforcement]]="","",Reinforcements[[#This Row],[Fax]]*Reinforcements[[#This Row],[Gross Area (in2)]])</f>
        <v>142.36571101127041</v>
      </c>
      <c r="CP43" s="126">
        <f>IF(Reinforcements[[#This Row],[Reinforcement]]="","",Reinforcements[[#This Row],[Fay]]*Reinforcements[[#This Row],[Gross Area (in2)]])</f>
        <v>156.08028842775298</v>
      </c>
      <c r="CQ43" s="126">
        <f>IF(Reinforcements[[#This Row],[Reinforcement]]="","",0.6*VLOOKUP(Reinforcements[[#This Row],[Material]],Materials[],2,FALSE)*Reinforcements[[#This Row],[Gross Area (in2)]])</f>
        <v>161.07</v>
      </c>
      <c r="CR43" s="126">
        <f>IF(Reinforcements[[#This Row],[Reinforcement]]="","",0.5*VLOOKUP(Reinforcements[[#This Row],[Material]],Materials[],3,FALSE)*Reinforcements[[#This Row],[Net Area (in2)]]*Reinforcements[[#This Row],[Shear Lag (U)]])</f>
        <v>137.8562</v>
      </c>
      <c r="CS43" s="126">
        <f>IF(Reinforcements[[#This Row],[Reinforcement]]="","",0.4*VLOOKUP(Reinforcements[[#This Row],[Material]],Materials[],2,FALSE)*Reinforcements[[#This Row],[Gross Area (in2)]])</f>
        <v>107.38</v>
      </c>
      <c r="CT4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6"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6"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126">
        <f>IF(Reinforcements[[#This Row],[Reinforcement]]="","",φ_c*Reinforcements[[#This Row],[Fcr,x]]*Reinforcements[[#This Row],[Gross Area (in2)]])</f>
        <v>220.93106685899176</v>
      </c>
      <c r="DI43" s="126">
        <f>IF(Reinforcements[[#This Row],[Reinforcement]]="","",φ_c*Reinforcements[[#This Row],[Fcr,y]]*Reinforcements[[#This Row],[Gross Area (in2)]])</f>
        <v>239.02777156354145</v>
      </c>
      <c r="DJ43" s="126">
        <f>IF(Reinforcements[[#This Row],[Reinforcement]]="","",φ_t_y*VLOOKUP(Reinforcements[[#This Row],[Material]],Materials[],2,FALSE)*Reinforcements[[#This Row],[Gross Area (in2)]])</f>
        <v>241.60499999999999</v>
      </c>
      <c r="DK43" s="126">
        <f>IF(Reinforcements[[#This Row],[Reinforcement]]="","",φ_t_r*VLOOKUP(Reinforcements[[#This Row],[Material]],Materials[],3,FALSE)*Reinforcements[[#This Row],[Net Area (in2)]]*Reinforcements[[#This Row],[Shear Lag (U)]])</f>
        <v>206.7843</v>
      </c>
      <c r="DL43" s="126">
        <f>IF(Reinforcements[[#This Row],[Reinforcement]]="","",φ_v*0.5*Reinforcements[[#This Row],[F''y]]*Reinforcements[[#This Row],[Gross Area (in2)]])</f>
        <v>120.80249999999999</v>
      </c>
      <c r="DM4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6"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6"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111">
        <f>IF(OR(Reinforcements[[#This Row],[Type]]="plate",Reinforcements[[#This Row],[Type]]="solid round"),"N/A",Reinforcements[[#This Row],[B (in)]])</f>
        <v>4.78</v>
      </c>
      <c r="EB43" s="6">
        <f>IF(OR(Reinforcements[[#This Row],[Type]]="plate",Reinforcements[[#This Row],[Type]]="solid round"),"N/A",Reinforcements[[#This Row],[H (in)]])</f>
        <v>1.61</v>
      </c>
      <c r="EC43" s="6">
        <f>IF(OR(Reinforcements[[#This Row],[Type]]="plate",Reinforcements[[#This Row],[Type]]="solid round"),"N/A",Reinforcements[[#This Row],[B (in)]]-Reinforcements[[#This Row],['[Channel'] Flange Thickness (in)]])</f>
        <v>3.9400000000000004</v>
      </c>
      <c r="ED43" s="6">
        <f>IF(OR(Reinforcements[[#This Row],[Type]]="plate",Reinforcements[[#This Row],[Type]]="solid round"),"N/A",Reinforcements[[#This Row],['[Channel']Web Thickness (in)]])</f>
        <v>0.43</v>
      </c>
      <c r="EE43" s="6">
        <f>IF(OR(Reinforcements[[#This Row],[Type]]="plate",Reinforcements[[#This Row],[Type]]="solid round"),"N/A",Reinforcements[[#This Row],['[Channel'] Flange Thickness (in)]])</f>
        <v>0.84</v>
      </c>
      <c r="EF43" s="6">
        <f>IF(Reinforcements[[#This Row],[Type]]="channel",Reinforcements[[#This Row],[Channel Flange Width, b]]/Reinforcements[[#This Row],[Channel flange thickness, tf]],"N/A")</f>
        <v>1.916666666666667</v>
      </c>
      <c r="EG43" s="6">
        <f>IF(Reinforcements[[#This Row],[Type]]="channel",Reinforcements[[#This Row],[Channel inside depth, T]]/Reinforcements[[#This Row],[Channel web thickness, tw]],"N/A")</f>
        <v>9.1627906976744189</v>
      </c>
      <c r="EH43" s="6">
        <f>29000</f>
        <v>29000</v>
      </c>
      <c r="EI43" s="6">
        <f>IF(Reinforcements[[#This Row],[Type]]="channel",0.56*SQRT(Reinforcements[[#This Row],[E, (ksi)]]/Reinforcements[[#This Row],[Fy, (ksi)]]),"N/A")</f>
        <v>11.828518341442694</v>
      </c>
      <c r="EJ43" s="6">
        <f>IF(Reinforcements[[#This Row],[Type]]="channel",1.49*SQRT(Reinforcements[[#This Row],[E, (ksi)]]/Reinforcements[[#This Row],[Fy, (ksi)]]),"N/A")</f>
        <v>31.472307729910018</v>
      </c>
      <c r="EK43" s="6">
        <f>VLOOKUP(Reinforcements[[#This Row],[Material]],Materials!$B$2:$C$30,2,FALSE)</f>
        <v>65</v>
      </c>
      <c r="EL43" s="6">
        <f>Reinforcements[[#This Row],[Lu (in)]]*Reinforcements[[#This Row],[Effective Length Factor Kx]]</f>
        <v>14.4</v>
      </c>
      <c r="EM43" s="6">
        <f>Reinforcements[[#This Row],[Lu (in)]]*Reinforcements[[#This Row],[Effective Length Factor Ky]]</f>
        <v>18</v>
      </c>
      <c r="EN43" s="6">
        <f>Reinforcements[[#This Row],[rx]]</f>
        <v>0.46940279403817731</v>
      </c>
      <c r="EO43" s="6">
        <f>Reinforcements[[#This Row],[ry]]</f>
        <v>1.6946004550274312</v>
      </c>
      <c r="EP43" s="6">
        <f>Reinforcements[[#This Row],[Lcx (in)]]/Reinforcements[[#This Row],[rx (in)]]</f>
        <v>30.677277985756568</v>
      </c>
      <c r="EQ43" s="6">
        <f>Reinforcements[[#This Row],[Lcy (in)]]/Reinforcements[[#This Row],[ry (in)]]</f>
        <v>10.621972835306849</v>
      </c>
      <c r="ER43" s="6">
        <f>((PI()^2)*Reinforcements[[#This Row],[E, (ksi)]])/(Reinforcements[[#This Row],[Lcx/rx]]^2)</f>
        <v>304.13338786967461</v>
      </c>
      <c r="ES43" s="6">
        <f>((PI()^2)*Reinforcements[[#This Row],[E, (ksi)]])/(Reinforcements[[#This Row],[Lcy/ry]]^2)</f>
        <v>2536.806667347229</v>
      </c>
      <c r="ET43" s="6">
        <f>4.71*(SQRT(Reinforcements[[#This Row],[E, (ksi)]]/Reinforcements[[#This Row],[Fy, (ksi)]]))</f>
        <v>99.486288193205496</v>
      </c>
      <c r="EU43" s="6">
        <f>IF(Reinforcements[[#This Row],[Lcx/rx]]&lt;=Reinforcements[[#This Row],[Fcr Limit]],(0.658^(Reinforcements[[#This Row],[Fy, (ksi)]]/Reinforcements[[#This Row],[Fex, FB (ksi)]]))*Reinforcements[[#This Row],[Fy, (ksi)]],0.877*Reinforcements[[#This Row],[Fex, FB (ksi)]])</f>
        <v>59.438005611781477</v>
      </c>
      <c r="EV43" s="6">
        <f>IF(Reinforcements[[#This Row],[Lcy/ry]]&lt;=Reinforcements[[#This Row],[Fcr Limit]],(0.658^(Reinforcements[[#This Row],[Fy, (ksi)]]/Reinforcements[[#This Row],[Fey, FB (ksi)]]))*Reinforcements[[#This Row],[Fy, (ksi)]],0.877*Reinforcements[[#This Row],[Fey, FB (ksi)]])</f>
        <v>64.306637493554334</v>
      </c>
      <c r="EW43" s="6">
        <f>Reinforcements[[#This Row],[Fcrx (ksi)]]*Reinforcements[[#This Row],[Gross Area (in2)]]</f>
        <v>245.47896317665749</v>
      </c>
      <c r="EX43" s="6">
        <f>Reinforcements[[#This Row],[Fcry (ksi)]]*Reinforcements[[#This Row],[Gross Area (in2)]]</f>
        <v>265.58641284837938</v>
      </c>
      <c r="EY43" s="6">
        <f>IF(Reinforcements[[#This Row],[Type]]="channel",0,"N/A")</f>
        <v>0</v>
      </c>
      <c r="EZ43" s="6">
        <f>IF(Reinforcements[[#This Row],[Type]]="channel",Reinforcements[[#This Row],[Channel Flange Width, b]]-(0.5*Reinforcements[[#This Row],[Channel web thickness, tw]]),"N/A")</f>
        <v>1.395</v>
      </c>
      <c r="FA43" s="6">
        <f>IF(Reinforcements[[#This Row],[Type]]="channel",Reinforcements[[#This Row],[Channel Height, h]]-Reinforcements[[#This Row],[Channel flange thickness, tf]],"N/A")</f>
        <v>3.9400000000000004</v>
      </c>
      <c r="FB43" s="6">
        <f>IF(Reinforcements[[#This Row],[Type]]="channel",Reinforcements[[#This Row],[Channel web thickness, tw]],"N/A")</f>
        <v>0.43</v>
      </c>
      <c r="FC43" s="6">
        <f>IF(Reinforcements[[#This Row],[Type]]="channel",((3*Reinforcements[[#This Row],[b]]^2)/(Reinforcements[[#This Row],[h]]+(6*Reinforcements[[#This Row],[b]])))-Reinforcements[[#This Row],[t]]/2,"N/A")</f>
        <v>0.25925467099918753</v>
      </c>
      <c r="FD43" s="6">
        <f>Reinforcements[[#This Row],[Pole Face to Centroid (in)]]</f>
        <v>0.61</v>
      </c>
      <c r="FE43" s="6">
        <f>IF(Reinforcements[[#This Row],[Type]]="channel",Reinforcements[[#This Row],[x(bar)]]+Reinforcements[[#This Row],['[Channel'] e0 (in)]],"N/A")</f>
        <v>0.86925467099918752</v>
      </c>
      <c r="FF43" s="6">
        <f>IF(Reinforcements[[#This Row],[Type]]="channel",Reinforcements[[#This Row],[Ix]],"N/A")</f>
        <v>0.91</v>
      </c>
      <c r="FG43" s="6">
        <f>IF(Reinforcements[[#This Row],[Type]]="channel",Reinforcements[[#This Row],[Iy]],"N/A")</f>
        <v>11.86</v>
      </c>
      <c r="FH43" s="6">
        <f>IF(Reinforcements[[#This Row],[Type]]="channel",Reinforcements[[#This Row],[Gross Area (in2)]],"N/A")</f>
        <v>4.13</v>
      </c>
      <c r="FI43" s="6">
        <f>IF(Reinforcements[[#This Row],[Type]]="channel",(Reinforcements[[#This Row],[xo]]^2)+((Reinforcements[[#This Row],[Ix (FTB)]]+Reinforcements[[#This Row],[Iy (FTB)]])/Reinforcements[[#This Row],[Ag]]),"N/A")</f>
        <v>3.84761336828393</v>
      </c>
      <c r="FJ43" s="6">
        <f>IF(Reinforcements[[#This Row],[Type]]="channel",Reinforcements[[#This Row],[Lu (in)]],"N/A")</f>
        <v>18</v>
      </c>
      <c r="FK43" s="6">
        <f>IF(Reinforcements[[#This Row],[Type]]="channel",Reinforcements[[#This Row],[Effective Length Factor Kx]],"N/A")</f>
        <v>0.8</v>
      </c>
      <c r="FL43" s="6">
        <f>IF(Reinforcements[[#This Row],[Type]]="channel",Reinforcements[[#This Row],[Kz]]*Reinforcements[[#This Row],[Lz]],"N/A")</f>
        <v>14.4</v>
      </c>
      <c r="FM43" s="6">
        <f>IF(Reinforcements[[#This Row],[Type]]="channel",(((Reinforcements[[#This Row],[t]]^3)/3)*(Reinforcements[[#This Row],[h]]+(2*Reinforcements[[#This Row],[b]]))),"N/A")</f>
        <v>0.17836070333333334</v>
      </c>
      <c r="FN43" s="6">
        <f>IF(Reinforcements[[#This Row],[Type]]="channel",(1-(((Reinforcements[[#This Row],[xo]]^2)+(Reinforcements[[#This Row],[yo]]^2))/Reinforcements[[#This Row],[ro^2(bar)]])),"N/A")</f>
        <v>0.80361756477862745</v>
      </c>
      <c r="FO43" s="6">
        <v>11200</v>
      </c>
      <c r="FP43" s="6">
        <f>IF(Reinforcements[[#This Row],[Type]]="channel",(((Reinforcements[[#This Row],[h]]^2)*(Reinforcements[[#This Row],[b]]^3)*Reinforcements[[#This Row],[t]])/12)*(((2*Reinforcements[[#This Row],[h]])+(3*Reinforcements[[#This Row],[b]]))/(Reinforcements[[#This Row],[h]]+(6*Reinforcements[[#This Row],[b]]))),"N/A")</f>
        <v>1.4800335127028132</v>
      </c>
      <c r="FQ43" s="6">
        <f>IF(Reinforcements[[#This Row],[Type]]="Channel",((((PI()^2)*Reinforcements[[#This Row],[E, (ksi)]]*Reinforcements[[#This Row],['[Channel'] CW (in6)]])/(Reinforcements[[#This Row],[Lcz]]^2))+(Reinforcements[[#This Row],[G]]*Reinforcements[[#This Row],['[Channel'] J (in4)]]))*(1/(Reinforcements[[#This Row],[Ag]]*Reinforcements[[#This Row],[ro^2(bar)]])),"N/A")</f>
        <v>254.27080909373231</v>
      </c>
      <c r="FR43" s="6">
        <f>IF(Reinforcements[[#This Row],[Type]]="channel",((PI()^2)*Reinforcements[[#This Row],[E, (ksi)]])/(Reinforcements[[#This Row],[Lcy/ry]]^2),"N/A")</f>
        <v>2536.806667347229</v>
      </c>
      <c r="FS43" s="6">
        <f>IF(Reinforcements[[#This Row],[Type]]="channel",((Reinforcements[[#This Row],[Fey]]+Reinforcements[[#This Row],[Fez]])/(2*Reinforcements[[#This Row],[H2]]))*(1-SQRT(1-((4*Reinforcements[[#This Row],[Fey]]*Reinforcements[[#This Row],[Fez]]*Reinforcements[[#This Row],[H2]])/(Reinforcements[[#This Row],[Fey]]+Reinforcements[[#This Row],[Fez]])^2))),"N/A")</f>
        <v>248.9509329434444</v>
      </c>
      <c r="FT43" s="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6">
        <f>IF(Reinforcements[[#This Row],[Type]]="channel",MIN(Reinforcements[[#This Row],[Fcr(FTB)]],Reinforcements[[#This Row],[Fcry (ksi)]]),"N/A")</f>
        <v>58.271061873729096</v>
      </c>
      <c r="FV43" s="6">
        <v>0.22</v>
      </c>
      <c r="FW43" s="6">
        <v>1.49</v>
      </c>
      <c r="FX43" s="6">
        <f>IF(Reinforcements[[#This Row],[Type]]="channel",((Reinforcements[[#This Row],[c2]]*(Reinforcements[[#This Row],[λrf]]/Reinforcements[[#This Row],[λf]]))^2)*Reinforcements[[#This Row],[Fy, (ksi)]],"N/A")</f>
        <v>5496.0845961436671</v>
      </c>
      <c r="FY43" s="6">
        <f>IF(Reinforcements[[#This Row],[Type]]="channel",((Reinforcements[[#This Row],[c2]]*(Reinforcements[[#This Row],[λrw]]/Reinforcements[[#This Row],[λw]]))^2)*Reinforcements[[#This Row],[Fy, (ksi)]],"N/A")</f>
        <v>1702.5016404713465</v>
      </c>
      <c r="FZ43"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6">
        <f>IF(Reinforcements[[#This Row],[Type]]="channel",Reinforcements[[#This Row],[Fcr]]*Reinforcements[[#This Row],[Ae]],"N/A")</f>
        <v>240.65948553850117</v>
      </c>
      <c r="GD43">
        <f>IF(Reinforcements[[#This Row],[Reinforcement]]="","",φ_c*Reinforcements[[#This Row],[Pnx, FB (kip)]])</f>
        <v>220.93106685899176</v>
      </c>
      <c r="GE43">
        <f>IF(Reinforcements[[#This Row],[Reinforcement]]="","",IF(Reinforcements[[#This Row],[Type]]="channel",φ_c*Reinforcements[[#This Row],[Pn]],φ_c*Reinforcements[[#This Row],[Pny, FB (kip)]]))</f>
        <v>216.59353698465105</v>
      </c>
      <c r="GF43">
        <f>Reinforcements[[#This Row],[Rev. G Tension Yield Capacity (kips)]]</f>
        <v>241.60499999999999</v>
      </c>
      <c r="GG43">
        <f>Reinforcements[[#This Row],[Rev. G Tension Rupture Capacity (kips)]]</f>
        <v>206.7843</v>
      </c>
      <c r="GH43">
        <f>Reinforcements[[#This Row],[Rev. G Shear Capacity (kips)]]</f>
        <v>120.80249999999999</v>
      </c>
      <c r="GI43">
        <f>IFERROR((Reinforcements[[#This Row],['# of End Connection Bolts          (Bottom)]]-1)*Reinforcements[[#This Row],[End Connection Bolt Spacing (in) (B)]],"-")</f>
        <v>15</v>
      </c>
      <c r="GJ43">
        <f>IFERROR(IF(VLOOKUP(Reinforcements[[#This Row],[Bottom End Connection Bolt Type]],Bolts[],COLUMN(Bolts[[#Headers],[Rev. H Apply Connection Length Reduction Factor (Rb)?]])-1,FALSE)="Yes",(IF(Reinforcements[[#This Row],[Lb(bottom)]]&lt;=16,1,IF(Reinforcements[[#This Row],[Lb(bottom)]]&gt;38,0.75,0.9))),1),"-")</f>
        <v>1</v>
      </c>
      <c r="GK4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f>IFERROR(IF(Reinforcements[[#This Row],[Top End Connection Same?]]="Yes",Reinforcements[[#This Row],[Lb(bottom)]],(Reinforcements[[#This Row],['# of End Connection Bolts          (Top)]]-1)*Reinforcements[[#This Row],[End Connection Bolt Spacing (in) (T)]]),"-")</f>
        <v>15</v>
      </c>
      <c r="GM43">
        <f>IFERROR(IF(VLOOKUP(Reinforcements[[#This Row],[Top End Connection Bolt Type]],Bolts[],COLUMN(Bolts[[#Headers],[Rev. H Apply Connection Length Reduction Factor (Rb)?]])-1,FALSE)=TRUE,(IF(Reinforcements[[#This Row],[Lb(top)]]&lt;=16,1,IF(Reinforcements[[#This Row],[Lb(top)]]&gt;38,0.75,0.9))),1),"-")</f>
        <v>1</v>
      </c>
      <c r="GN4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f>Reinforcements[[#This Row],[Rev. G Bolt-Shaft Bearing Capacity (Bottom)                No Deformation          (*t*Fu kips)]]</f>
        <v>11.96220472440945</v>
      </c>
      <c r="GP43">
        <f>Reinforcements[[#This Row],[Rev. G Bolt-Shaft Bearing Capacity (Bottom)                   Deformation          (*t*Fu kips)]]</f>
        <v>14.952755905511811</v>
      </c>
      <c r="GQ43">
        <f>Reinforcements[[#This Row],[Rev. G Bolt-Shaft Bearing Capacity (Top)                    No Deformation          (*t*Fu kips)]]</f>
        <v>11.96220472440945</v>
      </c>
      <c r="GR43">
        <f>Reinforcements[[#This Row],[Rev. G Bolt-Shaft Bearing Capacity (Top)                        Deformation          (*t*Fu kips)]]</f>
        <v>14.952755905511811</v>
      </c>
      <c r="GS43">
        <f>Reinforcements[[#This Row],[Rev. G Bolt-Reinf. Bearing Capacity (Bottom)            No Deformation (kips)]]</f>
        <v>390.92485039370081</v>
      </c>
      <c r="GT43">
        <f>Reinforcements[[#This Row],[Rev. G Bolt-Reinf. Bearing Capacity (Bottom)               Deformation (kips)]]</f>
        <v>488.65606299212595</v>
      </c>
      <c r="GU43">
        <f>Reinforcements[[#This Row],[Rev. G Bolt-Reinf. Bearing Capacity (Top)                  No Deformation (kips)]]</f>
        <v>390.92485039370081</v>
      </c>
      <c r="GV43">
        <f>Reinforcements[[#This Row],[Rev. G Bolt-Reinf. Bearing Capacity (Top)               Deformation (kips)]]</f>
        <v>488.65606299212595</v>
      </c>
      <c r="GW43" t="str">
        <f>Reinforcements[[#This Row],[Rev. G Bottom Transverse Weld Strength]]</f>
        <v>-</v>
      </c>
      <c r="GX43" t="str">
        <f>Reinforcements[[#This Row],[Rev. G Bottom Longitudinal Weld Strength]]</f>
        <v>-</v>
      </c>
      <c r="GY43" t="str">
        <f>Reinforcements[[#This Row],[Rev. G Top Transverse Weld Strength]]</f>
        <v>-</v>
      </c>
      <c r="GZ43" t="str">
        <f>Reinforcements[[#This Row],[Rev. G Top Longitudinal Weld Strength]]</f>
        <v>-</v>
      </c>
      <c r="HA43">
        <v>41</v>
      </c>
      <c r="HB4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49" t="s">
        <v>402</v>
      </c>
      <c r="C44" s="49" t="s">
        <v>399</v>
      </c>
      <c r="D44" s="6">
        <v>4.78</v>
      </c>
      <c r="E44" s="6">
        <v>1.61</v>
      </c>
      <c r="F44" s="6" t="str">
        <f>IF(Reinforcements[[#This Row],[Type]]="","",IF(Reinforcements[[#This Row],[Type]]="solid round","","n/a"))</f>
        <v>n/a</v>
      </c>
      <c r="G44" s="6">
        <v>0.43</v>
      </c>
      <c r="H44" s="6">
        <v>0.84</v>
      </c>
      <c r="I44" s="126">
        <f>IF(Reinforcements[[#This Row],[Type]]="","",IF(Reinforcements[[#This Row],[Type]]&lt;&gt;"channel","n/a",Reinforcements[[#This Row],[eo]]))</f>
        <v>0.25925467099918753</v>
      </c>
      <c r="J44" s="126">
        <f>IF(Reinforcements[[#This Row],[Type]]="","",IF(Reinforcements[[#This Row],[Type]]&lt;&gt;"channel","n/a",Reinforcements[[#This Row],[J]]))</f>
        <v>0.17836070333333334</v>
      </c>
      <c r="K44" s="126">
        <f>IF(Reinforcements[[#This Row],[Type]]="","",IF(Reinforcements[[#This Row],[Type]]&lt;&gt;"channel","n/a",Reinforcements[[#This Row],[Cw]]))</f>
        <v>1.4800335127028132</v>
      </c>
      <c r="L44" s="6">
        <v>4.13</v>
      </c>
      <c r="M44" s="6">
        <v>0.61</v>
      </c>
      <c r="N44" s="16" t="s">
        <v>353</v>
      </c>
      <c r="O44" s="6" t="s">
        <v>138</v>
      </c>
      <c r="P44" s="123">
        <v>0.91</v>
      </c>
      <c r="Q44" s="123">
        <f>IF(Reinforcements[[#This Row],[Reinforcement]]="","",SQRT(Reinforcements[[#This Row],[Ix]]/Reinforcements[[#This Row],[Gross Area (in2)]]))</f>
        <v>0.46940279403817731</v>
      </c>
      <c r="R44" s="123">
        <v>11.86</v>
      </c>
      <c r="S44" s="123">
        <f>IF(Reinforcements[[#This Row],[Reinforcement]]="","",SQRT(Reinforcements[[#This Row],[Iy]]/Reinforcements[[#This Row],[Gross Area (in2)]]))</f>
        <v>1.6946004550274312</v>
      </c>
      <c r="T44" s="6">
        <v>18</v>
      </c>
      <c r="U44" s="6">
        <v>0.8</v>
      </c>
      <c r="V44" s="6">
        <v>1</v>
      </c>
      <c r="W44" s="6">
        <v>1.25</v>
      </c>
      <c r="X44" s="6">
        <f>IF(Reinforcements[[#This Row],[Bolt Hole Size (in)]]="","",IF(Reinforcements[[#This Row],[Bolt Hole Size (in)]]="n/a","n/a",Reinforcements[[#This Row],[Bolt Hole Size (in)]]*25.4))</f>
        <v>31.75</v>
      </c>
      <c r="Y4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6">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34" t="s">
        <v>354</v>
      </c>
      <c r="AB44" s="34" t="str">
        <f>IF(Reinforcements[[#This Row],[Reinforcement]]="","",IF(Reinforcements[[#This Row],[Bottom End Connection Type]]&lt;&gt;"Capacity Input","-",""))</f>
        <v>-</v>
      </c>
      <c r="AC44" s="34" t="str">
        <f>IF(Reinforcements[[#This Row],[Reinforcement]]="","",IF(Reinforcements[[#This Row],[Bottom End Connection Type]]&lt;&gt;"Capacity Input","-",""))</f>
        <v>-</v>
      </c>
      <c r="AD44" s="16" t="str">
        <f>IF(Reinforcements[[#This Row],[Reinforcement]]="","",IF(Reinforcements[[#This Row],[Bottom End Connection Type]]&lt;&gt;"Capacity Input","-",""))</f>
        <v>-</v>
      </c>
      <c r="AE44" s="74" t="s">
        <v>355</v>
      </c>
      <c r="AF44" s="6" t="s">
        <v>356</v>
      </c>
      <c r="AG44" s="6">
        <v>6</v>
      </c>
      <c r="AH44" s="6">
        <v>3</v>
      </c>
      <c r="AI44" s="6">
        <v>2</v>
      </c>
      <c r="AJ44" s="6">
        <f>Reinforcements[[#This Row],[End Connection Edge Distance (in) (B)]]-(Reinforcements[[#This Row],[Bolt Hole Size (in)]]+1/16)/2</f>
        <v>1.34375</v>
      </c>
      <c r="AK44" s="6">
        <f>Reinforcements[[#This Row],[End Connection Bolt Spacing (in) (B)]]-(Reinforcements[[#This Row],[Bolt Hole Size (in)]]+1/16)</f>
        <v>1.6875</v>
      </c>
      <c r="AL44" s="6">
        <f>Reinforcements[[#This Row],[End Connection Edge Distance (in) (B)]]</f>
        <v>2</v>
      </c>
      <c r="AM44" s="6">
        <f>Reinforcements[[#This Row],[End Connection Bolt Spacing (in) (B)]]</f>
        <v>3</v>
      </c>
      <c r="AN44" s="6" t="str">
        <f>IF(Reinforcements[[#This Row],[Reinforcement]]="","",IF(OR(Reinforcements[[#This Row],[Bottom End Connection Type]]="Bolted",Reinforcements[[#This Row],[Bottom End Connection Type]]=""),"-",""))</f>
        <v>-</v>
      </c>
      <c r="AO44" s="111" t="str">
        <f>IF(Reinforcements[[#This Row],[Reinforcement]]="","",IF(OR(Reinforcements[[#This Row],[Bottom End Connection Type]]="Bolted",Reinforcements[[#This Row],[Bottom End Connection Type]]=""),"-",""))</f>
        <v>-</v>
      </c>
      <c r="AP44" s="111" t="str">
        <f>IF(Reinforcements[[#This Row],[Reinforcement]]="","",IF(OR(Reinforcements[[#This Row],[Bottom End Connection Type]]="Bolted",Reinforcements[[#This Row],[Bottom End Connection Type]]=""),"-",""))</f>
        <v>-</v>
      </c>
      <c r="AQ44" s="111" t="str">
        <f>IF(OR(Reinforcements[[#This Row],[Bottom End Connection Type]]="Bolted",Reinforcements[[#This Row],[Bottom Transverse (Horizontal) Weld]]="none"),"-","")</f>
        <v>-</v>
      </c>
      <c r="AR4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11" t="str">
        <f>IF(OR(Reinforcements[[#This Row],[Bottom Transverse (Horizontal) Weld]]="none",Reinforcements[[#This Row],[Bottom End Connection Type]]="Bolted"),"-","")</f>
        <v>-</v>
      </c>
      <c r="AU4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11" t="str">
        <f>IF(Reinforcements[[#This Row],[Reinforcement]]="","",IF(OR(Reinforcements[[#This Row],[Bottom End Connection Type]]="Bolted",Reinforcements[[#This Row],[Bottom End Connection Type]]=""),"-",""))</f>
        <v>-</v>
      </c>
      <c r="AW44" s="111" t="str">
        <f>IF(Reinforcements[[#This Row],[Reinforcement]]="","",IF(OR(Reinforcements[[#This Row],[Bottom End Connection Type]]&lt;&gt;"Welded",Reinforcements[[#This Row],[Bottom Longitudinal (Vertical) Weld]]="None",Reinforcements[[#This Row],[Bottom Longitudinal (Vertical) Weld]]=""),"-",""))</f>
        <v>-</v>
      </c>
      <c r="AX44" s="111" t="str">
        <f>IF(Reinforcements[[#This Row],[Reinforcement]]="","",IF(OR(Reinforcements[[#This Row],[Bottom End Connection Type]]&lt;&gt;"Welded",Reinforcements[[#This Row],[Bottom Longitudinal (Vertical) Weld]]="None",Reinforcements[[#This Row],[Bottom Longitudinal (Vertical) Weld]]=""),"-",""))</f>
        <v>-</v>
      </c>
      <c r="AY44" s="6" t="str">
        <f>IF(Reinforcements[[#This Row],[Reinforcement]]="","",IF(OR(Reinforcements[[#This Row],[Bottom End Connection Type]]&lt;&gt;"Welded",Reinforcements[[#This Row],[Bottom Longitudinal (Vertical) Weld]]="None"),"-",SQRT(2)/2*Reinforcements[[#This Row],[Bottom Longitudinal Weld Fillet Size (in)]]))</f>
        <v>-</v>
      </c>
      <c r="AZ44" s="111" t="s">
        <v>357</v>
      </c>
      <c r="BA44" s="16" t="str">
        <f>IF(Reinforcements[[#This Row],[Top End Connection Same?]]="Yes",Reinforcements[[#This Row],[Bottom End Connection Type]],"")</f>
        <v>Bolted</v>
      </c>
      <c r="BB44" s="16" t="str">
        <f>IF(Reinforcements[[#This Row],[Reinforcement]]="","",IF(Reinforcements[[#This Row],[Top End Connection Same?]]="Yes",Reinforcements[[#This Row],[Rev. F Bottom Connection Capacity (kips)]],IF(Reinforcements[[#This Row],[Reinforcement]]="","",IF(Reinforcements[[#This Row],[Top End Connection Type]]&lt;&gt;"Capacity Input","-",""))))</f>
        <v>-</v>
      </c>
      <c r="BC44" s="16" t="str">
        <f>IF(Reinforcements[[#This Row],[Reinforcement]]="","",IF(Reinforcements[[#This Row],[Top End Connection Same?]]="Yes",Reinforcements[[#This Row],[Rev. G Bottom Connection Capacity (kips)]],IF(Reinforcements[[#This Row],[Reinforcement]]="","",IF(Reinforcements[[#This Row],[Top End Connection Type]]&lt;&gt;"Capacity Input","-",""))))</f>
        <v>-</v>
      </c>
      <c r="BD44" s="16" t="str">
        <f>IF(Reinforcements[[#This Row],[Reinforcement]]="","",IF(Reinforcements[[#This Row],[Top End Connection Same?]]="Yes",Reinforcements[[#This Row],[Rev. G Bottom Connection Capacity (kips)]],IF(Reinforcements[[#This Row],[Reinforcement]]="","",IF(Reinforcements[[#This Row],[Top End Connection Type]]&lt;&gt;"Capacity Input","-",""))))</f>
        <v>-</v>
      </c>
      <c r="BE44" s="74" t="str">
        <f>IF(Reinforcements[[#This Row],[Top End Connection Same?]]="Yes",Reinforcements[[#This Row],[Bottom End Connection Bolt Type]],IF(Reinforcements[[#This Row],[Top End Connection Type]]="Welded","-",""))</f>
        <v>PC 8.8 - M20 (100)</v>
      </c>
      <c r="BF44" s="6" t="str">
        <f>IF(Reinforcements[[#This Row],[Top End Connection Same?]]="Yes",Reinforcements[[#This Row],[Threads Included (N) or Excluded (X) (Bottom)]],IF(Reinforcements[[#This Row],[Top End Connection Type]]="Welded","-",""))</f>
        <v>N</v>
      </c>
      <c r="BG44" s="6">
        <f>IF(Reinforcements[[#This Row],[Top End Connection Same?]]="Yes",Reinforcements[[#This Row],['# of End Connection Bolts          (Bottom)]],IF(Reinforcements[[#This Row],[Top End Connection Type]]="Welded","-",""))</f>
        <v>6</v>
      </c>
      <c r="BH44" s="6">
        <f>IF(Reinforcements[[#This Row],[Top End Connection Same?]]="Yes",Reinforcements[[#This Row],[End Connection Bolt Spacing (in) (B)]],IF(Reinforcements[[#This Row],[Top End Connection Type]]="Welded","-",""))</f>
        <v>3</v>
      </c>
      <c r="BI44" s="6">
        <f>IF(Reinforcements[[#This Row],[Top End Connection Same?]]="Yes",Reinforcements[[#This Row],[End Connection Edge Distance (in) (B)]],IF(Reinforcements[[#This Row],[Top End Connection Type]]="Welded","-",""))</f>
        <v>2</v>
      </c>
      <c r="BJ44" s="6">
        <f>Reinforcements[[#This Row],[End Connection Edge Distance (in) (T)]]-(Reinforcements[[#This Row],[Bolt Hole Size (in)]]+1/16)/2</f>
        <v>1.34375</v>
      </c>
      <c r="BK44" s="6">
        <f>Reinforcements[[#This Row],[End Connection Bolt Spacing (in) (T)]]-(Reinforcements[[#This Row],[Bolt Hole Size (in)]]+1/16)</f>
        <v>1.6875</v>
      </c>
      <c r="BL44" s="6">
        <f>Reinforcements[[#This Row],[End Connection Edge Distance (in) (T)]]</f>
        <v>2</v>
      </c>
      <c r="BM44" s="6">
        <f>Reinforcements[[#This Row],[End Connection Bolt Spacing (in) (T)]]</f>
        <v>3</v>
      </c>
      <c r="BN44" s="6" t="str">
        <f>IF(Reinforcements[[#This Row],[Reinforcement]]="","",IF(Reinforcements[[#This Row],[Top End Connection Same?]]="Yes",Reinforcements[[#This Row],[Bottom Connected to Flange/Base Plate?]],IF(Reinforcements[[#This Row],[Top End Connection Type]]="Bolted","-","")))</f>
        <v>-</v>
      </c>
      <c r="BO44" s="6" t="str">
        <f>IF(Reinforcements[[#This Row],[Reinforcement]]="","",IF(Reinforcements[[#This Row],[Top End Connection Same?]]="Yes",Reinforcements[[#This Row],[Bottom Weld Grade (ksi)]],IF(OR(Reinforcements[[#This Row],[Top End Connection Type]]&lt;&gt;"Welded",Reinforcements[[#This Row],[Top End Connection Type]]=""),"-","")))</f>
        <v>-</v>
      </c>
      <c r="BP44" s="6" t="str">
        <f>IF($AZ44="Yes",AP44,IF(Reinforcements[[#This Row],[Reinforcement]]="","",IF(OR(Reinforcements[[#This Row],[Top End Connection Type]]&lt;&gt;"Welded",Reinforcements[[#This Row],[Top End Connection Type]]=""),"-","")))</f>
        <v>-</v>
      </c>
      <c r="BQ44" s="6" t="str">
        <f>IF(Reinforcements[[#This Row],[Reinforcement]]="","",IF($AZ44="Yes",AQ44,IF(OR(Reinforcements[[#This Row],[Top End Connection Type]]&lt;&gt;"Welded",Reinforcements[[#This Row],[Top Transverse (Horizontal) Weld]]="none",Reinforcements[[#This Row],[Top Transverse (Horizontal) Weld]]=""),"-","")))</f>
        <v>-</v>
      </c>
      <c r="BR44" s="6"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6"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6" t="str">
        <f>IF(Reinforcements[[#This Row],[Reinforcement]]="","",IF($AZ44="Yes",AT44,IF(OR(Reinforcements[[#This Row],[Top Transverse (Horizontal) Weld]]="none",Reinforcements[[#This Row],[Top End Connection Type]]&lt;&gt;"Welded",Reinforcements[[#This Row],[Top Transverse (Horizontal) Weld]]=""),"-","")))</f>
        <v>-</v>
      </c>
      <c r="BU44" s="6"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6" t="str">
        <f>IF($AZ44="Yes",AV44,IF(Reinforcements[[#This Row],[Reinforcement]]="","",IF(OR(Reinforcements[[#This Row],[Top End Connection Type]]&lt;&gt;"Welded",Reinforcements[[#This Row],[Top End Connection Type]]=""),"-","")))</f>
        <v>-</v>
      </c>
      <c r="BW44" s="6"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6"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6" t="str">
        <f>IF($AZ44="Yes",AY44,IF(Reinforcements[[#This Row],[Reinforcement]]="","",IF(OR(Reinforcements[[#This Row],[Top End Connection Type]]&lt;&gt;"Welded",Reinforcements[[#This Row],[Top Longitudinal (Vertical) Weld]]="none"),"-",SQRT(2)/2*Reinforcements[[#This Row],[Top Longitudinal Weld Fillet Size (in)]])))</f>
        <v>-</v>
      </c>
      <c r="BZ44"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111">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111">
        <f>IF(Reinforcements[[#This Row],[Reinforcement]]="","",IF(Reinforcements[[#This Row],[Top End Connection Type]]&lt;&gt;"Bolted","n/a",(Reinforcements[[#This Row],['# of End Connection Bolts          (Top)]]-1)*Reinforcements[[#This Row],[End Connection Bolt Spacing (in) (T)]]+Reinforcements[[#This Row],[End Connection Edge Distance (in) (T)]]))</f>
        <v>17</v>
      </c>
      <c r="CC4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6">
        <f>IFERROR(IF(Reinforcements[[#This Row],[Type]]="","",Reinforcements[[#This Row],[Effective B (in)]]*Reinforcements[[#This Row],[Effective H (in)]]^3/12),"")</f>
        <v>0.51225766666666661</v>
      </c>
      <c r="CF44" s="6">
        <f>IFERROR(IF(Reinforcements[[#This Row],[Type]]="","",Reinforcements[[#This Row],[Effective B (in)]]^3*Reinforcements[[#This Row],[Effective H (in)]]/12),"")</f>
        <v>3.9441120778464573</v>
      </c>
      <c r="CG44" s="126">
        <f>SQRT(2*PI()^2*29000/VLOOKUP(Reinforcements[[#This Row],[Material]],Materials[],2,FALSE))</f>
        <v>93.844147005158973</v>
      </c>
      <c r="CH4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123">
        <f>Reinforcements[[#This Row],[Effective Length Factor Kx]]*Reinforcements[[#This Row],[Lu (in)]]/(Reinforcements[[#This Row],[rx]]*PI())*SQRT(VLOOKUP(Reinforcements[[#This Row],[Material]],Materials[],2,FALSE)/29000)</f>
        <v>0.46230078240000971</v>
      </c>
      <c r="CK44" s="123">
        <f>Reinforcements[[#This Row],[Effective Length Factor Ky]]*Reinforcements[[#This Row],[Lu (in)]]/(Reinforcements[[#This Row],[ry]]*PI())*SQRT(VLOOKUP(Reinforcements[[#This Row],[Material]],Materials[],2,FALSE)/29000)</f>
        <v>0.1600711234769254</v>
      </c>
      <c r="CL44" s="123">
        <f>IF(Reinforcements[[#This Row],[λcx]]&lt;=1.5,0.658^(Reinforcements[[#This Row],[λcx]]^2)*Reinforcements[[#This Row],[F''y]],0.877/(Reinforcements[[#This Row],[λcx]]^2)*Reinforcements[[#This Row],[F''y]])</f>
        <v>59.438005611781477</v>
      </c>
      <c r="CM44" s="123">
        <f>IF(Reinforcements[[#This Row],[λcy]]&lt;=1.5,0.658^(Reinforcements[[#This Row],[λcy]]^2)*Reinforcements[[#This Row],[F''y]],0.877/(Reinforcements[[#This Row],[λcy]]^2)*Reinforcements[[#This Row],[F''y]])</f>
        <v>64.306637493554334</v>
      </c>
      <c r="CN44" s="6">
        <f>VLOOKUP(Reinforcements[[#This Row],[Material]],Materials[],2,FALSE)</f>
        <v>65</v>
      </c>
      <c r="CO44" s="126">
        <f>IF(Reinforcements[[#This Row],[Reinforcement]]="","",Reinforcements[[#This Row],[Fax]]*Reinforcements[[#This Row],[Gross Area (in2)]])</f>
        <v>142.36571101127041</v>
      </c>
      <c r="CP44" s="126">
        <f>IF(Reinforcements[[#This Row],[Reinforcement]]="","",Reinforcements[[#This Row],[Fay]]*Reinforcements[[#This Row],[Gross Area (in2)]])</f>
        <v>156.08028842775298</v>
      </c>
      <c r="CQ44" s="126">
        <f>IF(Reinforcements[[#This Row],[Reinforcement]]="","",0.6*VLOOKUP(Reinforcements[[#This Row],[Material]],Materials[],2,FALSE)*Reinforcements[[#This Row],[Gross Area (in2)]])</f>
        <v>161.07</v>
      </c>
      <c r="CR44" s="126">
        <f>IF(Reinforcements[[#This Row],[Reinforcement]]="","",0.5*VLOOKUP(Reinforcements[[#This Row],[Material]],Materials[],3,FALSE)*Reinforcements[[#This Row],[Net Area (in2)]]*Reinforcements[[#This Row],[Shear Lag (U)]])</f>
        <v>136.82491666666667</v>
      </c>
      <c r="CS44" s="126">
        <f>IF(Reinforcements[[#This Row],[Reinforcement]]="","",0.4*VLOOKUP(Reinforcements[[#This Row],[Material]],Materials[],2,FALSE)*Reinforcements[[#This Row],[Gross Area (in2)]])</f>
        <v>107.38</v>
      </c>
      <c r="CT4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6"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6"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126">
        <f>IF(Reinforcements[[#This Row],[Reinforcement]]="","",φ_c*Reinforcements[[#This Row],[Fcr,x]]*Reinforcements[[#This Row],[Gross Area (in2)]])</f>
        <v>220.93106685899176</v>
      </c>
      <c r="DI44" s="126">
        <f>IF(Reinforcements[[#This Row],[Reinforcement]]="","",φ_c*Reinforcements[[#This Row],[Fcr,y]]*Reinforcements[[#This Row],[Gross Area (in2)]])</f>
        <v>239.02777156354145</v>
      </c>
      <c r="DJ44" s="126">
        <f>IF(Reinforcements[[#This Row],[Reinforcement]]="","",φ_t_y*VLOOKUP(Reinforcements[[#This Row],[Material]],Materials[],2,FALSE)*Reinforcements[[#This Row],[Gross Area (in2)]])</f>
        <v>241.60499999999999</v>
      </c>
      <c r="DK44" s="126">
        <f>IF(Reinforcements[[#This Row],[Reinforcement]]="","",φ_t_r*VLOOKUP(Reinforcements[[#This Row],[Material]],Materials[],3,FALSE)*Reinforcements[[#This Row],[Net Area (in2)]]*Reinforcements[[#This Row],[Shear Lag (U)]])</f>
        <v>205.23737500000001</v>
      </c>
      <c r="DL44" s="126">
        <f>IF(Reinforcements[[#This Row],[Reinforcement]]="","",φ_v*0.5*Reinforcements[[#This Row],[F''y]]*Reinforcements[[#This Row],[Gross Area (in2)]])</f>
        <v>120.80249999999999</v>
      </c>
      <c r="DM4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6"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6"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111">
        <f>IF(OR(Reinforcements[[#This Row],[Type]]="plate",Reinforcements[[#This Row],[Type]]="solid round"),"N/A",Reinforcements[[#This Row],[B (in)]])</f>
        <v>4.78</v>
      </c>
      <c r="EB44" s="6">
        <f>IF(OR(Reinforcements[[#This Row],[Type]]="plate",Reinforcements[[#This Row],[Type]]="solid round"),"N/A",Reinforcements[[#This Row],[H (in)]])</f>
        <v>1.61</v>
      </c>
      <c r="EC44" s="6">
        <f>IF(OR(Reinforcements[[#This Row],[Type]]="plate",Reinforcements[[#This Row],[Type]]="solid round"),"N/A",Reinforcements[[#This Row],[B (in)]]-Reinforcements[[#This Row],['[Channel'] Flange Thickness (in)]])</f>
        <v>3.9400000000000004</v>
      </c>
      <c r="ED44" s="6">
        <f>IF(OR(Reinforcements[[#This Row],[Type]]="plate",Reinforcements[[#This Row],[Type]]="solid round"),"N/A",Reinforcements[[#This Row],['[Channel']Web Thickness (in)]])</f>
        <v>0.43</v>
      </c>
      <c r="EE44" s="6">
        <f>IF(OR(Reinforcements[[#This Row],[Type]]="plate",Reinforcements[[#This Row],[Type]]="solid round"),"N/A",Reinforcements[[#This Row],['[Channel'] Flange Thickness (in)]])</f>
        <v>0.84</v>
      </c>
      <c r="EF44" s="6">
        <f>IF(Reinforcements[[#This Row],[Type]]="channel",Reinforcements[[#This Row],[Channel Flange Width, b]]/Reinforcements[[#This Row],[Channel flange thickness, tf]],"N/A")</f>
        <v>1.916666666666667</v>
      </c>
      <c r="EG44" s="6">
        <f>IF(Reinforcements[[#This Row],[Type]]="channel",Reinforcements[[#This Row],[Channel inside depth, T]]/Reinforcements[[#This Row],[Channel web thickness, tw]],"N/A")</f>
        <v>9.1627906976744189</v>
      </c>
      <c r="EH44" s="6">
        <f>29000</f>
        <v>29000</v>
      </c>
      <c r="EI44" s="6">
        <f>IF(Reinforcements[[#This Row],[Type]]="channel",0.56*SQRT(Reinforcements[[#This Row],[E, (ksi)]]/Reinforcements[[#This Row],[Fy, (ksi)]]),"N/A")</f>
        <v>11.828518341442694</v>
      </c>
      <c r="EJ44" s="6">
        <f>IF(Reinforcements[[#This Row],[Type]]="channel",1.49*SQRT(Reinforcements[[#This Row],[E, (ksi)]]/Reinforcements[[#This Row],[Fy, (ksi)]]),"N/A")</f>
        <v>31.472307729910018</v>
      </c>
      <c r="EK44" s="6">
        <f>VLOOKUP(Reinforcements[[#This Row],[Material]],Materials!$B$2:$C$30,2,FALSE)</f>
        <v>65</v>
      </c>
      <c r="EL44" s="6">
        <f>Reinforcements[[#This Row],[Lu (in)]]*Reinforcements[[#This Row],[Effective Length Factor Kx]]</f>
        <v>14.4</v>
      </c>
      <c r="EM44" s="6">
        <f>Reinforcements[[#This Row],[Lu (in)]]*Reinforcements[[#This Row],[Effective Length Factor Ky]]</f>
        <v>18</v>
      </c>
      <c r="EN44" s="6">
        <f>Reinforcements[[#This Row],[rx]]</f>
        <v>0.46940279403817731</v>
      </c>
      <c r="EO44" s="6">
        <f>Reinforcements[[#This Row],[ry]]</f>
        <v>1.6946004550274312</v>
      </c>
      <c r="EP44" s="6">
        <f>Reinforcements[[#This Row],[Lcx (in)]]/Reinforcements[[#This Row],[rx (in)]]</f>
        <v>30.677277985756568</v>
      </c>
      <c r="EQ44" s="6">
        <f>Reinforcements[[#This Row],[Lcy (in)]]/Reinforcements[[#This Row],[ry (in)]]</f>
        <v>10.621972835306849</v>
      </c>
      <c r="ER44" s="6">
        <f>((PI()^2)*Reinforcements[[#This Row],[E, (ksi)]])/(Reinforcements[[#This Row],[Lcx/rx]]^2)</f>
        <v>304.13338786967461</v>
      </c>
      <c r="ES44" s="6">
        <f>((PI()^2)*Reinforcements[[#This Row],[E, (ksi)]])/(Reinforcements[[#This Row],[Lcy/ry]]^2)</f>
        <v>2536.806667347229</v>
      </c>
      <c r="ET44" s="6">
        <f>4.71*(SQRT(Reinforcements[[#This Row],[E, (ksi)]]/Reinforcements[[#This Row],[Fy, (ksi)]]))</f>
        <v>99.486288193205496</v>
      </c>
      <c r="EU44" s="6">
        <f>IF(Reinforcements[[#This Row],[Lcx/rx]]&lt;=Reinforcements[[#This Row],[Fcr Limit]],(0.658^(Reinforcements[[#This Row],[Fy, (ksi)]]/Reinforcements[[#This Row],[Fex, FB (ksi)]]))*Reinforcements[[#This Row],[Fy, (ksi)]],0.877*Reinforcements[[#This Row],[Fex, FB (ksi)]])</f>
        <v>59.438005611781477</v>
      </c>
      <c r="EV44" s="6">
        <f>IF(Reinforcements[[#This Row],[Lcy/ry]]&lt;=Reinforcements[[#This Row],[Fcr Limit]],(0.658^(Reinforcements[[#This Row],[Fy, (ksi)]]/Reinforcements[[#This Row],[Fey, FB (ksi)]]))*Reinforcements[[#This Row],[Fy, (ksi)]],0.877*Reinforcements[[#This Row],[Fey, FB (ksi)]])</f>
        <v>64.306637493554334</v>
      </c>
      <c r="EW44" s="6">
        <f>Reinforcements[[#This Row],[Fcrx (ksi)]]*Reinforcements[[#This Row],[Gross Area (in2)]]</f>
        <v>245.47896317665749</v>
      </c>
      <c r="EX44" s="6">
        <f>Reinforcements[[#This Row],[Fcry (ksi)]]*Reinforcements[[#This Row],[Gross Area (in2)]]</f>
        <v>265.58641284837938</v>
      </c>
      <c r="EY44" s="6">
        <f>IF(Reinforcements[[#This Row],[Type]]="channel",0,"N/A")</f>
        <v>0</v>
      </c>
      <c r="EZ44" s="6">
        <f>IF(Reinforcements[[#This Row],[Type]]="channel",Reinforcements[[#This Row],[Channel Flange Width, b]]-(0.5*Reinforcements[[#This Row],[Channel web thickness, tw]]),"N/A")</f>
        <v>1.395</v>
      </c>
      <c r="FA44" s="6">
        <f>IF(Reinforcements[[#This Row],[Type]]="channel",Reinforcements[[#This Row],[Channel Height, h]]-Reinforcements[[#This Row],[Channel flange thickness, tf]],"N/A")</f>
        <v>3.9400000000000004</v>
      </c>
      <c r="FB44" s="6">
        <f>IF(Reinforcements[[#This Row],[Type]]="channel",Reinforcements[[#This Row],[Channel web thickness, tw]],"N/A")</f>
        <v>0.43</v>
      </c>
      <c r="FC44" s="6">
        <f>IF(Reinforcements[[#This Row],[Type]]="channel",((3*Reinforcements[[#This Row],[b]]^2)/(Reinforcements[[#This Row],[h]]+(6*Reinforcements[[#This Row],[b]])))-Reinforcements[[#This Row],[t]]/2,"N/A")</f>
        <v>0.25925467099918753</v>
      </c>
      <c r="FD44" s="6">
        <f>Reinforcements[[#This Row],[Pole Face to Centroid (in)]]</f>
        <v>0.61</v>
      </c>
      <c r="FE44" s="6">
        <f>IF(Reinforcements[[#This Row],[Type]]="channel",Reinforcements[[#This Row],[x(bar)]]+Reinforcements[[#This Row],['[Channel'] e0 (in)]],"N/A")</f>
        <v>0.86925467099918752</v>
      </c>
      <c r="FF44" s="6">
        <f>IF(Reinforcements[[#This Row],[Type]]="channel",Reinforcements[[#This Row],[Ix]],"N/A")</f>
        <v>0.91</v>
      </c>
      <c r="FG44" s="6">
        <f>IF(Reinforcements[[#This Row],[Type]]="channel",Reinforcements[[#This Row],[Iy]],"N/A")</f>
        <v>11.86</v>
      </c>
      <c r="FH44" s="6">
        <f>IF(Reinforcements[[#This Row],[Type]]="channel",Reinforcements[[#This Row],[Gross Area (in2)]],"N/A")</f>
        <v>4.13</v>
      </c>
      <c r="FI44" s="6">
        <f>IF(Reinforcements[[#This Row],[Type]]="channel",(Reinforcements[[#This Row],[xo]]^2)+((Reinforcements[[#This Row],[Ix (FTB)]]+Reinforcements[[#This Row],[Iy (FTB)]])/Reinforcements[[#This Row],[Ag]]),"N/A")</f>
        <v>3.84761336828393</v>
      </c>
      <c r="FJ44" s="6">
        <f>IF(Reinforcements[[#This Row],[Type]]="channel",Reinforcements[[#This Row],[Lu (in)]],"N/A")</f>
        <v>18</v>
      </c>
      <c r="FK44" s="6">
        <f>IF(Reinforcements[[#This Row],[Type]]="channel",Reinforcements[[#This Row],[Effective Length Factor Kx]],"N/A")</f>
        <v>0.8</v>
      </c>
      <c r="FL44" s="6">
        <f>IF(Reinforcements[[#This Row],[Type]]="channel",Reinforcements[[#This Row],[Kz]]*Reinforcements[[#This Row],[Lz]],"N/A")</f>
        <v>14.4</v>
      </c>
      <c r="FM44" s="6">
        <f>IF(Reinforcements[[#This Row],[Type]]="channel",(((Reinforcements[[#This Row],[t]]^3)/3)*(Reinforcements[[#This Row],[h]]+(2*Reinforcements[[#This Row],[b]]))),"N/A")</f>
        <v>0.17836070333333334</v>
      </c>
      <c r="FN44" s="6">
        <f>IF(Reinforcements[[#This Row],[Type]]="channel",(1-(((Reinforcements[[#This Row],[xo]]^2)+(Reinforcements[[#This Row],[yo]]^2))/Reinforcements[[#This Row],[ro^2(bar)]])),"N/A")</f>
        <v>0.80361756477862745</v>
      </c>
      <c r="FO44" s="6">
        <v>11200</v>
      </c>
      <c r="FP44" s="6">
        <f>IF(Reinforcements[[#This Row],[Type]]="channel",(((Reinforcements[[#This Row],[h]]^2)*(Reinforcements[[#This Row],[b]]^3)*Reinforcements[[#This Row],[t]])/12)*(((2*Reinforcements[[#This Row],[h]])+(3*Reinforcements[[#This Row],[b]]))/(Reinforcements[[#This Row],[h]]+(6*Reinforcements[[#This Row],[b]]))),"N/A")</f>
        <v>1.4800335127028132</v>
      </c>
      <c r="FQ44" s="6">
        <f>IF(Reinforcements[[#This Row],[Type]]="Channel",((((PI()^2)*Reinforcements[[#This Row],[E, (ksi)]]*Reinforcements[[#This Row],['[Channel'] CW (in6)]])/(Reinforcements[[#This Row],[Lcz]]^2))+(Reinforcements[[#This Row],[G]]*Reinforcements[[#This Row],['[Channel'] J (in4)]]))*(1/(Reinforcements[[#This Row],[Ag]]*Reinforcements[[#This Row],[ro^2(bar)]])),"N/A")</f>
        <v>254.27080909373231</v>
      </c>
      <c r="FR44" s="6">
        <f>IF(Reinforcements[[#This Row],[Type]]="channel",((PI()^2)*Reinforcements[[#This Row],[E, (ksi)]])/(Reinforcements[[#This Row],[Lcy/ry]]^2),"N/A")</f>
        <v>2536.806667347229</v>
      </c>
      <c r="FS44" s="6">
        <f>IF(Reinforcements[[#This Row],[Type]]="channel",((Reinforcements[[#This Row],[Fey]]+Reinforcements[[#This Row],[Fez]])/(2*Reinforcements[[#This Row],[H2]]))*(1-SQRT(1-((4*Reinforcements[[#This Row],[Fey]]*Reinforcements[[#This Row],[Fez]]*Reinforcements[[#This Row],[H2]])/(Reinforcements[[#This Row],[Fey]]+Reinforcements[[#This Row],[Fez]])^2))),"N/A")</f>
        <v>248.9509329434444</v>
      </c>
      <c r="FT44" s="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6">
        <f>IF(Reinforcements[[#This Row],[Type]]="channel",MIN(Reinforcements[[#This Row],[Fcr(FTB)]],Reinforcements[[#This Row],[Fcry (ksi)]]),"N/A")</f>
        <v>58.271061873729096</v>
      </c>
      <c r="FV44" s="6">
        <v>0.22</v>
      </c>
      <c r="FW44" s="6">
        <v>1.49</v>
      </c>
      <c r="FX44" s="6">
        <f>IF(Reinforcements[[#This Row],[Type]]="channel",((Reinforcements[[#This Row],[c2]]*(Reinforcements[[#This Row],[λrf]]/Reinforcements[[#This Row],[λf]]))^2)*Reinforcements[[#This Row],[Fy, (ksi)]],"N/A")</f>
        <v>5496.0845961436671</v>
      </c>
      <c r="FY44" s="6">
        <f>IF(Reinforcements[[#This Row],[Type]]="channel",((Reinforcements[[#This Row],[c2]]*(Reinforcements[[#This Row],[λrw]]/Reinforcements[[#This Row],[λw]]))^2)*Reinforcements[[#This Row],[Fy, (ksi)]],"N/A")</f>
        <v>1702.5016404713465</v>
      </c>
      <c r="FZ44"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6">
        <f>IF(Reinforcements[[#This Row],[Type]]="channel",Reinforcements[[#This Row],[Fcr]]*Reinforcements[[#This Row],[Ae]],"N/A")</f>
        <v>240.65948553850117</v>
      </c>
      <c r="GD44">
        <f>IF(Reinforcements[[#This Row],[Reinforcement]]="","",φ_c*Reinforcements[[#This Row],[Pnx, FB (kip)]])</f>
        <v>220.93106685899176</v>
      </c>
      <c r="GE44">
        <f>IF(Reinforcements[[#This Row],[Reinforcement]]="","",IF(Reinforcements[[#This Row],[Type]]="channel",φ_c*Reinforcements[[#This Row],[Pn]],φ_c*Reinforcements[[#This Row],[Pny, FB (kip)]]))</f>
        <v>216.59353698465105</v>
      </c>
      <c r="GF44">
        <f>Reinforcements[[#This Row],[Rev. G Tension Yield Capacity (kips)]]</f>
        <v>241.60499999999999</v>
      </c>
      <c r="GG44">
        <f>Reinforcements[[#This Row],[Rev. G Tension Rupture Capacity (kips)]]</f>
        <v>205.23737500000001</v>
      </c>
      <c r="GH44">
        <f>Reinforcements[[#This Row],[Rev. G Shear Capacity (kips)]]</f>
        <v>120.80249999999999</v>
      </c>
      <c r="GI44">
        <f>IFERROR((Reinforcements[[#This Row],['# of End Connection Bolts          (Bottom)]]-1)*Reinforcements[[#This Row],[End Connection Bolt Spacing (in) (B)]],"-")</f>
        <v>15</v>
      </c>
      <c r="GJ44">
        <f>IFERROR(IF(VLOOKUP(Reinforcements[[#This Row],[Bottom End Connection Bolt Type]],Bolts[],COLUMN(Bolts[[#Headers],[Rev. H Apply Connection Length Reduction Factor (Rb)?]])-1,FALSE)="Yes",(IF(Reinforcements[[#This Row],[Lb(bottom)]]&lt;=16,1,IF(Reinforcements[[#This Row],[Lb(bottom)]]&gt;38,0.75,0.9))),1),"-")</f>
        <v>1</v>
      </c>
      <c r="GK4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f>IFERROR(IF(Reinforcements[[#This Row],[Top End Connection Same?]]="Yes",Reinforcements[[#This Row],[Lb(bottom)]],(Reinforcements[[#This Row],['# of End Connection Bolts          (Top)]]-1)*Reinforcements[[#This Row],[End Connection Bolt Spacing (in) (T)]]),"-")</f>
        <v>15</v>
      </c>
      <c r="GM44">
        <f>IFERROR(IF(VLOOKUP(Reinforcements[[#This Row],[Top End Connection Bolt Type]],Bolts[],COLUMN(Bolts[[#Headers],[Rev. H Apply Connection Length Reduction Factor (Rb)?]])-1,FALSE)=TRUE,(IF(Reinforcements[[#This Row],[Lb(top)]]&lt;=16,1,IF(Reinforcements[[#This Row],[Lb(top)]]&gt;38,0.75,0.9))),1),"-")</f>
        <v>1</v>
      </c>
      <c r="GN4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f>Reinforcements[[#This Row],[Rev. G Bolt-Shaft Bearing Capacity (Bottom)                No Deformation          (*t*Fu kips)]]</f>
        <v>11.662204724409449</v>
      </c>
      <c r="GP44">
        <f>Reinforcements[[#This Row],[Rev. G Bolt-Shaft Bearing Capacity (Bottom)                   Deformation          (*t*Fu kips)]]</f>
        <v>14.577755905511811</v>
      </c>
      <c r="GQ44">
        <f>Reinforcements[[#This Row],[Rev. G Bolt-Shaft Bearing Capacity (Top)                    No Deformation          (*t*Fu kips)]]</f>
        <v>11.662204724409449</v>
      </c>
      <c r="GR44">
        <f>Reinforcements[[#This Row],[Rev. G Bolt-Shaft Bearing Capacity (Top)                        Deformation          (*t*Fu kips)]]</f>
        <v>14.577755905511811</v>
      </c>
      <c r="GS44">
        <f>Reinforcements[[#This Row],[Rev. G Bolt-Reinf. Bearing Capacity (Bottom)            No Deformation (kips)]]</f>
        <v>379.57285039370078</v>
      </c>
      <c r="GT44">
        <f>Reinforcements[[#This Row],[Rev. G Bolt-Reinf. Bearing Capacity (Bottom)               Deformation (kips)]]</f>
        <v>474.46606299212601</v>
      </c>
      <c r="GU44">
        <f>Reinforcements[[#This Row],[Rev. G Bolt-Reinf. Bearing Capacity (Top)                  No Deformation (kips)]]</f>
        <v>379.57285039370078</v>
      </c>
      <c r="GV44">
        <f>Reinforcements[[#This Row],[Rev. G Bolt-Reinf. Bearing Capacity (Top)               Deformation (kips)]]</f>
        <v>474.46606299212601</v>
      </c>
      <c r="GW44" t="str">
        <f>Reinforcements[[#This Row],[Rev. G Bottom Transverse Weld Strength]]</f>
        <v>-</v>
      </c>
      <c r="GX44" t="str">
        <f>Reinforcements[[#This Row],[Rev. G Bottom Longitudinal Weld Strength]]</f>
        <v>-</v>
      </c>
      <c r="GY44" t="str">
        <f>Reinforcements[[#This Row],[Rev. G Top Transverse Weld Strength]]</f>
        <v>-</v>
      </c>
      <c r="GZ44" t="str">
        <f>Reinforcements[[#This Row],[Rev. G Top Longitudinal Weld Strength]]</f>
        <v>-</v>
      </c>
      <c r="HA44">
        <v>42</v>
      </c>
      <c r="HB4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49" t="s">
        <v>403</v>
      </c>
      <c r="C45" s="49" t="s">
        <v>399</v>
      </c>
      <c r="D45" s="6">
        <v>5.33</v>
      </c>
      <c r="E45" s="6">
        <v>2.09</v>
      </c>
      <c r="F45" s="6" t="str">
        <f>IF(Reinforcements[[#This Row],[Type]]="","",IF(Reinforcements[[#This Row],[Type]]="solid round","","n/a"))</f>
        <v>n/a</v>
      </c>
      <c r="G45" s="6">
        <v>0.5</v>
      </c>
      <c r="H45" s="6">
        <v>0.91</v>
      </c>
      <c r="I45" s="126">
        <f>IF(Reinforcements[[#This Row],[Type]]="","",IF(Reinforcements[[#This Row],[Type]]&lt;&gt;"channel","n/a",Reinforcements[[#This Row],[eo]]))</f>
        <v>0.40697283311772303</v>
      </c>
      <c r="J45" s="126">
        <f>IF(Reinforcements[[#This Row],[Type]]="","",IF(Reinforcements[[#This Row],[Type]]&lt;&gt;"channel","n/a",Reinforcements[[#This Row],[J]]))</f>
        <v>0.33749999999999997</v>
      </c>
      <c r="K45" s="126">
        <f>IF(Reinforcements[[#This Row],[Type]]="","",IF(Reinforcements[[#This Row],[Type]]&lt;&gt;"channel","n/a",Reinforcements[[#This Row],[Cw]]))</f>
        <v>4.7101172292443287</v>
      </c>
      <c r="L45" s="6">
        <v>5.65</v>
      </c>
      <c r="M45" s="6">
        <v>0.79</v>
      </c>
      <c r="N45" s="16" t="s">
        <v>353</v>
      </c>
      <c r="O45" s="6" t="s">
        <v>138</v>
      </c>
      <c r="P45" s="123">
        <v>2.15</v>
      </c>
      <c r="Q45" s="123">
        <f>IF(Reinforcements[[#This Row],[Reinforcement]]="","",SQRT(Reinforcements[[#This Row],[Ix]]/Reinforcements[[#This Row],[Gross Area (in2)]]))</f>
        <v>0.61687192629534326</v>
      </c>
      <c r="R45" s="123">
        <v>20.79</v>
      </c>
      <c r="S45" s="123">
        <f>IF(Reinforcements[[#This Row],[Reinforcement]]="","",SQRT(Reinforcements[[#This Row],[Iy]]/Reinforcements[[#This Row],[Gross Area (in2)]]))</f>
        <v>1.9182403440911973</v>
      </c>
      <c r="T45" s="6">
        <v>18</v>
      </c>
      <c r="U45" s="6">
        <v>0.8</v>
      </c>
      <c r="V45" s="6">
        <v>1</v>
      </c>
      <c r="W45" s="6">
        <v>1.1875</v>
      </c>
      <c r="X45" s="6">
        <f>IF(Reinforcements[[#This Row],[Bolt Hole Size (in)]]="","",IF(Reinforcements[[#This Row],[Bolt Hole Size (in)]]="n/a","n/a",Reinforcements[[#This Row],[Bolt Hole Size (in)]]*25.4))</f>
        <v>30.162499999999998</v>
      </c>
      <c r="Y4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6">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34" t="s">
        <v>354</v>
      </c>
      <c r="AB45" s="34" t="str">
        <f>IF(Reinforcements[[#This Row],[Reinforcement]]="","",IF(Reinforcements[[#This Row],[Bottom End Connection Type]]&lt;&gt;"Capacity Input","-",""))</f>
        <v>-</v>
      </c>
      <c r="AC45" s="34" t="str">
        <f>IF(Reinforcements[[#This Row],[Reinforcement]]="","",IF(Reinforcements[[#This Row],[Bottom End Connection Type]]&lt;&gt;"Capacity Input","-",""))</f>
        <v>-</v>
      </c>
      <c r="AD45" s="16" t="str">
        <f>IF(Reinforcements[[#This Row],[Reinforcement]]="","",IF(Reinforcements[[#This Row],[Bottom End Connection Type]]&lt;&gt;"Capacity Input","-",""))</f>
        <v>-</v>
      </c>
      <c r="AE45" s="74" t="s">
        <v>355</v>
      </c>
      <c r="AF45" s="6" t="s">
        <v>356</v>
      </c>
      <c r="AG45" s="6">
        <v>10</v>
      </c>
      <c r="AH45" s="6">
        <v>3</v>
      </c>
      <c r="AI45" s="6">
        <v>2</v>
      </c>
      <c r="AJ45" s="6">
        <f>Reinforcements[[#This Row],[End Connection Edge Distance (in) (B)]]-(Reinforcements[[#This Row],[Bolt Hole Size (in)]]+1/16)/2</f>
        <v>1.375</v>
      </c>
      <c r="AK45" s="6">
        <f>Reinforcements[[#This Row],[End Connection Bolt Spacing (in) (B)]]-(Reinforcements[[#This Row],[Bolt Hole Size (in)]]+1/16)</f>
        <v>1.75</v>
      </c>
      <c r="AL45" s="6">
        <f>Reinforcements[[#This Row],[End Connection Edge Distance (in) (B)]]</f>
        <v>2</v>
      </c>
      <c r="AM45" s="6">
        <f>Reinforcements[[#This Row],[End Connection Bolt Spacing (in) (B)]]</f>
        <v>3</v>
      </c>
      <c r="AN45" s="6" t="str">
        <f>IF(Reinforcements[[#This Row],[Reinforcement]]="","",IF(OR(Reinforcements[[#This Row],[Bottom End Connection Type]]="Bolted",Reinforcements[[#This Row],[Bottom End Connection Type]]=""),"-",""))</f>
        <v>-</v>
      </c>
      <c r="AO45" s="111" t="str">
        <f>IF(Reinforcements[[#This Row],[Reinforcement]]="","",IF(OR(Reinforcements[[#This Row],[Bottom End Connection Type]]="Bolted",Reinforcements[[#This Row],[Bottom End Connection Type]]=""),"-",""))</f>
        <v>-</v>
      </c>
      <c r="AP45" s="111" t="str">
        <f>IF(Reinforcements[[#This Row],[Reinforcement]]="","",IF(OR(Reinforcements[[#This Row],[Bottom End Connection Type]]="Bolted",Reinforcements[[#This Row],[Bottom End Connection Type]]=""),"-",""))</f>
        <v>-</v>
      </c>
      <c r="AQ45" s="111" t="str">
        <f>IF(OR(Reinforcements[[#This Row],[Bottom End Connection Type]]="Bolted",Reinforcements[[#This Row],[Bottom Transverse (Horizontal) Weld]]="none"),"-","")</f>
        <v>-</v>
      </c>
      <c r="AR4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11" t="str">
        <f>IF(OR(Reinforcements[[#This Row],[Bottom Transverse (Horizontal) Weld]]="none",Reinforcements[[#This Row],[Bottom End Connection Type]]="Bolted"),"-","")</f>
        <v>-</v>
      </c>
      <c r="AU4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11" t="str">
        <f>IF(Reinforcements[[#This Row],[Reinforcement]]="","",IF(OR(Reinforcements[[#This Row],[Bottom End Connection Type]]="Bolted",Reinforcements[[#This Row],[Bottom End Connection Type]]=""),"-",""))</f>
        <v>-</v>
      </c>
      <c r="AW45" s="111" t="str">
        <f>IF(Reinforcements[[#This Row],[Reinforcement]]="","",IF(OR(Reinforcements[[#This Row],[Bottom End Connection Type]]&lt;&gt;"Welded",Reinforcements[[#This Row],[Bottom Longitudinal (Vertical) Weld]]="None",Reinforcements[[#This Row],[Bottom Longitudinal (Vertical) Weld]]=""),"-",""))</f>
        <v>-</v>
      </c>
      <c r="AX45" s="111" t="str">
        <f>IF(Reinforcements[[#This Row],[Reinforcement]]="","",IF(OR(Reinforcements[[#This Row],[Bottom End Connection Type]]&lt;&gt;"Welded",Reinforcements[[#This Row],[Bottom Longitudinal (Vertical) Weld]]="None",Reinforcements[[#This Row],[Bottom Longitudinal (Vertical) Weld]]=""),"-",""))</f>
        <v>-</v>
      </c>
      <c r="AY45" s="6" t="str">
        <f>IF(Reinforcements[[#This Row],[Reinforcement]]="","",IF(OR(Reinforcements[[#This Row],[Bottom End Connection Type]]&lt;&gt;"Welded",Reinforcements[[#This Row],[Bottom Longitudinal (Vertical) Weld]]="None"),"-",SQRT(2)/2*Reinforcements[[#This Row],[Bottom Longitudinal Weld Fillet Size (in)]]))</f>
        <v>-</v>
      </c>
      <c r="AZ45" s="6" t="s">
        <v>357</v>
      </c>
      <c r="BA45" s="16" t="str">
        <f>IF(Reinforcements[[#This Row],[Top End Connection Same?]]="Yes",Reinforcements[[#This Row],[Bottom End Connection Type]],"")</f>
        <v>Bolted</v>
      </c>
      <c r="BB45" s="16" t="str">
        <f>IF(Reinforcements[[#This Row],[Reinforcement]]="","",IF(Reinforcements[[#This Row],[Top End Connection Same?]]="Yes",Reinforcements[[#This Row],[Rev. F Bottom Connection Capacity (kips)]],IF(Reinforcements[[#This Row],[Reinforcement]]="","",IF(Reinforcements[[#This Row],[Top End Connection Type]]&lt;&gt;"Capacity Input","-",""))))</f>
        <v>-</v>
      </c>
      <c r="BC45" s="16" t="str">
        <f>IF(Reinforcements[[#This Row],[Reinforcement]]="","",IF(Reinforcements[[#This Row],[Top End Connection Same?]]="Yes",Reinforcements[[#This Row],[Rev. G Bottom Connection Capacity (kips)]],IF(Reinforcements[[#This Row],[Reinforcement]]="","",IF(Reinforcements[[#This Row],[Top End Connection Type]]&lt;&gt;"Capacity Input","-",""))))</f>
        <v>-</v>
      </c>
      <c r="BD45" s="16" t="str">
        <f>IF(Reinforcements[[#This Row],[Reinforcement]]="","",IF(Reinforcements[[#This Row],[Top End Connection Same?]]="Yes",Reinforcements[[#This Row],[Rev. G Bottom Connection Capacity (kips)]],IF(Reinforcements[[#This Row],[Reinforcement]]="","",IF(Reinforcements[[#This Row],[Top End Connection Type]]&lt;&gt;"Capacity Input","-",""))))</f>
        <v>-</v>
      </c>
      <c r="BE45" s="74" t="str">
        <f>IF(Reinforcements[[#This Row],[Top End Connection Same?]]="Yes",Reinforcements[[#This Row],[Bottom End Connection Bolt Type]],IF(Reinforcements[[#This Row],[Top End Connection Type]]="Welded","-",""))</f>
        <v>PC 8.8 - M20 (100)</v>
      </c>
      <c r="BF45" s="6" t="str">
        <f>IF(Reinforcements[[#This Row],[Top End Connection Same?]]="Yes",Reinforcements[[#This Row],[Threads Included (N) or Excluded (X) (Bottom)]],IF(Reinforcements[[#This Row],[Top End Connection Type]]="Welded","-",""))</f>
        <v>N</v>
      </c>
      <c r="BG45" s="6">
        <f>IF(Reinforcements[[#This Row],[Top End Connection Same?]]="Yes",Reinforcements[[#This Row],['# of End Connection Bolts          (Bottom)]],IF(Reinforcements[[#This Row],[Top End Connection Type]]="Welded","-",""))</f>
        <v>10</v>
      </c>
      <c r="BH45" s="6">
        <f>IF(Reinforcements[[#This Row],[Top End Connection Same?]]="Yes",Reinforcements[[#This Row],[End Connection Bolt Spacing (in) (B)]],IF(Reinforcements[[#This Row],[Top End Connection Type]]="Welded","-",""))</f>
        <v>3</v>
      </c>
      <c r="BI45" s="6">
        <f>IF(Reinforcements[[#This Row],[Top End Connection Same?]]="Yes",Reinforcements[[#This Row],[End Connection Edge Distance (in) (B)]],IF(Reinforcements[[#This Row],[Top End Connection Type]]="Welded","-",""))</f>
        <v>2</v>
      </c>
      <c r="BJ45" s="6">
        <f>Reinforcements[[#This Row],[End Connection Edge Distance (in) (T)]]-(Reinforcements[[#This Row],[Bolt Hole Size (in)]]+1/16)/2</f>
        <v>1.375</v>
      </c>
      <c r="BK45" s="6">
        <f>Reinforcements[[#This Row],[End Connection Bolt Spacing (in) (T)]]-(Reinforcements[[#This Row],[Bolt Hole Size (in)]]+1/16)</f>
        <v>1.75</v>
      </c>
      <c r="BL45" s="6">
        <f>Reinforcements[[#This Row],[End Connection Edge Distance (in) (T)]]</f>
        <v>2</v>
      </c>
      <c r="BM45" s="6">
        <f>Reinforcements[[#This Row],[End Connection Bolt Spacing (in) (T)]]</f>
        <v>3</v>
      </c>
      <c r="BN45" s="6" t="str">
        <f>IF(Reinforcements[[#This Row],[Reinforcement]]="","",IF(Reinforcements[[#This Row],[Top End Connection Same?]]="Yes",Reinforcements[[#This Row],[Bottom Connected to Flange/Base Plate?]],IF(Reinforcements[[#This Row],[Top End Connection Type]]="Bolted","-","")))</f>
        <v>-</v>
      </c>
      <c r="BO45" s="6" t="str">
        <f>IF(Reinforcements[[#This Row],[Reinforcement]]="","",IF(Reinforcements[[#This Row],[Top End Connection Same?]]="Yes",Reinforcements[[#This Row],[Bottom Weld Grade (ksi)]],IF(OR(Reinforcements[[#This Row],[Top End Connection Type]]&lt;&gt;"Welded",Reinforcements[[#This Row],[Top End Connection Type]]=""),"-","")))</f>
        <v>-</v>
      </c>
      <c r="BP45" s="6" t="str">
        <f>IF($AZ45="Yes",AP45,IF(Reinforcements[[#This Row],[Reinforcement]]="","",IF(OR(Reinforcements[[#This Row],[Top End Connection Type]]&lt;&gt;"Welded",Reinforcements[[#This Row],[Top End Connection Type]]=""),"-","")))</f>
        <v>-</v>
      </c>
      <c r="BQ45" s="6" t="str">
        <f>IF(Reinforcements[[#This Row],[Reinforcement]]="","",IF($AZ45="Yes",AQ45,IF(OR(Reinforcements[[#This Row],[Top End Connection Type]]&lt;&gt;"Welded",Reinforcements[[#This Row],[Top Transverse (Horizontal) Weld]]="none",Reinforcements[[#This Row],[Top Transverse (Horizontal) Weld]]=""),"-","")))</f>
        <v>-</v>
      </c>
      <c r="BR45" s="6"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6"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6" t="str">
        <f>IF(Reinforcements[[#This Row],[Reinforcement]]="","",IF($AZ45="Yes",AT45,IF(OR(Reinforcements[[#This Row],[Top Transverse (Horizontal) Weld]]="none",Reinforcements[[#This Row],[Top End Connection Type]]&lt;&gt;"Welded",Reinforcements[[#This Row],[Top Transverse (Horizontal) Weld]]=""),"-","")))</f>
        <v>-</v>
      </c>
      <c r="BU45" s="6"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6" t="str">
        <f>IF($AZ45="Yes",AV45,IF(Reinforcements[[#This Row],[Reinforcement]]="","",IF(OR(Reinforcements[[#This Row],[Top End Connection Type]]&lt;&gt;"Welded",Reinforcements[[#This Row],[Top End Connection Type]]=""),"-","")))</f>
        <v>-</v>
      </c>
      <c r="BW45" s="6"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6"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6" t="str">
        <f>IF($AZ45="Yes",AY45,IF(Reinforcements[[#This Row],[Reinforcement]]="","",IF(OR(Reinforcements[[#This Row],[Top End Connection Type]]&lt;&gt;"Welded",Reinforcements[[#This Row],[Top Longitudinal (Vertical) Weld]]="none"),"-",SQRT(2)/2*Reinforcements[[#This Row],[Top Longitudinal Weld Fillet Size (in)]])))</f>
        <v>-</v>
      </c>
      <c r="BZ45"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111">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111">
        <f>IF(Reinforcements[[#This Row],[Reinforcement]]="","",IF(Reinforcements[[#This Row],[Top End Connection Type]]&lt;&gt;"Bolted","n/a",(Reinforcements[[#This Row],['# of End Connection Bolts          (Top)]]-1)*Reinforcements[[#This Row],[End Connection Bolt Spacing (in) (T)]]+Reinforcements[[#This Row],[End Connection Edge Distance (in) (T)]]))</f>
        <v>29</v>
      </c>
      <c r="CC4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6">
        <f>IFERROR(IF(Reinforcements[[#This Row],[Type]]="","",Reinforcements[[#This Row],[Effective B (in)]]*Reinforcements[[#This Row],[Effective H (in)]]^3/12),"")</f>
        <v>1.1753883333333335</v>
      </c>
      <c r="CF45" s="6">
        <f>IFERROR(IF(Reinforcements[[#This Row],[Type]]="","",Reinforcements[[#This Row],[Effective B (in)]]^3*Reinforcements[[#This Row],[Effective H (in)]]/12),"")</f>
        <v>6.0207406999412489</v>
      </c>
      <c r="CG45" s="126">
        <f>SQRT(2*PI()^2*29000/VLOOKUP(Reinforcements[[#This Row],[Material]],Materials[],2,FALSE))</f>
        <v>93.844147005158973</v>
      </c>
      <c r="CH4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123">
        <f>Reinforcements[[#This Row],[Effective Length Factor Kx]]*Reinforcements[[#This Row],[Lu (in)]]/(Reinforcements[[#This Row],[rx]]*PI())*SQRT(VLOOKUP(Reinforcements[[#This Row],[Material]],Materials[],2,FALSE)/29000)</f>
        <v>0.35178336003688249</v>
      </c>
      <c r="CK45" s="123">
        <f>Reinforcements[[#This Row],[Effective Length Factor Ky]]*Reinforcements[[#This Row],[Lu (in)]]/(Reinforcements[[#This Row],[ry]]*PI())*SQRT(VLOOKUP(Reinforcements[[#This Row],[Material]],Materials[],2,FALSE)/29000)</f>
        <v>0.14140907812532891</v>
      </c>
      <c r="CL45" s="123">
        <f>IF(Reinforcements[[#This Row],[λcx]]&lt;=1.5,0.658^(Reinforcements[[#This Row],[λcx]]^2)*Reinforcements[[#This Row],[F''y]],0.877/(Reinforcements[[#This Row],[λcx]]^2)*Reinforcements[[#This Row],[F''y]])</f>
        <v>61.718950490694326</v>
      </c>
      <c r="CM45" s="123">
        <f>IF(Reinforcements[[#This Row],[λcy]]&lt;=1.5,0.658^(Reinforcements[[#This Row],[λcy]]^2)*Reinforcements[[#This Row],[F''y]],0.877/(Reinforcements[[#This Row],[λcy]]^2)*Reinforcements[[#This Row],[F''y]])</f>
        <v>64.458249291662739</v>
      </c>
      <c r="CN45" s="6">
        <f>VLOOKUP(Reinforcements[[#This Row],[Material]],Materials[],2,FALSE)</f>
        <v>65</v>
      </c>
      <c r="CO45" s="126">
        <f>IF(Reinforcements[[#This Row],[Reinforcement]]="","",Reinforcements[[#This Row],[Fax]]*Reinforcements[[#This Row],[Gross Area (in2)]])</f>
        <v>202.43647874068412</v>
      </c>
      <c r="CP45" s="126">
        <f>IF(Reinforcements[[#This Row],[Reinforcement]]="","",Reinforcements[[#This Row],[Fay]]*Reinforcements[[#This Row],[Gross Area (in2)]])</f>
        <v>214.44003814890314</v>
      </c>
      <c r="CQ45" s="126">
        <f>IF(Reinforcements[[#This Row],[Reinforcement]]="","",0.6*VLOOKUP(Reinforcements[[#This Row],[Material]],Materials[],2,FALSE)*Reinforcements[[#This Row],[Gross Area (in2)]])</f>
        <v>220.35000000000002</v>
      </c>
      <c r="CR45" s="126">
        <f>IF(Reinforcements[[#This Row],[Reinforcement]]="","",0.5*VLOOKUP(Reinforcements[[#This Row],[Material]],Materials[],3,FALSE)*Reinforcements[[#This Row],[Net Area (in2)]]*Reinforcements[[#This Row],[Shear Lag (U)]])</f>
        <v>195.1188888888889</v>
      </c>
      <c r="CS45" s="126">
        <f>IF(Reinforcements[[#This Row],[Reinforcement]]="","",0.4*VLOOKUP(Reinforcements[[#This Row],[Material]],Materials[],2,FALSE)*Reinforcements[[#This Row],[Gross Area (in2)]])</f>
        <v>146.9</v>
      </c>
      <c r="CT4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6"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6"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126">
        <f>IF(Reinforcements[[#This Row],[Reinforcement]]="","",φ_c*Reinforcements[[#This Row],[Fcr,x]]*Reinforcements[[#This Row],[Gross Area (in2)]])</f>
        <v>313.84086324518069</v>
      </c>
      <c r="DI45" s="126">
        <f>IF(Reinforcements[[#This Row],[Reinforcement]]="","",φ_c*Reinforcements[[#This Row],[Fcr,y]]*Reinforcements[[#This Row],[Gross Area (in2)]])</f>
        <v>327.77019764810507</v>
      </c>
      <c r="DJ45" s="126">
        <f>IF(Reinforcements[[#This Row],[Reinforcement]]="","",φ_t_y*VLOOKUP(Reinforcements[[#This Row],[Material]],Materials[],2,FALSE)*Reinforcements[[#This Row],[Gross Area (in2)]])</f>
        <v>330.52500000000003</v>
      </c>
      <c r="DK45" s="126">
        <f>IF(Reinforcements[[#This Row],[Reinforcement]]="","",φ_t_r*VLOOKUP(Reinforcements[[#This Row],[Material]],Materials[],3,FALSE)*Reinforcements[[#This Row],[Net Area (in2)]]*Reinforcements[[#This Row],[Shear Lag (U)]])</f>
        <v>292.67833333333334</v>
      </c>
      <c r="DL45" s="126">
        <f>IF(Reinforcements[[#This Row],[Reinforcement]]="","",φ_v*0.5*Reinforcements[[#This Row],[F''y]]*Reinforcements[[#This Row],[Gross Area (in2)]])</f>
        <v>165.26250000000002</v>
      </c>
      <c r="DM4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6"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6"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111">
        <f>IF(OR(Reinforcements[[#This Row],[Type]]="plate",Reinforcements[[#This Row],[Type]]="solid round"),"N/A",Reinforcements[[#This Row],[B (in)]])</f>
        <v>5.33</v>
      </c>
      <c r="EB45" s="6">
        <f>IF(OR(Reinforcements[[#This Row],[Type]]="plate",Reinforcements[[#This Row],[Type]]="solid round"),"N/A",Reinforcements[[#This Row],[H (in)]])</f>
        <v>2.09</v>
      </c>
      <c r="EC45" s="6">
        <f>IF(OR(Reinforcements[[#This Row],[Type]]="plate",Reinforcements[[#This Row],[Type]]="solid round"),"N/A",Reinforcements[[#This Row],[B (in)]]-Reinforcements[[#This Row],['[Channel'] Flange Thickness (in)]])</f>
        <v>4.42</v>
      </c>
      <c r="ED45" s="6">
        <f>IF(OR(Reinforcements[[#This Row],[Type]]="plate",Reinforcements[[#This Row],[Type]]="solid round"),"N/A",Reinforcements[[#This Row],['[Channel']Web Thickness (in)]])</f>
        <v>0.5</v>
      </c>
      <c r="EE45" s="6">
        <f>IF(OR(Reinforcements[[#This Row],[Type]]="plate",Reinforcements[[#This Row],[Type]]="solid round"),"N/A",Reinforcements[[#This Row],['[Channel'] Flange Thickness (in)]])</f>
        <v>0.91</v>
      </c>
      <c r="EF45" s="6">
        <f>IF(Reinforcements[[#This Row],[Type]]="channel",Reinforcements[[#This Row],[Channel Flange Width, b]]/Reinforcements[[#This Row],[Channel flange thickness, tf]],"N/A")</f>
        <v>2.2967032967032965</v>
      </c>
      <c r="EG45" s="6">
        <f>IF(Reinforcements[[#This Row],[Type]]="channel",Reinforcements[[#This Row],[Channel inside depth, T]]/Reinforcements[[#This Row],[Channel web thickness, tw]],"N/A")</f>
        <v>8.84</v>
      </c>
      <c r="EH45" s="6">
        <f>29000</f>
        <v>29000</v>
      </c>
      <c r="EI45" s="6">
        <f>IF(Reinforcements[[#This Row],[Type]]="channel",0.56*SQRT(Reinforcements[[#This Row],[E, (ksi)]]/Reinforcements[[#This Row],[Fy, (ksi)]]),"N/A")</f>
        <v>11.828518341442694</v>
      </c>
      <c r="EJ45" s="6">
        <f>IF(Reinforcements[[#This Row],[Type]]="channel",1.49*SQRT(Reinforcements[[#This Row],[E, (ksi)]]/Reinforcements[[#This Row],[Fy, (ksi)]]),"N/A")</f>
        <v>31.472307729910018</v>
      </c>
      <c r="EK45" s="6">
        <f>VLOOKUP(Reinforcements[[#This Row],[Material]],Materials!$B$2:$C$30,2,FALSE)</f>
        <v>65</v>
      </c>
      <c r="EL45" s="6">
        <f>Reinforcements[[#This Row],[Lu (in)]]*Reinforcements[[#This Row],[Effective Length Factor Kx]]</f>
        <v>14.4</v>
      </c>
      <c r="EM45" s="6">
        <f>Reinforcements[[#This Row],[Lu (in)]]*Reinforcements[[#This Row],[Effective Length Factor Ky]]</f>
        <v>18</v>
      </c>
      <c r="EN45" s="6">
        <f>Reinforcements[[#This Row],[rx]]</f>
        <v>0.61687192629534326</v>
      </c>
      <c r="EO45" s="6">
        <f>Reinforcements[[#This Row],[ry]]</f>
        <v>1.9182403440911973</v>
      </c>
      <c r="EP45" s="6">
        <f>Reinforcements[[#This Row],[Lcx (in)]]/Reinforcements[[#This Row],[rx (in)]]</f>
        <v>23.343581359715877</v>
      </c>
      <c r="EQ45" s="6">
        <f>Reinforcements[[#This Row],[Lcy (in)]]/Reinforcements[[#This Row],[ry (in)]]</f>
        <v>9.3835999516149489</v>
      </c>
      <c r="ER45" s="6">
        <f>((PI()^2)*Reinforcements[[#This Row],[E, (ksi)]])/(Reinforcements[[#This Row],[Lcx/rx]]^2)</f>
        <v>525.24602112005732</v>
      </c>
      <c r="ES45" s="6">
        <f>((PI()^2)*Reinforcements[[#This Row],[E, (ksi)]])/(Reinforcements[[#This Row],[Lcy/ry]]^2)</f>
        <v>3250.5643993558301</v>
      </c>
      <c r="ET45" s="6">
        <f>4.71*(SQRT(Reinforcements[[#This Row],[E, (ksi)]]/Reinforcements[[#This Row],[Fy, (ksi)]]))</f>
        <v>99.486288193205496</v>
      </c>
      <c r="EU45" s="6">
        <f>IF(Reinforcements[[#This Row],[Lcx/rx]]&lt;=Reinforcements[[#This Row],[Fcr Limit]],(0.658^(Reinforcements[[#This Row],[Fy, (ksi)]]/Reinforcements[[#This Row],[Fex, FB (ksi)]]))*Reinforcements[[#This Row],[Fy, (ksi)]],0.877*Reinforcements[[#This Row],[Fex, FB (ksi)]])</f>
        <v>61.718950490694326</v>
      </c>
      <c r="EV45" s="6">
        <f>IF(Reinforcements[[#This Row],[Lcy/ry]]&lt;=Reinforcements[[#This Row],[Fcr Limit]],(0.658^(Reinforcements[[#This Row],[Fy, (ksi)]]/Reinforcements[[#This Row],[Fey, FB (ksi)]]))*Reinforcements[[#This Row],[Fy, (ksi)]],0.877*Reinforcements[[#This Row],[Fey, FB (ksi)]])</f>
        <v>64.458249291662739</v>
      </c>
      <c r="EW45" s="6">
        <f>Reinforcements[[#This Row],[Fcrx (ksi)]]*Reinforcements[[#This Row],[Gross Area (in2)]]</f>
        <v>348.71207027242298</v>
      </c>
      <c r="EX45" s="6">
        <f>Reinforcements[[#This Row],[Fcry (ksi)]]*Reinforcements[[#This Row],[Gross Area (in2)]]</f>
        <v>364.18910849789449</v>
      </c>
      <c r="EY45" s="6">
        <f>IF(Reinforcements[[#This Row],[Type]]="channel",0,"N/A")</f>
        <v>0</v>
      </c>
      <c r="EZ45" s="6">
        <f>IF(Reinforcements[[#This Row],[Type]]="channel",Reinforcements[[#This Row],[Channel Flange Width, b]]-(0.5*Reinforcements[[#This Row],[Channel web thickness, tw]]),"N/A")</f>
        <v>1.8399999999999999</v>
      </c>
      <c r="FA45" s="6">
        <f>IF(Reinforcements[[#This Row],[Type]]="channel",Reinforcements[[#This Row],[Channel Height, h]]-Reinforcements[[#This Row],[Channel flange thickness, tf]],"N/A")</f>
        <v>4.42</v>
      </c>
      <c r="FB45" s="6">
        <f>IF(Reinforcements[[#This Row],[Type]]="channel",Reinforcements[[#This Row],[Channel web thickness, tw]],"N/A")</f>
        <v>0.5</v>
      </c>
      <c r="FC45" s="6">
        <f>IF(Reinforcements[[#This Row],[Type]]="channel",((3*Reinforcements[[#This Row],[b]]^2)/(Reinforcements[[#This Row],[h]]+(6*Reinforcements[[#This Row],[b]])))-Reinforcements[[#This Row],[t]]/2,"N/A")</f>
        <v>0.40697283311772303</v>
      </c>
      <c r="FD45" s="6">
        <f>Reinforcements[[#This Row],[Pole Face to Centroid (in)]]</f>
        <v>0.79</v>
      </c>
      <c r="FE45" s="6">
        <f>IF(Reinforcements[[#This Row],[Type]]="channel",Reinforcements[[#This Row],[x(bar)]]+Reinforcements[[#This Row],['[Channel'] e0 (in)]],"N/A")</f>
        <v>1.196972833117723</v>
      </c>
      <c r="FF45" s="6">
        <f>IF(Reinforcements[[#This Row],[Type]]="channel",Reinforcements[[#This Row],[Ix]],"N/A")</f>
        <v>2.15</v>
      </c>
      <c r="FG45" s="6">
        <f>IF(Reinforcements[[#This Row],[Type]]="channel",Reinforcements[[#This Row],[Iy]],"N/A")</f>
        <v>20.79</v>
      </c>
      <c r="FH45" s="6">
        <f>IF(Reinforcements[[#This Row],[Type]]="channel",Reinforcements[[#This Row],[Gross Area (in2)]],"N/A")</f>
        <v>5.65</v>
      </c>
      <c r="FI45" s="6">
        <f>IF(Reinforcements[[#This Row],[Type]]="channel",(Reinforcements[[#This Row],[xo]]^2)+((Reinforcements[[#This Row],[Ix (FTB)]]+Reinforcements[[#This Row],[Iy (FTB)]])/Reinforcements[[#This Row],[Ag]]),"N/A")</f>
        <v>5.4929209543723099</v>
      </c>
      <c r="FJ45" s="6">
        <f>IF(Reinforcements[[#This Row],[Type]]="channel",Reinforcements[[#This Row],[Lu (in)]],"N/A")</f>
        <v>18</v>
      </c>
      <c r="FK45" s="6">
        <f>IF(Reinforcements[[#This Row],[Type]]="channel",Reinforcements[[#This Row],[Effective Length Factor Kx]],"N/A")</f>
        <v>0.8</v>
      </c>
      <c r="FL45" s="6">
        <f>IF(Reinforcements[[#This Row],[Type]]="channel",Reinforcements[[#This Row],[Kz]]*Reinforcements[[#This Row],[Lz]],"N/A")</f>
        <v>14.4</v>
      </c>
      <c r="FM45" s="6">
        <f>IF(Reinforcements[[#This Row],[Type]]="channel",(((Reinforcements[[#This Row],[t]]^3)/3)*(Reinforcements[[#This Row],[h]]+(2*Reinforcements[[#This Row],[b]]))),"N/A")</f>
        <v>0.33749999999999997</v>
      </c>
      <c r="FN45" s="6">
        <f>IF(Reinforcements[[#This Row],[Type]]="channel",(1-(((Reinforcements[[#This Row],[xo]]^2)+(Reinforcements[[#This Row],[yo]]^2))/Reinforcements[[#This Row],[ro^2(bar)]])),"N/A")</f>
        <v>0.73916537756083711</v>
      </c>
      <c r="FO45" s="6">
        <v>11200</v>
      </c>
      <c r="FP45" s="6">
        <f>IF(Reinforcements[[#This Row],[Type]]="channel",(((Reinforcements[[#This Row],[h]]^2)*(Reinforcements[[#This Row],[b]]^3)*Reinforcements[[#This Row],[t]])/12)*(((2*Reinforcements[[#This Row],[h]])+(3*Reinforcements[[#This Row],[b]]))/(Reinforcements[[#This Row],[h]]+(6*Reinforcements[[#This Row],[b]]))),"N/A")</f>
        <v>4.7101172292443287</v>
      </c>
      <c r="FQ45" s="6">
        <f>IF(Reinforcements[[#This Row],[Type]]="Channel",((((PI()^2)*Reinforcements[[#This Row],[E, (ksi)]]*Reinforcements[[#This Row],['[Channel'] CW (in6)]])/(Reinforcements[[#This Row],[Lcz]]^2))+(Reinforcements[[#This Row],[G]]*Reinforcements[[#This Row],['[Channel'] J (in4)]]))*(1/(Reinforcements[[#This Row],[Ag]]*Reinforcements[[#This Row],[ro^2(bar)]])),"N/A")</f>
        <v>331.2828347456005</v>
      </c>
      <c r="FR45" s="6">
        <f>IF(Reinforcements[[#This Row],[Type]]="channel",((PI()^2)*Reinforcements[[#This Row],[E, (ksi)]])/(Reinforcements[[#This Row],[Lcy/ry]]^2),"N/A")</f>
        <v>3250.5643993558301</v>
      </c>
      <c r="FS45" s="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6">
        <f>IF(Reinforcements[[#This Row],[Type]]="channel",MIN(Reinforcements[[#This Row],[Fcr(FTB)]],Reinforcements[[#This Row],[Fcry (ksi)]]),"N/A")</f>
        <v>59.734467790463988</v>
      </c>
      <c r="FV45" s="6">
        <v>0.22</v>
      </c>
      <c r="FW45" s="6">
        <v>1.49</v>
      </c>
      <c r="FX45" s="6">
        <f>IF(Reinforcements[[#This Row],[Type]]="channel",((Reinforcements[[#This Row],[c2]]*(Reinforcements[[#This Row],[λrf]]/Reinforcements[[#This Row],[λf]]))^2)*Reinforcements[[#This Row],[Fy, (ksi)]],"N/A")</f>
        <v>3827.6903843923005</v>
      </c>
      <c r="FY45" s="6">
        <f>IF(Reinforcements[[#This Row],[Type]]="channel",((Reinforcements[[#This Row],[c2]]*(Reinforcements[[#This Row],[λrw]]/Reinforcements[[#This Row],[λw]]))^2)*Reinforcements[[#This Row],[Fy, (ksi)]],"N/A")</f>
        <v>1829.1045982115434</v>
      </c>
      <c r="FZ45"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6">
        <f>IF(Reinforcements[[#This Row],[Type]]="channel",Reinforcements[[#This Row],[Fcr]]*Reinforcements[[#This Row],[Ae]],"N/A")</f>
        <v>337.49974301612156</v>
      </c>
      <c r="GD45">
        <f>IF(Reinforcements[[#This Row],[Reinforcement]]="","",φ_c*Reinforcements[[#This Row],[Pnx, FB (kip)]])</f>
        <v>313.84086324518069</v>
      </c>
      <c r="GE45">
        <f>IF(Reinforcements[[#This Row],[Reinforcement]]="","",IF(Reinforcements[[#This Row],[Type]]="channel",φ_c*Reinforcements[[#This Row],[Pn]],φ_c*Reinforcements[[#This Row],[Pny, FB (kip)]]))</f>
        <v>303.7497687145094</v>
      </c>
      <c r="GF45">
        <f>Reinforcements[[#This Row],[Rev. G Tension Yield Capacity (kips)]]</f>
        <v>330.52500000000003</v>
      </c>
      <c r="GG45">
        <f>Reinforcements[[#This Row],[Rev. G Tension Rupture Capacity (kips)]]</f>
        <v>292.67833333333334</v>
      </c>
      <c r="GH45">
        <f>Reinforcements[[#This Row],[Rev. G Shear Capacity (kips)]]</f>
        <v>165.26250000000002</v>
      </c>
      <c r="GI45">
        <f>IFERROR((Reinforcements[[#This Row],['# of End Connection Bolts          (Bottom)]]-1)*Reinforcements[[#This Row],[End Connection Bolt Spacing (in) (B)]],"-")</f>
        <v>27</v>
      </c>
      <c r="GJ45">
        <f>IFERROR(IF(VLOOKUP(Reinforcements[[#This Row],[Bottom End Connection Bolt Type]],Bolts[],COLUMN(Bolts[[#Headers],[Rev. H Apply Connection Length Reduction Factor (Rb)?]])-1,FALSE)="Yes",(IF(Reinforcements[[#This Row],[Lb(bottom)]]&lt;=16,1,IF(Reinforcements[[#This Row],[Lb(bottom)]]&gt;38,0.75,0.9))),1),"-")</f>
        <v>1</v>
      </c>
      <c r="GK4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f>IFERROR(IF(Reinforcements[[#This Row],[Top End Connection Same?]]="Yes",Reinforcements[[#This Row],[Lb(bottom)]],(Reinforcements[[#This Row],['# of End Connection Bolts          (Top)]]-1)*Reinforcements[[#This Row],[End Connection Bolt Spacing (in) (T)]]),"-")</f>
        <v>27</v>
      </c>
      <c r="GM45">
        <f>IFERROR(IF(VLOOKUP(Reinforcements[[#This Row],[Top End Connection Bolt Type]],Bolts[],COLUMN(Bolts[[#Headers],[Rev. H Apply Connection Length Reduction Factor (Rb)?]])-1,FALSE)=TRUE,(IF(Reinforcements[[#This Row],[Lb(top)]]&lt;=16,1,IF(Reinforcements[[#This Row],[Lb(top)]]&gt;38,0.75,0.9))),1),"-")</f>
        <v>0.9</v>
      </c>
      <c r="GN4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f>Reinforcements[[#This Row],[Rev. G Bolt-Shaft Bearing Capacity (Bottom)                No Deformation          (*t*Fu kips)]]</f>
        <v>19.778267716535435</v>
      </c>
      <c r="GP45">
        <f>Reinforcements[[#This Row],[Rev. G Bolt-Shaft Bearing Capacity (Bottom)                   Deformation          (*t*Fu kips)]]</f>
        <v>24.722834645669291</v>
      </c>
      <c r="GQ45">
        <f>Reinforcements[[#This Row],[Rev. G Bolt-Shaft Bearing Capacity (Top)                    No Deformation          (*t*Fu kips)]]</f>
        <v>19.778267716535435</v>
      </c>
      <c r="GR45">
        <f>Reinforcements[[#This Row],[Rev. G Bolt-Shaft Bearing Capacity (Top)                        Deformation          (*t*Fu kips)]]</f>
        <v>24.722834645669291</v>
      </c>
      <c r="GS45">
        <f>Reinforcements[[#This Row],[Rev. G Bolt-Reinf. Bearing Capacity (Bottom)            No Deformation (kips)]]</f>
        <v>767.20629921259842</v>
      </c>
      <c r="GT45">
        <f>Reinforcements[[#This Row],[Rev. G Bolt-Reinf. Bearing Capacity (Bottom)               Deformation (kips)]]</f>
        <v>959.00787401574803</v>
      </c>
      <c r="GU45">
        <f>Reinforcements[[#This Row],[Rev. G Bolt-Reinf. Bearing Capacity (Top)                  No Deformation (kips)]]</f>
        <v>767.20629921259842</v>
      </c>
      <c r="GV45">
        <f>Reinforcements[[#This Row],[Rev. G Bolt-Reinf. Bearing Capacity (Top)               Deformation (kips)]]</f>
        <v>959.00787401574803</v>
      </c>
      <c r="GW45" t="str">
        <f>Reinforcements[[#This Row],[Rev. G Bottom Transverse Weld Strength]]</f>
        <v>-</v>
      </c>
      <c r="GX45" t="str">
        <f>Reinforcements[[#This Row],[Rev. G Bottom Longitudinal Weld Strength]]</f>
        <v>-</v>
      </c>
      <c r="GY45" t="str">
        <f>Reinforcements[[#This Row],[Rev. G Top Transverse Weld Strength]]</f>
        <v>-</v>
      </c>
      <c r="GZ45" t="str">
        <f>Reinforcements[[#This Row],[Rev. G Top Longitudinal Weld Strength]]</f>
        <v>-</v>
      </c>
      <c r="HA45">
        <v>43</v>
      </c>
      <c r="HB4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49" t="s">
        <v>404</v>
      </c>
      <c r="C46" s="49" t="s">
        <v>399</v>
      </c>
      <c r="D46" s="6">
        <v>5.33</v>
      </c>
      <c r="E46" s="6">
        <v>2.09</v>
      </c>
      <c r="F46" s="6" t="str">
        <f>IF(Reinforcements[[#This Row],[Type]]="","",IF(Reinforcements[[#This Row],[Type]]="solid round","","n/a"))</f>
        <v>n/a</v>
      </c>
      <c r="G46" s="6">
        <v>0.5</v>
      </c>
      <c r="H46" s="6">
        <v>0.91</v>
      </c>
      <c r="I46" s="126">
        <f>IF(Reinforcements[[#This Row],[Type]]="","",IF(Reinforcements[[#This Row],[Type]]&lt;&gt;"channel","n/a",Reinforcements[[#This Row],[eo]]))</f>
        <v>0.40697283311772303</v>
      </c>
      <c r="J46" s="126">
        <f>IF(Reinforcements[[#This Row],[Type]]="","",IF(Reinforcements[[#This Row],[Type]]&lt;&gt;"channel","n/a",Reinforcements[[#This Row],[J]]))</f>
        <v>0.33749999999999997</v>
      </c>
      <c r="K46" s="126">
        <f>IF(Reinforcements[[#This Row],[Type]]="","",IF(Reinforcements[[#This Row],[Type]]&lt;&gt;"channel","n/a",Reinforcements[[#This Row],[Cw]]))</f>
        <v>4.7101172292443287</v>
      </c>
      <c r="L46" s="6">
        <v>5.65</v>
      </c>
      <c r="M46" s="6">
        <v>0.79</v>
      </c>
      <c r="N46" s="16" t="s">
        <v>353</v>
      </c>
      <c r="O46" s="6" t="s">
        <v>138</v>
      </c>
      <c r="P46" s="123">
        <v>2.15</v>
      </c>
      <c r="Q46" s="123">
        <f>IF(Reinforcements[[#This Row],[Reinforcement]]="","",SQRT(Reinforcements[[#This Row],[Ix]]/Reinforcements[[#This Row],[Gross Area (in2)]]))</f>
        <v>0.61687192629534326</v>
      </c>
      <c r="R46" s="123">
        <v>20.79</v>
      </c>
      <c r="S46" s="123">
        <f>IF(Reinforcements[[#This Row],[Reinforcement]]="","",SQRT(Reinforcements[[#This Row],[Iy]]/Reinforcements[[#This Row],[Gross Area (in2)]]))</f>
        <v>1.9182403440911973</v>
      </c>
      <c r="T46" s="6">
        <v>18</v>
      </c>
      <c r="U46" s="6">
        <v>0.8</v>
      </c>
      <c r="V46" s="6">
        <v>1</v>
      </c>
      <c r="W46" s="6">
        <v>1.25</v>
      </c>
      <c r="X46" s="6">
        <f>IF(Reinforcements[[#This Row],[Bolt Hole Size (in)]]="","",IF(Reinforcements[[#This Row],[Bolt Hole Size (in)]]="n/a","n/a",Reinforcements[[#This Row],[Bolt Hole Size (in)]]*25.4))</f>
        <v>31.75</v>
      </c>
      <c r="Y4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6">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34" t="s">
        <v>354</v>
      </c>
      <c r="AB46" s="34" t="str">
        <f>IF(Reinforcements[[#This Row],[Reinforcement]]="","",IF(Reinforcements[[#This Row],[Bottom End Connection Type]]&lt;&gt;"Capacity Input","-",""))</f>
        <v>-</v>
      </c>
      <c r="AC46" s="34" t="str">
        <f>IF(Reinforcements[[#This Row],[Reinforcement]]="","",IF(Reinforcements[[#This Row],[Bottom End Connection Type]]&lt;&gt;"Capacity Input","-",""))</f>
        <v>-</v>
      </c>
      <c r="AD46" s="16" t="str">
        <f>IF(Reinforcements[[#This Row],[Reinforcement]]="","",IF(Reinforcements[[#This Row],[Bottom End Connection Type]]&lt;&gt;"Capacity Input","-",""))</f>
        <v>-</v>
      </c>
      <c r="AE46" s="74" t="s">
        <v>355</v>
      </c>
      <c r="AF46" s="6" t="s">
        <v>356</v>
      </c>
      <c r="AG46" s="6">
        <v>10</v>
      </c>
      <c r="AH46" s="6">
        <v>3</v>
      </c>
      <c r="AI46" s="6">
        <v>2</v>
      </c>
      <c r="AJ46" s="6">
        <f>Reinforcements[[#This Row],[End Connection Edge Distance (in) (B)]]-(Reinforcements[[#This Row],[Bolt Hole Size (in)]]+1/16)/2</f>
        <v>1.34375</v>
      </c>
      <c r="AK46" s="6">
        <f>Reinforcements[[#This Row],[End Connection Bolt Spacing (in) (B)]]-(Reinforcements[[#This Row],[Bolt Hole Size (in)]]+1/16)</f>
        <v>1.6875</v>
      </c>
      <c r="AL46" s="6">
        <f>Reinforcements[[#This Row],[End Connection Edge Distance (in) (B)]]</f>
        <v>2</v>
      </c>
      <c r="AM46" s="6">
        <f>Reinforcements[[#This Row],[End Connection Bolt Spacing (in) (B)]]</f>
        <v>3</v>
      </c>
      <c r="AN46" s="6" t="str">
        <f>IF(Reinforcements[[#This Row],[Reinforcement]]="","",IF(OR(Reinforcements[[#This Row],[Bottom End Connection Type]]="Bolted",Reinforcements[[#This Row],[Bottom End Connection Type]]=""),"-",""))</f>
        <v>-</v>
      </c>
      <c r="AO46" s="111" t="str">
        <f>IF(Reinforcements[[#This Row],[Reinforcement]]="","",IF(OR(Reinforcements[[#This Row],[Bottom End Connection Type]]="Bolted",Reinforcements[[#This Row],[Bottom End Connection Type]]=""),"-",""))</f>
        <v>-</v>
      </c>
      <c r="AP46" s="111" t="str">
        <f>IF(Reinforcements[[#This Row],[Reinforcement]]="","",IF(OR(Reinforcements[[#This Row],[Bottom End Connection Type]]="Bolted",Reinforcements[[#This Row],[Bottom End Connection Type]]=""),"-",""))</f>
        <v>-</v>
      </c>
      <c r="AQ46" s="111" t="str">
        <f>IF(OR(Reinforcements[[#This Row],[Bottom End Connection Type]]="Bolted",Reinforcements[[#This Row],[Bottom Transverse (Horizontal) Weld]]="none"),"-","")</f>
        <v>-</v>
      </c>
      <c r="AR4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11" t="str">
        <f>IF(OR(Reinforcements[[#This Row],[Bottom Transverse (Horizontal) Weld]]="none",Reinforcements[[#This Row],[Bottom End Connection Type]]="Bolted"),"-","")</f>
        <v>-</v>
      </c>
      <c r="AU4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11" t="str">
        <f>IF(Reinforcements[[#This Row],[Reinforcement]]="","",IF(OR(Reinforcements[[#This Row],[Bottom End Connection Type]]="Bolted",Reinforcements[[#This Row],[Bottom End Connection Type]]=""),"-",""))</f>
        <v>-</v>
      </c>
      <c r="AW46" s="111" t="str">
        <f>IF(Reinforcements[[#This Row],[Reinforcement]]="","",IF(OR(Reinforcements[[#This Row],[Bottom End Connection Type]]&lt;&gt;"Welded",Reinforcements[[#This Row],[Bottom Longitudinal (Vertical) Weld]]="None",Reinforcements[[#This Row],[Bottom Longitudinal (Vertical) Weld]]=""),"-",""))</f>
        <v>-</v>
      </c>
      <c r="AX46" s="111" t="str">
        <f>IF(Reinforcements[[#This Row],[Reinforcement]]="","",IF(OR(Reinforcements[[#This Row],[Bottom End Connection Type]]&lt;&gt;"Welded",Reinforcements[[#This Row],[Bottom Longitudinal (Vertical) Weld]]="None",Reinforcements[[#This Row],[Bottom Longitudinal (Vertical) Weld]]=""),"-",""))</f>
        <v>-</v>
      </c>
      <c r="AY46" s="6" t="str">
        <f>IF(Reinforcements[[#This Row],[Reinforcement]]="","",IF(OR(Reinforcements[[#This Row],[Bottom End Connection Type]]&lt;&gt;"Welded",Reinforcements[[#This Row],[Bottom Longitudinal (Vertical) Weld]]="None"),"-",SQRT(2)/2*Reinforcements[[#This Row],[Bottom Longitudinal Weld Fillet Size (in)]]))</f>
        <v>-</v>
      </c>
      <c r="AZ46" s="111" t="s">
        <v>357</v>
      </c>
      <c r="BA46" s="16" t="str">
        <f>IF(Reinforcements[[#This Row],[Top End Connection Same?]]="Yes",Reinforcements[[#This Row],[Bottom End Connection Type]],"")</f>
        <v>Bolted</v>
      </c>
      <c r="BB46" s="16" t="str">
        <f>IF(Reinforcements[[#This Row],[Reinforcement]]="","",IF(Reinforcements[[#This Row],[Top End Connection Same?]]="Yes",Reinforcements[[#This Row],[Rev. F Bottom Connection Capacity (kips)]],IF(Reinforcements[[#This Row],[Reinforcement]]="","",IF(Reinforcements[[#This Row],[Top End Connection Type]]&lt;&gt;"Capacity Input","-",""))))</f>
        <v>-</v>
      </c>
      <c r="BC46" s="16" t="str">
        <f>IF(Reinforcements[[#This Row],[Reinforcement]]="","",IF(Reinforcements[[#This Row],[Top End Connection Same?]]="Yes",Reinforcements[[#This Row],[Rev. G Bottom Connection Capacity (kips)]],IF(Reinforcements[[#This Row],[Reinforcement]]="","",IF(Reinforcements[[#This Row],[Top End Connection Type]]&lt;&gt;"Capacity Input","-",""))))</f>
        <v>-</v>
      </c>
      <c r="BD46" s="16" t="str">
        <f>IF(Reinforcements[[#This Row],[Reinforcement]]="","",IF(Reinforcements[[#This Row],[Top End Connection Same?]]="Yes",Reinforcements[[#This Row],[Rev. G Bottom Connection Capacity (kips)]],IF(Reinforcements[[#This Row],[Reinforcement]]="","",IF(Reinforcements[[#This Row],[Top End Connection Type]]&lt;&gt;"Capacity Input","-",""))))</f>
        <v>-</v>
      </c>
      <c r="BE46" s="74" t="str">
        <f>IF(Reinforcements[[#This Row],[Top End Connection Same?]]="Yes",Reinforcements[[#This Row],[Bottom End Connection Bolt Type]],IF(Reinforcements[[#This Row],[Top End Connection Type]]="Welded","-",""))</f>
        <v>PC 8.8 - M20 (100)</v>
      </c>
      <c r="BF46" s="6" t="str">
        <f>IF(Reinforcements[[#This Row],[Top End Connection Same?]]="Yes",Reinforcements[[#This Row],[Threads Included (N) or Excluded (X) (Bottom)]],IF(Reinforcements[[#This Row],[Top End Connection Type]]="Welded","-",""))</f>
        <v>N</v>
      </c>
      <c r="BG46" s="6">
        <f>IF(Reinforcements[[#This Row],[Top End Connection Same?]]="Yes",Reinforcements[[#This Row],['# of End Connection Bolts          (Bottom)]],IF(Reinforcements[[#This Row],[Top End Connection Type]]="Welded","-",""))</f>
        <v>10</v>
      </c>
      <c r="BH46" s="6">
        <f>IF(Reinforcements[[#This Row],[Top End Connection Same?]]="Yes",Reinforcements[[#This Row],[End Connection Bolt Spacing (in) (B)]],IF(Reinforcements[[#This Row],[Top End Connection Type]]="Welded","-",""))</f>
        <v>3</v>
      </c>
      <c r="BI46" s="6">
        <f>IF(Reinforcements[[#This Row],[Top End Connection Same?]]="Yes",Reinforcements[[#This Row],[End Connection Edge Distance (in) (B)]],IF(Reinforcements[[#This Row],[Top End Connection Type]]="Welded","-",""))</f>
        <v>2</v>
      </c>
      <c r="BJ46" s="6">
        <f>Reinforcements[[#This Row],[End Connection Edge Distance (in) (T)]]-(Reinforcements[[#This Row],[Bolt Hole Size (in)]]+1/16)/2</f>
        <v>1.34375</v>
      </c>
      <c r="BK46" s="6">
        <f>Reinforcements[[#This Row],[End Connection Bolt Spacing (in) (T)]]-(Reinforcements[[#This Row],[Bolt Hole Size (in)]]+1/16)</f>
        <v>1.6875</v>
      </c>
      <c r="BL46" s="6">
        <f>Reinforcements[[#This Row],[End Connection Edge Distance (in) (T)]]</f>
        <v>2</v>
      </c>
      <c r="BM46" s="6">
        <f>Reinforcements[[#This Row],[End Connection Bolt Spacing (in) (T)]]</f>
        <v>3</v>
      </c>
      <c r="BN46" s="6" t="str">
        <f>IF(Reinforcements[[#This Row],[Reinforcement]]="","",IF(Reinforcements[[#This Row],[Top End Connection Same?]]="Yes",Reinforcements[[#This Row],[Bottom Connected to Flange/Base Plate?]],IF(Reinforcements[[#This Row],[Top End Connection Type]]="Bolted","-","")))</f>
        <v>-</v>
      </c>
      <c r="BO46" s="6" t="str">
        <f>IF(Reinforcements[[#This Row],[Reinforcement]]="","",IF(Reinforcements[[#This Row],[Top End Connection Same?]]="Yes",Reinforcements[[#This Row],[Bottom Weld Grade (ksi)]],IF(OR(Reinforcements[[#This Row],[Top End Connection Type]]&lt;&gt;"Welded",Reinforcements[[#This Row],[Top End Connection Type]]=""),"-","")))</f>
        <v>-</v>
      </c>
      <c r="BP46" s="6" t="str">
        <f>IF($AZ46="Yes",AP46,IF(Reinforcements[[#This Row],[Reinforcement]]="","",IF(OR(Reinforcements[[#This Row],[Top End Connection Type]]&lt;&gt;"Welded",Reinforcements[[#This Row],[Top End Connection Type]]=""),"-","")))</f>
        <v>-</v>
      </c>
      <c r="BQ46" s="6" t="str">
        <f>IF(Reinforcements[[#This Row],[Reinforcement]]="","",IF($AZ46="Yes",AQ46,IF(OR(Reinforcements[[#This Row],[Top End Connection Type]]&lt;&gt;"Welded",Reinforcements[[#This Row],[Top Transverse (Horizontal) Weld]]="none",Reinforcements[[#This Row],[Top Transverse (Horizontal) Weld]]=""),"-","")))</f>
        <v>-</v>
      </c>
      <c r="BR46" s="6"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6"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6" t="str">
        <f>IF(Reinforcements[[#This Row],[Reinforcement]]="","",IF($AZ46="Yes",AT46,IF(OR(Reinforcements[[#This Row],[Top Transverse (Horizontal) Weld]]="none",Reinforcements[[#This Row],[Top End Connection Type]]&lt;&gt;"Welded",Reinforcements[[#This Row],[Top Transverse (Horizontal) Weld]]=""),"-","")))</f>
        <v>-</v>
      </c>
      <c r="BU46" s="6"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6" t="str">
        <f>IF($AZ46="Yes",AV46,IF(Reinforcements[[#This Row],[Reinforcement]]="","",IF(OR(Reinforcements[[#This Row],[Top End Connection Type]]&lt;&gt;"Welded",Reinforcements[[#This Row],[Top End Connection Type]]=""),"-","")))</f>
        <v>-</v>
      </c>
      <c r="BW46" s="6"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6"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6" t="str">
        <f>IF($AZ46="Yes",AY46,IF(Reinforcements[[#This Row],[Reinforcement]]="","",IF(OR(Reinforcements[[#This Row],[Top End Connection Type]]&lt;&gt;"Welded",Reinforcements[[#This Row],[Top Longitudinal (Vertical) Weld]]="none"),"-",SQRT(2)/2*Reinforcements[[#This Row],[Top Longitudinal Weld Fillet Size (in)]])))</f>
        <v>-</v>
      </c>
      <c r="BZ46"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111">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111">
        <f>IF(Reinforcements[[#This Row],[Reinforcement]]="","",IF(Reinforcements[[#This Row],[Top End Connection Type]]&lt;&gt;"Bolted","n/a",(Reinforcements[[#This Row],['# of End Connection Bolts          (Top)]]-1)*Reinforcements[[#This Row],[End Connection Bolt Spacing (in) (T)]]+Reinforcements[[#This Row],[End Connection Edge Distance (in) (T)]]))</f>
        <v>29</v>
      </c>
      <c r="CC4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6">
        <f>IFERROR(IF(Reinforcements[[#This Row],[Type]]="","",Reinforcements[[#This Row],[Effective B (in)]]*Reinforcements[[#This Row],[Effective H (in)]]^3/12),"")</f>
        <v>1.1753883333333335</v>
      </c>
      <c r="CF46" s="6">
        <f>IFERROR(IF(Reinforcements[[#This Row],[Type]]="","",Reinforcements[[#This Row],[Effective B (in)]]^3*Reinforcements[[#This Row],[Effective H (in)]]/12),"")</f>
        <v>6.0207406999412489</v>
      </c>
      <c r="CG46" s="126">
        <f>SQRT(2*PI()^2*29000/VLOOKUP(Reinforcements[[#This Row],[Material]],Materials[],2,FALSE))</f>
        <v>93.844147005158973</v>
      </c>
      <c r="CH4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123">
        <f>Reinforcements[[#This Row],[Effective Length Factor Kx]]*Reinforcements[[#This Row],[Lu (in)]]/(Reinforcements[[#This Row],[rx]]*PI())*SQRT(VLOOKUP(Reinforcements[[#This Row],[Material]],Materials[],2,FALSE)/29000)</f>
        <v>0.35178336003688249</v>
      </c>
      <c r="CK46" s="123">
        <f>Reinforcements[[#This Row],[Effective Length Factor Ky]]*Reinforcements[[#This Row],[Lu (in)]]/(Reinforcements[[#This Row],[ry]]*PI())*SQRT(VLOOKUP(Reinforcements[[#This Row],[Material]],Materials[],2,FALSE)/29000)</f>
        <v>0.14140907812532891</v>
      </c>
      <c r="CL46" s="123">
        <f>IF(Reinforcements[[#This Row],[λcx]]&lt;=1.5,0.658^(Reinforcements[[#This Row],[λcx]]^2)*Reinforcements[[#This Row],[F''y]],0.877/(Reinforcements[[#This Row],[λcx]]^2)*Reinforcements[[#This Row],[F''y]])</f>
        <v>61.718950490694326</v>
      </c>
      <c r="CM46" s="123">
        <f>IF(Reinforcements[[#This Row],[λcy]]&lt;=1.5,0.658^(Reinforcements[[#This Row],[λcy]]^2)*Reinforcements[[#This Row],[F''y]],0.877/(Reinforcements[[#This Row],[λcy]]^2)*Reinforcements[[#This Row],[F''y]])</f>
        <v>64.458249291662739</v>
      </c>
      <c r="CN46" s="6">
        <f>VLOOKUP(Reinforcements[[#This Row],[Material]],Materials[],2,FALSE)</f>
        <v>65</v>
      </c>
      <c r="CO46" s="126">
        <f>IF(Reinforcements[[#This Row],[Reinforcement]]="","",Reinforcements[[#This Row],[Fax]]*Reinforcements[[#This Row],[Gross Area (in2)]])</f>
        <v>202.43647874068412</v>
      </c>
      <c r="CP46" s="126">
        <f>IF(Reinforcements[[#This Row],[Reinforcement]]="","",Reinforcements[[#This Row],[Fay]]*Reinforcements[[#This Row],[Gross Area (in2)]])</f>
        <v>214.44003814890314</v>
      </c>
      <c r="CQ46" s="126">
        <f>IF(Reinforcements[[#This Row],[Reinforcement]]="","",0.6*VLOOKUP(Reinforcements[[#This Row],[Material]],Materials[],2,FALSE)*Reinforcements[[#This Row],[Gross Area (in2)]])</f>
        <v>220.35000000000002</v>
      </c>
      <c r="CR46" s="126">
        <f>IF(Reinforcements[[#This Row],[Reinforcement]]="","",0.5*VLOOKUP(Reinforcements[[#This Row],[Material]],Materials[],3,FALSE)*Reinforcements[[#This Row],[Net Area (in2)]]*Reinforcements[[#This Row],[Shear Lag (U)]])</f>
        <v>193.90546296296299</v>
      </c>
      <c r="CS46" s="126">
        <f>IF(Reinforcements[[#This Row],[Reinforcement]]="","",0.4*VLOOKUP(Reinforcements[[#This Row],[Material]],Materials[],2,FALSE)*Reinforcements[[#This Row],[Gross Area (in2)]])</f>
        <v>146.9</v>
      </c>
      <c r="CT4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6"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6"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126">
        <f>IF(Reinforcements[[#This Row],[Reinforcement]]="","",φ_c*Reinforcements[[#This Row],[Fcr,x]]*Reinforcements[[#This Row],[Gross Area (in2)]])</f>
        <v>313.84086324518069</v>
      </c>
      <c r="DI46" s="126">
        <f>IF(Reinforcements[[#This Row],[Reinforcement]]="","",φ_c*Reinforcements[[#This Row],[Fcr,y]]*Reinforcements[[#This Row],[Gross Area (in2)]])</f>
        <v>327.77019764810507</v>
      </c>
      <c r="DJ46" s="126">
        <f>IF(Reinforcements[[#This Row],[Reinforcement]]="","",φ_t_y*VLOOKUP(Reinforcements[[#This Row],[Material]],Materials[],2,FALSE)*Reinforcements[[#This Row],[Gross Area (in2)]])</f>
        <v>330.52500000000003</v>
      </c>
      <c r="DK46" s="126">
        <f>IF(Reinforcements[[#This Row],[Reinforcement]]="","",φ_t_r*VLOOKUP(Reinforcements[[#This Row],[Material]],Materials[],3,FALSE)*Reinforcements[[#This Row],[Net Area (in2)]]*Reinforcements[[#This Row],[Shear Lag (U)]])</f>
        <v>290.85819444444445</v>
      </c>
      <c r="DL46" s="126">
        <f>IF(Reinforcements[[#This Row],[Reinforcement]]="","",φ_v*0.5*Reinforcements[[#This Row],[F''y]]*Reinforcements[[#This Row],[Gross Area (in2)]])</f>
        <v>165.26250000000002</v>
      </c>
      <c r="DM4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6"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6"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111">
        <f>IF(OR(Reinforcements[[#This Row],[Type]]="plate",Reinforcements[[#This Row],[Type]]="solid round"),"N/A",Reinforcements[[#This Row],[B (in)]])</f>
        <v>5.33</v>
      </c>
      <c r="EB46" s="6">
        <f>IF(OR(Reinforcements[[#This Row],[Type]]="plate",Reinforcements[[#This Row],[Type]]="solid round"),"N/A",Reinforcements[[#This Row],[H (in)]])</f>
        <v>2.09</v>
      </c>
      <c r="EC46" s="6">
        <f>IF(OR(Reinforcements[[#This Row],[Type]]="plate",Reinforcements[[#This Row],[Type]]="solid round"),"N/A",Reinforcements[[#This Row],[B (in)]]-Reinforcements[[#This Row],['[Channel'] Flange Thickness (in)]])</f>
        <v>4.42</v>
      </c>
      <c r="ED46" s="6">
        <f>IF(OR(Reinforcements[[#This Row],[Type]]="plate",Reinforcements[[#This Row],[Type]]="solid round"),"N/A",Reinforcements[[#This Row],['[Channel']Web Thickness (in)]])</f>
        <v>0.5</v>
      </c>
      <c r="EE46" s="6">
        <f>IF(OR(Reinforcements[[#This Row],[Type]]="plate",Reinforcements[[#This Row],[Type]]="solid round"),"N/A",Reinforcements[[#This Row],['[Channel'] Flange Thickness (in)]])</f>
        <v>0.91</v>
      </c>
      <c r="EF46" s="6">
        <f>IF(Reinforcements[[#This Row],[Type]]="channel",Reinforcements[[#This Row],[Channel Flange Width, b]]/Reinforcements[[#This Row],[Channel flange thickness, tf]],"N/A")</f>
        <v>2.2967032967032965</v>
      </c>
      <c r="EG46" s="6">
        <f>IF(Reinforcements[[#This Row],[Type]]="channel",Reinforcements[[#This Row],[Channel inside depth, T]]/Reinforcements[[#This Row],[Channel web thickness, tw]],"N/A")</f>
        <v>8.84</v>
      </c>
      <c r="EH46" s="6">
        <f>29000</f>
        <v>29000</v>
      </c>
      <c r="EI46" s="6">
        <f>IF(Reinforcements[[#This Row],[Type]]="channel",0.56*SQRT(Reinforcements[[#This Row],[E, (ksi)]]/Reinforcements[[#This Row],[Fy, (ksi)]]),"N/A")</f>
        <v>11.828518341442694</v>
      </c>
      <c r="EJ46" s="6">
        <f>IF(Reinforcements[[#This Row],[Type]]="channel",1.49*SQRT(Reinforcements[[#This Row],[E, (ksi)]]/Reinforcements[[#This Row],[Fy, (ksi)]]),"N/A")</f>
        <v>31.472307729910018</v>
      </c>
      <c r="EK46" s="6">
        <f>VLOOKUP(Reinforcements[[#This Row],[Material]],Materials!$B$2:$C$30,2,FALSE)</f>
        <v>65</v>
      </c>
      <c r="EL46" s="6">
        <f>Reinforcements[[#This Row],[Lu (in)]]*Reinforcements[[#This Row],[Effective Length Factor Kx]]</f>
        <v>14.4</v>
      </c>
      <c r="EM46" s="6">
        <f>Reinforcements[[#This Row],[Lu (in)]]*Reinforcements[[#This Row],[Effective Length Factor Ky]]</f>
        <v>18</v>
      </c>
      <c r="EN46" s="6">
        <f>Reinforcements[[#This Row],[rx]]</f>
        <v>0.61687192629534326</v>
      </c>
      <c r="EO46" s="6">
        <f>Reinforcements[[#This Row],[ry]]</f>
        <v>1.9182403440911973</v>
      </c>
      <c r="EP46" s="6">
        <f>Reinforcements[[#This Row],[Lcx (in)]]/Reinforcements[[#This Row],[rx (in)]]</f>
        <v>23.343581359715877</v>
      </c>
      <c r="EQ46" s="6">
        <f>Reinforcements[[#This Row],[Lcy (in)]]/Reinforcements[[#This Row],[ry (in)]]</f>
        <v>9.3835999516149489</v>
      </c>
      <c r="ER46" s="6">
        <f>((PI()^2)*Reinforcements[[#This Row],[E, (ksi)]])/(Reinforcements[[#This Row],[Lcx/rx]]^2)</f>
        <v>525.24602112005732</v>
      </c>
      <c r="ES46" s="6">
        <f>((PI()^2)*Reinforcements[[#This Row],[E, (ksi)]])/(Reinforcements[[#This Row],[Lcy/ry]]^2)</f>
        <v>3250.5643993558301</v>
      </c>
      <c r="ET46" s="6">
        <f>4.71*(SQRT(Reinforcements[[#This Row],[E, (ksi)]]/Reinforcements[[#This Row],[Fy, (ksi)]]))</f>
        <v>99.486288193205496</v>
      </c>
      <c r="EU46" s="6">
        <f>IF(Reinforcements[[#This Row],[Lcx/rx]]&lt;=Reinforcements[[#This Row],[Fcr Limit]],(0.658^(Reinforcements[[#This Row],[Fy, (ksi)]]/Reinforcements[[#This Row],[Fex, FB (ksi)]]))*Reinforcements[[#This Row],[Fy, (ksi)]],0.877*Reinforcements[[#This Row],[Fex, FB (ksi)]])</f>
        <v>61.718950490694326</v>
      </c>
      <c r="EV46" s="6">
        <f>IF(Reinforcements[[#This Row],[Lcy/ry]]&lt;=Reinforcements[[#This Row],[Fcr Limit]],(0.658^(Reinforcements[[#This Row],[Fy, (ksi)]]/Reinforcements[[#This Row],[Fey, FB (ksi)]]))*Reinforcements[[#This Row],[Fy, (ksi)]],0.877*Reinforcements[[#This Row],[Fey, FB (ksi)]])</f>
        <v>64.458249291662739</v>
      </c>
      <c r="EW46" s="6">
        <f>Reinforcements[[#This Row],[Fcrx (ksi)]]*Reinforcements[[#This Row],[Gross Area (in2)]]</f>
        <v>348.71207027242298</v>
      </c>
      <c r="EX46" s="6">
        <f>Reinforcements[[#This Row],[Fcry (ksi)]]*Reinforcements[[#This Row],[Gross Area (in2)]]</f>
        <v>364.18910849789449</v>
      </c>
      <c r="EY46" s="6">
        <f>IF(Reinforcements[[#This Row],[Type]]="channel",0,"N/A")</f>
        <v>0</v>
      </c>
      <c r="EZ46" s="6">
        <f>IF(Reinforcements[[#This Row],[Type]]="channel",Reinforcements[[#This Row],[Channel Flange Width, b]]-(0.5*Reinforcements[[#This Row],[Channel web thickness, tw]]),"N/A")</f>
        <v>1.8399999999999999</v>
      </c>
      <c r="FA46" s="6">
        <f>IF(Reinforcements[[#This Row],[Type]]="channel",Reinforcements[[#This Row],[Channel Height, h]]-Reinforcements[[#This Row],[Channel flange thickness, tf]],"N/A")</f>
        <v>4.42</v>
      </c>
      <c r="FB46" s="6">
        <f>IF(Reinforcements[[#This Row],[Type]]="channel",Reinforcements[[#This Row],[Channel web thickness, tw]],"N/A")</f>
        <v>0.5</v>
      </c>
      <c r="FC46" s="6">
        <f>IF(Reinforcements[[#This Row],[Type]]="channel",((3*Reinforcements[[#This Row],[b]]^2)/(Reinforcements[[#This Row],[h]]+(6*Reinforcements[[#This Row],[b]])))-Reinforcements[[#This Row],[t]]/2,"N/A")</f>
        <v>0.40697283311772303</v>
      </c>
      <c r="FD46" s="6">
        <f>Reinforcements[[#This Row],[Pole Face to Centroid (in)]]</f>
        <v>0.79</v>
      </c>
      <c r="FE46" s="6">
        <f>IF(Reinforcements[[#This Row],[Type]]="channel",Reinforcements[[#This Row],[x(bar)]]+Reinforcements[[#This Row],['[Channel'] e0 (in)]],"N/A")</f>
        <v>1.196972833117723</v>
      </c>
      <c r="FF46" s="6">
        <f>IF(Reinforcements[[#This Row],[Type]]="channel",Reinforcements[[#This Row],[Ix]],"N/A")</f>
        <v>2.15</v>
      </c>
      <c r="FG46" s="6">
        <f>IF(Reinforcements[[#This Row],[Type]]="channel",Reinforcements[[#This Row],[Iy]],"N/A")</f>
        <v>20.79</v>
      </c>
      <c r="FH46" s="6">
        <f>IF(Reinforcements[[#This Row],[Type]]="channel",Reinforcements[[#This Row],[Gross Area (in2)]],"N/A")</f>
        <v>5.65</v>
      </c>
      <c r="FI46" s="6">
        <f>IF(Reinforcements[[#This Row],[Type]]="channel",(Reinforcements[[#This Row],[xo]]^2)+((Reinforcements[[#This Row],[Ix (FTB)]]+Reinforcements[[#This Row],[Iy (FTB)]])/Reinforcements[[#This Row],[Ag]]),"N/A")</f>
        <v>5.4929209543723099</v>
      </c>
      <c r="FJ46" s="6">
        <f>IF(Reinforcements[[#This Row],[Type]]="channel",Reinforcements[[#This Row],[Lu (in)]],"N/A")</f>
        <v>18</v>
      </c>
      <c r="FK46" s="6">
        <f>IF(Reinforcements[[#This Row],[Type]]="channel",Reinforcements[[#This Row],[Effective Length Factor Kx]],"N/A")</f>
        <v>0.8</v>
      </c>
      <c r="FL46" s="6">
        <f>IF(Reinforcements[[#This Row],[Type]]="channel",Reinforcements[[#This Row],[Kz]]*Reinforcements[[#This Row],[Lz]],"N/A")</f>
        <v>14.4</v>
      </c>
      <c r="FM46" s="6">
        <f>IF(Reinforcements[[#This Row],[Type]]="channel",(((Reinforcements[[#This Row],[t]]^3)/3)*(Reinforcements[[#This Row],[h]]+(2*Reinforcements[[#This Row],[b]]))),"N/A")</f>
        <v>0.33749999999999997</v>
      </c>
      <c r="FN46" s="6">
        <f>IF(Reinforcements[[#This Row],[Type]]="channel",(1-(((Reinforcements[[#This Row],[xo]]^2)+(Reinforcements[[#This Row],[yo]]^2))/Reinforcements[[#This Row],[ro^2(bar)]])),"N/A")</f>
        <v>0.73916537756083711</v>
      </c>
      <c r="FO46" s="6">
        <v>11200</v>
      </c>
      <c r="FP46" s="6">
        <f>IF(Reinforcements[[#This Row],[Type]]="channel",(((Reinforcements[[#This Row],[h]]^2)*(Reinforcements[[#This Row],[b]]^3)*Reinforcements[[#This Row],[t]])/12)*(((2*Reinforcements[[#This Row],[h]])+(3*Reinforcements[[#This Row],[b]]))/(Reinforcements[[#This Row],[h]]+(6*Reinforcements[[#This Row],[b]]))),"N/A")</f>
        <v>4.7101172292443287</v>
      </c>
      <c r="FQ46" s="6">
        <f>IF(Reinforcements[[#This Row],[Type]]="Channel",((((PI()^2)*Reinforcements[[#This Row],[E, (ksi)]]*Reinforcements[[#This Row],['[Channel'] CW (in6)]])/(Reinforcements[[#This Row],[Lcz]]^2))+(Reinforcements[[#This Row],[G]]*Reinforcements[[#This Row],['[Channel'] J (in4)]]))*(1/(Reinforcements[[#This Row],[Ag]]*Reinforcements[[#This Row],[ro^2(bar)]])),"N/A")</f>
        <v>331.2828347456005</v>
      </c>
      <c r="FR46" s="6">
        <f>IF(Reinforcements[[#This Row],[Type]]="channel",((PI()^2)*Reinforcements[[#This Row],[E, (ksi)]])/(Reinforcements[[#This Row],[Lcy/ry]]^2),"N/A")</f>
        <v>3250.5643993558301</v>
      </c>
      <c r="FS46" s="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6">
        <f>IF(Reinforcements[[#This Row],[Type]]="channel",MIN(Reinforcements[[#This Row],[Fcr(FTB)]],Reinforcements[[#This Row],[Fcry (ksi)]]),"N/A")</f>
        <v>59.734467790463988</v>
      </c>
      <c r="FV46" s="6">
        <v>0.22</v>
      </c>
      <c r="FW46" s="6">
        <v>1.49</v>
      </c>
      <c r="FX46" s="6">
        <f>IF(Reinforcements[[#This Row],[Type]]="channel",((Reinforcements[[#This Row],[c2]]*(Reinforcements[[#This Row],[λrf]]/Reinforcements[[#This Row],[λf]]))^2)*Reinforcements[[#This Row],[Fy, (ksi)]],"N/A")</f>
        <v>3827.6903843923005</v>
      </c>
      <c r="FY46" s="6">
        <f>IF(Reinforcements[[#This Row],[Type]]="channel",((Reinforcements[[#This Row],[c2]]*(Reinforcements[[#This Row],[λrw]]/Reinforcements[[#This Row],[λw]]))^2)*Reinforcements[[#This Row],[Fy, (ksi)]],"N/A")</f>
        <v>1829.1045982115434</v>
      </c>
      <c r="FZ46"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6">
        <f>IF(Reinforcements[[#This Row],[Type]]="channel",Reinforcements[[#This Row],[Fcr]]*Reinforcements[[#This Row],[Ae]],"N/A")</f>
        <v>337.49974301612156</v>
      </c>
      <c r="GD46">
        <f>IF(Reinforcements[[#This Row],[Reinforcement]]="","",φ_c*Reinforcements[[#This Row],[Pnx, FB (kip)]])</f>
        <v>313.84086324518069</v>
      </c>
      <c r="GE46">
        <f>IF(Reinforcements[[#This Row],[Reinforcement]]="","",IF(Reinforcements[[#This Row],[Type]]="channel",φ_c*Reinforcements[[#This Row],[Pn]],φ_c*Reinforcements[[#This Row],[Pny, FB (kip)]]))</f>
        <v>303.7497687145094</v>
      </c>
      <c r="GF46">
        <f>Reinforcements[[#This Row],[Rev. G Tension Yield Capacity (kips)]]</f>
        <v>330.52500000000003</v>
      </c>
      <c r="GG46">
        <f>Reinforcements[[#This Row],[Rev. G Tension Rupture Capacity (kips)]]</f>
        <v>290.85819444444445</v>
      </c>
      <c r="GH46">
        <f>Reinforcements[[#This Row],[Rev. G Shear Capacity (kips)]]</f>
        <v>165.26250000000002</v>
      </c>
      <c r="GI46">
        <f>IFERROR((Reinforcements[[#This Row],['# of End Connection Bolts          (Bottom)]]-1)*Reinforcements[[#This Row],[End Connection Bolt Spacing (in) (B)]],"-")</f>
        <v>27</v>
      </c>
      <c r="GJ46">
        <f>IFERROR(IF(VLOOKUP(Reinforcements[[#This Row],[Bottom End Connection Bolt Type]],Bolts[],COLUMN(Bolts[[#Headers],[Rev. H Apply Connection Length Reduction Factor (Rb)?]])-1,FALSE)="Yes",(IF(Reinforcements[[#This Row],[Lb(bottom)]]&lt;=16,1,IF(Reinforcements[[#This Row],[Lb(bottom)]]&gt;38,0.75,0.9))),1),"-")</f>
        <v>1</v>
      </c>
      <c r="GK4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f>IFERROR(IF(Reinforcements[[#This Row],[Top End Connection Same?]]="Yes",Reinforcements[[#This Row],[Lb(bottom)]],(Reinforcements[[#This Row],['# of End Connection Bolts          (Top)]]-1)*Reinforcements[[#This Row],[End Connection Bolt Spacing (in) (T)]]),"-")</f>
        <v>27</v>
      </c>
      <c r="GM46">
        <f>IFERROR(IF(VLOOKUP(Reinforcements[[#This Row],[Top End Connection Bolt Type]],Bolts[],COLUMN(Bolts[[#Headers],[Rev. H Apply Connection Length Reduction Factor (Rb)?]])-1,FALSE)=TRUE,(IF(Reinforcements[[#This Row],[Lb(top)]]&lt;=16,1,IF(Reinforcements[[#This Row],[Lb(top)]]&gt;38,0.75,0.9))),1),"-")</f>
        <v>0.9</v>
      </c>
      <c r="GN4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f>Reinforcements[[#This Row],[Rev. G Bolt-Shaft Bearing Capacity (Bottom)                No Deformation          (*t*Fu kips)]]</f>
        <v>19.238267716535432</v>
      </c>
      <c r="GP46">
        <f>Reinforcements[[#This Row],[Rev. G Bolt-Shaft Bearing Capacity (Bottom)                   Deformation          (*t*Fu kips)]]</f>
        <v>24.04783464566929</v>
      </c>
      <c r="GQ46">
        <f>Reinforcements[[#This Row],[Rev. G Bolt-Shaft Bearing Capacity (Top)                    No Deformation          (*t*Fu kips)]]</f>
        <v>19.238267716535432</v>
      </c>
      <c r="GR46">
        <f>Reinforcements[[#This Row],[Rev. G Bolt-Shaft Bearing Capacity (Top)                        Deformation          (*t*Fu kips)]]</f>
        <v>24.04783464566929</v>
      </c>
      <c r="GS46">
        <f>Reinforcements[[#This Row],[Rev. G Bolt-Reinf. Bearing Capacity (Bottom)            No Deformation (kips)]]</f>
        <v>744.40629921259824</v>
      </c>
      <c r="GT46">
        <f>Reinforcements[[#This Row],[Rev. G Bolt-Reinf. Bearing Capacity (Bottom)               Deformation (kips)]]</f>
        <v>930.50787401574803</v>
      </c>
      <c r="GU46">
        <f>Reinforcements[[#This Row],[Rev. G Bolt-Reinf. Bearing Capacity (Top)                  No Deformation (kips)]]</f>
        <v>744.40629921259824</v>
      </c>
      <c r="GV46">
        <f>Reinforcements[[#This Row],[Rev. G Bolt-Reinf. Bearing Capacity (Top)               Deformation (kips)]]</f>
        <v>930.50787401574803</v>
      </c>
      <c r="GW46" t="str">
        <f>Reinforcements[[#This Row],[Rev. G Bottom Transverse Weld Strength]]</f>
        <v>-</v>
      </c>
      <c r="GX46" t="str">
        <f>Reinforcements[[#This Row],[Rev. G Bottom Longitudinal Weld Strength]]</f>
        <v>-</v>
      </c>
      <c r="GY46" t="str">
        <f>Reinforcements[[#This Row],[Rev. G Top Transverse Weld Strength]]</f>
        <v>-</v>
      </c>
      <c r="GZ46" t="str">
        <f>Reinforcements[[#This Row],[Rev. G Top Longitudinal Weld Strength]]</f>
        <v>-</v>
      </c>
      <c r="HA46">
        <v>44</v>
      </c>
      <c r="HB4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49" t="s">
        <v>405</v>
      </c>
      <c r="C47" s="49" t="s">
        <v>399</v>
      </c>
      <c r="D47" s="6">
        <v>6.89</v>
      </c>
      <c r="E47" s="6">
        <v>2.61</v>
      </c>
      <c r="F47" s="6" t="str">
        <f>IF(Reinforcements[[#This Row],[Type]]="","",IF(Reinforcements[[#This Row],[Type]]="solid round","","n/a"))</f>
        <v>n/a</v>
      </c>
      <c r="G47" s="6">
        <v>0.64</v>
      </c>
      <c r="H47" s="6">
        <v>1.01</v>
      </c>
      <c r="I47" s="126">
        <f>IF(Reinforcements[[#This Row],[Type]]="","",IF(Reinforcements[[#This Row],[Type]]&lt;&gt;"channel","n/a",Reinforcements[[#This Row],[eo]]))</f>
        <v>0.48185015290519889</v>
      </c>
      <c r="J47" s="126">
        <f>IF(Reinforcements[[#This Row],[Type]]="","",IF(Reinforcements[[#This Row],[Type]]&lt;&gt;"channel","n/a",Reinforcements[[#This Row],[J]]))</f>
        <v>0.91400874666666698</v>
      </c>
      <c r="K47" s="126">
        <f>IF(Reinforcements[[#This Row],[Type]]="","",IF(Reinforcements[[#This Row],[Type]]&lt;&gt;"channel","n/a",Reinforcements[[#This Row],[Cw]]))</f>
        <v>21.026823970958091</v>
      </c>
      <c r="L47" s="6">
        <v>8.4700000000000006</v>
      </c>
      <c r="M47" s="6">
        <v>0.93</v>
      </c>
      <c r="N47" s="16" t="s">
        <v>353</v>
      </c>
      <c r="O47" s="6" t="s">
        <v>138</v>
      </c>
      <c r="P47" s="123">
        <v>4.95</v>
      </c>
      <c r="Q47" s="123">
        <f>IF(Reinforcements[[#This Row],[Reinforcement]]="","",SQRT(Reinforcements[[#This Row],[Ix]]/Reinforcements[[#This Row],[Gross Area (in2)]]))</f>
        <v>0.76447078715643835</v>
      </c>
      <c r="R47" s="123">
        <v>52.5</v>
      </c>
      <c r="S47" s="123">
        <f>IF(Reinforcements[[#This Row],[Reinforcement]]="","",SQRT(Reinforcements[[#This Row],[Iy]]/Reinforcements[[#This Row],[Gross Area (in2)]]))</f>
        <v>2.4896479886598457</v>
      </c>
      <c r="T47" s="6">
        <v>24</v>
      </c>
      <c r="U47" s="6">
        <v>0.8</v>
      </c>
      <c r="V47" s="6">
        <v>1</v>
      </c>
      <c r="W47" s="6">
        <v>1.1875</v>
      </c>
      <c r="X47" s="6">
        <f>IF(Reinforcements[[#This Row],[Bolt Hole Size (in)]]="","",IF(Reinforcements[[#This Row],[Bolt Hole Size (in)]]="n/a","n/a",Reinforcements[[#This Row],[Bolt Hole Size (in)]]*25.4))</f>
        <v>30.162499999999998</v>
      </c>
      <c r="Y4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6">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34" t="s">
        <v>354</v>
      </c>
      <c r="AB47" s="34" t="str">
        <f>IF(Reinforcements[[#This Row],[Reinforcement]]="","",IF(Reinforcements[[#This Row],[Bottom End Connection Type]]&lt;&gt;"Capacity Input","-",""))</f>
        <v>-</v>
      </c>
      <c r="AC47" s="34" t="str">
        <f>IF(Reinforcements[[#This Row],[Reinforcement]]="","",IF(Reinforcements[[#This Row],[Bottom End Connection Type]]&lt;&gt;"Capacity Input","-",""))</f>
        <v>-</v>
      </c>
      <c r="AD47" s="16" t="str">
        <f>IF(Reinforcements[[#This Row],[Reinforcement]]="","",IF(Reinforcements[[#This Row],[Bottom End Connection Type]]&lt;&gt;"Capacity Input","-",""))</f>
        <v>-</v>
      </c>
      <c r="AE47" s="74" t="s">
        <v>355</v>
      </c>
      <c r="AF47" s="6" t="s">
        <v>356</v>
      </c>
      <c r="AG47" s="6">
        <v>14</v>
      </c>
      <c r="AH47" s="6">
        <v>3</v>
      </c>
      <c r="AI47" s="6">
        <v>2</v>
      </c>
      <c r="AJ47" s="6">
        <f>Reinforcements[[#This Row],[End Connection Edge Distance (in) (B)]]-(Reinforcements[[#This Row],[Bolt Hole Size (in)]]+1/16)/2</f>
        <v>1.375</v>
      </c>
      <c r="AK47" s="6">
        <f>Reinforcements[[#This Row],[End Connection Bolt Spacing (in) (B)]]-(Reinforcements[[#This Row],[Bolt Hole Size (in)]]+1/16)</f>
        <v>1.75</v>
      </c>
      <c r="AL47" s="6">
        <f>Reinforcements[[#This Row],[End Connection Edge Distance (in) (B)]]</f>
        <v>2</v>
      </c>
      <c r="AM47" s="6">
        <f>Reinforcements[[#This Row],[End Connection Bolt Spacing (in) (B)]]</f>
        <v>3</v>
      </c>
      <c r="AN47" s="6" t="str">
        <f>IF(Reinforcements[[#This Row],[Reinforcement]]="","",IF(OR(Reinforcements[[#This Row],[Bottom End Connection Type]]="Bolted",Reinforcements[[#This Row],[Bottom End Connection Type]]=""),"-",""))</f>
        <v>-</v>
      </c>
      <c r="AO47" s="111" t="str">
        <f>IF(Reinforcements[[#This Row],[Reinforcement]]="","",IF(OR(Reinforcements[[#This Row],[Bottom End Connection Type]]="Bolted",Reinforcements[[#This Row],[Bottom End Connection Type]]=""),"-",""))</f>
        <v>-</v>
      </c>
      <c r="AP47" s="111" t="str">
        <f>IF(Reinforcements[[#This Row],[Reinforcement]]="","",IF(OR(Reinforcements[[#This Row],[Bottom End Connection Type]]="Bolted",Reinforcements[[#This Row],[Bottom End Connection Type]]=""),"-",""))</f>
        <v>-</v>
      </c>
      <c r="AQ47" s="111" t="str">
        <f>IF(OR(Reinforcements[[#This Row],[Bottom End Connection Type]]="Bolted",Reinforcements[[#This Row],[Bottom Transverse (Horizontal) Weld]]="none"),"-","")</f>
        <v>-</v>
      </c>
      <c r="AR4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11" t="str">
        <f>IF(OR(Reinforcements[[#This Row],[Bottom Transverse (Horizontal) Weld]]="none",Reinforcements[[#This Row],[Bottom End Connection Type]]="Bolted"),"-","")</f>
        <v>-</v>
      </c>
      <c r="AU4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11" t="str">
        <f>IF(Reinforcements[[#This Row],[Reinforcement]]="","",IF(OR(Reinforcements[[#This Row],[Bottom End Connection Type]]="Bolted",Reinforcements[[#This Row],[Bottom End Connection Type]]=""),"-",""))</f>
        <v>-</v>
      </c>
      <c r="AW47" s="111" t="str">
        <f>IF(Reinforcements[[#This Row],[Reinforcement]]="","",IF(OR(Reinforcements[[#This Row],[Bottom End Connection Type]]&lt;&gt;"Welded",Reinforcements[[#This Row],[Bottom Longitudinal (Vertical) Weld]]="None",Reinforcements[[#This Row],[Bottom Longitudinal (Vertical) Weld]]=""),"-",""))</f>
        <v>-</v>
      </c>
      <c r="AX47" s="111" t="str">
        <f>IF(Reinforcements[[#This Row],[Reinforcement]]="","",IF(OR(Reinforcements[[#This Row],[Bottom End Connection Type]]&lt;&gt;"Welded",Reinforcements[[#This Row],[Bottom Longitudinal (Vertical) Weld]]="None",Reinforcements[[#This Row],[Bottom Longitudinal (Vertical) Weld]]=""),"-",""))</f>
        <v>-</v>
      </c>
      <c r="AY47" s="6" t="str">
        <f>IF(Reinforcements[[#This Row],[Reinforcement]]="","",IF(OR(Reinforcements[[#This Row],[Bottom End Connection Type]]&lt;&gt;"Welded",Reinforcements[[#This Row],[Bottom Longitudinal (Vertical) Weld]]="None"),"-",SQRT(2)/2*Reinforcements[[#This Row],[Bottom Longitudinal Weld Fillet Size (in)]]))</f>
        <v>-</v>
      </c>
      <c r="AZ47" s="6" t="s">
        <v>357</v>
      </c>
      <c r="BA47" s="16" t="str">
        <f>IF(Reinforcements[[#This Row],[Top End Connection Same?]]="Yes",Reinforcements[[#This Row],[Bottom End Connection Type]],"")</f>
        <v>Bolted</v>
      </c>
      <c r="BB47" s="16" t="str">
        <f>IF(Reinforcements[[#This Row],[Reinforcement]]="","",IF(Reinforcements[[#This Row],[Top End Connection Same?]]="Yes",Reinforcements[[#This Row],[Rev. F Bottom Connection Capacity (kips)]],IF(Reinforcements[[#This Row],[Reinforcement]]="","",IF(Reinforcements[[#This Row],[Top End Connection Type]]&lt;&gt;"Capacity Input","-",""))))</f>
        <v>-</v>
      </c>
      <c r="BC47" s="16" t="str">
        <f>IF(Reinforcements[[#This Row],[Reinforcement]]="","",IF(Reinforcements[[#This Row],[Top End Connection Same?]]="Yes",Reinforcements[[#This Row],[Rev. G Bottom Connection Capacity (kips)]],IF(Reinforcements[[#This Row],[Reinforcement]]="","",IF(Reinforcements[[#This Row],[Top End Connection Type]]&lt;&gt;"Capacity Input","-",""))))</f>
        <v>-</v>
      </c>
      <c r="BD47" s="16" t="str">
        <f>IF(Reinforcements[[#This Row],[Reinforcement]]="","",IF(Reinforcements[[#This Row],[Top End Connection Same?]]="Yes",Reinforcements[[#This Row],[Rev. G Bottom Connection Capacity (kips)]],IF(Reinforcements[[#This Row],[Reinforcement]]="","",IF(Reinforcements[[#This Row],[Top End Connection Type]]&lt;&gt;"Capacity Input","-",""))))</f>
        <v>-</v>
      </c>
      <c r="BE47" s="74" t="str">
        <f>IF(Reinforcements[[#This Row],[Top End Connection Same?]]="Yes",Reinforcements[[#This Row],[Bottom End Connection Bolt Type]],IF(Reinforcements[[#This Row],[Top End Connection Type]]="Welded","-",""))</f>
        <v>PC 8.8 - M20 (100)</v>
      </c>
      <c r="BF47" s="6" t="str">
        <f>IF(Reinforcements[[#This Row],[Top End Connection Same?]]="Yes",Reinforcements[[#This Row],[Threads Included (N) or Excluded (X) (Bottom)]],IF(Reinforcements[[#This Row],[Top End Connection Type]]="Welded","-",""))</f>
        <v>N</v>
      </c>
      <c r="BG47" s="6">
        <f>IF(Reinforcements[[#This Row],[Top End Connection Same?]]="Yes",Reinforcements[[#This Row],['# of End Connection Bolts          (Bottom)]],IF(Reinforcements[[#This Row],[Top End Connection Type]]="Welded","-",""))</f>
        <v>14</v>
      </c>
      <c r="BH47" s="6">
        <f>IF(Reinforcements[[#This Row],[Top End Connection Same?]]="Yes",Reinforcements[[#This Row],[End Connection Bolt Spacing (in) (B)]],IF(Reinforcements[[#This Row],[Top End Connection Type]]="Welded","-",""))</f>
        <v>3</v>
      </c>
      <c r="BI47" s="6">
        <f>IF(Reinforcements[[#This Row],[Top End Connection Same?]]="Yes",Reinforcements[[#This Row],[End Connection Edge Distance (in) (B)]],IF(Reinforcements[[#This Row],[Top End Connection Type]]="Welded","-",""))</f>
        <v>2</v>
      </c>
      <c r="BJ47" s="6">
        <f>Reinforcements[[#This Row],[End Connection Edge Distance (in) (T)]]-(Reinforcements[[#This Row],[Bolt Hole Size (in)]]+1/16)/2</f>
        <v>1.375</v>
      </c>
      <c r="BK47" s="6">
        <f>Reinforcements[[#This Row],[End Connection Bolt Spacing (in) (T)]]-(Reinforcements[[#This Row],[Bolt Hole Size (in)]]+1/16)</f>
        <v>1.75</v>
      </c>
      <c r="BL47" s="6">
        <f>Reinforcements[[#This Row],[End Connection Edge Distance (in) (T)]]</f>
        <v>2</v>
      </c>
      <c r="BM47" s="6">
        <f>Reinforcements[[#This Row],[End Connection Bolt Spacing (in) (T)]]</f>
        <v>3</v>
      </c>
      <c r="BN47" s="6" t="str">
        <f>IF(Reinforcements[[#This Row],[Reinforcement]]="","",IF(Reinforcements[[#This Row],[Top End Connection Same?]]="Yes",Reinforcements[[#This Row],[Bottom Connected to Flange/Base Plate?]],IF(Reinforcements[[#This Row],[Top End Connection Type]]="Bolted","-","")))</f>
        <v>-</v>
      </c>
      <c r="BO47" s="6" t="str">
        <f>IF(Reinforcements[[#This Row],[Reinforcement]]="","",IF(Reinforcements[[#This Row],[Top End Connection Same?]]="Yes",Reinforcements[[#This Row],[Bottom Weld Grade (ksi)]],IF(OR(Reinforcements[[#This Row],[Top End Connection Type]]&lt;&gt;"Welded",Reinforcements[[#This Row],[Top End Connection Type]]=""),"-","")))</f>
        <v>-</v>
      </c>
      <c r="BP47" s="6" t="str">
        <f>IF($AZ47="Yes",AP47,IF(Reinforcements[[#This Row],[Reinforcement]]="","",IF(OR(Reinforcements[[#This Row],[Top End Connection Type]]&lt;&gt;"Welded",Reinforcements[[#This Row],[Top End Connection Type]]=""),"-","")))</f>
        <v>-</v>
      </c>
      <c r="BQ47" s="6" t="str">
        <f>IF(Reinforcements[[#This Row],[Reinforcement]]="","",IF($AZ47="Yes",AQ47,IF(OR(Reinforcements[[#This Row],[Top End Connection Type]]&lt;&gt;"Welded",Reinforcements[[#This Row],[Top Transverse (Horizontal) Weld]]="none",Reinforcements[[#This Row],[Top Transverse (Horizontal) Weld]]=""),"-","")))</f>
        <v>-</v>
      </c>
      <c r="BR47" s="6"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6"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6" t="str">
        <f>IF(Reinforcements[[#This Row],[Reinforcement]]="","",IF($AZ47="Yes",AT47,IF(OR(Reinforcements[[#This Row],[Top Transverse (Horizontal) Weld]]="none",Reinforcements[[#This Row],[Top End Connection Type]]&lt;&gt;"Welded",Reinforcements[[#This Row],[Top Transverse (Horizontal) Weld]]=""),"-","")))</f>
        <v>-</v>
      </c>
      <c r="BU47" s="6"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6" t="str">
        <f>IF($AZ47="Yes",AV47,IF(Reinforcements[[#This Row],[Reinforcement]]="","",IF(OR(Reinforcements[[#This Row],[Top End Connection Type]]&lt;&gt;"Welded",Reinforcements[[#This Row],[Top End Connection Type]]=""),"-","")))</f>
        <v>-</v>
      </c>
      <c r="BW47" s="6"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6"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6" t="str">
        <f>IF($AZ47="Yes",AY47,IF(Reinforcements[[#This Row],[Reinforcement]]="","",IF(OR(Reinforcements[[#This Row],[Top End Connection Type]]&lt;&gt;"Welded",Reinforcements[[#This Row],[Top Longitudinal (Vertical) Weld]]="none"),"-",SQRT(2)/2*Reinforcements[[#This Row],[Top Longitudinal Weld Fillet Size (in)]])))</f>
        <v>-</v>
      </c>
      <c r="BZ47"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111">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111">
        <f>IF(Reinforcements[[#This Row],[Reinforcement]]="","",IF(Reinforcements[[#This Row],[Top End Connection Type]]&lt;&gt;"Bolted","n/a",(Reinforcements[[#This Row],['# of End Connection Bolts          (Top)]]-1)*Reinforcements[[#This Row],[End Connection Bolt Spacing (in) (T)]]+Reinforcements[[#This Row],[End Connection Edge Distance (in) (T)]]))</f>
        <v>41</v>
      </c>
      <c r="CC4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6">
        <f>IFERROR(IF(Reinforcements[[#This Row],[Type]]="","",Reinforcements[[#This Row],[Effective B (in)]]*Reinforcements[[#This Row],[Effective H (in)]]^3/12),"")</f>
        <v>2.4419010000000001</v>
      </c>
      <c r="CF47" s="6">
        <f>IFERROR(IF(Reinforcements[[#This Row],[Type]]="","",Reinforcements[[#This Row],[Effective B (in)]]^3*Reinforcements[[#This Row],[Effective H (in)]]/12),"")</f>
        <v>14.636697474659883</v>
      </c>
      <c r="CG47" s="126">
        <f>SQRT(2*PI()^2*29000/VLOOKUP(Reinforcements[[#This Row],[Material]],Materials[],2,FALSE))</f>
        <v>93.844147005158973</v>
      </c>
      <c r="CH4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123">
        <f>Reinforcements[[#This Row],[Effective Length Factor Kx]]*Reinforcements[[#This Row],[Lu (in)]]/(Reinforcements[[#This Row],[rx]]*PI())*SQRT(VLOOKUP(Reinforcements[[#This Row],[Material]],Materials[],2,FALSE)/29000)</f>
        <v>0.37848453699895773</v>
      </c>
      <c r="CK47" s="123">
        <f>Reinforcements[[#This Row],[Effective Length Factor Ky]]*Reinforcements[[#This Row],[Lu (in)]]/(Reinforcements[[#This Row],[ry]]*PI())*SQRT(VLOOKUP(Reinforcements[[#This Row],[Material]],Materials[],2,FALSE)/29000)</f>
        <v>0.14527172779247122</v>
      </c>
      <c r="CL47" s="123">
        <f>IF(Reinforcements[[#This Row],[λcx]]&lt;=1.5,0.658^(Reinforcements[[#This Row],[λcx]]^2)*Reinforcements[[#This Row],[F''y]],0.877/(Reinforcements[[#This Row],[λcx]]^2)*Reinforcements[[#This Row],[F''y]])</f>
        <v>61.217292364927786</v>
      </c>
      <c r="CM47" s="123">
        <f>IF(Reinforcements[[#This Row],[λcy]]&lt;=1.5,0.658^(Reinforcements[[#This Row],[λcy]]^2)*Reinforcements[[#This Row],[F''y]],0.877/(Reinforcements[[#This Row],[λcy]]^2)*Reinforcements[[#This Row],[F''y]])</f>
        <v>64.428381060059806</v>
      </c>
      <c r="CN47" s="6">
        <f>VLOOKUP(Reinforcements[[#This Row],[Material]],Materials[],2,FALSE)</f>
        <v>65</v>
      </c>
      <c r="CO47" s="126">
        <f>IF(Reinforcements[[#This Row],[Reinforcement]]="","",Reinforcements[[#This Row],[Fax]]*Reinforcements[[#This Row],[Gross Area (in2)]])</f>
        <v>300.81826155929343</v>
      </c>
      <c r="CP47" s="126">
        <f>IF(Reinforcements[[#This Row],[Reinforcement]]="","",Reinforcements[[#This Row],[Fay]]*Reinforcements[[#This Row],[Gross Area (in2)]])</f>
        <v>321.18977247770249</v>
      </c>
      <c r="CQ47" s="126">
        <f>IF(Reinforcements[[#This Row],[Reinforcement]]="","",0.6*VLOOKUP(Reinforcements[[#This Row],[Material]],Materials[],2,FALSE)*Reinforcements[[#This Row],[Gross Area (in2)]])</f>
        <v>330.33000000000004</v>
      </c>
      <c r="CR47" s="126">
        <f>IF(Reinforcements[[#This Row],[Reinforcement]]="","",0.5*VLOOKUP(Reinforcements[[#This Row],[Material]],Materials[],3,FALSE)*Reinforcements[[#This Row],[Net Area (in2)]]*Reinforcements[[#This Row],[Shear Lag (U)]])</f>
        <v>299.48400000000004</v>
      </c>
      <c r="CS47" s="126">
        <f>IF(Reinforcements[[#This Row],[Reinforcement]]="","",0.4*VLOOKUP(Reinforcements[[#This Row],[Material]],Materials[],2,FALSE)*Reinforcements[[#This Row],[Gross Area (in2)]])</f>
        <v>220.22000000000003</v>
      </c>
      <c r="CT47"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6"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6"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126">
        <f>IF(Reinforcements[[#This Row],[Reinforcement]]="","",φ_c*Reinforcements[[#This Row],[Fcr,x]]*Reinforcements[[#This Row],[Gross Area (in2)]])</f>
        <v>466.65941969784456</v>
      </c>
      <c r="DI47" s="126">
        <f>IF(Reinforcements[[#This Row],[Reinforcement]]="","",φ_c*Reinforcements[[#This Row],[Fcr,y]]*Reinforcements[[#This Row],[Gross Area (in2)]])</f>
        <v>491.13754882083595</v>
      </c>
      <c r="DJ47" s="126">
        <f>IF(Reinforcements[[#This Row],[Reinforcement]]="","",φ_t_y*VLOOKUP(Reinforcements[[#This Row],[Material]],Materials[],2,FALSE)*Reinforcements[[#This Row],[Gross Area (in2)]])</f>
        <v>495.49500000000006</v>
      </c>
      <c r="DK47" s="126">
        <f>IF(Reinforcements[[#This Row],[Reinforcement]]="","",φ_t_r*VLOOKUP(Reinforcements[[#This Row],[Material]],Materials[],3,FALSE)*Reinforcements[[#This Row],[Net Area (in2)]]*Reinforcements[[#This Row],[Shear Lag (U)]])</f>
        <v>449.22600000000006</v>
      </c>
      <c r="DL47" s="126">
        <f>IF(Reinforcements[[#This Row],[Reinforcement]]="","",φ_v*0.5*Reinforcements[[#This Row],[F''y]]*Reinforcements[[#This Row],[Gross Area (in2)]])</f>
        <v>247.74750000000003</v>
      </c>
      <c r="DM47"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6"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6"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111">
        <f>IF(OR(Reinforcements[[#This Row],[Type]]="plate",Reinforcements[[#This Row],[Type]]="solid round"),"N/A",Reinforcements[[#This Row],[B (in)]])</f>
        <v>6.89</v>
      </c>
      <c r="EB47" s="6">
        <f>IF(OR(Reinforcements[[#This Row],[Type]]="plate",Reinforcements[[#This Row],[Type]]="solid round"),"N/A",Reinforcements[[#This Row],[H (in)]])</f>
        <v>2.61</v>
      </c>
      <c r="EC47" s="6">
        <f>IF(OR(Reinforcements[[#This Row],[Type]]="plate",Reinforcements[[#This Row],[Type]]="solid round"),"N/A",Reinforcements[[#This Row],[B (in)]]-Reinforcements[[#This Row],['[Channel'] Flange Thickness (in)]])</f>
        <v>5.88</v>
      </c>
      <c r="ED47" s="6">
        <f>IF(OR(Reinforcements[[#This Row],[Type]]="plate",Reinforcements[[#This Row],[Type]]="solid round"),"N/A",Reinforcements[[#This Row],['[Channel']Web Thickness (in)]])</f>
        <v>0.64</v>
      </c>
      <c r="EE47" s="6">
        <f>IF(OR(Reinforcements[[#This Row],[Type]]="plate",Reinforcements[[#This Row],[Type]]="solid round"),"N/A",Reinforcements[[#This Row],['[Channel'] Flange Thickness (in)]])</f>
        <v>1.01</v>
      </c>
      <c r="EF47" s="6">
        <f>IF(Reinforcements[[#This Row],[Type]]="channel",Reinforcements[[#This Row],[Channel Flange Width, b]]/Reinforcements[[#This Row],[Channel flange thickness, tf]],"N/A")</f>
        <v>2.5841584158415842</v>
      </c>
      <c r="EG47" s="6">
        <f>IF(Reinforcements[[#This Row],[Type]]="channel",Reinforcements[[#This Row],[Channel inside depth, T]]/Reinforcements[[#This Row],[Channel web thickness, tw]],"N/A")</f>
        <v>9.1875</v>
      </c>
      <c r="EH47" s="6">
        <f>29000</f>
        <v>29000</v>
      </c>
      <c r="EI47" s="6">
        <f>IF(Reinforcements[[#This Row],[Type]]="channel",0.56*SQRT(Reinforcements[[#This Row],[E, (ksi)]]/Reinforcements[[#This Row],[Fy, (ksi)]]),"N/A")</f>
        <v>11.828518341442694</v>
      </c>
      <c r="EJ47" s="6">
        <f>IF(Reinforcements[[#This Row],[Type]]="channel",1.49*SQRT(Reinforcements[[#This Row],[E, (ksi)]]/Reinforcements[[#This Row],[Fy, (ksi)]]),"N/A")</f>
        <v>31.472307729910018</v>
      </c>
      <c r="EK47" s="6">
        <f>VLOOKUP(Reinforcements[[#This Row],[Material]],Materials!$B$2:$C$30,2,FALSE)</f>
        <v>65</v>
      </c>
      <c r="EL47" s="6">
        <f>Reinforcements[[#This Row],[Lu (in)]]*Reinforcements[[#This Row],[Effective Length Factor Kx]]</f>
        <v>19.200000000000003</v>
      </c>
      <c r="EM47" s="6">
        <f>Reinforcements[[#This Row],[Lu (in)]]*Reinforcements[[#This Row],[Effective Length Factor Ky]]</f>
        <v>24</v>
      </c>
      <c r="EN47" s="6">
        <f>Reinforcements[[#This Row],[rx]]</f>
        <v>0.76447078715643835</v>
      </c>
      <c r="EO47" s="6">
        <f>Reinforcements[[#This Row],[ry]]</f>
        <v>2.4896479886598457</v>
      </c>
      <c r="EP47" s="6">
        <f>Reinforcements[[#This Row],[Lcx (in)]]/Reinforcements[[#This Row],[rx (in)]]</f>
        <v>25.115413594046188</v>
      </c>
      <c r="EQ47" s="6">
        <f>Reinforcements[[#This Row],[Lcy (in)]]/Reinforcements[[#This Row],[ry (in)]]</f>
        <v>9.6399170120909243</v>
      </c>
      <c r="ER47" s="6">
        <f>((PI()^2)*Reinforcements[[#This Row],[E, (ksi)]])/(Reinforcements[[#This Row],[Lcx/rx]]^2)</f>
        <v>453.75045599062645</v>
      </c>
      <c r="ES47" s="6">
        <f>((PI()^2)*Reinforcements[[#This Row],[E, (ksi)]])/(Reinforcements[[#This Row],[Lcy/ry]]^2)</f>
        <v>3080.003095209101</v>
      </c>
      <c r="ET47" s="6">
        <f>4.71*(SQRT(Reinforcements[[#This Row],[E, (ksi)]]/Reinforcements[[#This Row],[Fy, (ksi)]]))</f>
        <v>99.486288193205496</v>
      </c>
      <c r="EU47" s="6">
        <f>IF(Reinforcements[[#This Row],[Lcx/rx]]&lt;=Reinforcements[[#This Row],[Fcr Limit]],(0.658^(Reinforcements[[#This Row],[Fy, (ksi)]]/Reinforcements[[#This Row],[Fex, FB (ksi)]]))*Reinforcements[[#This Row],[Fy, (ksi)]],0.877*Reinforcements[[#This Row],[Fex, FB (ksi)]])</f>
        <v>61.217292364927786</v>
      </c>
      <c r="EV47" s="6">
        <f>IF(Reinforcements[[#This Row],[Lcy/ry]]&lt;=Reinforcements[[#This Row],[Fcr Limit]],(0.658^(Reinforcements[[#This Row],[Fy, (ksi)]]/Reinforcements[[#This Row],[Fey, FB (ksi)]]))*Reinforcements[[#This Row],[Fy, (ksi)]],0.877*Reinforcements[[#This Row],[Fey, FB (ksi)]])</f>
        <v>64.428381060059806</v>
      </c>
      <c r="EW47" s="6">
        <f>Reinforcements[[#This Row],[Fcrx (ksi)]]*Reinforcements[[#This Row],[Gross Area (in2)]]</f>
        <v>518.51046633093836</v>
      </c>
      <c r="EX47" s="6">
        <f>Reinforcements[[#This Row],[Fcry (ksi)]]*Reinforcements[[#This Row],[Gross Area (in2)]]</f>
        <v>545.70838757870661</v>
      </c>
      <c r="EY47" s="6">
        <f>IF(Reinforcements[[#This Row],[Type]]="channel",0,"N/A")</f>
        <v>0</v>
      </c>
      <c r="EZ47" s="6">
        <f>IF(Reinforcements[[#This Row],[Type]]="channel",Reinforcements[[#This Row],[Channel Flange Width, b]]-(0.5*Reinforcements[[#This Row],[Channel web thickness, tw]]),"N/A")</f>
        <v>2.29</v>
      </c>
      <c r="FA47" s="6">
        <f>IF(Reinforcements[[#This Row],[Type]]="channel",Reinforcements[[#This Row],[Channel Height, h]]-Reinforcements[[#This Row],[Channel flange thickness, tf]],"N/A")</f>
        <v>5.88</v>
      </c>
      <c r="FB47" s="6">
        <f>IF(Reinforcements[[#This Row],[Type]]="channel",Reinforcements[[#This Row],[Channel web thickness, tw]],"N/A")</f>
        <v>0.64</v>
      </c>
      <c r="FC47" s="6">
        <f>IF(Reinforcements[[#This Row],[Type]]="channel",((3*Reinforcements[[#This Row],[b]]^2)/(Reinforcements[[#This Row],[h]]+(6*Reinforcements[[#This Row],[b]])))-Reinforcements[[#This Row],[t]]/2,"N/A")</f>
        <v>0.48185015290519889</v>
      </c>
      <c r="FD47" s="6">
        <f>Reinforcements[[#This Row],[Pole Face to Centroid (in)]]</f>
        <v>0.93</v>
      </c>
      <c r="FE47" s="6">
        <f>IF(Reinforcements[[#This Row],[Type]]="channel",Reinforcements[[#This Row],[x(bar)]]+Reinforcements[[#This Row],['[Channel'] e0 (in)]],"N/A")</f>
        <v>1.411850152905199</v>
      </c>
      <c r="FF47" s="6">
        <f>IF(Reinforcements[[#This Row],[Type]]="channel",Reinforcements[[#This Row],[Ix]],"N/A")</f>
        <v>4.95</v>
      </c>
      <c r="FG47" s="6">
        <f>IF(Reinforcements[[#This Row],[Type]]="channel",Reinforcements[[#This Row],[Iy]],"N/A")</f>
        <v>52.5</v>
      </c>
      <c r="FH47" s="6">
        <f>IF(Reinforcements[[#This Row],[Type]]="channel",Reinforcements[[#This Row],[Gross Area (in2)]],"N/A")</f>
        <v>8.4700000000000006</v>
      </c>
      <c r="FI47" s="6">
        <f>IF(Reinforcements[[#This Row],[Type]]="channel",(Reinforcements[[#This Row],[xo]]^2)+((Reinforcements[[#This Row],[Ix (FTB)]]+Reinforcements[[#This Row],[Iy (FTB)]])/Reinforcements[[#This Row],[Ag]]),"N/A")</f>
        <v>8.7760835461120354</v>
      </c>
      <c r="FJ47" s="6">
        <f>IF(Reinforcements[[#This Row],[Type]]="channel",Reinforcements[[#This Row],[Lu (in)]],"N/A")</f>
        <v>24</v>
      </c>
      <c r="FK47" s="6">
        <f>IF(Reinforcements[[#This Row],[Type]]="channel",Reinforcements[[#This Row],[Effective Length Factor Kx]],"N/A")</f>
        <v>0.8</v>
      </c>
      <c r="FL47" s="6">
        <f>IF(Reinforcements[[#This Row],[Type]]="channel",Reinforcements[[#This Row],[Kz]]*Reinforcements[[#This Row],[Lz]],"N/A")</f>
        <v>19.200000000000003</v>
      </c>
      <c r="FM47" s="6">
        <f>IF(Reinforcements[[#This Row],[Type]]="channel",(((Reinforcements[[#This Row],[t]]^3)/3)*(Reinforcements[[#This Row],[h]]+(2*Reinforcements[[#This Row],[b]]))),"N/A")</f>
        <v>0.91400874666666698</v>
      </c>
      <c r="FN47" s="6">
        <f>IF(Reinforcements[[#This Row],[Type]]="channel",(1-(((Reinforcements[[#This Row],[xo]]^2)+(Reinforcements[[#This Row],[yo]]^2))/Reinforcements[[#This Row],[ro^2(bar)]])),"N/A")</f>
        <v>0.77286897466450044</v>
      </c>
      <c r="FO47" s="6">
        <v>11200</v>
      </c>
      <c r="FP47" s="6">
        <f>IF(Reinforcements[[#This Row],[Type]]="channel",(((Reinforcements[[#This Row],[h]]^2)*(Reinforcements[[#This Row],[b]]^3)*Reinforcements[[#This Row],[t]])/12)*(((2*Reinforcements[[#This Row],[h]])+(3*Reinforcements[[#This Row],[b]]))/(Reinforcements[[#This Row],[h]]+(6*Reinforcements[[#This Row],[b]]))),"N/A")</f>
        <v>21.026823970958091</v>
      </c>
      <c r="FQ47" s="6">
        <f>IF(Reinforcements[[#This Row],[Type]]="Channel",((((PI()^2)*Reinforcements[[#This Row],[E, (ksi)]]*Reinforcements[[#This Row],['[Channel'] CW (in6)]])/(Reinforcements[[#This Row],[Lcz]]^2))+(Reinforcements[[#This Row],[G]]*Reinforcements[[#This Row],['[Channel'] J (in4)]]))*(1/(Reinforcements[[#This Row],[Ag]]*Reinforcements[[#This Row],[ro^2(bar)]])),"N/A")</f>
        <v>357.34247419887589</v>
      </c>
      <c r="FR47" s="6">
        <f>IF(Reinforcements[[#This Row],[Type]]="channel",((PI()^2)*Reinforcements[[#This Row],[E, (ksi)]])/(Reinforcements[[#This Row],[Lcy/ry]]^2),"N/A")</f>
        <v>3080.003095209101</v>
      </c>
      <c r="FS47" s="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6">
        <f>IF(Reinforcements[[#This Row],[Type]]="channel",MIN(Reinforcements[[#This Row],[Fcr(FTB)]],Reinforcements[[#This Row],[Fcry (ksi)]]),"N/A")</f>
        <v>60.102765770188284</v>
      </c>
      <c r="FV47" s="6">
        <v>0.22</v>
      </c>
      <c r="FW47" s="6">
        <v>1.49</v>
      </c>
      <c r="FX47" s="6">
        <f>IF(Reinforcements[[#This Row],[Type]]="channel",((Reinforcements[[#This Row],[c2]]*(Reinforcements[[#This Row],[λrf]]/Reinforcements[[#This Row],[λf]]))^2)*Reinforcements[[#This Row],[Fy, (ksi)]],"N/A")</f>
        <v>3023.4885037718186</v>
      </c>
      <c r="FY47" s="6">
        <f>IF(Reinforcements[[#This Row],[Type]]="channel",((Reinforcements[[#This Row],[c2]]*(Reinforcements[[#This Row],[λrw]]/Reinforcements[[#This Row],[λw]]))^2)*Reinforcements[[#This Row],[Fy, (ksi)]],"N/A")</f>
        <v>1693.3563760581239</v>
      </c>
      <c r="FZ47"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6">
        <f>IF(Reinforcements[[#This Row],[Type]]="channel",Reinforcements[[#This Row],[Fcr]]*Reinforcements[[#This Row],[Ae]],"N/A")</f>
        <v>509.07042607349479</v>
      </c>
      <c r="GD47">
        <f>IF(Reinforcements[[#This Row],[Reinforcement]]="","",φ_c*Reinforcements[[#This Row],[Pnx, FB (kip)]])</f>
        <v>466.65941969784456</v>
      </c>
      <c r="GE47">
        <f>IF(Reinforcements[[#This Row],[Reinforcement]]="","",IF(Reinforcements[[#This Row],[Type]]="channel",φ_c*Reinforcements[[#This Row],[Pn]],φ_c*Reinforcements[[#This Row],[Pny, FB (kip)]]))</f>
        <v>458.16338346614532</v>
      </c>
      <c r="GF47">
        <f>Reinforcements[[#This Row],[Rev. G Tension Yield Capacity (kips)]]</f>
        <v>495.49500000000006</v>
      </c>
      <c r="GG47">
        <f>Reinforcements[[#This Row],[Rev. G Tension Rupture Capacity (kips)]]</f>
        <v>449.22600000000006</v>
      </c>
      <c r="GH47">
        <f>Reinforcements[[#This Row],[Rev. G Shear Capacity (kips)]]</f>
        <v>247.74750000000003</v>
      </c>
      <c r="GI47">
        <f>IFERROR((Reinforcements[[#This Row],['# of End Connection Bolts          (Bottom)]]-1)*Reinforcements[[#This Row],[End Connection Bolt Spacing (in) (B)]],"-")</f>
        <v>39</v>
      </c>
      <c r="GJ47">
        <f>IFERROR(IF(VLOOKUP(Reinforcements[[#This Row],[Bottom End Connection Bolt Type]],Bolts[],COLUMN(Bolts[[#Headers],[Rev. H Apply Connection Length Reduction Factor (Rb)?]])-1,FALSE)="Yes",(IF(Reinforcements[[#This Row],[Lb(bottom)]]&lt;=16,1,IF(Reinforcements[[#This Row],[Lb(bottom)]]&gt;38,0.75,0.9))),1),"-")</f>
        <v>1</v>
      </c>
      <c r="GK47">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f>IFERROR(IF(Reinforcements[[#This Row],[Top End Connection Same?]]="Yes",Reinforcements[[#This Row],[Lb(bottom)]],(Reinforcements[[#This Row],['# of End Connection Bolts          (Top)]]-1)*Reinforcements[[#This Row],[End Connection Bolt Spacing (in) (T)]]),"-")</f>
        <v>39</v>
      </c>
      <c r="GM47">
        <f>IFERROR(IF(VLOOKUP(Reinforcements[[#This Row],[Top End Connection Bolt Type]],Bolts[],COLUMN(Bolts[[#Headers],[Rev. H Apply Connection Length Reduction Factor (Rb)?]])-1,FALSE)=TRUE,(IF(Reinforcements[[#This Row],[Lb(top)]]&lt;=16,1,IF(Reinforcements[[#This Row],[Lb(top)]]&gt;38,0.75,0.9))),1),"-")</f>
        <v>0.75</v>
      </c>
      <c r="GN4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f>Reinforcements[[#This Row],[Rev. G Bolt-Shaft Bearing Capacity (Bottom)                No Deformation          (*t*Fu kips)]]</f>
        <v>27.59433070866142</v>
      </c>
      <c r="GP47">
        <f>Reinforcements[[#This Row],[Rev. G Bolt-Shaft Bearing Capacity (Bottom)                   Deformation          (*t*Fu kips)]]</f>
        <v>34.492913385826775</v>
      </c>
      <c r="GQ47">
        <f>Reinforcements[[#This Row],[Rev. G Bolt-Shaft Bearing Capacity (Top)                    No Deformation          (*t*Fu kips)]]</f>
        <v>27.59433070866142</v>
      </c>
      <c r="GR47">
        <f>Reinforcements[[#This Row],[Rev. G Bolt-Shaft Bearing Capacity (Top)                        Deformation          (*t*Fu kips)]]</f>
        <v>34.492913385826775</v>
      </c>
      <c r="GS47">
        <f>Reinforcements[[#This Row],[Rev. G Bolt-Reinf. Bearing Capacity (Bottom)            No Deformation (kips)]]</f>
        <v>1382.2064881889764</v>
      </c>
      <c r="GT47">
        <f>Reinforcements[[#This Row],[Rev. G Bolt-Reinf. Bearing Capacity (Bottom)               Deformation (kips)]]</f>
        <v>1727.7581102362205</v>
      </c>
      <c r="GU47">
        <f>Reinforcements[[#This Row],[Rev. G Bolt-Reinf. Bearing Capacity (Top)                  No Deformation (kips)]]</f>
        <v>1382.2064881889764</v>
      </c>
      <c r="GV47">
        <f>Reinforcements[[#This Row],[Rev. G Bolt-Reinf. Bearing Capacity (Top)               Deformation (kips)]]</f>
        <v>1727.7581102362205</v>
      </c>
      <c r="GW47" t="str">
        <f>Reinforcements[[#This Row],[Rev. G Bottom Transverse Weld Strength]]</f>
        <v>-</v>
      </c>
      <c r="GX47" t="str">
        <f>Reinforcements[[#This Row],[Rev. G Bottom Longitudinal Weld Strength]]</f>
        <v>-</v>
      </c>
      <c r="GY47" t="str">
        <f>Reinforcements[[#This Row],[Rev. G Top Transverse Weld Strength]]</f>
        <v>-</v>
      </c>
      <c r="GZ47" t="str">
        <f>Reinforcements[[#This Row],[Rev. G Top Longitudinal Weld Strength]]</f>
        <v>-</v>
      </c>
      <c r="HA47">
        <v>45</v>
      </c>
      <c r="HB4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49" t="s">
        <v>406</v>
      </c>
      <c r="C48" s="49" t="s">
        <v>399</v>
      </c>
      <c r="D48" s="6">
        <v>6.89</v>
      </c>
      <c r="E48" s="6">
        <v>2.61</v>
      </c>
      <c r="F48" s="6" t="str">
        <f>IF(Reinforcements[[#This Row],[Type]]="","",IF(Reinforcements[[#This Row],[Type]]="solid round","","n/a"))</f>
        <v>n/a</v>
      </c>
      <c r="G48" s="6">
        <v>0.64</v>
      </c>
      <c r="H48" s="6">
        <v>1.01</v>
      </c>
      <c r="I48" s="126">
        <f>IF(Reinforcements[[#This Row],[Type]]="","",IF(Reinforcements[[#This Row],[Type]]&lt;&gt;"channel","n/a",Reinforcements[[#This Row],[eo]]))</f>
        <v>0.48185015290519889</v>
      </c>
      <c r="J48" s="126">
        <f>IF(Reinforcements[[#This Row],[Type]]="","",IF(Reinforcements[[#This Row],[Type]]&lt;&gt;"channel","n/a",Reinforcements[[#This Row],[J]]))</f>
        <v>0.91400874666666698</v>
      </c>
      <c r="K48" s="126">
        <f>IF(Reinforcements[[#This Row],[Type]]="","",IF(Reinforcements[[#This Row],[Type]]&lt;&gt;"channel","n/a",Reinforcements[[#This Row],[Cw]]))</f>
        <v>21.026823970958091</v>
      </c>
      <c r="L48" s="6">
        <v>8.4700000000000006</v>
      </c>
      <c r="M48" s="6">
        <v>0.93</v>
      </c>
      <c r="N48" s="16" t="s">
        <v>353</v>
      </c>
      <c r="O48" s="6" t="s">
        <v>138</v>
      </c>
      <c r="P48" s="123">
        <v>4.95</v>
      </c>
      <c r="Q48" s="123">
        <f>IF(Reinforcements[[#This Row],[Reinforcement]]="","",SQRT(Reinforcements[[#This Row],[Ix]]/Reinforcements[[#This Row],[Gross Area (in2)]]))</f>
        <v>0.76447078715643835</v>
      </c>
      <c r="R48" s="123">
        <v>52.5</v>
      </c>
      <c r="S48" s="123">
        <f>IF(Reinforcements[[#This Row],[Reinforcement]]="","",SQRT(Reinforcements[[#This Row],[Iy]]/Reinforcements[[#This Row],[Gross Area (in2)]]))</f>
        <v>2.4896479886598457</v>
      </c>
      <c r="T48" s="6">
        <v>24</v>
      </c>
      <c r="U48" s="6">
        <v>0.8</v>
      </c>
      <c r="V48" s="6">
        <v>1</v>
      </c>
      <c r="W48" s="6">
        <v>1.25</v>
      </c>
      <c r="X48" s="6">
        <f>IF(Reinforcements[[#This Row],[Bolt Hole Size (in)]]="","",IF(Reinforcements[[#This Row],[Bolt Hole Size (in)]]="n/a","n/a",Reinforcements[[#This Row],[Bolt Hole Size (in)]]*25.4))</f>
        <v>31.75</v>
      </c>
      <c r="Y4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6">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34" t="s">
        <v>354</v>
      </c>
      <c r="AB48" s="34" t="str">
        <f>IF(Reinforcements[[#This Row],[Reinforcement]]="","",IF(Reinforcements[[#This Row],[Bottom End Connection Type]]&lt;&gt;"Capacity Input","-",""))</f>
        <v>-</v>
      </c>
      <c r="AC48" s="34" t="str">
        <f>IF(Reinforcements[[#This Row],[Reinforcement]]="","",IF(Reinforcements[[#This Row],[Bottom End Connection Type]]&lt;&gt;"Capacity Input","-",""))</f>
        <v>-</v>
      </c>
      <c r="AD48" s="16" t="str">
        <f>IF(Reinforcements[[#This Row],[Reinforcement]]="","",IF(Reinforcements[[#This Row],[Bottom End Connection Type]]&lt;&gt;"Capacity Input","-",""))</f>
        <v>-</v>
      </c>
      <c r="AE48" s="74" t="s">
        <v>355</v>
      </c>
      <c r="AF48" s="6" t="s">
        <v>356</v>
      </c>
      <c r="AG48" s="6">
        <v>14</v>
      </c>
      <c r="AH48" s="6">
        <v>3</v>
      </c>
      <c r="AI48" s="6">
        <v>2</v>
      </c>
      <c r="AJ48" s="6">
        <f>Reinforcements[[#This Row],[End Connection Edge Distance (in) (B)]]-(Reinforcements[[#This Row],[Bolt Hole Size (in)]]+1/16)/2</f>
        <v>1.34375</v>
      </c>
      <c r="AK48" s="6">
        <f>Reinforcements[[#This Row],[End Connection Bolt Spacing (in) (B)]]-(Reinforcements[[#This Row],[Bolt Hole Size (in)]]+1/16)</f>
        <v>1.6875</v>
      </c>
      <c r="AL48" s="6">
        <f>Reinforcements[[#This Row],[End Connection Edge Distance (in) (B)]]</f>
        <v>2</v>
      </c>
      <c r="AM48" s="6">
        <f>Reinforcements[[#This Row],[End Connection Bolt Spacing (in) (B)]]</f>
        <v>3</v>
      </c>
      <c r="AN48" s="6" t="str">
        <f>IF(Reinforcements[[#This Row],[Reinforcement]]="","",IF(OR(Reinforcements[[#This Row],[Bottom End Connection Type]]="Bolted",Reinforcements[[#This Row],[Bottom End Connection Type]]=""),"-",""))</f>
        <v>-</v>
      </c>
      <c r="AO48" s="111" t="str">
        <f>IF(Reinforcements[[#This Row],[Reinforcement]]="","",IF(OR(Reinforcements[[#This Row],[Bottom End Connection Type]]="Bolted",Reinforcements[[#This Row],[Bottom End Connection Type]]=""),"-",""))</f>
        <v>-</v>
      </c>
      <c r="AP48" s="111" t="str">
        <f>IF(Reinforcements[[#This Row],[Reinforcement]]="","",IF(OR(Reinforcements[[#This Row],[Bottom End Connection Type]]="Bolted",Reinforcements[[#This Row],[Bottom End Connection Type]]=""),"-",""))</f>
        <v>-</v>
      </c>
      <c r="AQ48" s="111" t="str">
        <f>IF(OR(Reinforcements[[#This Row],[Bottom End Connection Type]]="Bolted",Reinforcements[[#This Row],[Bottom Transverse (Horizontal) Weld]]="none"),"-","")</f>
        <v>-</v>
      </c>
      <c r="AR4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11" t="str">
        <f>IF(OR(Reinforcements[[#This Row],[Bottom Transverse (Horizontal) Weld]]="none",Reinforcements[[#This Row],[Bottom End Connection Type]]="Bolted"),"-","")</f>
        <v>-</v>
      </c>
      <c r="AU4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11" t="str">
        <f>IF(Reinforcements[[#This Row],[Reinforcement]]="","",IF(OR(Reinforcements[[#This Row],[Bottom End Connection Type]]="Bolted",Reinforcements[[#This Row],[Bottom End Connection Type]]=""),"-",""))</f>
        <v>-</v>
      </c>
      <c r="AW48" s="111" t="str">
        <f>IF(Reinforcements[[#This Row],[Reinforcement]]="","",IF(OR(Reinforcements[[#This Row],[Bottom End Connection Type]]&lt;&gt;"Welded",Reinforcements[[#This Row],[Bottom Longitudinal (Vertical) Weld]]="None",Reinforcements[[#This Row],[Bottom Longitudinal (Vertical) Weld]]=""),"-",""))</f>
        <v>-</v>
      </c>
      <c r="AX48" s="111" t="str">
        <f>IF(Reinforcements[[#This Row],[Reinforcement]]="","",IF(OR(Reinforcements[[#This Row],[Bottom End Connection Type]]&lt;&gt;"Welded",Reinforcements[[#This Row],[Bottom Longitudinal (Vertical) Weld]]="None",Reinforcements[[#This Row],[Bottom Longitudinal (Vertical) Weld]]=""),"-",""))</f>
        <v>-</v>
      </c>
      <c r="AY48" s="6" t="str">
        <f>IF(Reinforcements[[#This Row],[Reinforcement]]="","",IF(OR(Reinforcements[[#This Row],[Bottom End Connection Type]]&lt;&gt;"Welded",Reinforcements[[#This Row],[Bottom Longitudinal (Vertical) Weld]]="None"),"-",SQRT(2)/2*Reinforcements[[#This Row],[Bottom Longitudinal Weld Fillet Size (in)]]))</f>
        <v>-</v>
      </c>
      <c r="AZ48" s="111" t="s">
        <v>357</v>
      </c>
      <c r="BA48" s="16" t="str">
        <f>IF(Reinforcements[[#This Row],[Top End Connection Same?]]="Yes",Reinforcements[[#This Row],[Bottom End Connection Type]],"")</f>
        <v>Bolted</v>
      </c>
      <c r="BB48" s="16" t="str">
        <f>IF(Reinforcements[[#This Row],[Reinforcement]]="","",IF(Reinforcements[[#This Row],[Top End Connection Same?]]="Yes",Reinforcements[[#This Row],[Rev. F Bottom Connection Capacity (kips)]],IF(Reinforcements[[#This Row],[Reinforcement]]="","",IF(Reinforcements[[#This Row],[Top End Connection Type]]&lt;&gt;"Capacity Input","-",""))))</f>
        <v>-</v>
      </c>
      <c r="BC48" s="16" t="str">
        <f>IF(Reinforcements[[#This Row],[Reinforcement]]="","",IF(Reinforcements[[#This Row],[Top End Connection Same?]]="Yes",Reinforcements[[#This Row],[Rev. G Bottom Connection Capacity (kips)]],IF(Reinforcements[[#This Row],[Reinforcement]]="","",IF(Reinforcements[[#This Row],[Top End Connection Type]]&lt;&gt;"Capacity Input","-",""))))</f>
        <v>-</v>
      </c>
      <c r="BD48" s="16" t="str">
        <f>IF(Reinforcements[[#This Row],[Reinforcement]]="","",IF(Reinforcements[[#This Row],[Top End Connection Same?]]="Yes",Reinforcements[[#This Row],[Rev. G Bottom Connection Capacity (kips)]],IF(Reinforcements[[#This Row],[Reinforcement]]="","",IF(Reinforcements[[#This Row],[Top End Connection Type]]&lt;&gt;"Capacity Input","-",""))))</f>
        <v>-</v>
      </c>
      <c r="BE48" s="74" t="str">
        <f>IF(Reinforcements[[#This Row],[Top End Connection Same?]]="Yes",Reinforcements[[#This Row],[Bottom End Connection Bolt Type]],IF(Reinforcements[[#This Row],[Top End Connection Type]]="Welded","-",""))</f>
        <v>PC 8.8 - M20 (100)</v>
      </c>
      <c r="BF48" s="6" t="str">
        <f>IF(Reinforcements[[#This Row],[Top End Connection Same?]]="Yes",Reinforcements[[#This Row],[Threads Included (N) or Excluded (X) (Bottom)]],IF(Reinforcements[[#This Row],[Top End Connection Type]]="Welded","-",""))</f>
        <v>N</v>
      </c>
      <c r="BG48" s="6">
        <f>IF(Reinforcements[[#This Row],[Top End Connection Same?]]="Yes",Reinforcements[[#This Row],['# of End Connection Bolts          (Bottom)]],IF(Reinforcements[[#This Row],[Top End Connection Type]]="Welded","-",""))</f>
        <v>14</v>
      </c>
      <c r="BH48" s="6">
        <f>IF(Reinforcements[[#This Row],[Top End Connection Same?]]="Yes",Reinforcements[[#This Row],[End Connection Bolt Spacing (in) (B)]],IF(Reinforcements[[#This Row],[Top End Connection Type]]="Welded","-",""))</f>
        <v>3</v>
      </c>
      <c r="BI48" s="6">
        <f>IF(Reinforcements[[#This Row],[Top End Connection Same?]]="Yes",Reinforcements[[#This Row],[End Connection Edge Distance (in) (B)]],IF(Reinforcements[[#This Row],[Top End Connection Type]]="Welded","-",""))</f>
        <v>2</v>
      </c>
      <c r="BJ48" s="6">
        <f>Reinforcements[[#This Row],[End Connection Edge Distance (in) (T)]]-(Reinforcements[[#This Row],[Bolt Hole Size (in)]]+1/16)/2</f>
        <v>1.34375</v>
      </c>
      <c r="BK48" s="6">
        <f>Reinforcements[[#This Row],[End Connection Bolt Spacing (in) (T)]]-(Reinforcements[[#This Row],[Bolt Hole Size (in)]]+1/16)</f>
        <v>1.6875</v>
      </c>
      <c r="BL48" s="6">
        <f>Reinforcements[[#This Row],[End Connection Edge Distance (in) (T)]]</f>
        <v>2</v>
      </c>
      <c r="BM48" s="6">
        <f>Reinforcements[[#This Row],[End Connection Bolt Spacing (in) (T)]]</f>
        <v>3</v>
      </c>
      <c r="BN48" s="6" t="str">
        <f>IF(Reinforcements[[#This Row],[Reinforcement]]="","",IF(Reinforcements[[#This Row],[Top End Connection Same?]]="Yes",Reinforcements[[#This Row],[Bottom Connected to Flange/Base Plate?]],IF(Reinforcements[[#This Row],[Top End Connection Type]]="Bolted","-","")))</f>
        <v>-</v>
      </c>
      <c r="BO48" s="6" t="str">
        <f>IF(Reinforcements[[#This Row],[Reinforcement]]="","",IF(Reinforcements[[#This Row],[Top End Connection Same?]]="Yes",Reinforcements[[#This Row],[Bottom Weld Grade (ksi)]],IF(OR(Reinforcements[[#This Row],[Top End Connection Type]]&lt;&gt;"Welded",Reinforcements[[#This Row],[Top End Connection Type]]=""),"-","")))</f>
        <v>-</v>
      </c>
      <c r="BP48" s="6" t="str">
        <f>IF($AZ48="Yes",AP48,IF(Reinforcements[[#This Row],[Reinforcement]]="","",IF(OR(Reinforcements[[#This Row],[Top End Connection Type]]&lt;&gt;"Welded",Reinforcements[[#This Row],[Top End Connection Type]]=""),"-","")))</f>
        <v>-</v>
      </c>
      <c r="BQ48" s="6" t="str">
        <f>IF(Reinforcements[[#This Row],[Reinforcement]]="","",IF($AZ48="Yes",AQ48,IF(OR(Reinforcements[[#This Row],[Top End Connection Type]]&lt;&gt;"Welded",Reinforcements[[#This Row],[Top Transverse (Horizontal) Weld]]="none",Reinforcements[[#This Row],[Top Transverse (Horizontal) Weld]]=""),"-","")))</f>
        <v>-</v>
      </c>
      <c r="BR48" s="6"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6"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6" t="str">
        <f>IF(Reinforcements[[#This Row],[Reinforcement]]="","",IF($AZ48="Yes",AT48,IF(OR(Reinforcements[[#This Row],[Top Transverse (Horizontal) Weld]]="none",Reinforcements[[#This Row],[Top End Connection Type]]&lt;&gt;"Welded",Reinforcements[[#This Row],[Top Transverse (Horizontal) Weld]]=""),"-","")))</f>
        <v>-</v>
      </c>
      <c r="BU48" s="6"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6" t="str">
        <f>IF($AZ48="Yes",AV48,IF(Reinforcements[[#This Row],[Reinforcement]]="","",IF(OR(Reinforcements[[#This Row],[Top End Connection Type]]&lt;&gt;"Welded",Reinforcements[[#This Row],[Top End Connection Type]]=""),"-","")))</f>
        <v>-</v>
      </c>
      <c r="BW48" s="6"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6"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6" t="str">
        <f>IF($AZ48="Yes",AY48,IF(Reinforcements[[#This Row],[Reinforcement]]="","",IF(OR(Reinforcements[[#This Row],[Top End Connection Type]]&lt;&gt;"Welded",Reinforcements[[#This Row],[Top Longitudinal (Vertical) Weld]]="none"),"-",SQRT(2)/2*Reinforcements[[#This Row],[Top Longitudinal Weld Fillet Size (in)]])))</f>
        <v>-</v>
      </c>
      <c r="BZ48"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111">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111">
        <f>IF(Reinforcements[[#This Row],[Reinforcement]]="","",IF(Reinforcements[[#This Row],[Top End Connection Type]]&lt;&gt;"Bolted","n/a",(Reinforcements[[#This Row],['# of End Connection Bolts          (Top)]]-1)*Reinforcements[[#This Row],[End Connection Bolt Spacing (in) (T)]]+Reinforcements[[#This Row],[End Connection Edge Distance (in) (T)]]))</f>
        <v>41</v>
      </c>
      <c r="CC4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6">
        <f>IFERROR(IF(Reinforcements[[#This Row],[Type]]="","",Reinforcements[[#This Row],[Effective B (in)]]*Reinforcements[[#This Row],[Effective H (in)]]^3/12),"")</f>
        <v>2.4419010000000001</v>
      </c>
      <c r="CF48" s="6">
        <f>IFERROR(IF(Reinforcements[[#This Row],[Type]]="","",Reinforcements[[#This Row],[Effective B (in)]]^3*Reinforcements[[#This Row],[Effective H (in)]]/12),"")</f>
        <v>14.636697474659883</v>
      </c>
      <c r="CG48" s="126">
        <f>SQRT(2*PI()^2*29000/VLOOKUP(Reinforcements[[#This Row],[Material]],Materials[],2,FALSE))</f>
        <v>93.844147005158973</v>
      </c>
      <c r="CH4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123">
        <f>Reinforcements[[#This Row],[Effective Length Factor Kx]]*Reinforcements[[#This Row],[Lu (in)]]/(Reinforcements[[#This Row],[rx]]*PI())*SQRT(VLOOKUP(Reinforcements[[#This Row],[Material]],Materials[],2,FALSE)/29000)</f>
        <v>0.37848453699895773</v>
      </c>
      <c r="CK48" s="123">
        <f>Reinforcements[[#This Row],[Effective Length Factor Ky]]*Reinforcements[[#This Row],[Lu (in)]]/(Reinforcements[[#This Row],[ry]]*PI())*SQRT(VLOOKUP(Reinforcements[[#This Row],[Material]],Materials[],2,FALSE)/29000)</f>
        <v>0.14527172779247122</v>
      </c>
      <c r="CL48" s="123">
        <f>IF(Reinforcements[[#This Row],[λcx]]&lt;=1.5,0.658^(Reinforcements[[#This Row],[λcx]]^2)*Reinforcements[[#This Row],[F''y]],0.877/(Reinforcements[[#This Row],[λcx]]^2)*Reinforcements[[#This Row],[F''y]])</f>
        <v>61.217292364927786</v>
      </c>
      <c r="CM48" s="123">
        <f>IF(Reinforcements[[#This Row],[λcy]]&lt;=1.5,0.658^(Reinforcements[[#This Row],[λcy]]^2)*Reinforcements[[#This Row],[F''y]],0.877/(Reinforcements[[#This Row],[λcy]]^2)*Reinforcements[[#This Row],[F''y]])</f>
        <v>64.428381060059806</v>
      </c>
      <c r="CN48" s="6">
        <f>VLOOKUP(Reinforcements[[#This Row],[Material]],Materials[],2,FALSE)</f>
        <v>65</v>
      </c>
      <c r="CO48" s="126">
        <f>IF(Reinforcements[[#This Row],[Reinforcement]]="","",Reinforcements[[#This Row],[Fax]]*Reinforcements[[#This Row],[Gross Area (in2)]])</f>
        <v>300.81826155929343</v>
      </c>
      <c r="CP48" s="126">
        <f>IF(Reinforcements[[#This Row],[Reinforcement]]="","",Reinforcements[[#This Row],[Fay]]*Reinforcements[[#This Row],[Gross Area (in2)]])</f>
        <v>321.18977247770249</v>
      </c>
      <c r="CQ48" s="126">
        <f>IF(Reinforcements[[#This Row],[Reinforcement]]="","",0.6*VLOOKUP(Reinforcements[[#This Row],[Material]],Materials[],2,FALSE)*Reinforcements[[#This Row],[Gross Area (in2)]])</f>
        <v>330.33000000000004</v>
      </c>
      <c r="CR48" s="126">
        <f>IF(Reinforcements[[#This Row],[Reinforcement]]="","",0.5*VLOOKUP(Reinforcements[[#This Row],[Material]],Materials[],3,FALSE)*Reinforcements[[#This Row],[Net Area (in2)]]*Reinforcements[[#This Row],[Shear Lag (U)]])</f>
        <v>297.92215384615389</v>
      </c>
      <c r="CS48" s="126">
        <f>IF(Reinforcements[[#This Row],[Reinforcement]]="","",0.4*VLOOKUP(Reinforcements[[#This Row],[Material]],Materials[],2,FALSE)*Reinforcements[[#This Row],[Gross Area (in2)]])</f>
        <v>220.22000000000003</v>
      </c>
      <c r="CT48"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6"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6"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126">
        <f>IF(Reinforcements[[#This Row],[Reinforcement]]="","",φ_c*Reinforcements[[#This Row],[Fcr,x]]*Reinforcements[[#This Row],[Gross Area (in2)]])</f>
        <v>466.65941969784456</v>
      </c>
      <c r="DI48" s="126">
        <f>IF(Reinforcements[[#This Row],[Reinforcement]]="","",φ_c*Reinforcements[[#This Row],[Fcr,y]]*Reinforcements[[#This Row],[Gross Area (in2)]])</f>
        <v>491.13754882083595</v>
      </c>
      <c r="DJ48" s="126">
        <f>IF(Reinforcements[[#This Row],[Reinforcement]]="","",φ_t_y*VLOOKUP(Reinforcements[[#This Row],[Material]],Materials[],2,FALSE)*Reinforcements[[#This Row],[Gross Area (in2)]])</f>
        <v>495.49500000000006</v>
      </c>
      <c r="DK48" s="126">
        <f>IF(Reinforcements[[#This Row],[Reinforcement]]="","",φ_t_r*VLOOKUP(Reinforcements[[#This Row],[Material]],Materials[],3,FALSE)*Reinforcements[[#This Row],[Net Area (in2)]]*Reinforcements[[#This Row],[Shear Lag (U)]])</f>
        <v>446.88323076923081</v>
      </c>
      <c r="DL48" s="126">
        <f>IF(Reinforcements[[#This Row],[Reinforcement]]="","",φ_v*0.5*Reinforcements[[#This Row],[F''y]]*Reinforcements[[#This Row],[Gross Area (in2)]])</f>
        <v>247.74750000000003</v>
      </c>
      <c r="DM48"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6"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6"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111">
        <f>IF(OR(Reinforcements[[#This Row],[Type]]="plate",Reinforcements[[#This Row],[Type]]="solid round"),"N/A",Reinforcements[[#This Row],[B (in)]])</f>
        <v>6.89</v>
      </c>
      <c r="EB48" s="6">
        <f>IF(OR(Reinforcements[[#This Row],[Type]]="plate",Reinforcements[[#This Row],[Type]]="solid round"),"N/A",Reinforcements[[#This Row],[H (in)]])</f>
        <v>2.61</v>
      </c>
      <c r="EC48" s="6">
        <f>IF(OR(Reinforcements[[#This Row],[Type]]="plate",Reinforcements[[#This Row],[Type]]="solid round"),"N/A",Reinforcements[[#This Row],[B (in)]]-Reinforcements[[#This Row],['[Channel'] Flange Thickness (in)]])</f>
        <v>5.88</v>
      </c>
      <c r="ED48" s="6">
        <f>IF(OR(Reinforcements[[#This Row],[Type]]="plate",Reinforcements[[#This Row],[Type]]="solid round"),"N/A",Reinforcements[[#This Row],['[Channel']Web Thickness (in)]])</f>
        <v>0.64</v>
      </c>
      <c r="EE48" s="6">
        <f>IF(OR(Reinforcements[[#This Row],[Type]]="plate",Reinforcements[[#This Row],[Type]]="solid round"),"N/A",Reinforcements[[#This Row],['[Channel'] Flange Thickness (in)]])</f>
        <v>1.01</v>
      </c>
      <c r="EF48" s="6">
        <f>IF(Reinforcements[[#This Row],[Type]]="channel",Reinforcements[[#This Row],[Channel Flange Width, b]]/Reinforcements[[#This Row],[Channel flange thickness, tf]],"N/A")</f>
        <v>2.5841584158415842</v>
      </c>
      <c r="EG48" s="6">
        <f>IF(Reinforcements[[#This Row],[Type]]="channel",Reinforcements[[#This Row],[Channel inside depth, T]]/Reinforcements[[#This Row],[Channel web thickness, tw]],"N/A")</f>
        <v>9.1875</v>
      </c>
      <c r="EH48" s="6">
        <f>29000</f>
        <v>29000</v>
      </c>
      <c r="EI48" s="6">
        <f>IF(Reinforcements[[#This Row],[Type]]="channel",0.56*SQRT(Reinforcements[[#This Row],[E, (ksi)]]/Reinforcements[[#This Row],[Fy, (ksi)]]),"N/A")</f>
        <v>11.828518341442694</v>
      </c>
      <c r="EJ48" s="6">
        <f>IF(Reinforcements[[#This Row],[Type]]="channel",1.49*SQRT(Reinforcements[[#This Row],[E, (ksi)]]/Reinforcements[[#This Row],[Fy, (ksi)]]),"N/A")</f>
        <v>31.472307729910018</v>
      </c>
      <c r="EK48" s="6">
        <f>VLOOKUP(Reinforcements[[#This Row],[Material]],Materials!$B$2:$C$30,2,FALSE)</f>
        <v>65</v>
      </c>
      <c r="EL48" s="6">
        <f>Reinforcements[[#This Row],[Lu (in)]]*Reinforcements[[#This Row],[Effective Length Factor Kx]]</f>
        <v>19.200000000000003</v>
      </c>
      <c r="EM48" s="6">
        <f>Reinforcements[[#This Row],[Lu (in)]]*Reinforcements[[#This Row],[Effective Length Factor Ky]]</f>
        <v>24</v>
      </c>
      <c r="EN48" s="6">
        <f>Reinforcements[[#This Row],[rx]]</f>
        <v>0.76447078715643835</v>
      </c>
      <c r="EO48" s="6">
        <f>Reinforcements[[#This Row],[ry]]</f>
        <v>2.4896479886598457</v>
      </c>
      <c r="EP48" s="6">
        <f>Reinforcements[[#This Row],[Lcx (in)]]/Reinforcements[[#This Row],[rx (in)]]</f>
        <v>25.115413594046188</v>
      </c>
      <c r="EQ48" s="6">
        <f>Reinforcements[[#This Row],[Lcy (in)]]/Reinforcements[[#This Row],[ry (in)]]</f>
        <v>9.6399170120909243</v>
      </c>
      <c r="ER48" s="6">
        <f>((PI()^2)*Reinforcements[[#This Row],[E, (ksi)]])/(Reinforcements[[#This Row],[Lcx/rx]]^2)</f>
        <v>453.75045599062645</v>
      </c>
      <c r="ES48" s="6">
        <f>((PI()^2)*Reinforcements[[#This Row],[E, (ksi)]])/(Reinforcements[[#This Row],[Lcy/ry]]^2)</f>
        <v>3080.003095209101</v>
      </c>
      <c r="ET48" s="6">
        <f>4.71*(SQRT(Reinforcements[[#This Row],[E, (ksi)]]/Reinforcements[[#This Row],[Fy, (ksi)]]))</f>
        <v>99.486288193205496</v>
      </c>
      <c r="EU48" s="6">
        <f>IF(Reinforcements[[#This Row],[Lcx/rx]]&lt;=Reinforcements[[#This Row],[Fcr Limit]],(0.658^(Reinforcements[[#This Row],[Fy, (ksi)]]/Reinforcements[[#This Row],[Fex, FB (ksi)]]))*Reinforcements[[#This Row],[Fy, (ksi)]],0.877*Reinforcements[[#This Row],[Fex, FB (ksi)]])</f>
        <v>61.217292364927786</v>
      </c>
      <c r="EV48" s="6">
        <f>IF(Reinforcements[[#This Row],[Lcy/ry]]&lt;=Reinforcements[[#This Row],[Fcr Limit]],(0.658^(Reinforcements[[#This Row],[Fy, (ksi)]]/Reinforcements[[#This Row],[Fey, FB (ksi)]]))*Reinforcements[[#This Row],[Fy, (ksi)]],0.877*Reinforcements[[#This Row],[Fey, FB (ksi)]])</f>
        <v>64.428381060059806</v>
      </c>
      <c r="EW48" s="6">
        <f>Reinforcements[[#This Row],[Fcrx (ksi)]]*Reinforcements[[#This Row],[Gross Area (in2)]]</f>
        <v>518.51046633093836</v>
      </c>
      <c r="EX48" s="6">
        <f>Reinforcements[[#This Row],[Fcry (ksi)]]*Reinforcements[[#This Row],[Gross Area (in2)]]</f>
        <v>545.70838757870661</v>
      </c>
      <c r="EY48" s="6">
        <f>IF(Reinforcements[[#This Row],[Type]]="channel",0,"N/A")</f>
        <v>0</v>
      </c>
      <c r="EZ48" s="6">
        <f>IF(Reinforcements[[#This Row],[Type]]="channel",Reinforcements[[#This Row],[Channel Flange Width, b]]-(0.5*Reinforcements[[#This Row],[Channel web thickness, tw]]),"N/A")</f>
        <v>2.29</v>
      </c>
      <c r="FA48" s="6">
        <f>IF(Reinforcements[[#This Row],[Type]]="channel",Reinforcements[[#This Row],[Channel Height, h]]-Reinforcements[[#This Row],[Channel flange thickness, tf]],"N/A")</f>
        <v>5.88</v>
      </c>
      <c r="FB48" s="6">
        <f>IF(Reinforcements[[#This Row],[Type]]="channel",Reinforcements[[#This Row],[Channel web thickness, tw]],"N/A")</f>
        <v>0.64</v>
      </c>
      <c r="FC48" s="6">
        <f>IF(Reinforcements[[#This Row],[Type]]="channel",((3*Reinforcements[[#This Row],[b]]^2)/(Reinforcements[[#This Row],[h]]+(6*Reinforcements[[#This Row],[b]])))-Reinforcements[[#This Row],[t]]/2,"N/A")</f>
        <v>0.48185015290519889</v>
      </c>
      <c r="FD48" s="6">
        <f>Reinforcements[[#This Row],[Pole Face to Centroid (in)]]</f>
        <v>0.93</v>
      </c>
      <c r="FE48" s="6">
        <f>IF(Reinforcements[[#This Row],[Type]]="channel",Reinforcements[[#This Row],[x(bar)]]+Reinforcements[[#This Row],['[Channel'] e0 (in)]],"N/A")</f>
        <v>1.411850152905199</v>
      </c>
      <c r="FF48" s="6">
        <f>IF(Reinforcements[[#This Row],[Type]]="channel",Reinforcements[[#This Row],[Ix]],"N/A")</f>
        <v>4.95</v>
      </c>
      <c r="FG48" s="6">
        <f>IF(Reinforcements[[#This Row],[Type]]="channel",Reinforcements[[#This Row],[Iy]],"N/A")</f>
        <v>52.5</v>
      </c>
      <c r="FH48" s="6">
        <f>IF(Reinforcements[[#This Row],[Type]]="channel",Reinforcements[[#This Row],[Gross Area (in2)]],"N/A")</f>
        <v>8.4700000000000006</v>
      </c>
      <c r="FI48" s="6">
        <f>IF(Reinforcements[[#This Row],[Type]]="channel",(Reinforcements[[#This Row],[xo]]^2)+((Reinforcements[[#This Row],[Ix (FTB)]]+Reinforcements[[#This Row],[Iy (FTB)]])/Reinforcements[[#This Row],[Ag]]),"N/A")</f>
        <v>8.7760835461120354</v>
      </c>
      <c r="FJ48" s="6">
        <f>IF(Reinforcements[[#This Row],[Type]]="channel",Reinforcements[[#This Row],[Lu (in)]],"N/A")</f>
        <v>24</v>
      </c>
      <c r="FK48" s="6">
        <f>IF(Reinforcements[[#This Row],[Type]]="channel",Reinforcements[[#This Row],[Effective Length Factor Kx]],"N/A")</f>
        <v>0.8</v>
      </c>
      <c r="FL48" s="6">
        <f>IF(Reinforcements[[#This Row],[Type]]="channel",Reinforcements[[#This Row],[Kz]]*Reinforcements[[#This Row],[Lz]],"N/A")</f>
        <v>19.200000000000003</v>
      </c>
      <c r="FM48" s="6">
        <f>IF(Reinforcements[[#This Row],[Type]]="channel",(((Reinforcements[[#This Row],[t]]^3)/3)*(Reinforcements[[#This Row],[h]]+(2*Reinforcements[[#This Row],[b]]))),"N/A")</f>
        <v>0.91400874666666698</v>
      </c>
      <c r="FN48" s="6">
        <f>IF(Reinforcements[[#This Row],[Type]]="channel",(1-(((Reinforcements[[#This Row],[xo]]^2)+(Reinforcements[[#This Row],[yo]]^2))/Reinforcements[[#This Row],[ro^2(bar)]])),"N/A")</f>
        <v>0.77286897466450044</v>
      </c>
      <c r="FO48" s="6">
        <v>11200</v>
      </c>
      <c r="FP48" s="6">
        <f>IF(Reinforcements[[#This Row],[Type]]="channel",(((Reinforcements[[#This Row],[h]]^2)*(Reinforcements[[#This Row],[b]]^3)*Reinforcements[[#This Row],[t]])/12)*(((2*Reinforcements[[#This Row],[h]])+(3*Reinforcements[[#This Row],[b]]))/(Reinforcements[[#This Row],[h]]+(6*Reinforcements[[#This Row],[b]]))),"N/A")</f>
        <v>21.026823970958091</v>
      </c>
      <c r="FQ48" s="6">
        <f>IF(Reinforcements[[#This Row],[Type]]="Channel",((((PI()^2)*Reinforcements[[#This Row],[E, (ksi)]]*Reinforcements[[#This Row],['[Channel'] CW (in6)]])/(Reinforcements[[#This Row],[Lcz]]^2))+(Reinforcements[[#This Row],[G]]*Reinforcements[[#This Row],['[Channel'] J (in4)]]))*(1/(Reinforcements[[#This Row],[Ag]]*Reinforcements[[#This Row],[ro^2(bar)]])),"N/A")</f>
        <v>357.34247419887589</v>
      </c>
      <c r="FR48" s="6">
        <f>IF(Reinforcements[[#This Row],[Type]]="channel",((PI()^2)*Reinforcements[[#This Row],[E, (ksi)]])/(Reinforcements[[#This Row],[Lcy/ry]]^2),"N/A")</f>
        <v>3080.003095209101</v>
      </c>
      <c r="FS48" s="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6">
        <f>IF(Reinforcements[[#This Row],[Type]]="channel",MIN(Reinforcements[[#This Row],[Fcr(FTB)]],Reinforcements[[#This Row],[Fcry (ksi)]]),"N/A")</f>
        <v>60.102765770188284</v>
      </c>
      <c r="FV48" s="6">
        <v>0.22</v>
      </c>
      <c r="FW48" s="6">
        <v>1.49</v>
      </c>
      <c r="FX48" s="6">
        <f>IF(Reinforcements[[#This Row],[Type]]="channel",((Reinforcements[[#This Row],[c2]]*(Reinforcements[[#This Row],[λrf]]/Reinforcements[[#This Row],[λf]]))^2)*Reinforcements[[#This Row],[Fy, (ksi)]],"N/A")</f>
        <v>3023.4885037718186</v>
      </c>
      <c r="FY48" s="6">
        <f>IF(Reinforcements[[#This Row],[Type]]="channel",((Reinforcements[[#This Row],[c2]]*(Reinforcements[[#This Row],[λrw]]/Reinforcements[[#This Row],[λw]]))^2)*Reinforcements[[#This Row],[Fy, (ksi)]],"N/A")</f>
        <v>1693.3563760581239</v>
      </c>
      <c r="FZ48"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6">
        <f>IF(Reinforcements[[#This Row],[Type]]="channel",Reinforcements[[#This Row],[Fcr]]*Reinforcements[[#This Row],[Ae]],"N/A")</f>
        <v>509.07042607349479</v>
      </c>
      <c r="GD48">
        <f>IF(Reinforcements[[#This Row],[Reinforcement]]="","",φ_c*Reinforcements[[#This Row],[Pnx, FB (kip)]])</f>
        <v>466.65941969784456</v>
      </c>
      <c r="GE48">
        <f>IF(Reinforcements[[#This Row],[Reinforcement]]="","",IF(Reinforcements[[#This Row],[Type]]="channel",φ_c*Reinforcements[[#This Row],[Pn]],φ_c*Reinforcements[[#This Row],[Pny, FB (kip)]]))</f>
        <v>458.16338346614532</v>
      </c>
      <c r="GF48">
        <f>Reinforcements[[#This Row],[Rev. G Tension Yield Capacity (kips)]]</f>
        <v>495.49500000000006</v>
      </c>
      <c r="GG48">
        <f>Reinforcements[[#This Row],[Rev. G Tension Rupture Capacity (kips)]]</f>
        <v>446.88323076923081</v>
      </c>
      <c r="GH48">
        <f>Reinforcements[[#This Row],[Rev. G Shear Capacity (kips)]]</f>
        <v>247.74750000000003</v>
      </c>
      <c r="GI48">
        <f>IFERROR((Reinforcements[[#This Row],['# of End Connection Bolts          (Bottom)]]-1)*Reinforcements[[#This Row],[End Connection Bolt Spacing (in) (B)]],"-")</f>
        <v>39</v>
      </c>
      <c r="GJ48">
        <f>IFERROR(IF(VLOOKUP(Reinforcements[[#This Row],[Bottom End Connection Bolt Type]],Bolts[],COLUMN(Bolts[[#Headers],[Rev. H Apply Connection Length Reduction Factor (Rb)?]])-1,FALSE)="Yes",(IF(Reinforcements[[#This Row],[Lb(bottom)]]&lt;=16,1,IF(Reinforcements[[#This Row],[Lb(bottom)]]&gt;38,0.75,0.9))),1),"-")</f>
        <v>1</v>
      </c>
      <c r="GK48">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f>IFERROR(IF(Reinforcements[[#This Row],[Top End Connection Same?]]="Yes",Reinforcements[[#This Row],[Lb(bottom)]],(Reinforcements[[#This Row],['# of End Connection Bolts          (Top)]]-1)*Reinforcements[[#This Row],[End Connection Bolt Spacing (in) (T)]]),"-")</f>
        <v>39</v>
      </c>
      <c r="GM48">
        <f>IFERROR(IF(VLOOKUP(Reinforcements[[#This Row],[Top End Connection Bolt Type]],Bolts[],COLUMN(Bolts[[#Headers],[Rev. H Apply Connection Length Reduction Factor (Rb)?]])-1,FALSE)=TRUE,(IF(Reinforcements[[#This Row],[Lb(top)]]&lt;=16,1,IF(Reinforcements[[#This Row],[Lb(top)]]&gt;38,0.75,0.9))),1),"-")</f>
        <v>0.75</v>
      </c>
      <c r="GN4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f>Reinforcements[[#This Row],[Rev. G Bolt-Shaft Bearing Capacity (Bottom)                No Deformation          (*t*Fu kips)]]</f>
        <v>26.814330708661416</v>
      </c>
      <c r="GP48">
        <f>Reinforcements[[#This Row],[Rev. G Bolt-Shaft Bearing Capacity (Bottom)                   Deformation          (*t*Fu kips)]]</f>
        <v>33.517913385826773</v>
      </c>
      <c r="GQ48">
        <f>Reinforcements[[#This Row],[Rev. G Bolt-Shaft Bearing Capacity (Top)                    No Deformation          (*t*Fu kips)]]</f>
        <v>26.814330708661416</v>
      </c>
      <c r="GR48">
        <f>Reinforcements[[#This Row],[Rev. G Bolt-Shaft Bearing Capacity (Top)                        Deformation          (*t*Fu kips)]]</f>
        <v>33.517913385826773</v>
      </c>
      <c r="GS48">
        <f>Reinforcements[[#This Row],[Rev. G Bolt-Reinf. Bearing Capacity (Bottom)            No Deformation (kips)]]</f>
        <v>1340.7344881889765</v>
      </c>
      <c r="GT48">
        <f>Reinforcements[[#This Row],[Rev. G Bolt-Reinf. Bearing Capacity (Bottom)               Deformation (kips)]]</f>
        <v>1675.9181102362209</v>
      </c>
      <c r="GU48">
        <f>Reinforcements[[#This Row],[Rev. G Bolt-Reinf. Bearing Capacity (Top)                  No Deformation (kips)]]</f>
        <v>1340.7344881889765</v>
      </c>
      <c r="GV48">
        <f>Reinforcements[[#This Row],[Rev. G Bolt-Reinf. Bearing Capacity (Top)               Deformation (kips)]]</f>
        <v>1675.9181102362209</v>
      </c>
      <c r="GW48" t="str">
        <f>Reinforcements[[#This Row],[Rev. G Bottom Transverse Weld Strength]]</f>
        <v>-</v>
      </c>
      <c r="GX48" t="str">
        <f>Reinforcements[[#This Row],[Rev. G Bottom Longitudinal Weld Strength]]</f>
        <v>-</v>
      </c>
      <c r="GY48" t="str">
        <f>Reinforcements[[#This Row],[Rev. G Top Transverse Weld Strength]]</f>
        <v>-</v>
      </c>
      <c r="GZ48" t="str">
        <f>Reinforcements[[#This Row],[Rev. G Top Longitudinal Weld Strength]]</f>
        <v>-</v>
      </c>
      <c r="HA48">
        <v>46</v>
      </c>
      <c r="HB4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49" t="s">
        <v>407</v>
      </c>
      <c r="C49" s="49" t="s">
        <v>399</v>
      </c>
      <c r="D49" s="111">
        <v>7.93</v>
      </c>
      <c r="E49" s="111">
        <v>2.8</v>
      </c>
      <c r="F49" s="111" t="str">
        <f>IF(Reinforcements[[#This Row],[Type]]="","",IF(Reinforcements[[#This Row],[Type]]="solid round","","n/a"))</f>
        <v>n/a</v>
      </c>
      <c r="G49" s="111">
        <v>0.76</v>
      </c>
      <c r="H49" s="111">
        <v>1.01</v>
      </c>
      <c r="I49" s="124">
        <f>IF(Reinforcements[[#This Row],[Type]]="","",IF(Reinforcements[[#This Row],[Type]]&lt;&gt;"channel","n/a",Reinforcements[[#This Row],[eo]]))</f>
        <v>0.43945895522388057</v>
      </c>
      <c r="J49" s="124">
        <f>IF(Reinforcements[[#This Row],[Type]]="","",IF(Reinforcements[[#This Row],[Type]]&lt;&gt;"channel","n/a",Reinforcements[[#This Row],[J]]))</f>
        <v>1.72078592</v>
      </c>
      <c r="K49" s="124">
        <f>IF(Reinforcements[[#This Row],[Type]]="","",IF(Reinforcements[[#This Row],[Type]]&lt;&gt;"channel","n/a",Reinforcements[[#This Row],[Cw]]))</f>
        <v>42.300773356919613</v>
      </c>
      <c r="L49" s="111">
        <v>10.32</v>
      </c>
      <c r="M49" s="111">
        <v>0.95</v>
      </c>
      <c r="N49" s="34" t="s">
        <v>353</v>
      </c>
      <c r="O49" s="111" t="s">
        <v>138</v>
      </c>
      <c r="P49" s="125">
        <v>6.48</v>
      </c>
      <c r="Q49" s="125">
        <f>IF(Reinforcements[[#This Row],[Reinforcement]]="","",SQRT(Reinforcements[[#This Row],[Ix]]/Reinforcements[[#This Row],[Gross Area (in2)]]))</f>
        <v>0.79240581569306145</v>
      </c>
      <c r="R49" s="125">
        <v>82.29</v>
      </c>
      <c r="S49" s="125">
        <f>IF(Reinforcements[[#This Row],[Reinforcement]]="","",SQRT(Reinforcements[[#This Row],[Iy]]/Reinforcements[[#This Row],[Gross Area (in2)]]))</f>
        <v>2.8237983655534484</v>
      </c>
      <c r="T49" s="111">
        <v>24</v>
      </c>
      <c r="U49" s="111">
        <v>0.8</v>
      </c>
      <c r="V49" s="111">
        <v>1</v>
      </c>
      <c r="W49" s="111">
        <v>1.1875</v>
      </c>
      <c r="X49" s="111">
        <f>IF(Reinforcements[[#This Row],[Bolt Hole Size (in)]]="","",IF(Reinforcements[[#This Row],[Bolt Hole Size (in)]]="n/a","n/a",Reinforcements[[#This Row],[Bolt Hole Size (in)]]*25.4))</f>
        <v>30.162499999999998</v>
      </c>
      <c r="Y49" s="111">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111">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34" t="s">
        <v>354</v>
      </c>
      <c r="AB49" s="34" t="str">
        <f>IF(Reinforcements[[#This Row],[Reinforcement]]="","",IF(Reinforcements[[#This Row],[Bottom End Connection Type]]&lt;&gt;"Capacity Input","-",""))</f>
        <v>-</v>
      </c>
      <c r="AC49" s="34" t="str">
        <f>IF(Reinforcements[[#This Row],[Reinforcement]]="","",IF(Reinforcements[[#This Row],[Bottom End Connection Type]]&lt;&gt;"Capacity Input","-",""))</f>
        <v>-</v>
      </c>
      <c r="AD49" s="16" t="str">
        <f>IF(Reinforcements[[#This Row],[Reinforcement]]="","",IF(Reinforcements[[#This Row],[Bottom End Connection Type]]&lt;&gt;"Capacity Input","-",""))</f>
        <v>-</v>
      </c>
      <c r="AE49" s="128" t="s">
        <v>355</v>
      </c>
      <c r="AF49" s="111" t="s">
        <v>356</v>
      </c>
      <c r="AG49" s="111">
        <v>16</v>
      </c>
      <c r="AH49" s="111">
        <v>3</v>
      </c>
      <c r="AI49" s="111">
        <v>2</v>
      </c>
      <c r="AJ49" s="111">
        <f>Reinforcements[[#This Row],[End Connection Edge Distance (in) (B)]]-(Reinforcements[[#This Row],[Bolt Hole Size (in)]]+1/16)/2</f>
        <v>1.375</v>
      </c>
      <c r="AK49" s="111">
        <f>Reinforcements[[#This Row],[End Connection Bolt Spacing (in) (B)]]-(Reinforcements[[#This Row],[Bolt Hole Size (in)]]+1/16)</f>
        <v>1.75</v>
      </c>
      <c r="AL49" s="111">
        <f>Reinforcements[[#This Row],[End Connection Edge Distance (in) (B)]]</f>
        <v>2</v>
      </c>
      <c r="AM49" s="111">
        <f>Reinforcements[[#This Row],[End Connection Bolt Spacing (in) (B)]]</f>
        <v>3</v>
      </c>
      <c r="AN49" s="111" t="str">
        <f>IF(Reinforcements[[#This Row],[Reinforcement]]="","",IF(OR(Reinforcements[[#This Row],[Bottom End Connection Type]]="Bolted",Reinforcements[[#This Row],[Bottom End Connection Type]]=""),"-",""))</f>
        <v>-</v>
      </c>
      <c r="AO49" s="111" t="str">
        <f>IF(Reinforcements[[#This Row],[Reinforcement]]="","",IF(OR(Reinforcements[[#This Row],[Bottom End Connection Type]]="Bolted",Reinforcements[[#This Row],[Bottom End Connection Type]]=""),"-",""))</f>
        <v>-</v>
      </c>
      <c r="AP49" s="111" t="str">
        <f>IF(Reinforcements[[#This Row],[Reinforcement]]="","",IF(OR(Reinforcements[[#This Row],[Bottom End Connection Type]]="Bolted",Reinforcements[[#This Row],[Bottom End Connection Type]]=""),"-",""))</f>
        <v>-</v>
      </c>
      <c r="AQ49" s="111" t="str">
        <f>IF(OR(Reinforcements[[#This Row],[Bottom End Connection Type]]="Bolted",Reinforcements[[#This Row],[Bottom Transverse (Horizontal) Weld]]="none"),"-","")</f>
        <v>-</v>
      </c>
      <c r="AR49"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111" t="str">
        <f>IF(OR(Reinforcements[[#This Row],[Bottom Transverse (Horizontal) Weld]]="none",Reinforcements[[#This Row],[Bottom End Connection Type]]="Bolted"),"-","")</f>
        <v>-</v>
      </c>
      <c r="AU49"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111" t="str">
        <f>IF(Reinforcements[[#This Row],[Reinforcement]]="","",IF(OR(Reinforcements[[#This Row],[Bottom End Connection Type]]="Bolted",Reinforcements[[#This Row],[Bottom End Connection Type]]=""),"-",""))</f>
        <v>-</v>
      </c>
      <c r="AW49" s="111" t="str">
        <f>IF(Reinforcements[[#This Row],[Reinforcement]]="","",IF(OR(Reinforcements[[#This Row],[Bottom End Connection Type]]&lt;&gt;"Welded",Reinforcements[[#This Row],[Bottom Longitudinal (Vertical) Weld]]="None",Reinforcements[[#This Row],[Bottom Longitudinal (Vertical) Weld]]=""),"-",""))</f>
        <v>-</v>
      </c>
      <c r="AX49" s="111" t="str">
        <f>IF(Reinforcements[[#This Row],[Reinforcement]]="","",IF(OR(Reinforcements[[#This Row],[Bottom End Connection Type]]&lt;&gt;"Welded",Reinforcements[[#This Row],[Bottom Longitudinal (Vertical) Weld]]="None",Reinforcements[[#This Row],[Bottom Longitudinal (Vertical) Weld]]=""),"-",""))</f>
        <v>-</v>
      </c>
      <c r="AY49" s="111" t="str">
        <f>IF(Reinforcements[[#This Row],[Reinforcement]]="","",IF(OR(Reinforcements[[#This Row],[Bottom End Connection Type]]&lt;&gt;"Welded",Reinforcements[[#This Row],[Bottom Longitudinal (Vertical) Weld]]="None"),"-",SQRT(2)/2*Reinforcements[[#This Row],[Bottom Longitudinal Weld Fillet Size (in)]]))</f>
        <v>-</v>
      </c>
      <c r="AZ49" s="111" t="s">
        <v>353</v>
      </c>
      <c r="BA49" s="34" t="s">
        <v>354</v>
      </c>
      <c r="BB49" s="34" t="str">
        <f>IF(Reinforcements[[#This Row],[Reinforcement]]="","",IF(Reinforcements[[#This Row],[Top End Connection Same?]]="Yes",Reinforcements[[#This Row],[Rev. F Bottom Connection Capacity (kips)]],IF(Reinforcements[[#This Row],[Reinforcement]]="","",IF(Reinforcements[[#This Row],[Top End Connection Type]]&lt;&gt;"Capacity Input","-",""))))</f>
        <v>-</v>
      </c>
      <c r="BC49" s="34" t="str">
        <f>IF(Reinforcements[[#This Row],[Reinforcement]]="","",IF(Reinforcements[[#This Row],[Top End Connection Same?]]="Yes",Reinforcements[[#This Row],[Rev. G Bottom Connection Capacity (kips)]],IF(Reinforcements[[#This Row],[Reinforcement]]="","",IF(Reinforcements[[#This Row],[Top End Connection Type]]&lt;&gt;"Capacity Input","-",""))))</f>
        <v>-</v>
      </c>
      <c r="BD49" s="16" t="str">
        <f>IF(Reinforcements[[#This Row],[Reinforcement]]="","",IF(Reinforcements[[#This Row],[Top End Connection Same?]]="Yes",Reinforcements[[#This Row],[Rev. G Bottom Connection Capacity (kips)]],IF(Reinforcements[[#This Row],[Reinforcement]]="","",IF(Reinforcements[[#This Row],[Top End Connection Type]]&lt;&gt;"Capacity Input","-",""))))</f>
        <v>-</v>
      </c>
      <c r="BE49" s="128" t="s">
        <v>355</v>
      </c>
      <c r="BF49" s="111" t="s">
        <v>356</v>
      </c>
      <c r="BG49" s="111">
        <v>15</v>
      </c>
      <c r="BH49" s="111">
        <v>3</v>
      </c>
      <c r="BI49" s="111">
        <v>2</v>
      </c>
      <c r="BJ49" s="111">
        <f>Reinforcements[[#This Row],[End Connection Edge Distance (in) (T)]]-(Reinforcements[[#This Row],[Bolt Hole Size (in)]]+1/16)/2</f>
        <v>1.375</v>
      </c>
      <c r="BK49" s="111">
        <f>Reinforcements[[#This Row],[End Connection Bolt Spacing (in) (T)]]-(Reinforcements[[#This Row],[Bolt Hole Size (in)]]+1/16)</f>
        <v>1.75</v>
      </c>
      <c r="BL49" s="111">
        <f>Reinforcements[[#This Row],[End Connection Edge Distance (in) (T)]]</f>
        <v>2</v>
      </c>
      <c r="BM49" s="111">
        <f>Reinforcements[[#This Row],[End Connection Bolt Spacing (in) (T)]]</f>
        <v>3</v>
      </c>
      <c r="BN49" s="111" t="str">
        <f>IF(Reinforcements[[#This Row],[Reinforcement]]="","",IF(Reinforcements[[#This Row],[Top End Connection Same?]]="Yes",Reinforcements[[#This Row],[Bottom Connected to Flange/Base Plate?]],IF(Reinforcements[[#This Row],[Top End Connection Type]]="Bolted","-","")))</f>
        <v>-</v>
      </c>
      <c r="BO49" s="111" t="str">
        <f>IF(Reinforcements[[#This Row],[Reinforcement]]="","",IF(Reinforcements[[#This Row],[Top End Connection Same?]]="Yes",Reinforcements[[#This Row],[Bottom Weld Grade (ksi)]],IF(OR(Reinforcements[[#This Row],[Top End Connection Type]]&lt;&gt;"Welded",Reinforcements[[#This Row],[Top End Connection Type]]=""),"-","")))</f>
        <v>-</v>
      </c>
      <c r="BP49" s="111" t="str">
        <f>IF($AZ49="Yes",AP49,IF(Reinforcements[[#This Row],[Reinforcement]]="","",IF(OR(Reinforcements[[#This Row],[Top End Connection Type]]&lt;&gt;"Welded",Reinforcements[[#This Row],[Top End Connection Type]]=""),"-","")))</f>
        <v>-</v>
      </c>
      <c r="BQ49" s="111" t="str">
        <f>IF(Reinforcements[[#This Row],[Reinforcement]]="","",IF($AZ49="Yes",AQ49,IF(OR(Reinforcements[[#This Row],[Top End Connection Type]]&lt;&gt;"Welded",Reinforcements[[#This Row],[Top Transverse (Horizontal) Weld]]="none",Reinforcements[[#This Row],[Top Transverse (Horizontal) Weld]]=""),"-","")))</f>
        <v>-</v>
      </c>
      <c r="BR49" s="11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11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111" t="str">
        <f>IF(Reinforcements[[#This Row],[Reinforcement]]="","",IF($AZ49="Yes",AT49,IF(OR(Reinforcements[[#This Row],[Top Transverse (Horizontal) Weld]]="none",Reinforcements[[#This Row],[Top End Connection Type]]&lt;&gt;"Welded",Reinforcements[[#This Row],[Top Transverse (Horizontal) Weld]]=""),"-","")))</f>
        <v>-</v>
      </c>
      <c r="BU49" s="11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111" t="str">
        <f>IF($AZ49="Yes",AV49,IF(Reinforcements[[#This Row],[Reinforcement]]="","",IF(OR(Reinforcements[[#This Row],[Top End Connection Type]]&lt;&gt;"Welded",Reinforcements[[#This Row],[Top End Connection Type]]=""),"-","")))</f>
        <v>-</v>
      </c>
      <c r="BW49" s="11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11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111" t="str">
        <f>IF($AZ49="Yes",AY49,IF(Reinforcements[[#This Row],[Reinforcement]]="","",IF(OR(Reinforcements[[#This Row],[Top End Connection Type]]&lt;&gt;"Welded",Reinforcements[[#This Row],[Top Longitudinal (Vertical) Weld]]="none"),"-",SQRT(2)/2*Reinforcements[[#This Row],[Top Longitudinal Weld Fillet Size (in)]])))</f>
        <v>-</v>
      </c>
      <c r="BZ49"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111">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111">
        <f>IF(Reinforcements[[#This Row],[Reinforcement]]="","",IF(Reinforcements[[#This Row],[Top End Connection Type]]&lt;&gt;"Bolted","n/a",(Reinforcements[[#This Row],['# of End Connection Bolts          (Top)]]-1)*Reinforcements[[#This Row],[End Connection Bolt Spacing (in) (T)]]+Reinforcements[[#This Row],[End Connection Edge Distance (in) (T)]]))</f>
        <v>44</v>
      </c>
      <c r="CC49" s="11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11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111">
        <f>IFERROR(IF(Reinforcements[[#This Row],[Type]]="","",Reinforcements[[#This Row],[Effective B (in)]]*Reinforcements[[#This Row],[Effective H (in)]]^3/12),"")</f>
        <v>3.1045999999999996</v>
      </c>
      <c r="CF49" s="111">
        <f>IFERROR(IF(Reinforcements[[#This Row],[Type]]="","",Reinforcements[[#This Row],[Effective B (in)]]^3*Reinforcements[[#This Row],[Effective H (in)]]/12),"")</f>
        <v>25.371762880886426</v>
      </c>
      <c r="CG49" s="124">
        <f>SQRT(2*PI()^2*29000/VLOOKUP(Reinforcements[[#This Row],[Material]],Materials[],2,FALSE))</f>
        <v>93.844147005158973</v>
      </c>
      <c r="CH49" s="12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12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125">
        <f>Reinforcements[[#This Row],[Effective Length Factor Kx]]*Reinforcements[[#This Row],[Lu (in)]]/(Reinforcements[[#This Row],[rx]]*PI())*SQRT(VLOOKUP(Reinforcements[[#This Row],[Material]],Materials[],2,FALSE)/29000)</f>
        <v>0.36514165620183864</v>
      </c>
      <c r="CK49" s="125">
        <f>Reinforcements[[#This Row],[Effective Length Factor Ky]]*Reinforcements[[#This Row],[Lu (in)]]/(Reinforcements[[#This Row],[ry]]*PI())*SQRT(VLOOKUP(Reinforcements[[#This Row],[Material]],Materials[],2,FALSE)/29000)</f>
        <v>0.12808119351566385</v>
      </c>
      <c r="CL49" s="125">
        <f>IF(Reinforcements[[#This Row],[λcx]]&lt;=1.5,0.658^(Reinforcements[[#This Row],[λcx]]^2)*Reinforcements[[#This Row],[F''y]],0.877/(Reinforcements[[#This Row],[λcx]]^2)*Reinforcements[[#This Row],[F''y]])</f>
        <v>61.472050589001604</v>
      </c>
      <c r="CM49" s="125">
        <f>IF(Reinforcements[[#This Row],[λcy]]&lt;=1.5,0.658^(Reinforcements[[#This Row],[λcy]]^2)*Reinforcements[[#This Row],[F''y]],0.877/(Reinforcements[[#This Row],[λcy]]^2)*Reinforcements[[#This Row],[F''y]])</f>
        <v>64.555223671758839</v>
      </c>
      <c r="CN49" s="111">
        <f>VLOOKUP(Reinforcements[[#This Row],[Material]],Materials[],2,FALSE)</f>
        <v>65</v>
      </c>
      <c r="CO49" s="124">
        <f>IF(Reinforcements[[#This Row],[Reinforcement]]="","",Reinforcements[[#This Row],[Fax]]*Reinforcements[[#This Row],[Gross Area (in2)]])</f>
        <v>368.15242041905793</v>
      </c>
      <c r="CP49" s="124">
        <f>IF(Reinforcements[[#This Row],[Reinforcement]]="","",Reinforcements[[#This Row],[Fay]]*Reinforcements[[#This Row],[Gross Area (in2)]])</f>
        <v>392.84598167282144</v>
      </c>
      <c r="CQ49" s="124">
        <f>IF(Reinforcements[[#This Row],[Reinforcement]]="","",0.6*VLOOKUP(Reinforcements[[#This Row],[Material]],Materials[],2,FALSE)*Reinforcements[[#This Row],[Gross Area (in2)]])</f>
        <v>402.48</v>
      </c>
      <c r="CR49" s="124">
        <f>IF(Reinforcements[[#This Row],[Reinforcement]]="","",0.5*VLOOKUP(Reinforcements[[#This Row],[Material]],Materials[],3,FALSE)*Reinforcements[[#This Row],[Net Area (in2)]]*Reinforcements[[#This Row],[Shear Lag (U)]])</f>
        <v>366.88755555555565</v>
      </c>
      <c r="CS49" s="124">
        <f>IF(Reinforcements[[#This Row],[Reinforcement]]="","",0.4*VLOOKUP(Reinforcements[[#This Row],[Material]],Materials[],2,FALSE)*Reinforcements[[#This Row],[Gross Area (in2)]])</f>
        <v>268.32</v>
      </c>
      <c r="CT49" s="124">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124">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124">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124">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124">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124">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124">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124">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124">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11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11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124">
        <f>IF(Reinforcements[[#This Row],[Reinforcement]]="","",φ_c*Reinforcements[[#This Row],[Fcr,x]]*Reinforcements[[#This Row],[Gross Area (in2)]])</f>
        <v>570.95240587064688</v>
      </c>
      <c r="DI49" s="124">
        <f>IF(Reinforcements[[#This Row],[Reinforcement]]="","",φ_c*Reinforcements[[#This Row],[Fcr,y]]*Reinforcements[[#This Row],[Gross Area (in2)]])</f>
        <v>599.58891746329618</v>
      </c>
      <c r="DJ49" s="124">
        <f>IF(Reinforcements[[#This Row],[Reinforcement]]="","",φ_t_y*VLOOKUP(Reinforcements[[#This Row],[Material]],Materials[],2,FALSE)*Reinforcements[[#This Row],[Gross Area (in2)]])</f>
        <v>603.72</v>
      </c>
      <c r="DK49" s="124">
        <f>IF(Reinforcements[[#This Row],[Reinforcement]]="","",φ_t_r*VLOOKUP(Reinforcements[[#This Row],[Material]],Materials[],3,FALSE)*Reinforcements[[#This Row],[Net Area (in2)]]*Reinforcements[[#This Row],[Shear Lag (U)]])</f>
        <v>550.33133333333342</v>
      </c>
      <c r="DL49" s="124">
        <f>IF(Reinforcements[[#This Row],[Reinforcement]]="","",φ_v*0.5*Reinforcements[[#This Row],[F''y]]*Reinforcements[[#This Row],[Gross Area (in2)]])</f>
        <v>301.86</v>
      </c>
      <c r="DM49" s="124">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124">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124">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124">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124">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124">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124">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124">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124">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124">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11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11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111">
        <f>IF(OR(Reinforcements[[#This Row],[Type]]="plate",Reinforcements[[#This Row],[Type]]="solid round"),"N/A",Reinforcements[[#This Row],[B (in)]])</f>
        <v>7.93</v>
      </c>
      <c r="EB49" s="6">
        <f>IF(OR(Reinforcements[[#This Row],[Type]]="plate",Reinforcements[[#This Row],[Type]]="solid round"),"N/A",Reinforcements[[#This Row],[H (in)]])</f>
        <v>2.8</v>
      </c>
      <c r="EC49" s="6">
        <f>IF(OR(Reinforcements[[#This Row],[Type]]="plate",Reinforcements[[#This Row],[Type]]="solid round"),"N/A",Reinforcements[[#This Row],[B (in)]]-Reinforcements[[#This Row],['[Channel'] Flange Thickness (in)]])</f>
        <v>6.92</v>
      </c>
      <c r="ED49" s="6">
        <f>IF(OR(Reinforcements[[#This Row],[Type]]="plate",Reinforcements[[#This Row],[Type]]="solid round"),"N/A",Reinforcements[[#This Row],['[Channel']Web Thickness (in)]])</f>
        <v>0.76</v>
      </c>
      <c r="EE49" s="6">
        <f>IF(OR(Reinforcements[[#This Row],[Type]]="plate",Reinforcements[[#This Row],[Type]]="solid round"),"N/A",Reinforcements[[#This Row],['[Channel'] Flange Thickness (in)]])</f>
        <v>1.01</v>
      </c>
      <c r="EF49" s="6">
        <f>IF(Reinforcements[[#This Row],[Type]]="channel",Reinforcements[[#This Row],[Channel Flange Width, b]]/Reinforcements[[#This Row],[Channel flange thickness, tf]],"N/A")</f>
        <v>2.7722772277227721</v>
      </c>
      <c r="EG49" s="6">
        <f>IF(Reinforcements[[#This Row],[Type]]="channel",Reinforcements[[#This Row],[Channel inside depth, T]]/Reinforcements[[#This Row],[Channel web thickness, tw]],"N/A")</f>
        <v>9.1052631578947363</v>
      </c>
      <c r="EH49" s="6">
        <f>29000</f>
        <v>29000</v>
      </c>
      <c r="EI49" s="6">
        <f>IF(Reinforcements[[#This Row],[Type]]="channel",0.56*SQRT(Reinforcements[[#This Row],[E, (ksi)]]/Reinforcements[[#This Row],[Fy, (ksi)]]),"N/A")</f>
        <v>11.828518341442694</v>
      </c>
      <c r="EJ49" s="6">
        <f>IF(Reinforcements[[#This Row],[Type]]="channel",1.49*SQRT(Reinforcements[[#This Row],[E, (ksi)]]/Reinforcements[[#This Row],[Fy, (ksi)]]),"N/A")</f>
        <v>31.472307729910018</v>
      </c>
      <c r="EK49" s="6">
        <f>VLOOKUP(Reinforcements[[#This Row],[Material]],Materials!$B$2:$C$30,2,FALSE)</f>
        <v>65</v>
      </c>
      <c r="EL49" s="6">
        <f>Reinforcements[[#This Row],[Lu (in)]]*Reinforcements[[#This Row],[Effective Length Factor Kx]]</f>
        <v>19.200000000000003</v>
      </c>
      <c r="EM49" s="6">
        <f>Reinforcements[[#This Row],[Lu (in)]]*Reinforcements[[#This Row],[Effective Length Factor Ky]]</f>
        <v>24</v>
      </c>
      <c r="EN49" s="6">
        <f>Reinforcements[[#This Row],[rx]]</f>
        <v>0.79240581569306145</v>
      </c>
      <c r="EO49" s="6">
        <f>Reinforcements[[#This Row],[ry]]</f>
        <v>2.8237983655534484</v>
      </c>
      <c r="EP49" s="6">
        <f>Reinforcements[[#This Row],[Lcx (in)]]/Reinforcements[[#This Row],[rx (in)]]</f>
        <v>24.23000894208117</v>
      </c>
      <c r="EQ49" s="6">
        <f>Reinforcements[[#This Row],[Lcy (in)]]/Reinforcements[[#This Row],[ry (in)]]</f>
        <v>8.4991904141484742</v>
      </c>
      <c r="ER49" s="6">
        <f>((PI()^2)*Reinforcements[[#This Row],[E, (ksi)]])/(Reinforcements[[#This Row],[Lcx/rx]]^2)</f>
        <v>487.51793178527771</v>
      </c>
      <c r="ES49" s="6">
        <f>((PI()^2)*Reinforcements[[#This Row],[E, (ksi)]])/(Reinforcements[[#This Row],[Lcy/ry]]^2)</f>
        <v>3962.2568500356074</v>
      </c>
      <c r="ET49" s="6">
        <f>4.71*(SQRT(Reinforcements[[#This Row],[E, (ksi)]]/Reinforcements[[#This Row],[Fy, (ksi)]]))</f>
        <v>99.486288193205496</v>
      </c>
      <c r="EU49" s="6">
        <f>IF(Reinforcements[[#This Row],[Lcx/rx]]&lt;=Reinforcements[[#This Row],[Fcr Limit]],(0.658^(Reinforcements[[#This Row],[Fy, (ksi)]]/Reinforcements[[#This Row],[Fex, FB (ksi)]]))*Reinforcements[[#This Row],[Fy, (ksi)]],0.877*Reinforcements[[#This Row],[Fex, FB (ksi)]])</f>
        <v>61.472050589001604</v>
      </c>
      <c r="EV49" s="6">
        <f>IF(Reinforcements[[#This Row],[Lcy/ry]]&lt;=Reinforcements[[#This Row],[Fcr Limit]],(0.658^(Reinforcements[[#This Row],[Fy, (ksi)]]/Reinforcements[[#This Row],[Fey, FB (ksi)]]))*Reinforcements[[#This Row],[Fy, (ksi)]],0.877*Reinforcements[[#This Row],[Fey, FB (ksi)]])</f>
        <v>64.555223671758839</v>
      </c>
      <c r="EW49" s="6">
        <f>Reinforcements[[#This Row],[Fcrx (ksi)]]*Reinforcements[[#This Row],[Gross Area (in2)]]</f>
        <v>634.39156207849658</v>
      </c>
      <c r="EX49" s="6">
        <f>Reinforcements[[#This Row],[Fcry (ksi)]]*Reinforcements[[#This Row],[Gross Area (in2)]]</f>
        <v>666.20990829255118</v>
      </c>
      <c r="EY49" s="6">
        <f>IF(Reinforcements[[#This Row],[Type]]="channel",0,"N/A")</f>
        <v>0</v>
      </c>
      <c r="EZ49" s="6">
        <f>IF(Reinforcements[[#This Row],[Type]]="channel",Reinforcements[[#This Row],[Channel Flange Width, b]]-(0.5*Reinforcements[[#This Row],[Channel web thickness, tw]]),"N/A")</f>
        <v>2.42</v>
      </c>
      <c r="FA49" s="6">
        <f>IF(Reinforcements[[#This Row],[Type]]="channel",Reinforcements[[#This Row],[Channel Height, h]]-Reinforcements[[#This Row],[Channel flange thickness, tf]],"N/A")</f>
        <v>6.92</v>
      </c>
      <c r="FB49" s="6">
        <f>IF(Reinforcements[[#This Row],[Type]]="channel",Reinforcements[[#This Row],[Channel web thickness, tw]],"N/A")</f>
        <v>0.76</v>
      </c>
      <c r="FC49" s="6">
        <f>IF(Reinforcements[[#This Row],[Type]]="channel",((3*Reinforcements[[#This Row],[b]]^2)/(Reinforcements[[#This Row],[h]]+(6*Reinforcements[[#This Row],[b]])))-Reinforcements[[#This Row],[t]]/2,"N/A")</f>
        <v>0.43945895522388057</v>
      </c>
      <c r="FD49" s="6">
        <f>Reinforcements[[#This Row],[Pole Face to Centroid (in)]]</f>
        <v>0.95</v>
      </c>
      <c r="FE49" s="6">
        <f>IF(Reinforcements[[#This Row],[Type]]="channel",Reinforcements[[#This Row],[x(bar)]]+Reinforcements[[#This Row],['[Channel'] e0 (in)]],"N/A")</f>
        <v>1.3894589552238805</v>
      </c>
      <c r="FF49" s="6">
        <f>IF(Reinforcements[[#This Row],[Type]]="channel",Reinforcements[[#This Row],[Ix]],"N/A")</f>
        <v>6.48</v>
      </c>
      <c r="FG49" s="6">
        <f>IF(Reinforcements[[#This Row],[Type]]="channel",Reinforcements[[#This Row],[Iy]],"N/A")</f>
        <v>82.29</v>
      </c>
      <c r="FH49" s="6">
        <f>IF(Reinforcements[[#This Row],[Type]]="channel",Reinforcements[[#This Row],[Gross Area (in2)]],"N/A")</f>
        <v>10.32</v>
      </c>
      <c r="FI49" s="6">
        <f>IF(Reinforcements[[#This Row],[Type]]="channel",(Reinforcements[[#This Row],[xo]]^2)+((Reinforcements[[#This Row],[Ix (FTB)]]+Reinforcements[[#This Row],[Iy (FTB)]])/Reinforcements[[#This Row],[Ag]]),"N/A")</f>
        <v>10.53234037429835</v>
      </c>
      <c r="FJ49" s="6">
        <f>IF(Reinforcements[[#This Row],[Type]]="channel",Reinforcements[[#This Row],[Lu (in)]],"N/A")</f>
        <v>24</v>
      </c>
      <c r="FK49" s="6">
        <f>IF(Reinforcements[[#This Row],[Type]]="channel",Reinforcements[[#This Row],[Effective Length Factor Kx]],"N/A")</f>
        <v>0.8</v>
      </c>
      <c r="FL49" s="6">
        <f>IF(Reinforcements[[#This Row],[Type]]="channel",Reinforcements[[#This Row],[Kz]]*Reinforcements[[#This Row],[Lz]],"N/A")</f>
        <v>19.200000000000003</v>
      </c>
      <c r="FM49" s="6">
        <f>IF(Reinforcements[[#This Row],[Type]]="channel",(((Reinforcements[[#This Row],[t]]^3)/3)*(Reinforcements[[#This Row],[h]]+(2*Reinforcements[[#This Row],[b]]))),"N/A")</f>
        <v>1.72078592</v>
      </c>
      <c r="FN49" s="6">
        <f>IF(Reinforcements[[#This Row],[Type]]="channel",(1-(((Reinforcements[[#This Row],[xo]]^2)+(Reinforcements[[#This Row],[yo]]^2))/Reinforcements[[#This Row],[ro^2(bar)]])),"N/A")</f>
        <v>0.81669827221279379</v>
      </c>
      <c r="FO49" s="6">
        <v>11200</v>
      </c>
      <c r="FP49" s="6">
        <f>IF(Reinforcements[[#This Row],[Type]]="channel",(((Reinforcements[[#This Row],[h]]^2)*(Reinforcements[[#This Row],[b]]^3)*Reinforcements[[#This Row],[t]])/12)*(((2*Reinforcements[[#This Row],[h]])+(3*Reinforcements[[#This Row],[b]]))/(Reinforcements[[#This Row],[h]]+(6*Reinforcements[[#This Row],[b]]))),"N/A")</f>
        <v>42.300773356919613</v>
      </c>
      <c r="FQ49" s="6">
        <f>IF(Reinforcements[[#This Row],[Type]]="Channel",((((PI()^2)*Reinforcements[[#This Row],[E, (ksi)]]*Reinforcements[[#This Row],['[Channel'] CW (in6)]])/(Reinforcements[[#This Row],[Lcz]]^2))+(Reinforcements[[#This Row],[G]]*Reinforcements[[#This Row],['[Channel'] J (in4)]]))*(1/(Reinforcements[[#This Row],[Ag]]*Reinforcements[[#This Row],[ro^2(bar)]])),"N/A")</f>
        <v>479.47429801329082</v>
      </c>
      <c r="FR49" s="6">
        <f>IF(Reinforcements[[#This Row],[Type]]="channel",((PI()^2)*Reinforcements[[#This Row],[E, (ksi)]])/(Reinforcements[[#This Row],[Lcy/ry]]^2),"N/A")</f>
        <v>3962.2568500356074</v>
      </c>
      <c r="FS49" s="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6">
        <f>IF(Reinforcements[[#This Row],[Type]]="channel",MIN(Reinforcements[[#This Row],[Fcr(FTB)]],Reinforcements[[#This Row],[Fcry (ksi)]]),"N/A")</f>
        <v>61.329040558735421</v>
      </c>
      <c r="FV49" s="6">
        <v>0.22</v>
      </c>
      <c r="FW49" s="6">
        <v>1.49</v>
      </c>
      <c r="FX49" s="6">
        <f>IF(Reinforcements[[#This Row],[Type]]="channel",((Reinforcements[[#This Row],[c2]]*(Reinforcements[[#This Row],[λrf]]/Reinforcements[[#This Row],[λf]]))^2)*Reinforcements[[#This Row],[Fy, (ksi)]],"N/A")</f>
        <v>2627.0798516000018</v>
      </c>
      <c r="FY49" s="6">
        <f>IF(Reinforcements[[#This Row],[Type]]="channel",((Reinforcements[[#This Row],[c2]]*(Reinforcements[[#This Row],[λrw]]/Reinforcements[[#This Row],[λw]]))^2)*Reinforcements[[#This Row],[Fy, (ksi)]],"N/A")</f>
        <v>1724.08259349427</v>
      </c>
      <c r="FZ49"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6">
        <f>IF(Reinforcements[[#This Row],[Type]]="channel",Reinforcements[[#This Row],[Fcr]]*Reinforcements[[#This Row],[Ae]],"N/A")</f>
        <v>632.91569856614956</v>
      </c>
      <c r="GD49">
        <f>IF(Reinforcements[[#This Row],[Reinforcement]]="","",φ_c*Reinforcements[[#This Row],[Pnx, FB (kip)]])</f>
        <v>570.95240587064688</v>
      </c>
      <c r="GE49">
        <f>IF(Reinforcements[[#This Row],[Reinforcement]]="","",IF(Reinforcements[[#This Row],[Type]]="channel",φ_c*Reinforcements[[#This Row],[Pn]],φ_c*Reinforcements[[#This Row],[Pny, FB (kip)]]))</f>
        <v>569.6241287095346</v>
      </c>
      <c r="GF49">
        <f>Reinforcements[[#This Row],[Rev. G Tension Yield Capacity (kips)]]</f>
        <v>603.72</v>
      </c>
      <c r="GG49">
        <f>Reinforcements[[#This Row],[Rev. G Tension Rupture Capacity (kips)]]</f>
        <v>550.33133333333342</v>
      </c>
      <c r="GH49">
        <f>Reinforcements[[#This Row],[Rev. G Shear Capacity (kips)]]</f>
        <v>301.86</v>
      </c>
      <c r="GI49">
        <f>IFERROR((Reinforcements[[#This Row],['# of End Connection Bolts          (Bottom)]]-1)*Reinforcements[[#This Row],[End Connection Bolt Spacing (in) (B)]],"-")</f>
        <v>45</v>
      </c>
      <c r="GJ49">
        <f>IFERROR(IF(VLOOKUP(Reinforcements[[#This Row],[Bottom End Connection Bolt Type]],Bolts[],COLUMN(Bolts[[#Headers],[Rev. H Apply Connection Length Reduction Factor (Rb)?]])-1,FALSE)="Yes",(IF(Reinforcements[[#This Row],[Lb(bottom)]]&lt;=16,1,IF(Reinforcements[[#This Row],[Lb(bottom)]]&gt;38,0.75,0.9))),1),"-")</f>
        <v>1</v>
      </c>
      <c r="GK4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f>IFERROR(IF(Reinforcements[[#This Row],[Top End Connection Same?]]="Yes",Reinforcements[[#This Row],[Lb(bottom)]],(Reinforcements[[#This Row],['# of End Connection Bolts          (Top)]]-1)*Reinforcements[[#This Row],[End Connection Bolt Spacing (in) (T)]]),"-")</f>
        <v>42</v>
      </c>
      <c r="GM49">
        <f>IFERROR(IF(VLOOKUP(Reinforcements[[#This Row],[Top End Connection Bolt Type]],Bolts[],COLUMN(Bolts[[#Headers],[Rev. H Apply Connection Length Reduction Factor (Rb)?]])-1,FALSE)=TRUE,(IF(Reinforcements[[#This Row],[Lb(top)]]&lt;=16,1,IF(Reinforcements[[#This Row],[Lb(top)]]&gt;38,0.75,0.9))),1),"-")</f>
        <v>0.75</v>
      </c>
      <c r="GN4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f>Reinforcements[[#This Row],[Rev. G Bolt-Shaft Bearing Capacity (Bottom)                No Deformation          (*t*Fu kips)]]</f>
        <v>31.50236220472441</v>
      </c>
      <c r="GP49">
        <f>Reinforcements[[#This Row],[Rev. G Bolt-Shaft Bearing Capacity (Bottom)                   Deformation          (*t*Fu kips)]]</f>
        <v>39.377952755905511</v>
      </c>
      <c r="GQ49">
        <f>Reinforcements[[#This Row],[Rev. G Bolt-Shaft Bearing Capacity (Top)                    No Deformation          (*t*Fu kips)]]</f>
        <v>29.548346456692911</v>
      </c>
      <c r="GR49">
        <f>Reinforcements[[#This Row],[Rev. G Bolt-Shaft Bearing Capacity (Top)                        Deformation          (*t*Fu kips)]]</f>
        <v>36.935433070866146</v>
      </c>
      <c r="GS49">
        <f>Reinforcements[[#This Row],[Rev. G Bolt-Reinf. Bearing Capacity (Bottom)            No Deformation (kips)]]</f>
        <v>1878.9785196850398</v>
      </c>
      <c r="GT49">
        <f>Reinforcements[[#This Row],[Rev. G Bolt-Reinf. Bearing Capacity (Bottom)               Deformation (kips)]]</f>
        <v>2348.7231496062996</v>
      </c>
      <c r="GU49">
        <f>Reinforcements[[#This Row],[Rev. G Bolt-Reinf. Bearing Capacity (Top)                  No Deformation (kips)]]</f>
        <v>1760.1743622047245</v>
      </c>
      <c r="GV49">
        <f>Reinforcements[[#This Row],[Rev. G Bolt-Reinf. Bearing Capacity (Top)               Deformation (kips)]]</f>
        <v>2200.217952755906</v>
      </c>
      <c r="GW49" t="str">
        <f>Reinforcements[[#This Row],[Rev. G Bottom Transverse Weld Strength]]</f>
        <v>-</v>
      </c>
      <c r="GX49" t="str">
        <f>Reinforcements[[#This Row],[Rev. G Bottom Longitudinal Weld Strength]]</f>
        <v>-</v>
      </c>
      <c r="GY49" t="str">
        <f>Reinforcements[[#This Row],[Rev. G Top Transverse Weld Strength]]</f>
        <v>-</v>
      </c>
      <c r="GZ49" t="str">
        <f>Reinforcements[[#This Row],[Rev. G Top Longitudinal Weld Strength]]</f>
        <v>-</v>
      </c>
      <c r="HA49">
        <v>47</v>
      </c>
      <c r="HB4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49" t="s">
        <v>408</v>
      </c>
      <c r="C50" s="49" t="s">
        <v>399</v>
      </c>
      <c r="D50" s="6">
        <v>7.93</v>
      </c>
      <c r="E50" s="6">
        <v>2.8</v>
      </c>
      <c r="F50" s="6" t="str">
        <f>IF(Reinforcements[[#This Row],[Type]]="","",IF(Reinforcements[[#This Row],[Type]]="solid round","","n/a"))</f>
        <v>n/a</v>
      </c>
      <c r="G50" s="6">
        <v>0.76</v>
      </c>
      <c r="H50" s="6">
        <v>1.01</v>
      </c>
      <c r="I50" s="126">
        <f>IF(Reinforcements[[#This Row],[Type]]="","",IF(Reinforcements[[#This Row],[Type]]&lt;&gt;"channel","n/a",Reinforcements[[#This Row],[eo]]))</f>
        <v>0.43945895522388057</v>
      </c>
      <c r="J50" s="126">
        <f>IF(Reinforcements[[#This Row],[Type]]="","",IF(Reinforcements[[#This Row],[Type]]&lt;&gt;"channel","n/a",Reinforcements[[#This Row],[J]]))</f>
        <v>1.72078592</v>
      </c>
      <c r="K50" s="126">
        <f>IF(Reinforcements[[#This Row],[Type]]="","",IF(Reinforcements[[#This Row],[Type]]&lt;&gt;"channel","n/a",Reinforcements[[#This Row],[Cw]]))</f>
        <v>42.300773356919613</v>
      </c>
      <c r="L50" s="6">
        <v>10.32</v>
      </c>
      <c r="M50" s="6">
        <v>0.95</v>
      </c>
      <c r="N50" s="16" t="s">
        <v>353</v>
      </c>
      <c r="O50" s="6" t="s">
        <v>138</v>
      </c>
      <c r="P50" s="123">
        <v>6.48</v>
      </c>
      <c r="Q50" s="123">
        <f>IF(Reinforcements[[#This Row],[Reinforcement]]="","",SQRT(Reinforcements[[#This Row],[Ix]]/Reinforcements[[#This Row],[Gross Area (in2)]]))</f>
        <v>0.79240581569306145</v>
      </c>
      <c r="R50" s="123">
        <v>82.29</v>
      </c>
      <c r="S50" s="123">
        <f>IF(Reinforcements[[#This Row],[Reinforcement]]="","",SQRT(Reinforcements[[#This Row],[Iy]]/Reinforcements[[#This Row],[Gross Area (in2)]]))</f>
        <v>2.8237983655534484</v>
      </c>
      <c r="T50" s="6">
        <v>24</v>
      </c>
      <c r="U50" s="6">
        <v>0.8</v>
      </c>
      <c r="V50" s="6">
        <v>1</v>
      </c>
      <c r="W50" s="6">
        <v>1.25</v>
      </c>
      <c r="X50" s="6">
        <f>IF(Reinforcements[[#This Row],[Bolt Hole Size (in)]]="","",IF(Reinforcements[[#This Row],[Bolt Hole Size (in)]]="n/a","n/a",Reinforcements[[#This Row],[Bolt Hole Size (in)]]*25.4))</f>
        <v>31.75</v>
      </c>
      <c r="Y5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6">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34" t="s">
        <v>354</v>
      </c>
      <c r="AB50" s="34" t="str">
        <f>IF(Reinforcements[[#This Row],[Reinforcement]]="","",IF(Reinforcements[[#This Row],[Bottom End Connection Type]]&lt;&gt;"Capacity Input","-",""))</f>
        <v>-</v>
      </c>
      <c r="AC50" s="34" t="str">
        <f>IF(Reinforcements[[#This Row],[Reinforcement]]="","",IF(Reinforcements[[#This Row],[Bottom End Connection Type]]&lt;&gt;"Capacity Input","-",""))</f>
        <v>-</v>
      </c>
      <c r="AD50" s="16" t="str">
        <f>IF(Reinforcements[[#This Row],[Reinforcement]]="","",IF(Reinforcements[[#This Row],[Bottom End Connection Type]]&lt;&gt;"Capacity Input","-",""))</f>
        <v>-</v>
      </c>
      <c r="AE50" s="74" t="s">
        <v>355</v>
      </c>
      <c r="AF50" s="6" t="s">
        <v>356</v>
      </c>
      <c r="AG50" s="6">
        <v>16</v>
      </c>
      <c r="AH50" s="6">
        <v>3</v>
      </c>
      <c r="AI50" s="6">
        <v>2</v>
      </c>
      <c r="AJ50" s="6">
        <f>Reinforcements[[#This Row],[End Connection Edge Distance (in) (B)]]-(Reinforcements[[#This Row],[Bolt Hole Size (in)]]+1/16)/2</f>
        <v>1.34375</v>
      </c>
      <c r="AK50" s="6">
        <f>Reinforcements[[#This Row],[End Connection Bolt Spacing (in) (B)]]-(Reinforcements[[#This Row],[Bolt Hole Size (in)]]+1/16)</f>
        <v>1.6875</v>
      </c>
      <c r="AL50" s="6">
        <f>Reinforcements[[#This Row],[End Connection Edge Distance (in) (B)]]</f>
        <v>2</v>
      </c>
      <c r="AM50" s="6">
        <f>Reinforcements[[#This Row],[End Connection Bolt Spacing (in) (B)]]</f>
        <v>3</v>
      </c>
      <c r="AN50" s="6" t="str">
        <f>IF(Reinforcements[[#This Row],[Reinforcement]]="","",IF(OR(Reinforcements[[#This Row],[Bottom End Connection Type]]="Bolted",Reinforcements[[#This Row],[Bottom End Connection Type]]=""),"-",""))</f>
        <v>-</v>
      </c>
      <c r="AO50" s="111" t="str">
        <f>IF(Reinforcements[[#This Row],[Reinforcement]]="","",IF(OR(Reinforcements[[#This Row],[Bottom End Connection Type]]="Bolted",Reinforcements[[#This Row],[Bottom End Connection Type]]=""),"-",""))</f>
        <v>-</v>
      </c>
      <c r="AP50" s="111" t="str">
        <f>IF(Reinforcements[[#This Row],[Reinforcement]]="","",IF(OR(Reinforcements[[#This Row],[Bottom End Connection Type]]="Bolted",Reinforcements[[#This Row],[Bottom End Connection Type]]=""),"-",""))</f>
        <v>-</v>
      </c>
      <c r="AQ50" s="111" t="str">
        <f>IF(OR(Reinforcements[[#This Row],[Bottom End Connection Type]]="Bolted",Reinforcements[[#This Row],[Bottom Transverse (Horizontal) Weld]]="none"),"-","")</f>
        <v>-</v>
      </c>
      <c r="AR5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11" t="str">
        <f>IF(OR(Reinforcements[[#This Row],[Bottom Transverse (Horizontal) Weld]]="none",Reinforcements[[#This Row],[Bottom End Connection Type]]="Bolted"),"-","")</f>
        <v>-</v>
      </c>
      <c r="AU5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11" t="str">
        <f>IF(Reinforcements[[#This Row],[Reinforcement]]="","",IF(OR(Reinforcements[[#This Row],[Bottom End Connection Type]]="Bolted",Reinforcements[[#This Row],[Bottom End Connection Type]]=""),"-",""))</f>
        <v>-</v>
      </c>
      <c r="AW50" s="111" t="str">
        <f>IF(Reinforcements[[#This Row],[Reinforcement]]="","",IF(OR(Reinforcements[[#This Row],[Bottom End Connection Type]]&lt;&gt;"Welded",Reinforcements[[#This Row],[Bottom Longitudinal (Vertical) Weld]]="None",Reinforcements[[#This Row],[Bottom Longitudinal (Vertical) Weld]]=""),"-",""))</f>
        <v>-</v>
      </c>
      <c r="AX50" s="111" t="str">
        <f>IF(Reinforcements[[#This Row],[Reinforcement]]="","",IF(OR(Reinforcements[[#This Row],[Bottom End Connection Type]]&lt;&gt;"Welded",Reinforcements[[#This Row],[Bottom Longitudinal (Vertical) Weld]]="None",Reinforcements[[#This Row],[Bottom Longitudinal (Vertical) Weld]]=""),"-",""))</f>
        <v>-</v>
      </c>
      <c r="AY50" s="6" t="str">
        <f>IF(Reinforcements[[#This Row],[Reinforcement]]="","",IF(OR(Reinforcements[[#This Row],[Bottom End Connection Type]]&lt;&gt;"Welded",Reinforcements[[#This Row],[Bottom Longitudinal (Vertical) Weld]]="None"),"-",SQRT(2)/2*Reinforcements[[#This Row],[Bottom Longitudinal Weld Fillet Size (in)]]))</f>
        <v>-</v>
      </c>
      <c r="AZ50" s="111" t="s">
        <v>357</v>
      </c>
      <c r="BA50" s="16" t="str">
        <f>IF(Reinforcements[[#This Row],[Top End Connection Same?]]="Yes",Reinforcements[[#This Row],[Bottom End Connection Type]],"")</f>
        <v>Bolted</v>
      </c>
      <c r="BB50" s="16" t="str">
        <f>IF(Reinforcements[[#This Row],[Reinforcement]]="","",IF(Reinforcements[[#This Row],[Top End Connection Same?]]="Yes",Reinforcements[[#This Row],[Rev. F Bottom Connection Capacity (kips)]],IF(Reinforcements[[#This Row],[Reinforcement]]="","",IF(Reinforcements[[#This Row],[Top End Connection Type]]&lt;&gt;"Capacity Input","-",""))))</f>
        <v>-</v>
      </c>
      <c r="BC50" s="16" t="str">
        <f>IF(Reinforcements[[#This Row],[Reinforcement]]="","",IF(Reinforcements[[#This Row],[Top End Connection Same?]]="Yes",Reinforcements[[#This Row],[Rev. G Bottom Connection Capacity (kips)]],IF(Reinforcements[[#This Row],[Reinforcement]]="","",IF(Reinforcements[[#This Row],[Top End Connection Type]]&lt;&gt;"Capacity Input","-",""))))</f>
        <v>-</v>
      </c>
      <c r="BD50" s="16" t="str">
        <f>IF(Reinforcements[[#This Row],[Reinforcement]]="","",IF(Reinforcements[[#This Row],[Top End Connection Same?]]="Yes",Reinforcements[[#This Row],[Rev. G Bottom Connection Capacity (kips)]],IF(Reinforcements[[#This Row],[Reinforcement]]="","",IF(Reinforcements[[#This Row],[Top End Connection Type]]&lt;&gt;"Capacity Input","-",""))))</f>
        <v>-</v>
      </c>
      <c r="BE50" s="74" t="str">
        <f>IF(Reinforcements[[#This Row],[Top End Connection Same?]]="Yes",Reinforcements[[#This Row],[Bottom End Connection Bolt Type]],IF(Reinforcements[[#This Row],[Top End Connection Type]]="Welded","-",""))</f>
        <v>PC 8.8 - M20 (100)</v>
      </c>
      <c r="BF50" s="6" t="str">
        <f>IF(Reinforcements[[#This Row],[Top End Connection Same?]]="Yes",Reinforcements[[#This Row],[Threads Included (N) or Excluded (X) (Bottom)]],IF(Reinforcements[[#This Row],[Top End Connection Type]]="Welded","-",""))</f>
        <v>N</v>
      </c>
      <c r="BG50" s="6">
        <f>IF(Reinforcements[[#This Row],[Top End Connection Same?]]="Yes",Reinforcements[[#This Row],['# of End Connection Bolts          (Bottom)]],IF(Reinforcements[[#This Row],[Top End Connection Type]]="Welded","-",""))</f>
        <v>16</v>
      </c>
      <c r="BH50" s="6">
        <f>IF(Reinforcements[[#This Row],[Top End Connection Same?]]="Yes",Reinforcements[[#This Row],[End Connection Bolt Spacing (in) (B)]],IF(Reinforcements[[#This Row],[Top End Connection Type]]="Welded","-",""))</f>
        <v>3</v>
      </c>
      <c r="BI50" s="6">
        <f>IF(Reinforcements[[#This Row],[Top End Connection Same?]]="Yes",Reinforcements[[#This Row],[End Connection Edge Distance (in) (B)]],IF(Reinforcements[[#This Row],[Top End Connection Type]]="Welded","-",""))</f>
        <v>2</v>
      </c>
      <c r="BJ50" s="6">
        <f>Reinforcements[[#This Row],[End Connection Edge Distance (in) (T)]]-(Reinforcements[[#This Row],[Bolt Hole Size (in)]]+1/16)/2</f>
        <v>1.34375</v>
      </c>
      <c r="BK50" s="6">
        <f>Reinforcements[[#This Row],[End Connection Bolt Spacing (in) (T)]]-(Reinforcements[[#This Row],[Bolt Hole Size (in)]]+1/16)</f>
        <v>1.6875</v>
      </c>
      <c r="BL50" s="6">
        <f>Reinforcements[[#This Row],[End Connection Edge Distance (in) (T)]]</f>
        <v>2</v>
      </c>
      <c r="BM50" s="6">
        <f>Reinforcements[[#This Row],[End Connection Bolt Spacing (in) (T)]]</f>
        <v>3</v>
      </c>
      <c r="BN50" s="6" t="str">
        <f>IF(Reinforcements[[#This Row],[Reinforcement]]="","",IF(Reinforcements[[#This Row],[Top End Connection Same?]]="Yes",Reinforcements[[#This Row],[Bottom Connected to Flange/Base Plate?]],IF(Reinforcements[[#This Row],[Top End Connection Type]]="Bolted","-","")))</f>
        <v>-</v>
      </c>
      <c r="BO50" s="6" t="str">
        <f>IF(Reinforcements[[#This Row],[Reinforcement]]="","",IF(Reinforcements[[#This Row],[Top End Connection Same?]]="Yes",Reinforcements[[#This Row],[Bottom Weld Grade (ksi)]],IF(OR(Reinforcements[[#This Row],[Top End Connection Type]]&lt;&gt;"Welded",Reinforcements[[#This Row],[Top End Connection Type]]=""),"-","")))</f>
        <v>-</v>
      </c>
      <c r="BP50" s="6" t="str">
        <f>IF($AZ50="Yes",AP50,IF(Reinforcements[[#This Row],[Reinforcement]]="","",IF(OR(Reinforcements[[#This Row],[Top End Connection Type]]&lt;&gt;"Welded",Reinforcements[[#This Row],[Top End Connection Type]]=""),"-","")))</f>
        <v>-</v>
      </c>
      <c r="BQ50" s="6" t="str">
        <f>IF(Reinforcements[[#This Row],[Reinforcement]]="","",IF($AZ50="Yes",AQ50,IF(OR(Reinforcements[[#This Row],[Top End Connection Type]]&lt;&gt;"Welded",Reinforcements[[#This Row],[Top Transverse (Horizontal) Weld]]="none",Reinforcements[[#This Row],[Top Transverse (Horizontal) Weld]]=""),"-","")))</f>
        <v>-</v>
      </c>
      <c r="BR50" s="6"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6"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6" t="str">
        <f>IF(Reinforcements[[#This Row],[Reinforcement]]="","",IF($AZ50="Yes",AT50,IF(OR(Reinforcements[[#This Row],[Top Transverse (Horizontal) Weld]]="none",Reinforcements[[#This Row],[Top End Connection Type]]&lt;&gt;"Welded",Reinforcements[[#This Row],[Top Transverse (Horizontal) Weld]]=""),"-","")))</f>
        <v>-</v>
      </c>
      <c r="BU50" s="6"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6" t="str">
        <f>IF($AZ50="Yes",AV50,IF(Reinforcements[[#This Row],[Reinforcement]]="","",IF(OR(Reinforcements[[#This Row],[Top End Connection Type]]&lt;&gt;"Welded",Reinforcements[[#This Row],[Top End Connection Type]]=""),"-","")))</f>
        <v>-</v>
      </c>
      <c r="BW50" s="6"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6"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6" t="str">
        <f>IF($AZ50="Yes",AY50,IF(Reinforcements[[#This Row],[Reinforcement]]="","",IF(OR(Reinforcements[[#This Row],[Top End Connection Type]]&lt;&gt;"Welded",Reinforcements[[#This Row],[Top Longitudinal (Vertical) Weld]]="none"),"-",SQRT(2)/2*Reinforcements[[#This Row],[Top Longitudinal Weld Fillet Size (in)]])))</f>
        <v>-</v>
      </c>
      <c r="BZ50"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11">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11">
        <f>IF(Reinforcements[[#This Row],[Reinforcement]]="","",IF(Reinforcements[[#This Row],[Top End Connection Type]]&lt;&gt;"Bolted","n/a",(Reinforcements[[#This Row],['# of End Connection Bolts          (Top)]]-1)*Reinforcements[[#This Row],[End Connection Bolt Spacing (in) (T)]]+Reinforcements[[#This Row],[End Connection Edge Distance (in) (T)]]))</f>
        <v>47</v>
      </c>
      <c r="CC5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6">
        <f>IFERROR(IF(Reinforcements[[#This Row],[Type]]="","",Reinforcements[[#This Row],[Effective B (in)]]*Reinforcements[[#This Row],[Effective H (in)]]^3/12),"")</f>
        <v>3.1045999999999996</v>
      </c>
      <c r="CF50" s="6">
        <f>IFERROR(IF(Reinforcements[[#This Row],[Type]]="","",Reinforcements[[#This Row],[Effective B (in)]]^3*Reinforcements[[#This Row],[Effective H (in)]]/12),"")</f>
        <v>25.371762880886426</v>
      </c>
      <c r="CG50" s="126">
        <f>SQRT(2*PI()^2*29000/VLOOKUP(Reinforcements[[#This Row],[Material]],Materials[],2,FALSE))</f>
        <v>93.844147005158973</v>
      </c>
      <c r="CH5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123">
        <f>Reinforcements[[#This Row],[Effective Length Factor Kx]]*Reinforcements[[#This Row],[Lu (in)]]/(Reinforcements[[#This Row],[rx]]*PI())*SQRT(VLOOKUP(Reinforcements[[#This Row],[Material]],Materials[],2,FALSE)/29000)</f>
        <v>0.36514165620183864</v>
      </c>
      <c r="CK50" s="123">
        <f>Reinforcements[[#This Row],[Effective Length Factor Ky]]*Reinforcements[[#This Row],[Lu (in)]]/(Reinforcements[[#This Row],[ry]]*PI())*SQRT(VLOOKUP(Reinforcements[[#This Row],[Material]],Materials[],2,FALSE)/29000)</f>
        <v>0.12808119351566385</v>
      </c>
      <c r="CL50" s="123">
        <f>IF(Reinforcements[[#This Row],[λcx]]&lt;=1.5,0.658^(Reinforcements[[#This Row],[λcx]]^2)*Reinforcements[[#This Row],[F''y]],0.877/(Reinforcements[[#This Row],[λcx]]^2)*Reinforcements[[#This Row],[F''y]])</f>
        <v>61.472050589001604</v>
      </c>
      <c r="CM50" s="123">
        <f>IF(Reinforcements[[#This Row],[λcy]]&lt;=1.5,0.658^(Reinforcements[[#This Row],[λcy]]^2)*Reinforcements[[#This Row],[F''y]],0.877/(Reinforcements[[#This Row],[λcy]]^2)*Reinforcements[[#This Row],[F''y]])</f>
        <v>64.555223671758839</v>
      </c>
      <c r="CN50" s="6">
        <f>VLOOKUP(Reinforcements[[#This Row],[Material]],Materials[],2,FALSE)</f>
        <v>65</v>
      </c>
      <c r="CO50" s="126">
        <f>IF(Reinforcements[[#This Row],[Reinforcement]]="","",Reinforcements[[#This Row],[Fax]]*Reinforcements[[#This Row],[Gross Area (in2)]])</f>
        <v>368.15242041905793</v>
      </c>
      <c r="CP50" s="126">
        <f>IF(Reinforcements[[#This Row],[Reinforcement]]="","",Reinforcements[[#This Row],[Fay]]*Reinforcements[[#This Row],[Gross Area (in2)]])</f>
        <v>392.84598167282144</v>
      </c>
      <c r="CQ50" s="126">
        <f>IF(Reinforcements[[#This Row],[Reinforcement]]="","",0.6*VLOOKUP(Reinforcements[[#This Row],[Material]],Materials[],2,FALSE)*Reinforcements[[#This Row],[Gross Area (in2)]])</f>
        <v>402.48</v>
      </c>
      <c r="CR50" s="126">
        <f>IF(Reinforcements[[#This Row],[Reinforcement]]="","",0.5*VLOOKUP(Reinforcements[[#This Row],[Material]],Materials[],3,FALSE)*Reinforcements[[#This Row],[Net Area (in2)]]*Reinforcements[[#This Row],[Shear Lag (U)]])</f>
        <v>365.02766666666668</v>
      </c>
      <c r="CS50" s="126">
        <f>IF(Reinforcements[[#This Row],[Reinforcement]]="","",0.4*VLOOKUP(Reinforcements[[#This Row],[Material]],Materials[],2,FALSE)*Reinforcements[[#This Row],[Gross Area (in2)]])</f>
        <v>268.32</v>
      </c>
      <c r="CT50"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6"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6"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126">
        <f>IF(Reinforcements[[#This Row],[Reinforcement]]="","",φ_c*Reinforcements[[#This Row],[Fcr,x]]*Reinforcements[[#This Row],[Gross Area (in2)]])</f>
        <v>570.95240587064688</v>
      </c>
      <c r="DI50" s="126">
        <f>IF(Reinforcements[[#This Row],[Reinforcement]]="","",φ_c*Reinforcements[[#This Row],[Fcr,y]]*Reinforcements[[#This Row],[Gross Area (in2)]])</f>
        <v>599.58891746329618</v>
      </c>
      <c r="DJ50" s="126">
        <f>IF(Reinforcements[[#This Row],[Reinforcement]]="","",φ_t_y*VLOOKUP(Reinforcements[[#This Row],[Material]],Materials[],2,FALSE)*Reinforcements[[#This Row],[Gross Area (in2)]])</f>
        <v>603.72</v>
      </c>
      <c r="DK50" s="126">
        <f>IF(Reinforcements[[#This Row],[Reinforcement]]="","",φ_t_r*VLOOKUP(Reinforcements[[#This Row],[Material]],Materials[],3,FALSE)*Reinforcements[[#This Row],[Net Area (in2)]]*Reinforcements[[#This Row],[Shear Lag (U)]])</f>
        <v>547.54150000000004</v>
      </c>
      <c r="DL50" s="126">
        <f>IF(Reinforcements[[#This Row],[Reinforcement]]="","",φ_v*0.5*Reinforcements[[#This Row],[F''y]]*Reinforcements[[#This Row],[Gross Area (in2)]])</f>
        <v>301.86</v>
      </c>
      <c r="DM50"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6"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6"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111">
        <f>IF(OR(Reinforcements[[#This Row],[Type]]="plate",Reinforcements[[#This Row],[Type]]="solid round"),"N/A",Reinforcements[[#This Row],[B (in)]])</f>
        <v>7.93</v>
      </c>
      <c r="EB50" s="6">
        <f>IF(OR(Reinforcements[[#This Row],[Type]]="plate",Reinforcements[[#This Row],[Type]]="solid round"),"N/A",Reinforcements[[#This Row],[H (in)]])</f>
        <v>2.8</v>
      </c>
      <c r="EC50" s="6">
        <f>IF(OR(Reinforcements[[#This Row],[Type]]="plate",Reinforcements[[#This Row],[Type]]="solid round"),"N/A",Reinforcements[[#This Row],[B (in)]]-Reinforcements[[#This Row],['[Channel'] Flange Thickness (in)]])</f>
        <v>6.92</v>
      </c>
      <c r="ED50" s="6">
        <f>IF(OR(Reinforcements[[#This Row],[Type]]="plate",Reinforcements[[#This Row],[Type]]="solid round"),"N/A",Reinforcements[[#This Row],['[Channel']Web Thickness (in)]])</f>
        <v>0.76</v>
      </c>
      <c r="EE50" s="6">
        <f>IF(OR(Reinforcements[[#This Row],[Type]]="plate",Reinforcements[[#This Row],[Type]]="solid round"),"N/A",Reinforcements[[#This Row],['[Channel'] Flange Thickness (in)]])</f>
        <v>1.01</v>
      </c>
      <c r="EF50" s="6">
        <f>IF(Reinforcements[[#This Row],[Type]]="channel",Reinforcements[[#This Row],[Channel Flange Width, b]]/Reinforcements[[#This Row],[Channel flange thickness, tf]],"N/A")</f>
        <v>2.7722772277227721</v>
      </c>
      <c r="EG50" s="6">
        <f>IF(Reinforcements[[#This Row],[Type]]="channel",Reinforcements[[#This Row],[Channel inside depth, T]]/Reinforcements[[#This Row],[Channel web thickness, tw]],"N/A")</f>
        <v>9.1052631578947363</v>
      </c>
      <c r="EH50" s="6">
        <f>29000</f>
        <v>29000</v>
      </c>
      <c r="EI50" s="6">
        <f>IF(Reinforcements[[#This Row],[Type]]="channel",0.56*SQRT(Reinforcements[[#This Row],[E, (ksi)]]/Reinforcements[[#This Row],[Fy, (ksi)]]),"N/A")</f>
        <v>11.828518341442694</v>
      </c>
      <c r="EJ50" s="6">
        <f>IF(Reinforcements[[#This Row],[Type]]="channel",1.49*SQRT(Reinforcements[[#This Row],[E, (ksi)]]/Reinforcements[[#This Row],[Fy, (ksi)]]),"N/A")</f>
        <v>31.472307729910018</v>
      </c>
      <c r="EK50" s="6">
        <f>VLOOKUP(Reinforcements[[#This Row],[Material]],Materials!$B$2:$C$30,2,FALSE)</f>
        <v>65</v>
      </c>
      <c r="EL50" s="6">
        <f>Reinforcements[[#This Row],[Lu (in)]]*Reinforcements[[#This Row],[Effective Length Factor Kx]]</f>
        <v>19.200000000000003</v>
      </c>
      <c r="EM50" s="6">
        <f>Reinforcements[[#This Row],[Lu (in)]]*Reinforcements[[#This Row],[Effective Length Factor Ky]]</f>
        <v>24</v>
      </c>
      <c r="EN50" s="6">
        <f>Reinforcements[[#This Row],[rx]]</f>
        <v>0.79240581569306145</v>
      </c>
      <c r="EO50" s="6">
        <f>Reinforcements[[#This Row],[ry]]</f>
        <v>2.8237983655534484</v>
      </c>
      <c r="EP50" s="6">
        <f>Reinforcements[[#This Row],[Lcx (in)]]/Reinforcements[[#This Row],[rx (in)]]</f>
        <v>24.23000894208117</v>
      </c>
      <c r="EQ50" s="6">
        <f>Reinforcements[[#This Row],[Lcy (in)]]/Reinforcements[[#This Row],[ry (in)]]</f>
        <v>8.4991904141484742</v>
      </c>
      <c r="ER50" s="6">
        <f>((PI()^2)*Reinforcements[[#This Row],[E, (ksi)]])/(Reinforcements[[#This Row],[Lcx/rx]]^2)</f>
        <v>487.51793178527771</v>
      </c>
      <c r="ES50" s="6">
        <f>((PI()^2)*Reinforcements[[#This Row],[E, (ksi)]])/(Reinforcements[[#This Row],[Lcy/ry]]^2)</f>
        <v>3962.2568500356074</v>
      </c>
      <c r="ET50" s="6">
        <f>4.71*(SQRT(Reinforcements[[#This Row],[E, (ksi)]]/Reinforcements[[#This Row],[Fy, (ksi)]]))</f>
        <v>99.486288193205496</v>
      </c>
      <c r="EU50" s="6">
        <f>IF(Reinforcements[[#This Row],[Lcx/rx]]&lt;=Reinforcements[[#This Row],[Fcr Limit]],(0.658^(Reinforcements[[#This Row],[Fy, (ksi)]]/Reinforcements[[#This Row],[Fex, FB (ksi)]]))*Reinforcements[[#This Row],[Fy, (ksi)]],0.877*Reinforcements[[#This Row],[Fex, FB (ksi)]])</f>
        <v>61.472050589001604</v>
      </c>
      <c r="EV50" s="6">
        <f>IF(Reinforcements[[#This Row],[Lcy/ry]]&lt;=Reinforcements[[#This Row],[Fcr Limit]],(0.658^(Reinforcements[[#This Row],[Fy, (ksi)]]/Reinforcements[[#This Row],[Fey, FB (ksi)]]))*Reinforcements[[#This Row],[Fy, (ksi)]],0.877*Reinforcements[[#This Row],[Fey, FB (ksi)]])</f>
        <v>64.555223671758839</v>
      </c>
      <c r="EW50" s="6">
        <f>Reinforcements[[#This Row],[Fcrx (ksi)]]*Reinforcements[[#This Row],[Gross Area (in2)]]</f>
        <v>634.39156207849658</v>
      </c>
      <c r="EX50" s="6">
        <f>Reinforcements[[#This Row],[Fcry (ksi)]]*Reinforcements[[#This Row],[Gross Area (in2)]]</f>
        <v>666.20990829255118</v>
      </c>
      <c r="EY50" s="6">
        <f>IF(Reinforcements[[#This Row],[Type]]="channel",0,"N/A")</f>
        <v>0</v>
      </c>
      <c r="EZ50" s="6">
        <f>IF(Reinforcements[[#This Row],[Type]]="channel",Reinforcements[[#This Row],[Channel Flange Width, b]]-(0.5*Reinforcements[[#This Row],[Channel web thickness, tw]]),"N/A")</f>
        <v>2.42</v>
      </c>
      <c r="FA50" s="6">
        <f>IF(Reinforcements[[#This Row],[Type]]="channel",Reinforcements[[#This Row],[Channel Height, h]]-Reinforcements[[#This Row],[Channel flange thickness, tf]],"N/A")</f>
        <v>6.92</v>
      </c>
      <c r="FB50" s="6">
        <f>IF(Reinforcements[[#This Row],[Type]]="channel",Reinforcements[[#This Row],[Channel web thickness, tw]],"N/A")</f>
        <v>0.76</v>
      </c>
      <c r="FC50" s="6">
        <f>IF(Reinforcements[[#This Row],[Type]]="channel",((3*Reinforcements[[#This Row],[b]]^2)/(Reinforcements[[#This Row],[h]]+(6*Reinforcements[[#This Row],[b]])))-Reinforcements[[#This Row],[t]]/2,"N/A")</f>
        <v>0.43945895522388057</v>
      </c>
      <c r="FD50" s="6">
        <f>Reinforcements[[#This Row],[Pole Face to Centroid (in)]]</f>
        <v>0.95</v>
      </c>
      <c r="FE50" s="6">
        <f>IF(Reinforcements[[#This Row],[Type]]="channel",Reinforcements[[#This Row],[x(bar)]]+Reinforcements[[#This Row],['[Channel'] e0 (in)]],"N/A")</f>
        <v>1.3894589552238805</v>
      </c>
      <c r="FF50" s="6">
        <f>IF(Reinforcements[[#This Row],[Type]]="channel",Reinforcements[[#This Row],[Ix]],"N/A")</f>
        <v>6.48</v>
      </c>
      <c r="FG50" s="6">
        <f>IF(Reinforcements[[#This Row],[Type]]="channel",Reinforcements[[#This Row],[Iy]],"N/A")</f>
        <v>82.29</v>
      </c>
      <c r="FH50" s="6">
        <f>IF(Reinforcements[[#This Row],[Type]]="channel",Reinforcements[[#This Row],[Gross Area (in2)]],"N/A")</f>
        <v>10.32</v>
      </c>
      <c r="FI50" s="6">
        <f>IF(Reinforcements[[#This Row],[Type]]="channel",(Reinforcements[[#This Row],[xo]]^2)+((Reinforcements[[#This Row],[Ix (FTB)]]+Reinforcements[[#This Row],[Iy (FTB)]])/Reinforcements[[#This Row],[Ag]]),"N/A")</f>
        <v>10.53234037429835</v>
      </c>
      <c r="FJ50" s="6">
        <f>IF(Reinforcements[[#This Row],[Type]]="channel",Reinforcements[[#This Row],[Lu (in)]],"N/A")</f>
        <v>24</v>
      </c>
      <c r="FK50" s="6">
        <f>IF(Reinforcements[[#This Row],[Type]]="channel",Reinforcements[[#This Row],[Effective Length Factor Kx]],"N/A")</f>
        <v>0.8</v>
      </c>
      <c r="FL50" s="6">
        <f>IF(Reinforcements[[#This Row],[Type]]="channel",Reinforcements[[#This Row],[Kz]]*Reinforcements[[#This Row],[Lz]],"N/A")</f>
        <v>19.200000000000003</v>
      </c>
      <c r="FM50" s="6">
        <f>IF(Reinforcements[[#This Row],[Type]]="channel",(((Reinforcements[[#This Row],[t]]^3)/3)*(Reinforcements[[#This Row],[h]]+(2*Reinforcements[[#This Row],[b]]))),"N/A")</f>
        <v>1.72078592</v>
      </c>
      <c r="FN50" s="6">
        <f>IF(Reinforcements[[#This Row],[Type]]="channel",(1-(((Reinforcements[[#This Row],[xo]]^2)+(Reinforcements[[#This Row],[yo]]^2))/Reinforcements[[#This Row],[ro^2(bar)]])),"N/A")</f>
        <v>0.81669827221279379</v>
      </c>
      <c r="FO50" s="6">
        <v>11200</v>
      </c>
      <c r="FP50" s="6">
        <f>IF(Reinforcements[[#This Row],[Type]]="channel",(((Reinforcements[[#This Row],[h]]^2)*(Reinforcements[[#This Row],[b]]^3)*Reinforcements[[#This Row],[t]])/12)*(((2*Reinforcements[[#This Row],[h]])+(3*Reinforcements[[#This Row],[b]]))/(Reinforcements[[#This Row],[h]]+(6*Reinforcements[[#This Row],[b]]))),"N/A")</f>
        <v>42.300773356919613</v>
      </c>
      <c r="FQ50" s="6">
        <f>IF(Reinforcements[[#This Row],[Type]]="Channel",((((PI()^2)*Reinforcements[[#This Row],[E, (ksi)]]*Reinforcements[[#This Row],['[Channel'] CW (in6)]])/(Reinforcements[[#This Row],[Lcz]]^2))+(Reinforcements[[#This Row],[G]]*Reinforcements[[#This Row],['[Channel'] J (in4)]]))*(1/(Reinforcements[[#This Row],[Ag]]*Reinforcements[[#This Row],[ro^2(bar)]])),"N/A")</f>
        <v>479.47429801329082</v>
      </c>
      <c r="FR50" s="6">
        <f>IF(Reinforcements[[#This Row],[Type]]="channel",((PI()^2)*Reinforcements[[#This Row],[E, (ksi)]])/(Reinforcements[[#This Row],[Lcy/ry]]^2),"N/A")</f>
        <v>3962.2568500356074</v>
      </c>
      <c r="FS50" s="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6">
        <f>IF(Reinforcements[[#This Row],[Type]]="channel",MIN(Reinforcements[[#This Row],[Fcr(FTB)]],Reinforcements[[#This Row],[Fcry (ksi)]]),"N/A")</f>
        <v>61.329040558735421</v>
      </c>
      <c r="FV50" s="6">
        <v>0.22</v>
      </c>
      <c r="FW50" s="6">
        <v>1.49</v>
      </c>
      <c r="FX50" s="6">
        <f>IF(Reinforcements[[#This Row],[Type]]="channel",((Reinforcements[[#This Row],[c2]]*(Reinforcements[[#This Row],[λrf]]/Reinforcements[[#This Row],[λf]]))^2)*Reinforcements[[#This Row],[Fy, (ksi)]],"N/A")</f>
        <v>2627.0798516000018</v>
      </c>
      <c r="FY50" s="6">
        <f>IF(Reinforcements[[#This Row],[Type]]="channel",((Reinforcements[[#This Row],[c2]]*(Reinforcements[[#This Row],[λrw]]/Reinforcements[[#This Row],[λw]]))^2)*Reinforcements[[#This Row],[Fy, (ksi)]],"N/A")</f>
        <v>1724.08259349427</v>
      </c>
      <c r="FZ50"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6">
        <f>IF(Reinforcements[[#This Row],[Type]]="channel",Reinforcements[[#This Row],[Fcr]]*Reinforcements[[#This Row],[Ae]],"N/A")</f>
        <v>632.91569856614956</v>
      </c>
      <c r="GD50">
        <f>IF(Reinforcements[[#This Row],[Reinforcement]]="","",φ_c*Reinforcements[[#This Row],[Pnx, FB (kip)]])</f>
        <v>570.95240587064688</v>
      </c>
      <c r="GE50">
        <f>IF(Reinforcements[[#This Row],[Reinforcement]]="","",IF(Reinforcements[[#This Row],[Type]]="channel",φ_c*Reinforcements[[#This Row],[Pn]],φ_c*Reinforcements[[#This Row],[Pny, FB (kip)]]))</f>
        <v>569.6241287095346</v>
      </c>
      <c r="GF50">
        <f>Reinforcements[[#This Row],[Rev. G Tension Yield Capacity (kips)]]</f>
        <v>603.72</v>
      </c>
      <c r="GG50">
        <f>Reinforcements[[#This Row],[Rev. G Tension Rupture Capacity (kips)]]</f>
        <v>547.54150000000004</v>
      </c>
      <c r="GH50">
        <f>Reinforcements[[#This Row],[Rev. G Shear Capacity (kips)]]</f>
        <v>301.86</v>
      </c>
      <c r="GI50">
        <f>IFERROR((Reinforcements[[#This Row],['# of End Connection Bolts          (Bottom)]]-1)*Reinforcements[[#This Row],[End Connection Bolt Spacing (in) (B)]],"-")</f>
        <v>45</v>
      </c>
      <c r="GJ50">
        <f>IFERROR(IF(VLOOKUP(Reinforcements[[#This Row],[Bottom End Connection Bolt Type]],Bolts[],COLUMN(Bolts[[#Headers],[Rev. H Apply Connection Length Reduction Factor (Rb)?]])-1,FALSE)="Yes",(IF(Reinforcements[[#This Row],[Lb(bottom)]]&lt;=16,1,IF(Reinforcements[[#This Row],[Lb(bottom)]]&gt;38,0.75,0.9))),1),"-")</f>
        <v>1</v>
      </c>
      <c r="GK5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f>IFERROR(IF(Reinforcements[[#This Row],[Top End Connection Same?]]="Yes",Reinforcements[[#This Row],[Lb(bottom)]],(Reinforcements[[#This Row],['# of End Connection Bolts          (Top)]]-1)*Reinforcements[[#This Row],[End Connection Bolt Spacing (in) (T)]]),"-")</f>
        <v>45</v>
      </c>
      <c r="GM50">
        <f>IFERROR(IF(VLOOKUP(Reinforcements[[#This Row],[Top End Connection Bolt Type]],Bolts[],COLUMN(Bolts[[#Headers],[Rev. H Apply Connection Length Reduction Factor (Rb)?]])-1,FALSE)=TRUE,(IF(Reinforcements[[#This Row],[Lb(top)]]&lt;=16,1,IF(Reinforcements[[#This Row],[Lb(top)]]&gt;38,0.75,0.9))),1),"-")</f>
        <v>0.75</v>
      </c>
      <c r="GN5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f>Reinforcements[[#This Row],[Rev. G Bolt-Shaft Bearing Capacity (Bottom)                No Deformation          (*t*Fu kips)]]</f>
        <v>30.602362204724411</v>
      </c>
      <c r="GP50">
        <f>Reinforcements[[#This Row],[Rev. G Bolt-Shaft Bearing Capacity (Bottom)                   Deformation          (*t*Fu kips)]]</f>
        <v>38.252952755905511</v>
      </c>
      <c r="GQ50">
        <f>Reinforcements[[#This Row],[Rev. G Bolt-Shaft Bearing Capacity (Top)                    No Deformation          (*t*Fu kips)]]</f>
        <v>30.602362204724411</v>
      </c>
      <c r="GR50">
        <f>Reinforcements[[#This Row],[Rev. G Bolt-Shaft Bearing Capacity (Top)                        Deformation          (*t*Fu kips)]]</f>
        <v>38.252952755905511</v>
      </c>
      <c r="GS50">
        <f>Reinforcements[[#This Row],[Rev. G Bolt-Reinf. Bearing Capacity (Bottom)            No Deformation (kips)]]</f>
        <v>1822.434519685039</v>
      </c>
      <c r="GT50">
        <f>Reinforcements[[#This Row],[Rev. G Bolt-Reinf. Bearing Capacity (Bottom)               Deformation (kips)]]</f>
        <v>2278.0431496062993</v>
      </c>
      <c r="GU50">
        <f>Reinforcements[[#This Row],[Rev. G Bolt-Reinf. Bearing Capacity (Top)                  No Deformation (kips)]]</f>
        <v>1822.434519685039</v>
      </c>
      <c r="GV50">
        <f>Reinforcements[[#This Row],[Rev. G Bolt-Reinf. Bearing Capacity (Top)               Deformation (kips)]]</f>
        <v>2278.0431496062993</v>
      </c>
      <c r="GW50" t="str">
        <f>Reinforcements[[#This Row],[Rev. G Bottom Transverse Weld Strength]]</f>
        <v>-</v>
      </c>
      <c r="GX50" t="str">
        <f>Reinforcements[[#This Row],[Rev. G Bottom Longitudinal Weld Strength]]</f>
        <v>-</v>
      </c>
      <c r="GY50" t="str">
        <f>Reinforcements[[#This Row],[Rev. G Top Transverse Weld Strength]]</f>
        <v>-</v>
      </c>
      <c r="GZ50" t="str">
        <f>Reinforcements[[#This Row],[Rev. G Top Longitudinal Weld Strength]]</f>
        <v>-</v>
      </c>
      <c r="HA50">
        <v>48</v>
      </c>
      <c r="HB5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49" t="s">
        <v>409</v>
      </c>
      <c r="C51" s="49" t="s">
        <v>352</v>
      </c>
      <c r="D51" s="6">
        <v>4</v>
      </c>
      <c r="E51" s="6">
        <v>0.75</v>
      </c>
      <c r="F51" s="6" t="str">
        <f>IF(Reinforcements[[#This Row],[Type]]="","",IF(Reinforcements[[#This Row],[Type]]="solid round","","n/a"))</f>
        <v>n/a</v>
      </c>
      <c r="G51" s="6" t="str">
        <f>IF(Reinforcements[[#This Row],[Type]]="","",IF(Reinforcements[[#This Row],[Type]]&lt;&gt;"channel","n/a",""))</f>
        <v>n/a</v>
      </c>
      <c r="H51" s="6" t="str">
        <f>IF(Reinforcements[[#This Row],[Type]]="","",IF(Reinforcements[[#This Row],[Type]]&lt;&gt;"channel","n/a",""))</f>
        <v>n/a</v>
      </c>
      <c r="I51" s="126" t="str">
        <f>IF(Reinforcements[[#This Row],[Type]]="","",IF(Reinforcements[[#This Row],[Type]]&lt;&gt;"channel","n/a",Reinforcements[[#This Row],[eo]]))</f>
        <v>n/a</v>
      </c>
      <c r="J51" s="126" t="str">
        <f>IF(Reinforcements[[#This Row],[Type]]="","",IF(Reinforcements[[#This Row],[Type]]&lt;&gt;"channel","n/a",Reinforcements[[#This Row],[J]]))</f>
        <v>n/a</v>
      </c>
      <c r="K51" s="126" t="str">
        <f>IF(Reinforcements[[#This Row],[Type]]="","",IF(Reinforcements[[#This Row],[Type]]&lt;&gt;"channel","n/a",Reinforcements[[#This Row],[Cw]]))</f>
        <v>n/a</v>
      </c>
      <c r="L51" s="6">
        <f>IFERROR(IF(Reinforcements[[#This Row],[Type]]="","",IF(Reinforcements[[#This Row],[Type]]="plate",Reinforcements[[#This Row],[B (in)]]*Reinforcements[[#This Row],[H (in)]],IF(Reinforcements[[#This Row],[Type]]="solid round",PI()/4*Reinforcements[[#This Row],[Diameter (in)]]^2,""))),"")</f>
        <v>3</v>
      </c>
      <c r="M51" s="6">
        <f>IFERROR(IF(Reinforcements[[#This Row],[Type]]="","",IF(Reinforcements[[#This Row],[Type]]="plate",Reinforcements[[#This Row],[H (in)]]/2,"")),"")</f>
        <v>0.375</v>
      </c>
      <c r="N51" s="16" t="s">
        <v>353</v>
      </c>
      <c r="O51" s="6" t="s">
        <v>138</v>
      </c>
      <c r="P51" s="123">
        <f>IFERROR(IF(Reinforcements[[#This Row],[Type]]="","",IF(Reinforcements[[#This Row],[Type]]="plate",Reinforcements[[#This Row],[B (in)]]*Reinforcements[[#This Row],[H (in)]]^3/12,IF(Reinforcements[[#This Row],[Type]]="solid round",PI()/64*Reinforcements[[#This Row],[Diameter (in)]]^4,""))),"")</f>
        <v>0.140625</v>
      </c>
      <c r="Q51" s="123">
        <f>IF(Reinforcements[[#This Row],[Reinforcement]]="","",SQRT(Reinforcements[[#This Row],[Ix]]/Reinforcements[[#This Row],[Gross Area (in2)]]))</f>
        <v>0.21650635094610965</v>
      </c>
      <c r="R51" s="123">
        <f>IFERROR(IF(Reinforcements[[#This Row],[Type]]="","",IF(Reinforcements[[#This Row],[Type]]="plate",Reinforcements[[#This Row],[B (in)]]^3*Reinforcements[[#This Row],[H (in)]]/12,IF(Reinforcements[[#This Row],[Type]]="solid round",PI()/64*Reinforcements[[#This Row],[Diameter (in)]]^4,""))),"")</f>
        <v>4</v>
      </c>
      <c r="S51" s="123">
        <f>IF(Reinforcements[[#This Row],[Reinforcement]]="","",SQRT(Reinforcements[[#This Row],[Iy]]/Reinforcements[[#This Row],[Gross Area (in2)]]))</f>
        <v>1.1547005383792515</v>
      </c>
      <c r="T51" s="6">
        <v>16.875</v>
      </c>
      <c r="U51" s="6">
        <v>0.8</v>
      </c>
      <c r="V51" s="6">
        <v>1</v>
      </c>
      <c r="W51" s="6">
        <v>1.1875</v>
      </c>
      <c r="X51" s="6">
        <f>IF(Reinforcements[[#This Row],[Bolt Hole Size (in)]]="","",IF(Reinforcements[[#This Row],[Bolt Hole Size (in)]]="n/a","n/a",Reinforcements[[#This Row],[Bolt Hole Size (in)]]*25.4))</f>
        <v>30.162499999999998</v>
      </c>
      <c r="Y5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6">
        <f>IFERROR(IF(Reinforcements[[#This Row],[Reinforcement]]="","",IF(OR(Reinforcements[[#This Row],[Type]]="plate",Reinforcements[[#This Row],[Type]]="solid round"),1,IF(Reinforcements[[#This Row],[Type]]="arbitrary","",1-Reinforcements[[#This Row],[Pole Face to Centroid (in)]]/Reinforcements[[#This Row],[Connection Length (in) '[Channels']]]))),"")</f>
        <v>1</v>
      </c>
      <c r="AA51" s="34" t="s">
        <v>354</v>
      </c>
      <c r="AB51" s="34" t="str">
        <f>IF(Reinforcements[[#This Row],[Reinforcement]]="","",IF(Reinforcements[[#This Row],[Bottom End Connection Type]]&lt;&gt;"Capacity Input","-",""))</f>
        <v>-</v>
      </c>
      <c r="AC51" s="34" t="str">
        <f>IF(Reinforcements[[#This Row],[Reinforcement]]="","",IF(Reinforcements[[#This Row],[Bottom End Connection Type]]&lt;&gt;"Capacity Input","-",""))</f>
        <v>-</v>
      </c>
      <c r="AD51" s="16" t="str">
        <f>IF(Reinforcements[[#This Row],[Reinforcement]]="","",IF(Reinforcements[[#This Row],[Bottom End Connection Type]]&lt;&gt;"Capacity Input","-",""))</f>
        <v>-</v>
      </c>
      <c r="AE51" s="74" t="s">
        <v>355</v>
      </c>
      <c r="AF51" s="6" t="s">
        <v>356</v>
      </c>
      <c r="AG51" s="6">
        <v>4</v>
      </c>
      <c r="AH51" s="6">
        <v>3</v>
      </c>
      <c r="AI51" s="6">
        <v>3</v>
      </c>
      <c r="AJ51" s="6">
        <f>Reinforcements[[#This Row],[End Connection Edge Distance (in) (B)]]-(Reinforcements[[#This Row],[Bolt Hole Size (in)]]+1/16)/2</f>
        <v>2.375</v>
      </c>
      <c r="AK51" s="6">
        <f>Reinforcements[[#This Row],[End Connection Bolt Spacing (in) (B)]]-(Reinforcements[[#This Row],[Bolt Hole Size (in)]]+1/16)</f>
        <v>1.75</v>
      </c>
      <c r="AL51" s="6">
        <f>Reinforcements[[#This Row],[End Connection Edge Distance (in) (B)]]</f>
        <v>3</v>
      </c>
      <c r="AM51" s="6">
        <f>Reinforcements[[#This Row],[End Connection Bolt Spacing (in) (B)]]</f>
        <v>3</v>
      </c>
      <c r="AN51" s="6" t="str">
        <f>IF(Reinforcements[[#This Row],[Reinforcement]]="","",IF(OR(Reinforcements[[#This Row],[Bottom End Connection Type]]="Bolted",Reinforcements[[#This Row],[Bottom End Connection Type]]=""),"-",""))</f>
        <v>-</v>
      </c>
      <c r="AO51" s="111" t="str">
        <f>IF(Reinforcements[[#This Row],[Reinforcement]]="","",IF(OR(Reinforcements[[#This Row],[Bottom End Connection Type]]="Bolted",Reinforcements[[#This Row],[Bottom End Connection Type]]=""),"-",""))</f>
        <v>-</v>
      </c>
      <c r="AP51" s="111" t="str">
        <f>IF(Reinforcements[[#This Row],[Reinforcement]]="","",IF(OR(Reinforcements[[#This Row],[Bottom End Connection Type]]="Bolted",Reinforcements[[#This Row],[Bottom End Connection Type]]=""),"-",""))</f>
        <v>-</v>
      </c>
      <c r="AQ51" s="111" t="str">
        <f>IF(OR(Reinforcements[[#This Row],[Bottom End Connection Type]]="Bolted",Reinforcements[[#This Row],[Bottom Transverse (Horizontal) Weld]]="none"),"-","")</f>
        <v>-</v>
      </c>
      <c r="AR5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11" t="str">
        <f>IF(OR(Reinforcements[[#This Row],[Bottom Transverse (Horizontal) Weld]]="none",Reinforcements[[#This Row],[Bottom End Connection Type]]="Bolted"),"-","")</f>
        <v>-</v>
      </c>
      <c r="AU5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11" t="str">
        <f>IF(Reinforcements[[#This Row],[Reinforcement]]="","",IF(OR(Reinforcements[[#This Row],[Bottom End Connection Type]]="Bolted",Reinforcements[[#This Row],[Bottom End Connection Type]]=""),"-",""))</f>
        <v>-</v>
      </c>
      <c r="AW51" s="111" t="str">
        <f>IF(Reinforcements[[#This Row],[Reinforcement]]="","",IF(OR(Reinforcements[[#This Row],[Bottom End Connection Type]]&lt;&gt;"Welded",Reinforcements[[#This Row],[Bottom Longitudinal (Vertical) Weld]]="None",Reinforcements[[#This Row],[Bottom Longitudinal (Vertical) Weld]]=""),"-",""))</f>
        <v>-</v>
      </c>
      <c r="AX51" s="111" t="str">
        <f>IF(Reinforcements[[#This Row],[Reinforcement]]="","",IF(OR(Reinforcements[[#This Row],[Bottom End Connection Type]]&lt;&gt;"Welded",Reinforcements[[#This Row],[Bottom Longitudinal (Vertical) Weld]]="None",Reinforcements[[#This Row],[Bottom Longitudinal (Vertical) Weld]]=""),"-",""))</f>
        <v>-</v>
      </c>
      <c r="AY51" s="6" t="str">
        <f>IF(Reinforcements[[#This Row],[Reinforcement]]="","",IF(OR(Reinforcements[[#This Row],[Bottom End Connection Type]]&lt;&gt;"Welded",Reinforcements[[#This Row],[Bottom Longitudinal (Vertical) Weld]]="None"),"-",SQRT(2)/2*Reinforcements[[#This Row],[Bottom Longitudinal Weld Fillet Size (in)]]))</f>
        <v>-</v>
      </c>
      <c r="AZ51" s="111" t="s">
        <v>357</v>
      </c>
      <c r="BA51" s="16" t="str">
        <f>IF(Reinforcements[[#This Row],[Top End Connection Same?]]="Yes",Reinforcements[[#This Row],[Bottom End Connection Type]],"")</f>
        <v>Bolted</v>
      </c>
      <c r="BB51" s="16" t="str">
        <f>IF(Reinforcements[[#This Row],[Reinforcement]]="","",IF(Reinforcements[[#This Row],[Top End Connection Same?]]="Yes",Reinforcements[[#This Row],[Rev. F Bottom Connection Capacity (kips)]],IF(Reinforcements[[#This Row],[Reinforcement]]="","",IF(Reinforcements[[#This Row],[Top End Connection Type]]&lt;&gt;"Capacity Input","-",""))))</f>
        <v>-</v>
      </c>
      <c r="BC51" s="16" t="str">
        <f>IF(Reinforcements[[#This Row],[Reinforcement]]="","",IF(Reinforcements[[#This Row],[Top End Connection Same?]]="Yes",Reinforcements[[#This Row],[Rev. G Bottom Connection Capacity (kips)]],IF(Reinforcements[[#This Row],[Reinforcement]]="","",IF(Reinforcements[[#This Row],[Top End Connection Type]]&lt;&gt;"Capacity Input","-",""))))</f>
        <v>-</v>
      </c>
      <c r="BD51" s="16" t="str">
        <f>IF(Reinforcements[[#This Row],[Reinforcement]]="","",IF(Reinforcements[[#This Row],[Top End Connection Same?]]="Yes",Reinforcements[[#This Row],[Rev. G Bottom Connection Capacity (kips)]],IF(Reinforcements[[#This Row],[Reinforcement]]="","",IF(Reinforcements[[#This Row],[Top End Connection Type]]&lt;&gt;"Capacity Input","-",""))))</f>
        <v>-</v>
      </c>
      <c r="BE51" s="74" t="str">
        <f>IF(Reinforcements[[#This Row],[Top End Connection Same?]]="Yes",Reinforcements[[#This Row],[Bottom End Connection Bolt Type]],IF(Reinforcements[[#This Row],[Top End Connection Type]]="Welded","-",""))</f>
        <v>PC 8.8 - M20 (100)</v>
      </c>
      <c r="BF51" s="6" t="str">
        <f>IF(Reinforcements[[#This Row],[Top End Connection Same?]]="Yes",Reinforcements[[#This Row],[Threads Included (N) or Excluded (X) (Bottom)]],IF(Reinforcements[[#This Row],[Top End Connection Type]]="Welded","-",""))</f>
        <v>N</v>
      </c>
      <c r="BG51" s="6">
        <f>IF(Reinforcements[[#This Row],[Top End Connection Same?]]="Yes",Reinforcements[[#This Row],['# of End Connection Bolts          (Bottom)]],IF(Reinforcements[[#This Row],[Top End Connection Type]]="Welded","-",""))</f>
        <v>4</v>
      </c>
      <c r="BH51" s="6">
        <f>IF(Reinforcements[[#This Row],[Top End Connection Same?]]="Yes",Reinforcements[[#This Row],[End Connection Bolt Spacing (in) (B)]],IF(Reinforcements[[#This Row],[Top End Connection Type]]="Welded","-",""))</f>
        <v>3</v>
      </c>
      <c r="BI51" s="6">
        <f>IF(Reinforcements[[#This Row],[Top End Connection Same?]]="Yes",Reinforcements[[#This Row],[End Connection Edge Distance (in) (B)]],IF(Reinforcements[[#This Row],[Top End Connection Type]]="Welded","-",""))</f>
        <v>3</v>
      </c>
      <c r="BJ51" s="6">
        <f>Reinforcements[[#This Row],[End Connection Edge Distance (in) (T)]]-(Reinforcements[[#This Row],[Bolt Hole Size (in)]]+1/16)/2</f>
        <v>2.375</v>
      </c>
      <c r="BK51" s="6">
        <f>Reinforcements[[#This Row],[End Connection Bolt Spacing (in) (T)]]-(Reinforcements[[#This Row],[Bolt Hole Size (in)]]+1/16)</f>
        <v>1.75</v>
      </c>
      <c r="BL51" s="6">
        <f>Reinforcements[[#This Row],[End Connection Edge Distance (in) (T)]]</f>
        <v>3</v>
      </c>
      <c r="BM51" s="6">
        <f>Reinforcements[[#This Row],[End Connection Bolt Spacing (in) (T)]]</f>
        <v>3</v>
      </c>
      <c r="BN51" s="6" t="str">
        <f>IF(Reinforcements[[#This Row],[Reinforcement]]="","",IF(Reinforcements[[#This Row],[Top End Connection Same?]]="Yes",Reinforcements[[#This Row],[Bottom Connected to Flange/Base Plate?]],IF(Reinforcements[[#This Row],[Top End Connection Type]]="Bolted","-","")))</f>
        <v>-</v>
      </c>
      <c r="BO51" s="6" t="str">
        <f>IF(Reinforcements[[#This Row],[Reinforcement]]="","",IF(Reinforcements[[#This Row],[Top End Connection Same?]]="Yes",Reinforcements[[#This Row],[Bottom Weld Grade (ksi)]],IF(OR(Reinforcements[[#This Row],[Top End Connection Type]]&lt;&gt;"Welded",Reinforcements[[#This Row],[Top End Connection Type]]=""),"-","")))</f>
        <v>-</v>
      </c>
      <c r="BP51" s="6" t="str">
        <f>IF($AZ51="Yes",AP51,IF(Reinforcements[[#This Row],[Reinforcement]]="","",IF(OR(Reinforcements[[#This Row],[Top End Connection Type]]&lt;&gt;"Welded",Reinforcements[[#This Row],[Top End Connection Type]]=""),"-","")))</f>
        <v>-</v>
      </c>
      <c r="BQ51" s="6" t="str">
        <f>IF(Reinforcements[[#This Row],[Reinforcement]]="","",IF($AZ51="Yes",AQ51,IF(OR(Reinforcements[[#This Row],[Top End Connection Type]]&lt;&gt;"Welded",Reinforcements[[#This Row],[Top Transverse (Horizontal) Weld]]="none",Reinforcements[[#This Row],[Top Transverse (Horizontal) Weld]]=""),"-","")))</f>
        <v>-</v>
      </c>
      <c r="BR51" s="6"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6"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6" t="str">
        <f>IF(Reinforcements[[#This Row],[Reinforcement]]="","",IF($AZ51="Yes",AT51,IF(OR(Reinforcements[[#This Row],[Top Transverse (Horizontal) Weld]]="none",Reinforcements[[#This Row],[Top End Connection Type]]&lt;&gt;"Welded",Reinforcements[[#This Row],[Top Transverse (Horizontal) Weld]]=""),"-","")))</f>
        <v>-</v>
      </c>
      <c r="BU51" s="6"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6" t="str">
        <f>IF($AZ51="Yes",AV51,IF(Reinforcements[[#This Row],[Reinforcement]]="","",IF(OR(Reinforcements[[#This Row],[Top End Connection Type]]&lt;&gt;"Welded",Reinforcements[[#This Row],[Top End Connection Type]]=""),"-","")))</f>
        <v>-</v>
      </c>
      <c r="BW51" s="6"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6"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6" t="str">
        <f>IF($AZ51="Yes",AY51,IF(Reinforcements[[#This Row],[Reinforcement]]="","",IF(OR(Reinforcements[[#This Row],[Top End Connection Type]]&lt;&gt;"Welded",Reinforcements[[#This Row],[Top Longitudinal (Vertical) Weld]]="none"),"-",SQRT(2)/2*Reinforcements[[#This Row],[Top Longitudinal Weld Fillet Size (in)]])))</f>
        <v>-</v>
      </c>
      <c r="BZ51"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11">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11">
        <f>IF(Reinforcements[[#This Row],[Reinforcement]]="","",IF(Reinforcements[[#This Row],[Top End Connection Type]]&lt;&gt;"Bolted","n/a",(Reinforcements[[#This Row],['# of End Connection Bolts          (Top)]]-1)*Reinforcements[[#This Row],[End Connection Bolt Spacing (in) (T)]]+Reinforcements[[#This Row],[End Connection Edge Distance (in) (T)]]))</f>
        <v>12</v>
      </c>
      <c r="CC5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6">
        <f>IFERROR(IF(Reinforcements[[#This Row],[Type]]="","",Reinforcements[[#This Row],[Effective B (in)]]*Reinforcements[[#This Row],[Effective H (in)]]^3/12),"")</f>
        <v>0.140625</v>
      </c>
      <c r="CF51" s="6">
        <f>IFERROR(IF(Reinforcements[[#This Row],[Type]]="","",Reinforcements[[#This Row],[Effective B (in)]]^3*Reinforcements[[#This Row],[Effective H (in)]]/12),"")</f>
        <v>4</v>
      </c>
      <c r="CG51" s="126">
        <f>SQRT(2*PI()^2*29000/VLOOKUP(Reinforcements[[#This Row],[Material]],Materials[],2,FALSE))</f>
        <v>93.844147005158973</v>
      </c>
      <c r="CH5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123">
        <f>Reinforcements[[#This Row],[Effective Length Factor Kx]]*Reinforcements[[#This Row],[Lu (in)]]/(Reinforcements[[#This Row],[rx]]*PI())*SQRT(VLOOKUP(Reinforcements[[#This Row],[Material]],Materials[],2,FALSE)/29000)</f>
        <v>0.93966042160675967</v>
      </c>
      <c r="CK51" s="123">
        <f>Reinforcements[[#This Row],[Effective Length Factor Ky]]*Reinforcements[[#This Row],[Lu (in)]]/(Reinforcements[[#This Row],[ry]]*PI())*SQRT(VLOOKUP(Reinforcements[[#This Row],[Material]],Materials[],2,FALSE)/29000)</f>
        <v>0.22023291131408426</v>
      </c>
      <c r="CL51" s="123">
        <f>IF(Reinforcements[[#This Row],[λcx]]&lt;=1.5,0.658^(Reinforcements[[#This Row],[λcx]]^2)*Reinforcements[[#This Row],[F''y]],0.877/(Reinforcements[[#This Row],[λcx]]^2)*Reinforcements[[#This Row],[F''y]])</f>
        <v>44.917314322557246</v>
      </c>
      <c r="CM51" s="123">
        <f>IF(Reinforcements[[#This Row],[λcy]]&lt;=1.5,0.658^(Reinforcements[[#This Row],[λcy]]^2)*Reinforcements[[#This Row],[F''y]],0.877/(Reinforcements[[#This Row],[λcy]]^2)*Reinforcements[[#This Row],[F''y]])</f>
        <v>63.69375479739702</v>
      </c>
      <c r="CN51" s="6">
        <f>VLOOKUP(Reinforcements[[#This Row],[Material]],Materials[],2,FALSE)</f>
        <v>65</v>
      </c>
      <c r="CO51" s="126">
        <f>IF(Reinforcements[[#This Row],[Reinforcement]]="","",Reinforcements[[#This Row],[Fax]]*Reinforcements[[#This Row],[Gross Area (in2)]])</f>
        <v>80.863390187101515</v>
      </c>
      <c r="CP51" s="126">
        <f>IF(Reinforcements[[#This Row],[Reinforcement]]="","",Reinforcements[[#This Row],[Fay]]*Reinforcements[[#This Row],[Gross Area (in2)]])</f>
        <v>111.69913095440222</v>
      </c>
      <c r="CQ51" s="126">
        <f>IF(Reinforcements[[#This Row],[Reinforcement]]="","",0.6*VLOOKUP(Reinforcements[[#This Row],[Material]],Materials[],2,FALSE)*Reinforcements[[#This Row],[Gross Area (in2)]])</f>
        <v>117</v>
      </c>
      <c r="CR51" s="126">
        <f>IF(Reinforcements[[#This Row],[Reinforcement]]="","",0.5*VLOOKUP(Reinforcements[[#This Row],[Material]],Materials[],3,FALSE)*Reinforcements[[#This Row],[Net Area (in2)]]*Reinforcements[[#This Row],[Shear Lag (U)]])</f>
        <v>82.5</v>
      </c>
      <c r="CS51" s="126">
        <f>IF(Reinforcements[[#This Row],[Reinforcement]]="","",0.4*VLOOKUP(Reinforcements[[#This Row],[Material]],Materials[],2,FALSE)*Reinforcements[[#This Row],[Gross Area (in2)]])</f>
        <v>78</v>
      </c>
      <c r="CT51"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6"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6"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126">
        <f>IF(Reinforcements[[#This Row],[Reinforcement]]="","",φ_c*Reinforcements[[#This Row],[Fcr,x]]*Reinforcements[[#This Row],[Gross Area (in2)]])</f>
        <v>121.27674867090457</v>
      </c>
      <c r="DI51" s="126">
        <f>IF(Reinforcements[[#This Row],[Reinforcement]]="","",φ_c*Reinforcements[[#This Row],[Fcr,y]]*Reinforcements[[#This Row],[Gross Area (in2)]])</f>
        <v>171.97313795297197</v>
      </c>
      <c r="DJ51" s="126">
        <f>IF(Reinforcements[[#This Row],[Reinforcement]]="","",φ_t_y*VLOOKUP(Reinforcements[[#This Row],[Material]],Materials[],2,FALSE)*Reinforcements[[#This Row],[Gross Area (in2)]])</f>
        <v>175.5</v>
      </c>
      <c r="DK51" s="126">
        <f>IF(Reinforcements[[#This Row],[Reinforcement]]="","",φ_t_r*VLOOKUP(Reinforcements[[#This Row],[Material]],Materials[],3,FALSE)*Reinforcements[[#This Row],[Net Area (in2)]]*Reinforcements[[#This Row],[Shear Lag (U)]])</f>
        <v>123.75</v>
      </c>
      <c r="DL51" s="126">
        <f>IF(Reinforcements[[#This Row],[Reinforcement]]="","",φ_v*0.5*Reinforcements[[#This Row],[F''y]]*Reinforcements[[#This Row],[Gross Area (in2)]])</f>
        <v>87.75</v>
      </c>
      <c r="DM51"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6"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6"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111" t="str">
        <f>IF(OR(Reinforcements[[#This Row],[Type]]="plate",Reinforcements[[#This Row],[Type]]="solid round"),"N/A",Reinforcements[[#This Row],[B (in)]])</f>
        <v>N/A</v>
      </c>
      <c r="EB51" s="6" t="str">
        <f>IF(OR(Reinforcements[[#This Row],[Type]]="plate",Reinforcements[[#This Row],[Type]]="solid round"),"N/A",Reinforcements[[#This Row],[H (in)]])</f>
        <v>N/A</v>
      </c>
      <c r="EC51" s="6" t="str">
        <f>IF(OR(Reinforcements[[#This Row],[Type]]="plate",Reinforcements[[#This Row],[Type]]="solid round"),"N/A",Reinforcements[[#This Row],[B (in)]]-Reinforcements[[#This Row],['[Channel'] Flange Thickness (in)]])</f>
        <v>N/A</v>
      </c>
      <c r="ED51" s="6" t="str">
        <f>IF(OR(Reinforcements[[#This Row],[Type]]="plate",Reinforcements[[#This Row],[Type]]="solid round"),"N/A",Reinforcements[[#This Row],['[Channel']Web Thickness (in)]])</f>
        <v>N/A</v>
      </c>
      <c r="EE51" s="6" t="str">
        <f>IF(OR(Reinforcements[[#This Row],[Type]]="plate",Reinforcements[[#This Row],[Type]]="solid round"),"N/A",Reinforcements[[#This Row],['[Channel'] Flange Thickness (in)]])</f>
        <v>N/A</v>
      </c>
      <c r="EF51" s="6" t="str">
        <f>IF(Reinforcements[[#This Row],[Type]]="channel",Reinforcements[[#This Row],[Channel Flange Width, b]]/Reinforcements[[#This Row],[Channel flange thickness, tf]],"N/A")</f>
        <v>N/A</v>
      </c>
      <c r="EG51" s="6" t="str">
        <f>IF(Reinforcements[[#This Row],[Type]]="channel",Reinforcements[[#This Row],[Channel inside depth, T]]/Reinforcements[[#This Row],[Channel web thickness, tw]],"N/A")</f>
        <v>N/A</v>
      </c>
      <c r="EH51" s="6">
        <f>29000</f>
        <v>29000</v>
      </c>
      <c r="EI51" s="6" t="str">
        <f>IF(Reinforcements[[#This Row],[Type]]="channel",0.56*SQRT(Reinforcements[[#This Row],[E, (ksi)]]/Reinforcements[[#This Row],[Fy, (ksi)]]),"N/A")</f>
        <v>N/A</v>
      </c>
      <c r="EJ51" s="6" t="str">
        <f>IF(Reinforcements[[#This Row],[Type]]="channel",1.49*SQRT(Reinforcements[[#This Row],[E, (ksi)]]/Reinforcements[[#This Row],[Fy, (ksi)]]),"N/A")</f>
        <v>N/A</v>
      </c>
      <c r="EK51" s="6">
        <f>VLOOKUP(Reinforcements[[#This Row],[Material]],Materials!$B$2:$C$30,2,FALSE)</f>
        <v>65</v>
      </c>
      <c r="EL51" s="6">
        <f>Reinforcements[[#This Row],[Lu (in)]]*Reinforcements[[#This Row],[Effective Length Factor Kx]]</f>
        <v>13.5</v>
      </c>
      <c r="EM51" s="6">
        <f>Reinforcements[[#This Row],[Lu (in)]]*Reinforcements[[#This Row],[Effective Length Factor Ky]]</f>
        <v>16.875</v>
      </c>
      <c r="EN51" s="6">
        <f>Reinforcements[[#This Row],[rx]]</f>
        <v>0.21650635094610965</v>
      </c>
      <c r="EO51" s="6">
        <f>Reinforcements[[#This Row],[ry]]</f>
        <v>1.1547005383792515</v>
      </c>
      <c r="EP51" s="6">
        <f>Reinforcements[[#This Row],[Lcx (in)]]/Reinforcements[[#This Row],[rx (in)]]</f>
        <v>62.353829072479584</v>
      </c>
      <c r="EQ51" s="6">
        <f>Reinforcements[[#This Row],[Lcy (in)]]/Reinforcements[[#This Row],[ry (in)]]</f>
        <v>14.614178688862403</v>
      </c>
      <c r="ER51" s="6">
        <f>((PI()^2)*Reinforcements[[#This Row],[E, (ksi)]])/(Reinforcements[[#This Row],[Lcx/rx]]^2)</f>
        <v>73.615876448454571</v>
      </c>
      <c r="ES51" s="6">
        <f>((PI()^2)*Reinforcements[[#This Row],[E, (ksi)]])/(Reinforcements[[#This Row],[Lcy/ry]]^2)</f>
        <v>1340.1361330349773</v>
      </c>
      <c r="ET51" s="6">
        <f>4.71*(SQRT(Reinforcements[[#This Row],[E, (ksi)]]/Reinforcements[[#This Row],[Fy, (ksi)]]))</f>
        <v>99.486288193205496</v>
      </c>
      <c r="EU51" s="6">
        <f>IF(Reinforcements[[#This Row],[Lcx/rx]]&lt;=Reinforcements[[#This Row],[Fcr Limit]],(0.658^(Reinforcements[[#This Row],[Fy, (ksi)]]/Reinforcements[[#This Row],[Fex, FB (ksi)]]))*Reinforcements[[#This Row],[Fy, (ksi)]],0.877*Reinforcements[[#This Row],[Fex, FB (ksi)]])</f>
        <v>44.917314322557253</v>
      </c>
      <c r="EV51" s="6">
        <f>IF(Reinforcements[[#This Row],[Lcy/ry]]&lt;=Reinforcements[[#This Row],[Fcr Limit]],(0.658^(Reinforcements[[#This Row],[Fy, (ksi)]]/Reinforcements[[#This Row],[Fey, FB (ksi)]]))*Reinforcements[[#This Row],[Fy, (ksi)]],0.877*Reinforcements[[#This Row],[Fey, FB (ksi)]])</f>
        <v>63.693754797397013</v>
      </c>
      <c r="EW51" s="6">
        <f>Reinforcements[[#This Row],[Fcrx (ksi)]]*Reinforcements[[#This Row],[Gross Area (in2)]]</f>
        <v>134.75194296767177</v>
      </c>
      <c r="EX51" s="6">
        <f>Reinforcements[[#This Row],[Fcry (ksi)]]*Reinforcements[[#This Row],[Gross Area (in2)]]</f>
        <v>191.08126439219103</v>
      </c>
      <c r="EY51" s="6" t="str">
        <f>IF(Reinforcements[[#This Row],[Type]]="channel",0,"N/A")</f>
        <v>N/A</v>
      </c>
      <c r="EZ51" s="6" t="str">
        <f>IF(Reinforcements[[#This Row],[Type]]="channel",Reinforcements[[#This Row],[Channel Flange Width, b]]-(0.5*Reinforcements[[#This Row],[Channel web thickness, tw]]),"N/A")</f>
        <v>N/A</v>
      </c>
      <c r="FA51" s="6" t="str">
        <f>IF(Reinforcements[[#This Row],[Type]]="channel",Reinforcements[[#This Row],[Channel Height, h]]-Reinforcements[[#This Row],[Channel flange thickness, tf]],"N/A")</f>
        <v>N/A</v>
      </c>
      <c r="FB51" s="6" t="str">
        <f>IF(Reinforcements[[#This Row],[Type]]="channel",Reinforcements[[#This Row],[Channel web thickness, tw]],"N/A")</f>
        <v>N/A</v>
      </c>
      <c r="FC51" s="6" t="str">
        <f>IF(Reinforcements[[#This Row],[Type]]="channel",((3*Reinforcements[[#This Row],[b]]^2)/(Reinforcements[[#This Row],[h]]+(6*Reinforcements[[#This Row],[b]])))-Reinforcements[[#This Row],[t]]/2,"N/A")</f>
        <v>N/A</v>
      </c>
      <c r="FD51" s="6">
        <f>Reinforcements[[#This Row],[Pole Face to Centroid (in)]]</f>
        <v>0.375</v>
      </c>
      <c r="FE51" s="6" t="str">
        <f>IF(Reinforcements[[#This Row],[Type]]="channel",Reinforcements[[#This Row],[x(bar)]]+Reinforcements[[#This Row],['[Channel'] e0 (in)]],"N/A")</f>
        <v>N/A</v>
      </c>
      <c r="FF51" s="6" t="str">
        <f>IF(Reinforcements[[#This Row],[Type]]="channel",Reinforcements[[#This Row],[Ix]],"N/A")</f>
        <v>N/A</v>
      </c>
      <c r="FG51" s="6" t="str">
        <f>IF(Reinforcements[[#This Row],[Type]]="channel",Reinforcements[[#This Row],[Iy]],"N/A")</f>
        <v>N/A</v>
      </c>
      <c r="FH51" s="6" t="str">
        <f>IF(Reinforcements[[#This Row],[Type]]="channel",Reinforcements[[#This Row],[Gross Area (in2)]],"N/A")</f>
        <v>N/A</v>
      </c>
      <c r="FI51" s="6" t="str">
        <f>IF(Reinforcements[[#This Row],[Type]]="channel",(Reinforcements[[#This Row],[xo]]^2)+((Reinforcements[[#This Row],[Ix (FTB)]]+Reinforcements[[#This Row],[Iy (FTB)]])/Reinforcements[[#This Row],[Ag]]),"N/A")</f>
        <v>N/A</v>
      </c>
      <c r="FJ51" s="6" t="str">
        <f>IF(Reinforcements[[#This Row],[Type]]="channel",Reinforcements[[#This Row],[Lu (in)]],"N/A")</f>
        <v>N/A</v>
      </c>
      <c r="FK51" s="6" t="str">
        <f>IF(Reinforcements[[#This Row],[Type]]="channel",Reinforcements[[#This Row],[Effective Length Factor Kx]],"N/A")</f>
        <v>N/A</v>
      </c>
      <c r="FL51" s="6" t="str">
        <f>IF(Reinforcements[[#This Row],[Type]]="channel",Reinforcements[[#This Row],[Kz]]*Reinforcements[[#This Row],[Lz]],"N/A")</f>
        <v>N/A</v>
      </c>
      <c r="FM51" s="6" t="str">
        <f>IF(Reinforcements[[#This Row],[Type]]="channel",(((Reinforcements[[#This Row],[t]]^3)/3)*(Reinforcements[[#This Row],[h]]+(2*Reinforcements[[#This Row],[b]]))),"N/A")</f>
        <v>N/A</v>
      </c>
      <c r="FN51" s="6" t="str">
        <f>IF(Reinforcements[[#This Row],[Type]]="channel",(1-(((Reinforcements[[#This Row],[xo]]^2)+(Reinforcements[[#This Row],[yo]]^2))/Reinforcements[[#This Row],[ro^2(bar)]])),"N/A")</f>
        <v>N/A</v>
      </c>
      <c r="FO51" s="6">
        <v>11200</v>
      </c>
      <c r="FP51" s="6" t="str">
        <f>IF(Reinforcements[[#This Row],[Type]]="channel",(((Reinforcements[[#This Row],[h]]^2)*(Reinforcements[[#This Row],[b]]^3)*Reinforcements[[#This Row],[t]])/12)*(((2*Reinforcements[[#This Row],[h]])+(3*Reinforcements[[#This Row],[b]]))/(Reinforcements[[#This Row],[h]]+(6*Reinforcements[[#This Row],[b]]))),"N/A")</f>
        <v>N/A</v>
      </c>
      <c r="FQ51" s="6" t="str">
        <f>IF(Reinforcements[[#This Row],[Type]]="Channel",((((PI()^2)*Reinforcements[[#This Row],[E, (ksi)]]*Reinforcements[[#This Row],['[Channel'] CW (in6)]])/(Reinforcements[[#This Row],[Lcz]]^2))+(Reinforcements[[#This Row],[G]]*Reinforcements[[#This Row],['[Channel'] J (in4)]]))*(1/(Reinforcements[[#This Row],[Ag]]*Reinforcements[[#This Row],[ro^2(bar)]])),"N/A")</f>
        <v>N/A</v>
      </c>
      <c r="FR51" s="6" t="str">
        <f>IF(Reinforcements[[#This Row],[Type]]="channel",((PI()^2)*Reinforcements[[#This Row],[E, (ksi)]])/(Reinforcements[[#This Row],[Lcy/ry]]^2),"N/A")</f>
        <v>N/A</v>
      </c>
      <c r="FS51" s="6" t="str">
        <f>IF(Reinforcements[[#This Row],[Type]]="channel",((Reinforcements[[#This Row],[Fey]]+Reinforcements[[#This Row],[Fez]])/(2*Reinforcements[[#This Row],[H2]]))*(1-SQRT(1-((4*Reinforcements[[#This Row],[Fey]]*Reinforcements[[#This Row],[Fez]]*Reinforcements[[#This Row],[H2]])/(Reinforcements[[#This Row],[Fey]]+Reinforcements[[#This Row],[Fez]])^2))),"N/A")</f>
        <v>N/A</v>
      </c>
      <c r="FT51" s="6" t="str">
        <f>IF(Reinforcements[[#This Row],[Type]]="channel",IF(Reinforcements[[#This Row],[Lcx/rx]]&gt;(4.71*SQRT(Reinforcements[[#This Row],[E, (ksi)]]/Reinforcements[[#This Row],[Fy, (ksi)]])),0.877*Reinforcements[[#This Row],[Fe (FTB)]],0.658^(Reinforcements[[#This Row],[Fy, (ksi)]]/Reinforcements[[#This Row],[Fe (FTB)]])*Reinforcements[[#This Row],[Fy, (ksi)]]),"N/A")</f>
        <v>N/A</v>
      </c>
      <c r="FU51" s="6" t="str">
        <f>IF(Reinforcements[[#This Row],[Type]]="channel",MIN(Reinforcements[[#This Row],[Fcr(FTB)]],Reinforcements[[#This Row],[Fcry (ksi)]]),"N/A")</f>
        <v>N/A</v>
      </c>
      <c r="FV51" s="6">
        <v>0.22</v>
      </c>
      <c r="FW51" s="6">
        <v>1.49</v>
      </c>
      <c r="FX51" s="6" t="str">
        <f>IF(Reinforcements[[#This Row],[Type]]="channel",((Reinforcements[[#This Row],[c2]]*(Reinforcements[[#This Row],[λrf]]/Reinforcements[[#This Row],[λf]]))^2)*Reinforcements[[#This Row],[Fy, (ksi)]],"N/A")</f>
        <v>N/A</v>
      </c>
      <c r="FY51" s="6" t="str">
        <f>IF(Reinforcements[[#This Row],[Type]]="channel",((Reinforcements[[#This Row],[c2]]*(Reinforcements[[#This Row],[λrw]]/Reinforcements[[#This Row],[λw]]))^2)*Reinforcements[[#This Row],[Fy, (ksi)]],"N/A")</f>
        <v>N/A</v>
      </c>
      <c r="FZ51"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6" t="str">
        <f>IF(Reinforcements[[#This Row],[Type]]="channel",Reinforcements[[#This Row],[Fcr]]*Reinforcements[[#This Row],[Ae]],"N/A")</f>
        <v>N/A</v>
      </c>
      <c r="GD51">
        <f>IF(Reinforcements[[#This Row],[Reinforcement]]="","",φ_c*Reinforcements[[#This Row],[Pnx, FB (kip)]])</f>
        <v>121.2767486709046</v>
      </c>
      <c r="GE51">
        <f>IF(Reinforcements[[#This Row],[Reinforcement]]="","",IF(Reinforcements[[#This Row],[Type]]="channel",φ_c*Reinforcements[[#This Row],[Pn]],φ_c*Reinforcements[[#This Row],[Pny, FB (kip)]]))</f>
        <v>171.97313795297194</v>
      </c>
      <c r="GF51">
        <f>Reinforcements[[#This Row],[Rev. G Tension Yield Capacity (kips)]]</f>
        <v>175.5</v>
      </c>
      <c r="GG51">
        <f>Reinforcements[[#This Row],[Rev. G Tension Rupture Capacity (kips)]]</f>
        <v>123.75</v>
      </c>
      <c r="GH51">
        <f>Reinforcements[[#This Row],[Rev. G Shear Capacity (kips)]]</f>
        <v>87.75</v>
      </c>
      <c r="GI51">
        <f>IFERROR((Reinforcements[[#This Row],['# of End Connection Bolts          (Bottom)]]-1)*Reinforcements[[#This Row],[End Connection Bolt Spacing (in) (B)]],"-")</f>
        <v>9</v>
      </c>
      <c r="GJ51">
        <f>IFERROR(IF(VLOOKUP(Reinforcements[[#This Row],[Bottom End Connection Bolt Type]],Bolts[],COLUMN(Bolts[[#Headers],[Rev. H Apply Connection Length Reduction Factor (Rb)?]])-1,FALSE)="Yes",(IF(Reinforcements[[#This Row],[Lb(bottom)]]&lt;=16,1,IF(Reinforcements[[#This Row],[Lb(bottom)]]&gt;38,0.75,0.9))),1),"-")</f>
        <v>1</v>
      </c>
      <c r="GK51">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f>IFERROR(IF(Reinforcements[[#This Row],[Top End Connection Same?]]="Yes",Reinforcements[[#This Row],[Lb(bottom)]],(Reinforcements[[#This Row],['# of End Connection Bolts          (Top)]]-1)*Reinforcements[[#This Row],[End Connection Bolt Spacing (in) (T)]]),"-")</f>
        <v>9</v>
      </c>
      <c r="GM51">
        <f>IFERROR(IF(VLOOKUP(Reinforcements[[#This Row],[Top End Connection Bolt Type]],Bolts[],COLUMN(Bolts[[#Headers],[Rev. H Apply Connection Length Reduction Factor (Rb)?]])-1,FALSE)=TRUE,(IF(Reinforcements[[#This Row],[Lb(top)]]&lt;=16,1,IF(Reinforcements[[#This Row],[Lb(top)]]&gt;38,0.75,0.9))),1),"-")</f>
        <v>1</v>
      </c>
      <c r="GN5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f>Reinforcements[[#This Row],[Rev. G Bolt-Shaft Bearing Capacity (Bottom)                No Deformation          (*t*Fu kips)]]</f>
        <v>8.0541732283464569</v>
      </c>
      <c r="GP51">
        <f>Reinforcements[[#This Row],[Rev. G Bolt-Shaft Bearing Capacity (Bottom)                   Deformation          (*t*Fu kips)]]</f>
        <v>10.067716535433071</v>
      </c>
      <c r="GQ51">
        <f>Reinforcements[[#This Row],[Rev. G Bolt-Shaft Bearing Capacity (Top)                    No Deformation          (*t*Fu kips)]]</f>
        <v>8.0541732283464569</v>
      </c>
      <c r="GR51">
        <f>Reinforcements[[#This Row],[Rev. G Bolt-Shaft Bearing Capacity (Top)                        Deformation          (*t*Fu kips)]]</f>
        <v>10.067716535433071</v>
      </c>
      <c r="GS51">
        <f>Reinforcements[[#This Row],[Rev. G Bolt-Reinf. Bearing Capacity (Bottom)            No Deformation (kips)]]</f>
        <v>483.25039370078741</v>
      </c>
      <c r="GT51">
        <f>Reinforcements[[#This Row],[Rev. G Bolt-Reinf. Bearing Capacity (Bottom)               Deformation (kips)]]</f>
        <v>604.06299212598424</v>
      </c>
      <c r="GU51">
        <f>Reinforcements[[#This Row],[Rev. G Bolt-Reinf. Bearing Capacity (Top)                  No Deformation (kips)]]</f>
        <v>483.25039370078741</v>
      </c>
      <c r="GV51">
        <f>Reinforcements[[#This Row],[Rev. G Bolt-Reinf. Bearing Capacity (Top)               Deformation (kips)]]</f>
        <v>604.06299212598424</v>
      </c>
      <c r="GW51" t="str">
        <f>Reinforcements[[#This Row],[Rev. G Bottom Transverse Weld Strength]]</f>
        <v>-</v>
      </c>
      <c r="GX51" t="str">
        <f>Reinforcements[[#This Row],[Rev. G Bottom Longitudinal Weld Strength]]</f>
        <v>-</v>
      </c>
      <c r="GY51" t="str">
        <f>Reinforcements[[#This Row],[Rev. G Top Transverse Weld Strength]]</f>
        <v>-</v>
      </c>
      <c r="GZ51" t="str">
        <f>Reinforcements[[#This Row],[Rev. G Top Longitudinal Weld Strength]]</f>
        <v>-</v>
      </c>
      <c r="HA51">
        <v>49</v>
      </c>
      <c r="HB51"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49" t="s">
        <v>410</v>
      </c>
      <c r="C52" s="49" t="s">
        <v>352</v>
      </c>
      <c r="D52" s="6">
        <v>4</v>
      </c>
      <c r="E52" s="6">
        <v>0.75</v>
      </c>
      <c r="F52" s="6" t="str">
        <f>IF(Reinforcements[[#This Row],[Type]]="","",IF(Reinforcements[[#This Row],[Type]]="solid round","","n/a"))</f>
        <v>n/a</v>
      </c>
      <c r="G52" s="6" t="str">
        <f>IF(Reinforcements[[#This Row],[Type]]="","",IF(Reinforcements[[#This Row],[Type]]&lt;&gt;"channel","n/a",""))</f>
        <v>n/a</v>
      </c>
      <c r="H52" s="6" t="str">
        <f>IF(Reinforcements[[#This Row],[Type]]="","",IF(Reinforcements[[#This Row],[Type]]&lt;&gt;"channel","n/a",""))</f>
        <v>n/a</v>
      </c>
      <c r="I52" s="126" t="str">
        <f>IF(Reinforcements[[#This Row],[Type]]="","",IF(Reinforcements[[#This Row],[Type]]&lt;&gt;"channel","n/a",Reinforcements[[#This Row],[eo]]))</f>
        <v>n/a</v>
      </c>
      <c r="J52" s="126" t="str">
        <f>IF(Reinforcements[[#This Row],[Type]]="","",IF(Reinforcements[[#This Row],[Type]]&lt;&gt;"channel","n/a",Reinforcements[[#This Row],[J]]))</f>
        <v>n/a</v>
      </c>
      <c r="K52" s="126" t="str">
        <f>IF(Reinforcements[[#This Row],[Type]]="","",IF(Reinforcements[[#This Row],[Type]]&lt;&gt;"channel","n/a",Reinforcements[[#This Row],[Cw]]))</f>
        <v>n/a</v>
      </c>
      <c r="L52" s="6">
        <f>IFERROR(IF(Reinforcements[[#This Row],[Type]]="","",IF(Reinforcements[[#This Row],[Type]]="plate",Reinforcements[[#This Row],[B (in)]]*Reinforcements[[#This Row],[H (in)]],IF(Reinforcements[[#This Row],[Type]]="solid round",PI()/4*Reinforcements[[#This Row],[Diameter (in)]]^2,""))),"")</f>
        <v>3</v>
      </c>
      <c r="M52" s="6">
        <f>IFERROR(IF(Reinforcements[[#This Row],[Type]]="","",IF(Reinforcements[[#This Row],[Type]]="plate",Reinforcements[[#This Row],[H (in)]]/2,"")),"")</f>
        <v>0.375</v>
      </c>
      <c r="N52" s="16" t="s">
        <v>353</v>
      </c>
      <c r="O52" s="6" t="s">
        <v>138</v>
      </c>
      <c r="P52" s="123">
        <f>IFERROR(IF(Reinforcements[[#This Row],[Type]]="","",IF(Reinforcements[[#This Row],[Type]]="plate",Reinforcements[[#This Row],[B (in)]]*Reinforcements[[#This Row],[H (in)]]^3/12,IF(Reinforcements[[#This Row],[Type]]="solid round",PI()/64*Reinforcements[[#This Row],[Diameter (in)]]^4,""))),"")</f>
        <v>0.140625</v>
      </c>
      <c r="Q52" s="123">
        <f>IF(Reinforcements[[#This Row],[Reinforcement]]="","",SQRT(Reinforcements[[#This Row],[Ix]]/Reinforcements[[#This Row],[Gross Area (in2)]]))</f>
        <v>0.21650635094610965</v>
      </c>
      <c r="R52" s="123">
        <f>IFERROR(IF(Reinforcements[[#This Row],[Type]]="","",IF(Reinforcements[[#This Row],[Type]]="plate",Reinforcements[[#This Row],[B (in)]]^3*Reinforcements[[#This Row],[H (in)]]/12,IF(Reinforcements[[#This Row],[Type]]="solid round",PI()/64*Reinforcements[[#This Row],[Diameter (in)]]^4,""))),"")</f>
        <v>4</v>
      </c>
      <c r="S52" s="123">
        <f>IF(Reinforcements[[#This Row],[Reinforcement]]="","",SQRT(Reinforcements[[#This Row],[Iy]]/Reinforcements[[#This Row],[Gross Area (in2)]]))</f>
        <v>1.1547005383792515</v>
      </c>
      <c r="T52" s="6">
        <v>16.875</v>
      </c>
      <c r="U52" s="6">
        <v>0.8</v>
      </c>
      <c r="V52" s="6">
        <v>1</v>
      </c>
      <c r="W52" s="6">
        <v>1.25</v>
      </c>
      <c r="X52" s="6">
        <f>IF(Reinforcements[[#This Row],[Bolt Hole Size (in)]]="","",IF(Reinforcements[[#This Row],[Bolt Hole Size (in)]]="n/a","n/a",Reinforcements[[#This Row],[Bolt Hole Size (in)]]*25.4))</f>
        <v>31.75</v>
      </c>
      <c r="Y5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6">
        <f>IFERROR(IF(Reinforcements[[#This Row],[Reinforcement]]="","",IF(OR(Reinforcements[[#This Row],[Type]]="plate",Reinforcements[[#This Row],[Type]]="solid round"),1,IF(Reinforcements[[#This Row],[Type]]="arbitrary","",1-Reinforcements[[#This Row],[Pole Face to Centroid (in)]]/Reinforcements[[#This Row],[Connection Length (in) '[Channels']]]))),"")</f>
        <v>1</v>
      </c>
      <c r="AA52" s="34" t="s">
        <v>354</v>
      </c>
      <c r="AB52" s="34" t="str">
        <f>IF(Reinforcements[[#This Row],[Reinforcement]]="","",IF(Reinforcements[[#This Row],[Bottom End Connection Type]]&lt;&gt;"Capacity Input","-",""))</f>
        <v>-</v>
      </c>
      <c r="AC52" s="34" t="str">
        <f>IF(Reinforcements[[#This Row],[Reinforcement]]="","",IF(Reinforcements[[#This Row],[Bottom End Connection Type]]&lt;&gt;"Capacity Input","-",""))</f>
        <v>-</v>
      </c>
      <c r="AD52" s="16" t="str">
        <f>IF(Reinforcements[[#This Row],[Reinforcement]]="","",IF(Reinforcements[[#This Row],[Bottom End Connection Type]]&lt;&gt;"Capacity Input","-",""))</f>
        <v>-</v>
      </c>
      <c r="AE52" s="74" t="s">
        <v>355</v>
      </c>
      <c r="AF52" s="6" t="s">
        <v>356</v>
      </c>
      <c r="AG52" s="6">
        <v>4</v>
      </c>
      <c r="AH52" s="6">
        <v>3</v>
      </c>
      <c r="AI52" s="6">
        <v>3</v>
      </c>
      <c r="AJ52" s="6">
        <f>Reinforcements[[#This Row],[End Connection Edge Distance (in) (B)]]-(Reinforcements[[#This Row],[Bolt Hole Size (in)]]+1/16)/2</f>
        <v>2.34375</v>
      </c>
      <c r="AK52" s="6">
        <f>Reinforcements[[#This Row],[End Connection Bolt Spacing (in) (B)]]-(Reinforcements[[#This Row],[Bolt Hole Size (in)]]+1/16)</f>
        <v>1.6875</v>
      </c>
      <c r="AL52" s="6">
        <f>Reinforcements[[#This Row],[End Connection Edge Distance (in) (B)]]</f>
        <v>3</v>
      </c>
      <c r="AM52" s="6">
        <f>Reinforcements[[#This Row],[End Connection Bolt Spacing (in) (B)]]</f>
        <v>3</v>
      </c>
      <c r="AN52" s="6" t="str">
        <f>IF(Reinforcements[[#This Row],[Reinforcement]]="","",IF(OR(Reinforcements[[#This Row],[Bottom End Connection Type]]="Bolted",Reinforcements[[#This Row],[Bottom End Connection Type]]=""),"-",""))</f>
        <v>-</v>
      </c>
      <c r="AO52" s="111" t="str">
        <f>IF(Reinforcements[[#This Row],[Reinforcement]]="","",IF(OR(Reinforcements[[#This Row],[Bottom End Connection Type]]="Bolted",Reinforcements[[#This Row],[Bottom End Connection Type]]=""),"-",""))</f>
        <v>-</v>
      </c>
      <c r="AP52" s="111" t="str">
        <f>IF(Reinforcements[[#This Row],[Reinforcement]]="","",IF(OR(Reinforcements[[#This Row],[Bottom End Connection Type]]="Bolted",Reinforcements[[#This Row],[Bottom End Connection Type]]=""),"-",""))</f>
        <v>-</v>
      </c>
      <c r="AQ52" s="111" t="str">
        <f>IF(OR(Reinforcements[[#This Row],[Bottom End Connection Type]]="Bolted",Reinforcements[[#This Row],[Bottom Transverse (Horizontal) Weld]]="none"),"-","")</f>
        <v>-</v>
      </c>
      <c r="AR5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11" t="str">
        <f>IF(OR(Reinforcements[[#This Row],[Bottom Transverse (Horizontal) Weld]]="none",Reinforcements[[#This Row],[Bottom End Connection Type]]="Bolted"),"-","")</f>
        <v>-</v>
      </c>
      <c r="AU5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11" t="str">
        <f>IF(Reinforcements[[#This Row],[Reinforcement]]="","",IF(OR(Reinforcements[[#This Row],[Bottom End Connection Type]]="Bolted",Reinforcements[[#This Row],[Bottom End Connection Type]]=""),"-",""))</f>
        <v>-</v>
      </c>
      <c r="AW52" s="111" t="str">
        <f>IF(Reinforcements[[#This Row],[Reinforcement]]="","",IF(OR(Reinforcements[[#This Row],[Bottom End Connection Type]]&lt;&gt;"Welded",Reinforcements[[#This Row],[Bottom Longitudinal (Vertical) Weld]]="None",Reinforcements[[#This Row],[Bottom Longitudinal (Vertical) Weld]]=""),"-",""))</f>
        <v>-</v>
      </c>
      <c r="AX52" s="111" t="str">
        <f>IF(Reinforcements[[#This Row],[Reinforcement]]="","",IF(OR(Reinforcements[[#This Row],[Bottom End Connection Type]]&lt;&gt;"Welded",Reinforcements[[#This Row],[Bottom Longitudinal (Vertical) Weld]]="None",Reinforcements[[#This Row],[Bottom Longitudinal (Vertical) Weld]]=""),"-",""))</f>
        <v>-</v>
      </c>
      <c r="AY52" s="6" t="str">
        <f>IF(Reinforcements[[#This Row],[Reinforcement]]="","",IF(OR(Reinforcements[[#This Row],[Bottom End Connection Type]]&lt;&gt;"Welded",Reinforcements[[#This Row],[Bottom Longitudinal (Vertical) Weld]]="None"),"-",SQRT(2)/2*Reinforcements[[#This Row],[Bottom Longitudinal Weld Fillet Size (in)]]))</f>
        <v>-</v>
      </c>
      <c r="AZ52" s="111" t="s">
        <v>357</v>
      </c>
      <c r="BA52" s="16" t="str">
        <f>IF(Reinforcements[[#This Row],[Top End Connection Same?]]="Yes",Reinforcements[[#This Row],[Bottom End Connection Type]],"")</f>
        <v>Bolted</v>
      </c>
      <c r="BB52" s="16" t="str">
        <f>IF(Reinforcements[[#This Row],[Reinforcement]]="","",IF(Reinforcements[[#This Row],[Top End Connection Same?]]="Yes",Reinforcements[[#This Row],[Rev. F Bottom Connection Capacity (kips)]],IF(Reinforcements[[#This Row],[Reinforcement]]="","",IF(Reinforcements[[#This Row],[Top End Connection Type]]&lt;&gt;"Capacity Input","-",""))))</f>
        <v>-</v>
      </c>
      <c r="BC52" s="16" t="str">
        <f>IF(Reinforcements[[#This Row],[Reinforcement]]="","",IF(Reinforcements[[#This Row],[Top End Connection Same?]]="Yes",Reinforcements[[#This Row],[Rev. G Bottom Connection Capacity (kips)]],IF(Reinforcements[[#This Row],[Reinforcement]]="","",IF(Reinforcements[[#This Row],[Top End Connection Type]]&lt;&gt;"Capacity Input","-",""))))</f>
        <v>-</v>
      </c>
      <c r="BD52" s="16" t="str">
        <f>IF(Reinforcements[[#This Row],[Reinforcement]]="","",IF(Reinforcements[[#This Row],[Top End Connection Same?]]="Yes",Reinforcements[[#This Row],[Rev. G Bottom Connection Capacity (kips)]],IF(Reinforcements[[#This Row],[Reinforcement]]="","",IF(Reinforcements[[#This Row],[Top End Connection Type]]&lt;&gt;"Capacity Input","-",""))))</f>
        <v>-</v>
      </c>
      <c r="BE52" s="74" t="str">
        <f>IF(Reinforcements[[#This Row],[Top End Connection Same?]]="Yes",Reinforcements[[#This Row],[Bottom End Connection Bolt Type]],IF(Reinforcements[[#This Row],[Top End Connection Type]]="Welded","-",""))</f>
        <v>PC 8.8 - M20 (100)</v>
      </c>
      <c r="BF52" s="6" t="str">
        <f>IF(Reinforcements[[#This Row],[Top End Connection Same?]]="Yes",Reinforcements[[#This Row],[Threads Included (N) or Excluded (X) (Bottom)]],IF(Reinforcements[[#This Row],[Top End Connection Type]]="Welded","-",""))</f>
        <v>N</v>
      </c>
      <c r="BG52" s="6">
        <f>IF(Reinforcements[[#This Row],[Top End Connection Same?]]="Yes",Reinforcements[[#This Row],['# of End Connection Bolts          (Bottom)]],IF(Reinforcements[[#This Row],[Top End Connection Type]]="Welded","-",""))</f>
        <v>4</v>
      </c>
      <c r="BH52" s="6">
        <f>IF(Reinforcements[[#This Row],[Top End Connection Same?]]="Yes",Reinforcements[[#This Row],[End Connection Bolt Spacing (in) (B)]],IF(Reinforcements[[#This Row],[Top End Connection Type]]="Welded","-",""))</f>
        <v>3</v>
      </c>
      <c r="BI52" s="6">
        <f>IF(Reinforcements[[#This Row],[Top End Connection Same?]]="Yes",Reinforcements[[#This Row],[End Connection Edge Distance (in) (B)]],IF(Reinforcements[[#This Row],[Top End Connection Type]]="Welded","-",""))</f>
        <v>3</v>
      </c>
      <c r="BJ52" s="6">
        <f>Reinforcements[[#This Row],[End Connection Edge Distance (in) (T)]]-(Reinforcements[[#This Row],[Bolt Hole Size (in)]]+1/16)/2</f>
        <v>2.34375</v>
      </c>
      <c r="BK52" s="6">
        <f>Reinforcements[[#This Row],[End Connection Bolt Spacing (in) (T)]]-(Reinforcements[[#This Row],[Bolt Hole Size (in)]]+1/16)</f>
        <v>1.6875</v>
      </c>
      <c r="BL52" s="6">
        <f>Reinforcements[[#This Row],[End Connection Edge Distance (in) (T)]]</f>
        <v>3</v>
      </c>
      <c r="BM52" s="6">
        <f>Reinforcements[[#This Row],[End Connection Bolt Spacing (in) (T)]]</f>
        <v>3</v>
      </c>
      <c r="BN52" s="6" t="str">
        <f>IF(Reinforcements[[#This Row],[Reinforcement]]="","",IF(Reinforcements[[#This Row],[Top End Connection Same?]]="Yes",Reinforcements[[#This Row],[Bottom Connected to Flange/Base Plate?]],IF(Reinforcements[[#This Row],[Top End Connection Type]]="Bolted","-","")))</f>
        <v>-</v>
      </c>
      <c r="BO52" s="6" t="str">
        <f>IF(Reinforcements[[#This Row],[Reinforcement]]="","",IF(Reinforcements[[#This Row],[Top End Connection Same?]]="Yes",Reinforcements[[#This Row],[Bottom Weld Grade (ksi)]],IF(OR(Reinforcements[[#This Row],[Top End Connection Type]]&lt;&gt;"Welded",Reinforcements[[#This Row],[Top End Connection Type]]=""),"-","")))</f>
        <v>-</v>
      </c>
      <c r="BP52" s="6" t="str">
        <f>IF($AZ52="Yes",AP52,IF(Reinforcements[[#This Row],[Reinforcement]]="","",IF(OR(Reinforcements[[#This Row],[Top End Connection Type]]&lt;&gt;"Welded",Reinforcements[[#This Row],[Top End Connection Type]]=""),"-","")))</f>
        <v>-</v>
      </c>
      <c r="BQ52" s="6" t="str">
        <f>IF(Reinforcements[[#This Row],[Reinforcement]]="","",IF($AZ52="Yes",AQ52,IF(OR(Reinforcements[[#This Row],[Top End Connection Type]]&lt;&gt;"Welded",Reinforcements[[#This Row],[Top Transverse (Horizontal) Weld]]="none",Reinforcements[[#This Row],[Top Transverse (Horizontal) Weld]]=""),"-","")))</f>
        <v>-</v>
      </c>
      <c r="BR52" s="6"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6"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6" t="str">
        <f>IF(Reinforcements[[#This Row],[Reinforcement]]="","",IF($AZ52="Yes",AT52,IF(OR(Reinforcements[[#This Row],[Top Transverse (Horizontal) Weld]]="none",Reinforcements[[#This Row],[Top End Connection Type]]&lt;&gt;"Welded",Reinforcements[[#This Row],[Top Transverse (Horizontal) Weld]]=""),"-","")))</f>
        <v>-</v>
      </c>
      <c r="BU52" s="6"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6" t="str">
        <f>IF($AZ52="Yes",AV52,IF(Reinforcements[[#This Row],[Reinforcement]]="","",IF(OR(Reinforcements[[#This Row],[Top End Connection Type]]&lt;&gt;"Welded",Reinforcements[[#This Row],[Top End Connection Type]]=""),"-","")))</f>
        <v>-</v>
      </c>
      <c r="BW52" s="6"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6"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6" t="str">
        <f>IF($AZ52="Yes",AY52,IF(Reinforcements[[#This Row],[Reinforcement]]="","",IF(OR(Reinforcements[[#This Row],[Top End Connection Type]]&lt;&gt;"Welded",Reinforcements[[#This Row],[Top Longitudinal (Vertical) Weld]]="none"),"-",SQRT(2)/2*Reinforcements[[#This Row],[Top Longitudinal Weld Fillet Size (in)]])))</f>
        <v>-</v>
      </c>
      <c r="BZ52"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11">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11">
        <f>IF(Reinforcements[[#This Row],[Reinforcement]]="","",IF(Reinforcements[[#This Row],[Top End Connection Type]]&lt;&gt;"Bolted","n/a",(Reinforcements[[#This Row],['# of End Connection Bolts          (Top)]]-1)*Reinforcements[[#This Row],[End Connection Bolt Spacing (in) (T)]]+Reinforcements[[#This Row],[End Connection Edge Distance (in) (T)]]))</f>
        <v>12</v>
      </c>
      <c r="CC5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6">
        <f>IFERROR(IF(Reinforcements[[#This Row],[Type]]="","",Reinforcements[[#This Row],[Effective B (in)]]*Reinforcements[[#This Row],[Effective H (in)]]^3/12),"")</f>
        <v>0.140625</v>
      </c>
      <c r="CF52" s="6">
        <f>IFERROR(IF(Reinforcements[[#This Row],[Type]]="","",Reinforcements[[#This Row],[Effective B (in)]]^3*Reinforcements[[#This Row],[Effective H (in)]]/12),"")</f>
        <v>4</v>
      </c>
      <c r="CG52" s="126">
        <f>SQRT(2*PI()^2*29000/VLOOKUP(Reinforcements[[#This Row],[Material]],Materials[],2,FALSE))</f>
        <v>93.844147005158973</v>
      </c>
      <c r="CH5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123">
        <f>Reinforcements[[#This Row],[Effective Length Factor Kx]]*Reinforcements[[#This Row],[Lu (in)]]/(Reinforcements[[#This Row],[rx]]*PI())*SQRT(VLOOKUP(Reinforcements[[#This Row],[Material]],Materials[],2,FALSE)/29000)</f>
        <v>0.93966042160675967</v>
      </c>
      <c r="CK52" s="123">
        <f>Reinforcements[[#This Row],[Effective Length Factor Ky]]*Reinforcements[[#This Row],[Lu (in)]]/(Reinforcements[[#This Row],[ry]]*PI())*SQRT(VLOOKUP(Reinforcements[[#This Row],[Material]],Materials[],2,FALSE)/29000)</f>
        <v>0.22023291131408426</v>
      </c>
      <c r="CL52" s="123">
        <f>IF(Reinforcements[[#This Row],[λcx]]&lt;=1.5,0.658^(Reinforcements[[#This Row],[λcx]]^2)*Reinforcements[[#This Row],[F''y]],0.877/(Reinforcements[[#This Row],[λcx]]^2)*Reinforcements[[#This Row],[F''y]])</f>
        <v>44.917314322557246</v>
      </c>
      <c r="CM52" s="123">
        <f>IF(Reinforcements[[#This Row],[λcy]]&lt;=1.5,0.658^(Reinforcements[[#This Row],[λcy]]^2)*Reinforcements[[#This Row],[F''y]],0.877/(Reinforcements[[#This Row],[λcy]]^2)*Reinforcements[[#This Row],[F''y]])</f>
        <v>63.69375479739702</v>
      </c>
      <c r="CN52" s="6">
        <f>VLOOKUP(Reinforcements[[#This Row],[Material]],Materials[],2,FALSE)</f>
        <v>65</v>
      </c>
      <c r="CO52" s="126">
        <f>IF(Reinforcements[[#This Row],[Reinforcement]]="","",Reinforcements[[#This Row],[Fax]]*Reinforcements[[#This Row],[Gross Area (in2)]])</f>
        <v>80.863390187101515</v>
      </c>
      <c r="CP52" s="126">
        <f>IF(Reinforcements[[#This Row],[Reinforcement]]="","",Reinforcements[[#This Row],[Fay]]*Reinforcements[[#This Row],[Gross Area (in2)]])</f>
        <v>111.69913095440222</v>
      </c>
      <c r="CQ52" s="126">
        <f>IF(Reinforcements[[#This Row],[Reinforcement]]="","",0.6*VLOOKUP(Reinforcements[[#This Row],[Material]],Materials[],2,FALSE)*Reinforcements[[#This Row],[Gross Area (in2)]])</f>
        <v>117</v>
      </c>
      <c r="CR52" s="126">
        <f>IF(Reinforcements[[#This Row],[Reinforcement]]="","",0.5*VLOOKUP(Reinforcements[[#This Row],[Material]],Materials[],3,FALSE)*Reinforcements[[#This Row],[Net Area (in2)]]*Reinforcements[[#This Row],[Shear Lag (U)]])</f>
        <v>80.625</v>
      </c>
      <c r="CS52" s="126">
        <f>IF(Reinforcements[[#This Row],[Reinforcement]]="","",0.4*VLOOKUP(Reinforcements[[#This Row],[Material]],Materials[],2,FALSE)*Reinforcements[[#This Row],[Gross Area (in2)]])</f>
        <v>78</v>
      </c>
      <c r="CT52"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6"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6"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126">
        <f>IF(Reinforcements[[#This Row],[Reinforcement]]="","",φ_c*Reinforcements[[#This Row],[Fcr,x]]*Reinforcements[[#This Row],[Gross Area (in2)]])</f>
        <v>121.27674867090457</v>
      </c>
      <c r="DI52" s="126">
        <f>IF(Reinforcements[[#This Row],[Reinforcement]]="","",φ_c*Reinforcements[[#This Row],[Fcr,y]]*Reinforcements[[#This Row],[Gross Area (in2)]])</f>
        <v>171.97313795297197</v>
      </c>
      <c r="DJ52" s="126">
        <f>IF(Reinforcements[[#This Row],[Reinforcement]]="","",φ_t_y*VLOOKUP(Reinforcements[[#This Row],[Material]],Materials[],2,FALSE)*Reinforcements[[#This Row],[Gross Area (in2)]])</f>
        <v>175.5</v>
      </c>
      <c r="DK52" s="126">
        <f>IF(Reinforcements[[#This Row],[Reinforcement]]="","",φ_t_r*VLOOKUP(Reinforcements[[#This Row],[Material]],Materials[],3,FALSE)*Reinforcements[[#This Row],[Net Area (in2)]]*Reinforcements[[#This Row],[Shear Lag (U)]])</f>
        <v>120.9375</v>
      </c>
      <c r="DL52" s="126">
        <f>IF(Reinforcements[[#This Row],[Reinforcement]]="","",φ_v*0.5*Reinforcements[[#This Row],[F''y]]*Reinforcements[[#This Row],[Gross Area (in2)]])</f>
        <v>87.75</v>
      </c>
      <c r="DM52"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6"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6"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111" t="str">
        <f>IF(OR(Reinforcements[[#This Row],[Type]]="plate",Reinforcements[[#This Row],[Type]]="solid round"),"N/A",Reinforcements[[#This Row],[B (in)]])</f>
        <v>N/A</v>
      </c>
      <c r="EB52" s="6" t="str">
        <f>IF(OR(Reinforcements[[#This Row],[Type]]="plate",Reinforcements[[#This Row],[Type]]="solid round"),"N/A",Reinforcements[[#This Row],[H (in)]])</f>
        <v>N/A</v>
      </c>
      <c r="EC52" s="6" t="str">
        <f>IF(OR(Reinforcements[[#This Row],[Type]]="plate",Reinforcements[[#This Row],[Type]]="solid round"),"N/A",Reinforcements[[#This Row],[B (in)]]-Reinforcements[[#This Row],['[Channel'] Flange Thickness (in)]])</f>
        <v>N/A</v>
      </c>
      <c r="ED52" s="6" t="str">
        <f>IF(OR(Reinforcements[[#This Row],[Type]]="plate",Reinforcements[[#This Row],[Type]]="solid round"),"N/A",Reinforcements[[#This Row],['[Channel']Web Thickness (in)]])</f>
        <v>N/A</v>
      </c>
      <c r="EE52" s="6" t="str">
        <f>IF(OR(Reinforcements[[#This Row],[Type]]="plate",Reinforcements[[#This Row],[Type]]="solid round"),"N/A",Reinforcements[[#This Row],['[Channel'] Flange Thickness (in)]])</f>
        <v>N/A</v>
      </c>
      <c r="EF52" s="6" t="str">
        <f>IF(Reinforcements[[#This Row],[Type]]="channel",Reinforcements[[#This Row],[Channel Flange Width, b]]/Reinforcements[[#This Row],[Channel flange thickness, tf]],"N/A")</f>
        <v>N/A</v>
      </c>
      <c r="EG52" s="6" t="str">
        <f>IF(Reinforcements[[#This Row],[Type]]="channel",Reinforcements[[#This Row],[Channel inside depth, T]]/Reinforcements[[#This Row],[Channel web thickness, tw]],"N/A")</f>
        <v>N/A</v>
      </c>
      <c r="EH52" s="6">
        <f>29000</f>
        <v>29000</v>
      </c>
      <c r="EI52" s="6" t="str">
        <f>IF(Reinforcements[[#This Row],[Type]]="channel",0.56*SQRT(Reinforcements[[#This Row],[E, (ksi)]]/Reinforcements[[#This Row],[Fy, (ksi)]]),"N/A")</f>
        <v>N/A</v>
      </c>
      <c r="EJ52" s="6" t="str">
        <f>IF(Reinforcements[[#This Row],[Type]]="channel",1.49*SQRT(Reinforcements[[#This Row],[E, (ksi)]]/Reinforcements[[#This Row],[Fy, (ksi)]]),"N/A")</f>
        <v>N/A</v>
      </c>
      <c r="EK52" s="6">
        <f>VLOOKUP(Reinforcements[[#This Row],[Material]],Materials!$B$2:$C$30,2,FALSE)</f>
        <v>65</v>
      </c>
      <c r="EL52" s="6">
        <f>Reinforcements[[#This Row],[Lu (in)]]*Reinforcements[[#This Row],[Effective Length Factor Kx]]</f>
        <v>13.5</v>
      </c>
      <c r="EM52" s="6">
        <f>Reinforcements[[#This Row],[Lu (in)]]*Reinforcements[[#This Row],[Effective Length Factor Ky]]</f>
        <v>16.875</v>
      </c>
      <c r="EN52" s="6">
        <f>Reinforcements[[#This Row],[rx]]</f>
        <v>0.21650635094610965</v>
      </c>
      <c r="EO52" s="6">
        <f>Reinforcements[[#This Row],[ry]]</f>
        <v>1.1547005383792515</v>
      </c>
      <c r="EP52" s="6">
        <f>Reinforcements[[#This Row],[Lcx (in)]]/Reinforcements[[#This Row],[rx (in)]]</f>
        <v>62.353829072479584</v>
      </c>
      <c r="EQ52" s="6">
        <f>Reinforcements[[#This Row],[Lcy (in)]]/Reinforcements[[#This Row],[ry (in)]]</f>
        <v>14.614178688862403</v>
      </c>
      <c r="ER52" s="6">
        <f>((PI()^2)*Reinforcements[[#This Row],[E, (ksi)]])/(Reinforcements[[#This Row],[Lcx/rx]]^2)</f>
        <v>73.615876448454571</v>
      </c>
      <c r="ES52" s="6">
        <f>((PI()^2)*Reinforcements[[#This Row],[E, (ksi)]])/(Reinforcements[[#This Row],[Lcy/ry]]^2)</f>
        <v>1340.1361330349773</v>
      </c>
      <c r="ET52" s="6">
        <f>4.71*(SQRT(Reinforcements[[#This Row],[E, (ksi)]]/Reinforcements[[#This Row],[Fy, (ksi)]]))</f>
        <v>99.486288193205496</v>
      </c>
      <c r="EU52" s="6">
        <f>IF(Reinforcements[[#This Row],[Lcx/rx]]&lt;=Reinforcements[[#This Row],[Fcr Limit]],(0.658^(Reinforcements[[#This Row],[Fy, (ksi)]]/Reinforcements[[#This Row],[Fex, FB (ksi)]]))*Reinforcements[[#This Row],[Fy, (ksi)]],0.877*Reinforcements[[#This Row],[Fex, FB (ksi)]])</f>
        <v>44.917314322557253</v>
      </c>
      <c r="EV52" s="6">
        <f>IF(Reinforcements[[#This Row],[Lcy/ry]]&lt;=Reinforcements[[#This Row],[Fcr Limit]],(0.658^(Reinforcements[[#This Row],[Fy, (ksi)]]/Reinforcements[[#This Row],[Fey, FB (ksi)]]))*Reinforcements[[#This Row],[Fy, (ksi)]],0.877*Reinforcements[[#This Row],[Fey, FB (ksi)]])</f>
        <v>63.693754797397013</v>
      </c>
      <c r="EW52" s="6">
        <f>Reinforcements[[#This Row],[Fcrx (ksi)]]*Reinforcements[[#This Row],[Gross Area (in2)]]</f>
        <v>134.75194296767177</v>
      </c>
      <c r="EX52" s="6">
        <f>Reinforcements[[#This Row],[Fcry (ksi)]]*Reinforcements[[#This Row],[Gross Area (in2)]]</f>
        <v>191.08126439219103</v>
      </c>
      <c r="EY52" s="6" t="str">
        <f>IF(Reinforcements[[#This Row],[Type]]="channel",0,"N/A")</f>
        <v>N/A</v>
      </c>
      <c r="EZ52" s="6" t="str">
        <f>IF(Reinforcements[[#This Row],[Type]]="channel",Reinforcements[[#This Row],[Channel Flange Width, b]]-(0.5*Reinforcements[[#This Row],[Channel web thickness, tw]]),"N/A")</f>
        <v>N/A</v>
      </c>
      <c r="FA52" s="6" t="str">
        <f>IF(Reinforcements[[#This Row],[Type]]="channel",Reinforcements[[#This Row],[Channel Height, h]]-Reinforcements[[#This Row],[Channel flange thickness, tf]],"N/A")</f>
        <v>N/A</v>
      </c>
      <c r="FB52" s="6" t="str">
        <f>IF(Reinforcements[[#This Row],[Type]]="channel",Reinforcements[[#This Row],[Channel web thickness, tw]],"N/A")</f>
        <v>N/A</v>
      </c>
      <c r="FC52" s="6" t="str">
        <f>IF(Reinforcements[[#This Row],[Type]]="channel",((3*Reinforcements[[#This Row],[b]]^2)/(Reinforcements[[#This Row],[h]]+(6*Reinforcements[[#This Row],[b]])))-Reinforcements[[#This Row],[t]]/2,"N/A")</f>
        <v>N/A</v>
      </c>
      <c r="FD52" s="6">
        <f>Reinforcements[[#This Row],[Pole Face to Centroid (in)]]</f>
        <v>0.375</v>
      </c>
      <c r="FE52" s="6" t="str">
        <f>IF(Reinforcements[[#This Row],[Type]]="channel",Reinforcements[[#This Row],[x(bar)]]+Reinforcements[[#This Row],['[Channel'] e0 (in)]],"N/A")</f>
        <v>N/A</v>
      </c>
      <c r="FF52" s="6" t="str">
        <f>IF(Reinforcements[[#This Row],[Type]]="channel",Reinforcements[[#This Row],[Ix]],"N/A")</f>
        <v>N/A</v>
      </c>
      <c r="FG52" s="6" t="str">
        <f>IF(Reinforcements[[#This Row],[Type]]="channel",Reinforcements[[#This Row],[Iy]],"N/A")</f>
        <v>N/A</v>
      </c>
      <c r="FH52" s="6" t="str">
        <f>IF(Reinforcements[[#This Row],[Type]]="channel",Reinforcements[[#This Row],[Gross Area (in2)]],"N/A")</f>
        <v>N/A</v>
      </c>
      <c r="FI52" s="6" t="str">
        <f>IF(Reinforcements[[#This Row],[Type]]="channel",(Reinforcements[[#This Row],[xo]]^2)+((Reinforcements[[#This Row],[Ix (FTB)]]+Reinforcements[[#This Row],[Iy (FTB)]])/Reinforcements[[#This Row],[Ag]]),"N/A")</f>
        <v>N/A</v>
      </c>
      <c r="FJ52" s="6" t="str">
        <f>IF(Reinforcements[[#This Row],[Type]]="channel",Reinforcements[[#This Row],[Lu (in)]],"N/A")</f>
        <v>N/A</v>
      </c>
      <c r="FK52" s="6" t="str">
        <f>IF(Reinforcements[[#This Row],[Type]]="channel",Reinforcements[[#This Row],[Effective Length Factor Kx]],"N/A")</f>
        <v>N/A</v>
      </c>
      <c r="FL52" s="6" t="str">
        <f>IF(Reinforcements[[#This Row],[Type]]="channel",Reinforcements[[#This Row],[Kz]]*Reinforcements[[#This Row],[Lz]],"N/A")</f>
        <v>N/A</v>
      </c>
      <c r="FM52" s="6" t="str">
        <f>IF(Reinforcements[[#This Row],[Type]]="channel",(((Reinforcements[[#This Row],[t]]^3)/3)*(Reinforcements[[#This Row],[h]]+(2*Reinforcements[[#This Row],[b]]))),"N/A")</f>
        <v>N/A</v>
      </c>
      <c r="FN52" s="6" t="str">
        <f>IF(Reinforcements[[#This Row],[Type]]="channel",(1-(((Reinforcements[[#This Row],[xo]]^2)+(Reinforcements[[#This Row],[yo]]^2))/Reinforcements[[#This Row],[ro^2(bar)]])),"N/A")</f>
        <v>N/A</v>
      </c>
      <c r="FO52" s="6">
        <v>11200</v>
      </c>
      <c r="FP52" s="6" t="str">
        <f>IF(Reinforcements[[#This Row],[Type]]="channel",(((Reinforcements[[#This Row],[h]]^2)*(Reinforcements[[#This Row],[b]]^3)*Reinforcements[[#This Row],[t]])/12)*(((2*Reinforcements[[#This Row],[h]])+(3*Reinforcements[[#This Row],[b]]))/(Reinforcements[[#This Row],[h]]+(6*Reinforcements[[#This Row],[b]]))),"N/A")</f>
        <v>N/A</v>
      </c>
      <c r="FQ52" s="6" t="str">
        <f>IF(Reinforcements[[#This Row],[Type]]="Channel",((((PI()^2)*Reinforcements[[#This Row],[E, (ksi)]]*Reinforcements[[#This Row],['[Channel'] CW (in6)]])/(Reinforcements[[#This Row],[Lcz]]^2))+(Reinforcements[[#This Row],[G]]*Reinforcements[[#This Row],['[Channel'] J (in4)]]))*(1/(Reinforcements[[#This Row],[Ag]]*Reinforcements[[#This Row],[ro^2(bar)]])),"N/A")</f>
        <v>N/A</v>
      </c>
      <c r="FR52" s="6" t="str">
        <f>IF(Reinforcements[[#This Row],[Type]]="channel",((PI()^2)*Reinforcements[[#This Row],[E, (ksi)]])/(Reinforcements[[#This Row],[Lcy/ry]]^2),"N/A")</f>
        <v>N/A</v>
      </c>
      <c r="FS52" s="6" t="str">
        <f>IF(Reinforcements[[#This Row],[Type]]="channel",((Reinforcements[[#This Row],[Fey]]+Reinforcements[[#This Row],[Fez]])/(2*Reinforcements[[#This Row],[H2]]))*(1-SQRT(1-((4*Reinforcements[[#This Row],[Fey]]*Reinforcements[[#This Row],[Fez]]*Reinforcements[[#This Row],[H2]])/(Reinforcements[[#This Row],[Fey]]+Reinforcements[[#This Row],[Fez]])^2))),"N/A")</f>
        <v>N/A</v>
      </c>
      <c r="FT52" s="6" t="str">
        <f>IF(Reinforcements[[#This Row],[Type]]="channel",IF(Reinforcements[[#This Row],[Lcx/rx]]&gt;(4.71*SQRT(Reinforcements[[#This Row],[E, (ksi)]]/Reinforcements[[#This Row],[Fy, (ksi)]])),0.877*Reinforcements[[#This Row],[Fe (FTB)]],0.658^(Reinforcements[[#This Row],[Fy, (ksi)]]/Reinforcements[[#This Row],[Fe (FTB)]])*Reinforcements[[#This Row],[Fy, (ksi)]]),"N/A")</f>
        <v>N/A</v>
      </c>
      <c r="FU52" s="6" t="str">
        <f>IF(Reinforcements[[#This Row],[Type]]="channel",MIN(Reinforcements[[#This Row],[Fcr(FTB)]],Reinforcements[[#This Row],[Fcry (ksi)]]),"N/A")</f>
        <v>N/A</v>
      </c>
      <c r="FV52" s="6">
        <v>0.22</v>
      </c>
      <c r="FW52" s="6">
        <v>1.49</v>
      </c>
      <c r="FX52" s="6" t="str">
        <f>IF(Reinforcements[[#This Row],[Type]]="channel",((Reinforcements[[#This Row],[c2]]*(Reinforcements[[#This Row],[λrf]]/Reinforcements[[#This Row],[λf]]))^2)*Reinforcements[[#This Row],[Fy, (ksi)]],"N/A")</f>
        <v>N/A</v>
      </c>
      <c r="FY52" s="6" t="str">
        <f>IF(Reinforcements[[#This Row],[Type]]="channel",((Reinforcements[[#This Row],[c2]]*(Reinforcements[[#This Row],[λrw]]/Reinforcements[[#This Row],[λw]]))^2)*Reinforcements[[#This Row],[Fy, (ksi)]],"N/A")</f>
        <v>N/A</v>
      </c>
      <c r="FZ52"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6" t="str">
        <f>IF(Reinforcements[[#This Row],[Type]]="channel",Reinforcements[[#This Row],[Fcr]]*Reinforcements[[#This Row],[Ae]],"N/A")</f>
        <v>N/A</v>
      </c>
      <c r="GD52">
        <f>IF(Reinforcements[[#This Row],[Reinforcement]]="","",φ_c*Reinforcements[[#This Row],[Pnx, FB (kip)]])</f>
        <v>121.2767486709046</v>
      </c>
      <c r="GE52">
        <f>IF(Reinforcements[[#This Row],[Reinforcement]]="","",IF(Reinforcements[[#This Row],[Type]]="channel",φ_c*Reinforcements[[#This Row],[Pn]],φ_c*Reinforcements[[#This Row],[Pny, FB (kip)]]))</f>
        <v>171.97313795297194</v>
      </c>
      <c r="GF52">
        <f>Reinforcements[[#This Row],[Rev. G Tension Yield Capacity (kips)]]</f>
        <v>175.5</v>
      </c>
      <c r="GG52">
        <f>Reinforcements[[#This Row],[Rev. G Tension Rupture Capacity (kips)]]</f>
        <v>120.9375</v>
      </c>
      <c r="GH52">
        <f>Reinforcements[[#This Row],[Rev. G Shear Capacity (kips)]]</f>
        <v>87.75</v>
      </c>
      <c r="GI52">
        <f>IFERROR((Reinforcements[[#This Row],['# of End Connection Bolts          (Bottom)]]-1)*Reinforcements[[#This Row],[End Connection Bolt Spacing (in) (B)]],"-")</f>
        <v>9</v>
      </c>
      <c r="GJ52">
        <f>IFERROR(IF(VLOOKUP(Reinforcements[[#This Row],[Bottom End Connection Bolt Type]],Bolts[],COLUMN(Bolts[[#Headers],[Rev. H Apply Connection Length Reduction Factor (Rb)?]])-1,FALSE)="Yes",(IF(Reinforcements[[#This Row],[Lb(bottom)]]&lt;=16,1,IF(Reinforcements[[#This Row],[Lb(bottom)]]&gt;38,0.75,0.9))),1),"-")</f>
        <v>1</v>
      </c>
      <c r="GK52">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f>IFERROR(IF(Reinforcements[[#This Row],[Top End Connection Same?]]="Yes",Reinforcements[[#This Row],[Lb(bottom)]],(Reinforcements[[#This Row],['# of End Connection Bolts          (Top)]]-1)*Reinforcements[[#This Row],[End Connection Bolt Spacing (in) (T)]]),"-")</f>
        <v>9</v>
      </c>
      <c r="GM52">
        <f>IFERROR(IF(VLOOKUP(Reinforcements[[#This Row],[Top End Connection Bolt Type]],Bolts[],COLUMN(Bolts[[#Headers],[Rev. H Apply Connection Length Reduction Factor (Rb)?]])-1,FALSE)=TRUE,(IF(Reinforcements[[#This Row],[Lb(top)]]&lt;=16,1,IF(Reinforcements[[#This Row],[Lb(top)]]&gt;38,0.75,0.9))),1),"-")</f>
        <v>1</v>
      </c>
      <c r="GN5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f>Reinforcements[[#This Row],[Rev. G Bolt-Shaft Bearing Capacity (Bottom)                No Deformation          (*t*Fu kips)]]</f>
        <v>7.8741732283464563</v>
      </c>
      <c r="GP52">
        <f>Reinforcements[[#This Row],[Rev. G Bolt-Shaft Bearing Capacity (Bottom)                   Deformation          (*t*Fu kips)]]</f>
        <v>9.8427165354330697</v>
      </c>
      <c r="GQ52">
        <f>Reinforcements[[#This Row],[Rev. G Bolt-Shaft Bearing Capacity (Top)                    No Deformation          (*t*Fu kips)]]</f>
        <v>7.8741732283464563</v>
      </c>
      <c r="GR52">
        <f>Reinforcements[[#This Row],[Rev. G Bolt-Shaft Bearing Capacity (Top)                        Deformation          (*t*Fu kips)]]</f>
        <v>9.8427165354330697</v>
      </c>
      <c r="GS52">
        <f>Reinforcements[[#This Row],[Rev. G Bolt-Reinf. Bearing Capacity (Bottom)            No Deformation (kips)]]</f>
        <v>472.4503937007874</v>
      </c>
      <c r="GT52">
        <f>Reinforcements[[#This Row],[Rev. G Bolt-Reinf. Bearing Capacity (Bottom)               Deformation (kips)]]</f>
        <v>590.56299212598424</v>
      </c>
      <c r="GU52">
        <f>Reinforcements[[#This Row],[Rev. G Bolt-Reinf. Bearing Capacity (Top)                  No Deformation (kips)]]</f>
        <v>472.4503937007874</v>
      </c>
      <c r="GV52">
        <f>Reinforcements[[#This Row],[Rev. G Bolt-Reinf. Bearing Capacity (Top)               Deformation (kips)]]</f>
        <v>590.56299212598424</v>
      </c>
      <c r="GW52" t="str">
        <f>Reinforcements[[#This Row],[Rev. G Bottom Transverse Weld Strength]]</f>
        <v>-</v>
      </c>
      <c r="GX52" t="str">
        <f>Reinforcements[[#This Row],[Rev. G Bottom Longitudinal Weld Strength]]</f>
        <v>-</v>
      </c>
      <c r="GY52" t="str">
        <f>Reinforcements[[#This Row],[Rev. G Top Transverse Weld Strength]]</f>
        <v>-</v>
      </c>
      <c r="GZ52" t="str">
        <f>Reinforcements[[#This Row],[Rev. G Top Longitudinal Weld Strength]]</f>
        <v>-</v>
      </c>
      <c r="HA52">
        <v>50</v>
      </c>
      <c r="HB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49" t="s">
        <v>411</v>
      </c>
      <c r="C53" s="49" t="s">
        <v>352</v>
      </c>
      <c r="D53" s="6">
        <v>4.5</v>
      </c>
      <c r="E53" s="6">
        <v>1</v>
      </c>
      <c r="F53" s="6" t="str">
        <f>IF(Reinforcements[[#This Row],[Type]]="","",IF(Reinforcements[[#This Row],[Type]]="solid round","","n/a"))</f>
        <v>n/a</v>
      </c>
      <c r="G53" s="6" t="str">
        <f>IF(Reinforcements[[#This Row],[Type]]="","",IF(Reinforcements[[#This Row],[Type]]&lt;&gt;"channel","n/a",""))</f>
        <v>n/a</v>
      </c>
      <c r="H53" s="6" t="str">
        <f>IF(Reinforcements[[#This Row],[Type]]="","",IF(Reinforcements[[#This Row],[Type]]&lt;&gt;"channel","n/a",""))</f>
        <v>n/a</v>
      </c>
      <c r="I53" s="126" t="str">
        <f>IF(Reinforcements[[#This Row],[Type]]="","",IF(Reinforcements[[#This Row],[Type]]&lt;&gt;"channel","n/a",Reinforcements[[#This Row],[eo]]))</f>
        <v>n/a</v>
      </c>
      <c r="J53" s="126" t="str">
        <f>IF(Reinforcements[[#This Row],[Type]]="","",IF(Reinforcements[[#This Row],[Type]]&lt;&gt;"channel","n/a",Reinforcements[[#This Row],[J]]))</f>
        <v>n/a</v>
      </c>
      <c r="K53" s="126" t="str">
        <f>IF(Reinforcements[[#This Row],[Type]]="","",IF(Reinforcements[[#This Row],[Type]]&lt;&gt;"channel","n/a",Reinforcements[[#This Row],[Cw]]))</f>
        <v>n/a</v>
      </c>
      <c r="L53" s="6">
        <f>IFERROR(IF(Reinforcements[[#This Row],[Type]]="","",IF(Reinforcements[[#This Row],[Type]]="plate",Reinforcements[[#This Row],[B (in)]]*Reinforcements[[#This Row],[H (in)]],IF(Reinforcements[[#This Row],[Type]]="solid round",PI()/4*Reinforcements[[#This Row],[Diameter (in)]]^2,""))),"")</f>
        <v>4.5</v>
      </c>
      <c r="M53" s="6">
        <f>IFERROR(IF(Reinforcements[[#This Row],[Type]]="","",IF(Reinforcements[[#This Row],[Type]]="plate",Reinforcements[[#This Row],[H (in)]]/2,"")),"")</f>
        <v>0.5</v>
      </c>
      <c r="N53" s="16" t="s">
        <v>353</v>
      </c>
      <c r="O53" s="6" t="s">
        <v>138</v>
      </c>
      <c r="P53" s="123">
        <f>IFERROR(IF(Reinforcements[[#This Row],[Type]]="","",IF(Reinforcements[[#This Row],[Type]]="plate",Reinforcements[[#This Row],[B (in)]]*Reinforcements[[#This Row],[H (in)]]^3/12,IF(Reinforcements[[#This Row],[Type]]="solid round",PI()/64*Reinforcements[[#This Row],[Diameter (in)]]^4,""))),"")</f>
        <v>0.375</v>
      </c>
      <c r="Q53" s="123">
        <f>IF(Reinforcements[[#This Row],[Reinforcement]]="","",SQRT(Reinforcements[[#This Row],[Ix]]/Reinforcements[[#This Row],[Gross Area (in2)]]))</f>
        <v>0.28867513459481287</v>
      </c>
      <c r="R53" s="123">
        <f>IFERROR(IF(Reinforcements[[#This Row],[Type]]="","",IF(Reinforcements[[#This Row],[Type]]="plate",Reinforcements[[#This Row],[B (in)]]^3*Reinforcements[[#This Row],[H (in)]]/12,IF(Reinforcements[[#This Row],[Type]]="solid round",PI()/64*Reinforcements[[#This Row],[Diameter (in)]]^4,""))),"")</f>
        <v>7.59375</v>
      </c>
      <c r="S53" s="123">
        <f>IF(Reinforcements[[#This Row],[Reinforcement]]="","",SQRT(Reinforcements[[#This Row],[Iy]]/Reinforcements[[#This Row],[Gross Area (in2)]]))</f>
        <v>1.299038105676658</v>
      </c>
      <c r="T53" s="6">
        <v>20.625</v>
      </c>
      <c r="U53" s="6">
        <v>0.8</v>
      </c>
      <c r="V53" s="6">
        <v>1</v>
      </c>
      <c r="W53" s="6">
        <v>1.1875</v>
      </c>
      <c r="X53" s="6">
        <f>IF(Reinforcements[[#This Row],[Bolt Hole Size (in)]]="","",IF(Reinforcements[[#This Row],[Bolt Hole Size (in)]]="n/a","n/a",Reinforcements[[#This Row],[Bolt Hole Size (in)]]*25.4))</f>
        <v>30.162499999999998</v>
      </c>
      <c r="Y5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6">
        <f>IFERROR(IF(Reinforcements[[#This Row],[Reinforcement]]="","",IF(OR(Reinforcements[[#This Row],[Type]]="plate",Reinforcements[[#This Row],[Type]]="solid round"),1,IF(Reinforcements[[#This Row],[Type]]="arbitrary","",1-Reinforcements[[#This Row],[Pole Face to Centroid (in)]]/Reinforcements[[#This Row],[Connection Length (in) '[Channels']]]))),"")</f>
        <v>1</v>
      </c>
      <c r="AA53" s="34" t="s">
        <v>354</v>
      </c>
      <c r="AB53" s="34" t="str">
        <f>IF(Reinforcements[[#This Row],[Reinforcement]]="","",IF(Reinforcements[[#This Row],[Bottom End Connection Type]]&lt;&gt;"Capacity Input","-",""))</f>
        <v>-</v>
      </c>
      <c r="AC53" s="34" t="str">
        <f>IF(Reinforcements[[#This Row],[Reinforcement]]="","",IF(Reinforcements[[#This Row],[Bottom End Connection Type]]&lt;&gt;"Capacity Input","-",""))</f>
        <v>-</v>
      </c>
      <c r="AD53" s="16" t="str">
        <f>IF(Reinforcements[[#This Row],[Reinforcement]]="","",IF(Reinforcements[[#This Row],[Bottom End Connection Type]]&lt;&gt;"Capacity Input","-",""))</f>
        <v>-</v>
      </c>
      <c r="AE53" s="74" t="s">
        <v>355</v>
      </c>
      <c r="AF53" s="6" t="s">
        <v>356</v>
      </c>
      <c r="AG53" s="6">
        <v>6</v>
      </c>
      <c r="AH53" s="6">
        <v>3</v>
      </c>
      <c r="AI53" s="6">
        <v>3</v>
      </c>
      <c r="AJ53" s="6">
        <f>Reinforcements[[#This Row],[End Connection Edge Distance (in) (B)]]-(Reinforcements[[#This Row],[Bolt Hole Size (in)]]+1/16)/2</f>
        <v>2.375</v>
      </c>
      <c r="AK53" s="6">
        <f>Reinforcements[[#This Row],[End Connection Bolt Spacing (in) (B)]]-(Reinforcements[[#This Row],[Bolt Hole Size (in)]]+1/16)</f>
        <v>1.75</v>
      </c>
      <c r="AL53" s="6">
        <f>Reinforcements[[#This Row],[End Connection Edge Distance (in) (B)]]</f>
        <v>3</v>
      </c>
      <c r="AM53" s="6">
        <f>Reinforcements[[#This Row],[End Connection Bolt Spacing (in) (B)]]</f>
        <v>3</v>
      </c>
      <c r="AN53" s="6" t="str">
        <f>IF(Reinforcements[[#This Row],[Reinforcement]]="","",IF(OR(Reinforcements[[#This Row],[Bottom End Connection Type]]="Bolted",Reinforcements[[#This Row],[Bottom End Connection Type]]=""),"-",""))</f>
        <v>-</v>
      </c>
      <c r="AO53" s="111" t="str">
        <f>IF(Reinforcements[[#This Row],[Reinforcement]]="","",IF(OR(Reinforcements[[#This Row],[Bottom End Connection Type]]="Bolted",Reinforcements[[#This Row],[Bottom End Connection Type]]=""),"-",""))</f>
        <v>-</v>
      </c>
      <c r="AP53" s="111" t="str">
        <f>IF(Reinforcements[[#This Row],[Reinforcement]]="","",IF(OR(Reinforcements[[#This Row],[Bottom End Connection Type]]="Bolted",Reinforcements[[#This Row],[Bottom End Connection Type]]=""),"-",""))</f>
        <v>-</v>
      </c>
      <c r="AQ53" s="111" t="str">
        <f>IF(OR(Reinforcements[[#This Row],[Bottom End Connection Type]]="Bolted",Reinforcements[[#This Row],[Bottom Transverse (Horizontal) Weld]]="none"),"-","")</f>
        <v>-</v>
      </c>
      <c r="AR5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11" t="str">
        <f>IF(OR(Reinforcements[[#This Row],[Bottom Transverse (Horizontal) Weld]]="none",Reinforcements[[#This Row],[Bottom End Connection Type]]="Bolted"),"-","")</f>
        <v>-</v>
      </c>
      <c r="AU5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11" t="str">
        <f>IF(Reinforcements[[#This Row],[Reinforcement]]="","",IF(OR(Reinforcements[[#This Row],[Bottom End Connection Type]]="Bolted",Reinforcements[[#This Row],[Bottom End Connection Type]]=""),"-",""))</f>
        <v>-</v>
      </c>
      <c r="AW53" s="111" t="str">
        <f>IF(Reinforcements[[#This Row],[Reinforcement]]="","",IF(OR(Reinforcements[[#This Row],[Bottom End Connection Type]]&lt;&gt;"Welded",Reinforcements[[#This Row],[Bottom Longitudinal (Vertical) Weld]]="None",Reinforcements[[#This Row],[Bottom Longitudinal (Vertical) Weld]]=""),"-",""))</f>
        <v>-</v>
      </c>
      <c r="AX53" s="111" t="str">
        <f>IF(Reinforcements[[#This Row],[Reinforcement]]="","",IF(OR(Reinforcements[[#This Row],[Bottom End Connection Type]]&lt;&gt;"Welded",Reinforcements[[#This Row],[Bottom Longitudinal (Vertical) Weld]]="None",Reinforcements[[#This Row],[Bottom Longitudinal (Vertical) Weld]]=""),"-",""))</f>
        <v>-</v>
      </c>
      <c r="AY53" s="6" t="str">
        <f>IF(Reinforcements[[#This Row],[Reinforcement]]="","",IF(OR(Reinforcements[[#This Row],[Bottom End Connection Type]]&lt;&gt;"Welded",Reinforcements[[#This Row],[Bottom Longitudinal (Vertical) Weld]]="None"),"-",SQRT(2)/2*Reinforcements[[#This Row],[Bottom Longitudinal Weld Fillet Size (in)]]))</f>
        <v>-</v>
      </c>
      <c r="AZ53" s="6" t="s">
        <v>357</v>
      </c>
      <c r="BA53" s="16" t="str">
        <f>IF(Reinforcements[[#This Row],[Top End Connection Same?]]="Yes",Reinforcements[[#This Row],[Bottom End Connection Type]],"")</f>
        <v>Bolted</v>
      </c>
      <c r="BB53" s="16" t="str">
        <f>IF(Reinforcements[[#This Row],[Reinforcement]]="","",IF(Reinforcements[[#This Row],[Top End Connection Same?]]="Yes",Reinforcements[[#This Row],[Rev. F Bottom Connection Capacity (kips)]],IF(Reinforcements[[#This Row],[Reinforcement]]="","",IF(Reinforcements[[#This Row],[Top End Connection Type]]&lt;&gt;"Capacity Input","-",""))))</f>
        <v>-</v>
      </c>
      <c r="BC53" s="16" t="str">
        <f>IF(Reinforcements[[#This Row],[Reinforcement]]="","",IF(Reinforcements[[#This Row],[Top End Connection Same?]]="Yes",Reinforcements[[#This Row],[Rev. G Bottom Connection Capacity (kips)]],IF(Reinforcements[[#This Row],[Reinforcement]]="","",IF(Reinforcements[[#This Row],[Top End Connection Type]]&lt;&gt;"Capacity Input","-",""))))</f>
        <v>-</v>
      </c>
      <c r="BD53" s="16" t="str">
        <f>IF(Reinforcements[[#This Row],[Reinforcement]]="","",IF(Reinforcements[[#This Row],[Top End Connection Same?]]="Yes",Reinforcements[[#This Row],[Rev. G Bottom Connection Capacity (kips)]],IF(Reinforcements[[#This Row],[Reinforcement]]="","",IF(Reinforcements[[#This Row],[Top End Connection Type]]&lt;&gt;"Capacity Input","-",""))))</f>
        <v>-</v>
      </c>
      <c r="BE53" s="74" t="str">
        <f>IF(Reinforcements[[#This Row],[Top End Connection Same?]]="Yes",Reinforcements[[#This Row],[Bottom End Connection Bolt Type]],IF(Reinforcements[[#This Row],[Top End Connection Type]]="Welded","-",""))</f>
        <v>PC 8.8 - M20 (100)</v>
      </c>
      <c r="BF53" s="6" t="str">
        <f>IF(Reinforcements[[#This Row],[Top End Connection Same?]]="Yes",Reinforcements[[#This Row],[Threads Included (N) or Excluded (X) (Bottom)]],IF(Reinforcements[[#This Row],[Top End Connection Type]]="Welded","-",""))</f>
        <v>N</v>
      </c>
      <c r="BG53" s="6">
        <f>IF(Reinforcements[[#This Row],[Top End Connection Same?]]="Yes",Reinforcements[[#This Row],['# of End Connection Bolts          (Bottom)]],IF(Reinforcements[[#This Row],[Top End Connection Type]]="Welded","-",""))</f>
        <v>6</v>
      </c>
      <c r="BH53" s="6">
        <f>IF(Reinforcements[[#This Row],[Top End Connection Same?]]="Yes",Reinforcements[[#This Row],[End Connection Bolt Spacing (in) (B)]],IF(Reinforcements[[#This Row],[Top End Connection Type]]="Welded","-",""))</f>
        <v>3</v>
      </c>
      <c r="BI53" s="6">
        <f>IF(Reinforcements[[#This Row],[Top End Connection Same?]]="Yes",Reinforcements[[#This Row],[End Connection Edge Distance (in) (B)]],IF(Reinforcements[[#This Row],[Top End Connection Type]]="Welded","-",""))</f>
        <v>3</v>
      </c>
      <c r="BJ53" s="6">
        <f>Reinforcements[[#This Row],[End Connection Edge Distance (in) (T)]]-(Reinforcements[[#This Row],[Bolt Hole Size (in)]]+1/16)/2</f>
        <v>2.375</v>
      </c>
      <c r="BK53" s="6">
        <f>Reinforcements[[#This Row],[End Connection Bolt Spacing (in) (T)]]-(Reinforcements[[#This Row],[Bolt Hole Size (in)]]+1/16)</f>
        <v>1.75</v>
      </c>
      <c r="BL53" s="6">
        <f>Reinforcements[[#This Row],[End Connection Edge Distance (in) (T)]]</f>
        <v>3</v>
      </c>
      <c r="BM53" s="6">
        <f>Reinforcements[[#This Row],[End Connection Bolt Spacing (in) (T)]]</f>
        <v>3</v>
      </c>
      <c r="BN53" s="6" t="str">
        <f>IF(Reinforcements[[#This Row],[Reinforcement]]="","",IF(Reinforcements[[#This Row],[Top End Connection Same?]]="Yes",Reinforcements[[#This Row],[Bottom Connected to Flange/Base Plate?]],IF(Reinforcements[[#This Row],[Top End Connection Type]]="Bolted","-","")))</f>
        <v>-</v>
      </c>
      <c r="BO53" s="6" t="str">
        <f>IF(Reinforcements[[#This Row],[Reinforcement]]="","",IF(Reinforcements[[#This Row],[Top End Connection Same?]]="Yes",Reinforcements[[#This Row],[Bottom Weld Grade (ksi)]],IF(OR(Reinforcements[[#This Row],[Top End Connection Type]]&lt;&gt;"Welded",Reinforcements[[#This Row],[Top End Connection Type]]=""),"-","")))</f>
        <v>-</v>
      </c>
      <c r="BP53" s="6" t="str">
        <f>IF($AZ53="Yes",AP53,IF(Reinforcements[[#This Row],[Reinforcement]]="","",IF(OR(Reinforcements[[#This Row],[Top End Connection Type]]&lt;&gt;"Welded",Reinforcements[[#This Row],[Top End Connection Type]]=""),"-","")))</f>
        <v>-</v>
      </c>
      <c r="BQ53" s="6" t="str">
        <f>IF(Reinforcements[[#This Row],[Reinforcement]]="","",IF($AZ53="Yes",AQ53,IF(OR(Reinforcements[[#This Row],[Top End Connection Type]]&lt;&gt;"Welded",Reinforcements[[#This Row],[Top Transverse (Horizontal) Weld]]="none",Reinforcements[[#This Row],[Top Transverse (Horizontal) Weld]]=""),"-","")))</f>
        <v>-</v>
      </c>
      <c r="BR53" s="6"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6"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6" t="str">
        <f>IF(Reinforcements[[#This Row],[Reinforcement]]="","",IF($AZ53="Yes",AT53,IF(OR(Reinforcements[[#This Row],[Top Transverse (Horizontal) Weld]]="none",Reinforcements[[#This Row],[Top End Connection Type]]&lt;&gt;"Welded",Reinforcements[[#This Row],[Top Transverse (Horizontal) Weld]]=""),"-","")))</f>
        <v>-</v>
      </c>
      <c r="BU53" s="6"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6" t="str">
        <f>IF($AZ53="Yes",AV53,IF(Reinforcements[[#This Row],[Reinforcement]]="","",IF(OR(Reinforcements[[#This Row],[Top End Connection Type]]&lt;&gt;"Welded",Reinforcements[[#This Row],[Top End Connection Type]]=""),"-","")))</f>
        <v>-</v>
      </c>
      <c r="BW53" s="6"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6"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6" t="str">
        <f>IF($AZ53="Yes",AY53,IF(Reinforcements[[#This Row],[Reinforcement]]="","",IF(OR(Reinforcements[[#This Row],[Top End Connection Type]]&lt;&gt;"Welded",Reinforcements[[#This Row],[Top Longitudinal (Vertical) Weld]]="none"),"-",SQRT(2)/2*Reinforcements[[#This Row],[Top Longitudinal Weld Fillet Size (in)]])))</f>
        <v>-</v>
      </c>
      <c r="BZ5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11">
        <f>IF(Reinforcements[[#This Row],[Reinforcement]]="","",IF(Reinforcements[[#This Row],[Top End Connection Type]]&lt;&gt;"Bolted","n/a",(Reinforcements[[#This Row],['# of End Connection Bolts          (Top)]]-1)*Reinforcements[[#This Row],[End Connection Bolt Spacing (in) (T)]]+Reinforcements[[#This Row],[End Connection Edge Distance (in) (T)]]))</f>
        <v>18</v>
      </c>
      <c r="CC5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6">
        <f>IFERROR(IF(Reinforcements[[#This Row],[Type]]="","",Reinforcements[[#This Row],[Effective B (in)]]*Reinforcements[[#This Row],[Effective H (in)]]^3/12),"")</f>
        <v>0.375</v>
      </c>
      <c r="CF53" s="6">
        <f>IFERROR(IF(Reinforcements[[#This Row],[Type]]="","",Reinforcements[[#This Row],[Effective B (in)]]^3*Reinforcements[[#This Row],[Effective H (in)]]/12),"")</f>
        <v>7.59375</v>
      </c>
      <c r="CG53" s="126">
        <f>SQRT(2*PI()^2*29000/VLOOKUP(Reinforcements[[#This Row],[Material]],Materials[],2,FALSE))</f>
        <v>93.844147005158973</v>
      </c>
      <c r="CH5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123">
        <f>Reinforcements[[#This Row],[Effective Length Factor Kx]]*Reinforcements[[#This Row],[Lu (in)]]/(Reinforcements[[#This Row],[rx]]*PI())*SQRT(VLOOKUP(Reinforcements[[#This Row],[Material]],Materials[],2,FALSE)/29000)</f>
        <v>0.86135538647286303</v>
      </c>
      <c r="CK53" s="123">
        <f>Reinforcements[[#This Row],[Effective Length Factor Ky]]*Reinforcements[[#This Row],[Lu (in)]]/(Reinforcements[[#This Row],[ry]]*PI())*SQRT(VLOOKUP(Reinforcements[[#This Row],[Material]],Materials[],2,FALSE)/29000)</f>
        <v>0.23926538513135082</v>
      </c>
      <c r="CL53" s="123">
        <f>IF(Reinforcements[[#This Row],[λcx]]&lt;=1.5,0.658^(Reinforcements[[#This Row],[λcx]]^2)*Reinforcements[[#This Row],[F''y]],0.877/(Reinforcements[[#This Row],[λcx]]^2)*Reinforcements[[#This Row],[F''y]])</f>
        <v>47.648488665866502</v>
      </c>
      <c r="CM53" s="123">
        <f>IF(Reinforcements[[#This Row],[λcy]]&lt;=1.5,0.658^(Reinforcements[[#This Row],[λcy]]^2)*Reinforcements[[#This Row],[F''y]],0.877/(Reinforcements[[#This Row],[λcy]]^2)*Reinforcements[[#This Row],[F''y]])</f>
        <v>63.46103726403328</v>
      </c>
      <c r="CN53" s="6">
        <f>VLOOKUP(Reinforcements[[#This Row],[Material]],Materials[],2,FALSE)</f>
        <v>65</v>
      </c>
      <c r="CO53" s="126">
        <f>IF(Reinforcements[[#This Row],[Reinforcement]]="","",Reinforcements[[#This Row],[Fax]]*Reinforcements[[#This Row],[Gross Area (in2)]])</f>
        <v>127.6210422748988</v>
      </c>
      <c r="CP53" s="126">
        <f>IF(Reinforcements[[#This Row],[Reinforcement]]="","",Reinforcements[[#This Row],[Fay]]*Reinforcements[[#This Row],[Gross Area (in2)]])</f>
        <v>166.70293305689657</v>
      </c>
      <c r="CQ53" s="126">
        <f>IF(Reinforcements[[#This Row],[Reinforcement]]="","",0.6*VLOOKUP(Reinforcements[[#This Row],[Material]],Materials[],2,FALSE)*Reinforcements[[#This Row],[Gross Area (in2)]])</f>
        <v>175.5</v>
      </c>
      <c r="CR53" s="126">
        <f>IF(Reinforcements[[#This Row],[Reinforcement]]="","",0.5*VLOOKUP(Reinforcements[[#This Row],[Material]],Materials[],3,FALSE)*Reinforcements[[#This Row],[Net Area (in2)]]*Reinforcements[[#This Row],[Shear Lag (U)]])</f>
        <v>130</v>
      </c>
      <c r="CS53" s="126">
        <f>IF(Reinforcements[[#This Row],[Reinforcement]]="","",0.4*VLOOKUP(Reinforcements[[#This Row],[Material]],Materials[],2,FALSE)*Reinforcements[[#This Row],[Gross Area (in2)]])</f>
        <v>117</v>
      </c>
      <c r="CT5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6"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6"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126">
        <f>IF(Reinforcements[[#This Row],[Reinforcement]]="","",φ_c*Reinforcements[[#This Row],[Fcr,x]]*Reinforcements[[#This Row],[Gross Area (in2)]])</f>
        <v>192.97637909675936</v>
      </c>
      <c r="DI53" s="126">
        <f>IF(Reinforcements[[#This Row],[Reinforcement]]="","",φ_c*Reinforcements[[#This Row],[Fcr,y]]*Reinforcements[[#This Row],[Gross Area (in2)]])</f>
        <v>257.01720091933475</v>
      </c>
      <c r="DJ53" s="126">
        <f>IF(Reinforcements[[#This Row],[Reinforcement]]="","",φ_t_y*VLOOKUP(Reinforcements[[#This Row],[Material]],Materials[],2,FALSE)*Reinforcements[[#This Row],[Gross Area (in2)]])</f>
        <v>263.25</v>
      </c>
      <c r="DK53" s="126">
        <f>IF(Reinforcements[[#This Row],[Reinforcement]]="","",φ_t_r*VLOOKUP(Reinforcements[[#This Row],[Material]],Materials[],3,FALSE)*Reinforcements[[#This Row],[Net Area (in2)]]*Reinforcements[[#This Row],[Shear Lag (U)]])</f>
        <v>195</v>
      </c>
      <c r="DL53" s="126">
        <f>IF(Reinforcements[[#This Row],[Reinforcement]]="","",φ_v*0.5*Reinforcements[[#This Row],[F''y]]*Reinforcements[[#This Row],[Gross Area (in2)]])</f>
        <v>131.625</v>
      </c>
      <c r="DM5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6"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6"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111" t="str">
        <f>IF(OR(Reinforcements[[#This Row],[Type]]="plate",Reinforcements[[#This Row],[Type]]="solid round"),"N/A",Reinforcements[[#This Row],[B (in)]])</f>
        <v>N/A</v>
      </c>
      <c r="EB53" s="6" t="str">
        <f>IF(OR(Reinforcements[[#This Row],[Type]]="plate",Reinforcements[[#This Row],[Type]]="solid round"),"N/A",Reinforcements[[#This Row],[H (in)]])</f>
        <v>N/A</v>
      </c>
      <c r="EC53" s="6" t="str">
        <f>IF(OR(Reinforcements[[#This Row],[Type]]="plate",Reinforcements[[#This Row],[Type]]="solid round"),"N/A",Reinforcements[[#This Row],[B (in)]]-Reinforcements[[#This Row],['[Channel'] Flange Thickness (in)]])</f>
        <v>N/A</v>
      </c>
      <c r="ED53" s="6" t="str">
        <f>IF(OR(Reinforcements[[#This Row],[Type]]="plate",Reinforcements[[#This Row],[Type]]="solid round"),"N/A",Reinforcements[[#This Row],['[Channel']Web Thickness (in)]])</f>
        <v>N/A</v>
      </c>
      <c r="EE53" s="6" t="str">
        <f>IF(OR(Reinforcements[[#This Row],[Type]]="plate",Reinforcements[[#This Row],[Type]]="solid round"),"N/A",Reinforcements[[#This Row],['[Channel'] Flange Thickness (in)]])</f>
        <v>N/A</v>
      </c>
      <c r="EF53" s="6" t="str">
        <f>IF(Reinforcements[[#This Row],[Type]]="channel",Reinforcements[[#This Row],[Channel Flange Width, b]]/Reinforcements[[#This Row],[Channel flange thickness, tf]],"N/A")</f>
        <v>N/A</v>
      </c>
      <c r="EG53" s="6" t="str">
        <f>IF(Reinforcements[[#This Row],[Type]]="channel",Reinforcements[[#This Row],[Channel inside depth, T]]/Reinforcements[[#This Row],[Channel web thickness, tw]],"N/A")</f>
        <v>N/A</v>
      </c>
      <c r="EH53" s="6">
        <f>29000</f>
        <v>29000</v>
      </c>
      <c r="EI53" s="6" t="str">
        <f>IF(Reinforcements[[#This Row],[Type]]="channel",0.56*SQRT(Reinforcements[[#This Row],[E, (ksi)]]/Reinforcements[[#This Row],[Fy, (ksi)]]),"N/A")</f>
        <v>N/A</v>
      </c>
      <c r="EJ53" s="6" t="str">
        <f>IF(Reinforcements[[#This Row],[Type]]="channel",1.49*SQRT(Reinforcements[[#This Row],[E, (ksi)]]/Reinforcements[[#This Row],[Fy, (ksi)]]),"N/A")</f>
        <v>N/A</v>
      </c>
      <c r="EK53" s="6">
        <f>VLOOKUP(Reinforcements[[#This Row],[Material]],Materials!$B$2:$C$30,2,FALSE)</f>
        <v>65</v>
      </c>
      <c r="EL53" s="6">
        <f>Reinforcements[[#This Row],[Lu (in)]]*Reinforcements[[#This Row],[Effective Length Factor Kx]]</f>
        <v>16.5</v>
      </c>
      <c r="EM53" s="6">
        <f>Reinforcements[[#This Row],[Lu (in)]]*Reinforcements[[#This Row],[Effective Length Factor Ky]]</f>
        <v>20.625</v>
      </c>
      <c r="EN53" s="6">
        <f>Reinforcements[[#This Row],[rx]]</f>
        <v>0.28867513459481287</v>
      </c>
      <c r="EO53" s="6">
        <f>Reinforcements[[#This Row],[ry]]</f>
        <v>1.299038105676658</v>
      </c>
      <c r="EP53" s="6">
        <f>Reinforcements[[#This Row],[Lcx (in)]]/Reinforcements[[#This Row],[rx (in)]]</f>
        <v>57.157676649772952</v>
      </c>
      <c r="EQ53" s="6">
        <f>Reinforcements[[#This Row],[Lcy (in)]]/Reinforcements[[#This Row],[ry (in)]]</f>
        <v>15.877132402714707</v>
      </c>
      <c r="ER53" s="6">
        <f>((PI()^2)*Reinforcements[[#This Row],[E, (ksi)]])/(Reinforcements[[#This Row],[Lcx/rx]]^2)</f>
        <v>87.608976930392217</v>
      </c>
      <c r="ES53" s="6">
        <f>((PI()^2)*Reinforcements[[#This Row],[E, (ksi)]])/(Reinforcements[[#This Row],[Lcy/ry]]^2)</f>
        <v>1135.4123410178834</v>
      </c>
      <c r="ET53" s="6">
        <f>4.71*(SQRT(Reinforcements[[#This Row],[E, (ksi)]]/Reinforcements[[#This Row],[Fy, (ksi)]]))</f>
        <v>99.486288193205496</v>
      </c>
      <c r="EU53" s="6">
        <f>IF(Reinforcements[[#This Row],[Lcx/rx]]&lt;=Reinforcements[[#This Row],[Fcr Limit]],(0.658^(Reinforcements[[#This Row],[Fy, (ksi)]]/Reinforcements[[#This Row],[Fex, FB (ksi)]]))*Reinforcements[[#This Row],[Fy, (ksi)]],0.877*Reinforcements[[#This Row],[Fex, FB (ksi)]])</f>
        <v>47.648488665866502</v>
      </c>
      <c r="EV53" s="6">
        <f>IF(Reinforcements[[#This Row],[Lcy/ry]]&lt;=Reinforcements[[#This Row],[Fcr Limit]],(0.658^(Reinforcements[[#This Row],[Fy, (ksi)]]/Reinforcements[[#This Row],[Fey, FB (ksi)]]))*Reinforcements[[#This Row],[Fy, (ksi)]],0.877*Reinforcements[[#This Row],[Fey, FB (ksi)]])</f>
        <v>63.46103726403328</v>
      </c>
      <c r="EW53" s="6">
        <f>Reinforcements[[#This Row],[Fcrx (ksi)]]*Reinforcements[[#This Row],[Gross Area (in2)]]</f>
        <v>214.41819899639927</v>
      </c>
      <c r="EX53" s="6">
        <f>Reinforcements[[#This Row],[Fcry (ksi)]]*Reinforcements[[#This Row],[Gross Area (in2)]]</f>
        <v>285.57466768814976</v>
      </c>
      <c r="EY53" s="6" t="str">
        <f>IF(Reinforcements[[#This Row],[Type]]="channel",0,"N/A")</f>
        <v>N/A</v>
      </c>
      <c r="EZ53" s="6" t="str">
        <f>IF(Reinforcements[[#This Row],[Type]]="channel",Reinforcements[[#This Row],[Channel Flange Width, b]]-(0.5*Reinforcements[[#This Row],[Channel web thickness, tw]]),"N/A")</f>
        <v>N/A</v>
      </c>
      <c r="FA53" s="6" t="str">
        <f>IF(Reinforcements[[#This Row],[Type]]="channel",Reinforcements[[#This Row],[Channel Height, h]]-Reinforcements[[#This Row],[Channel flange thickness, tf]],"N/A")</f>
        <v>N/A</v>
      </c>
      <c r="FB53" s="6" t="str">
        <f>IF(Reinforcements[[#This Row],[Type]]="channel",Reinforcements[[#This Row],[Channel web thickness, tw]],"N/A")</f>
        <v>N/A</v>
      </c>
      <c r="FC53" s="6" t="str">
        <f>IF(Reinforcements[[#This Row],[Type]]="channel",((3*Reinforcements[[#This Row],[b]]^2)/(Reinforcements[[#This Row],[h]]+(6*Reinforcements[[#This Row],[b]])))-Reinforcements[[#This Row],[t]]/2,"N/A")</f>
        <v>N/A</v>
      </c>
      <c r="FD53" s="6">
        <f>Reinforcements[[#This Row],[Pole Face to Centroid (in)]]</f>
        <v>0.5</v>
      </c>
      <c r="FE53" s="6" t="str">
        <f>IF(Reinforcements[[#This Row],[Type]]="channel",Reinforcements[[#This Row],[x(bar)]]+Reinforcements[[#This Row],['[Channel'] e0 (in)]],"N/A")</f>
        <v>N/A</v>
      </c>
      <c r="FF53" s="6" t="str">
        <f>IF(Reinforcements[[#This Row],[Type]]="channel",Reinforcements[[#This Row],[Ix]],"N/A")</f>
        <v>N/A</v>
      </c>
      <c r="FG53" s="6" t="str">
        <f>IF(Reinforcements[[#This Row],[Type]]="channel",Reinforcements[[#This Row],[Iy]],"N/A")</f>
        <v>N/A</v>
      </c>
      <c r="FH53" s="6" t="str">
        <f>IF(Reinforcements[[#This Row],[Type]]="channel",Reinforcements[[#This Row],[Gross Area (in2)]],"N/A")</f>
        <v>N/A</v>
      </c>
      <c r="FI53" s="6" t="str">
        <f>IF(Reinforcements[[#This Row],[Type]]="channel",(Reinforcements[[#This Row],[xo]]^2)+((Reinforcements[[#This Row],[Ix (FTB)]]+Reinforcements[[#This Row],[Iy (FTB)]])/Reinforcements[[#This Row],[Ag]]),"N/A")</f>
        <v>N/A</v>
      </c>
      <c r="FJ53" s="6" t="str">
        <f>IF(Reinforcements[[#This Row],[Type]]="channel",Reinforcements[[#This Row],[Lu (in)]],"N/A")</f>
        <v>N/A</v>
      </c>
      <c r="FK53" s="6" t="str">
        <f>IF(Reinforcements[[#This Row],[Type]]="channel",Reinforcements[[#This Row],[Effective Length Factor Kx]],"N/A")</f>
        <v>N/A</v>
      </c>
      <c r="FL53" s="6" t="str">
        <f>IF(Reinforcements[[#This Row],[Type]]="channel",Reinforcements[[#This Row],[Kz]]*Reinforcements[[#This Row],[Lz]],"N/A")</f>
        <v>N/A</v>
      </c>
      <c r="FM53" s="6" t="str">
        <f>IF(Reinforcements[[#This Row],[Type]]="channel",(((Reinforcements[[#This Row],[t]]^3)/3)*(Reinforcements[[#This Row],[h]]+(2*Reinforcements[[#This Row],[b]]))),"N/A")</f>
        <v>N/A</v>
      </c>
      <c r="FN53" s="6" t="str">
        <f>IF(Reinforcements[[#This Row],[Type]]="channel",(1-(((Reinforcements[[#This Row],[xo]]^2)+(Reinforcements[[#This Row],[yo]]^2))/Reinforcements[[#This Row],[ro^2(bar)]])),"N/A")</f>
        <v>N/A</v>
      </c>
      <c r="FO53" s="6">
        <v>11200</v>
      </c>
      <c r="FP53" s="6" t="str">
        <f>IF(Reinforcements[[#This Row],[Type]]="channel",(((Reinforcements[[#This Row],[h]]^2)*(Reinforcements[[#This Row],[b]]^3)*Reinforcements[[#This Row],[t]])/12)*(((2*Reinforcements[[#This Row],[h]])+(3*Reinforcements[[#This Row],[b]]))/(Reinforcements[[#This Row],[h]]+(6*Reinforcements[[#This Row],[b]]))),"N/A")</f>
        <v>N/A</v>
      </c>
      <c r="FQ53" s="6" t="str">
        <f>IF(Reinforcements[[#This Row],[Type]]="Channel",((((PI()^2)*Reinforcements[[#This Row],[E, (ksi)]]*Reinforcements[[#This Row],['[Channel'] CW (in6)]])/(Reinforcements[[#This Row],[Lcz]]^2))+(Reinforcements[[#This Row],[G]]*Reinforcements[[#This Row],['[Channel'] J (in4)]]))*(1/(Reinforcements[[#This Row],[Ag]]*Reinforcements[[#This Row],[ro^2(bar)]])),"N/A")</f>
        <v>N/A</v>
      </c>
      <c r="FR53" s="6" t="str">
        <f>IF(Reinforcements[[#This Row],[Type]]="channel",((PI()^2)*Reinforcements[[#This Row],[E, (ksi)]])/(Reinforcements[[#This Row],[Lcy/ry]]^2),"N/A")</f>
        <v>N/A</v>
      </c>
      <c r="FS53" s="6" t="str">
        <f>IF(Reinforcements[[#This Row],[Type]]="channel",((Reinforcements[[#This Row],[Fey]]+Reinforcements[[#This Row],[Fez]])/(2*Reinforcements[[#This Row],[H2]]))*(1-SQRT(1-((4*Reinforcements[[#This Row],[Fey]]*Reinforcements[[#This Row],[Fez]]*Reinforcements[[#This Row],[H2]])/(Reinforcements[[#This Row],[Fey]]+Reinforcements[[#This Row],[Fez]])^2))),"N/A")</f>
        <v>N/A</v>
      </c>
      <c r="FT53" s="6" t="str">
        <f>IF(Reinforcements[[#This Row],[Type]]="channel",IF(Reinforcements[[#This Row],[Lcx/rx]]&gt;(4.71*SQRT(Reinforcements[[#This Row],[E, (ksi)]]/Reinforcements[[#This Row],[Fy, (ksi)]])),0.877*Reinforcements[[#This Row],[Fe (FTB)]],0.658^(Reinforcements[[#This Row],[Fy, (ksi)]]/Reinforcements[[#This Row],[Fe (FTB)]])*Reinforcements[[#This Row],[Fy, (ksi)]]),"N/A")</f>
        <v>N/A</v>
      </c>
      <c r="FU53" s="6" t="str">
        <f>IF(Reinforcements[[#This Row],[Type]]="channel",MIN(Reinforcements[[#This Row],[Fcr(FTB)]],Reinforcements[[#This Row],[Fcry (ksi)]]),"N/A")</f>
        <v>N/A</v>
      </c>
      <c r="FV53" s="6">
        <v>0.22</v>
      </c>
      <c r="FW53" s="6">
        <v>1.49</v>
      </c>
      <c r="FX53" s="6" t="str">
        <f>IF(Reinforcements[[#This Row],[Type]]="channel",((Reinforcements[[#This Row],[c2]]*(Reinforcements[[#This Row],[λrf]]/Reinforcements[[#This Row],[λf]]))^2)*Reinforcements[[#This Row],[Fy, (ksi)]],"N/A")</f>
        <v>N/A</v>
      </c>
      <c r="FY53" s="6" t="str">
        <f>IF(Reinforcements[[#This Row],[Type]]="channel",((Reinforcements[[#This Row],[c2]]*(Reinforcements[[#This Row],[λrw]]/Reinforcements[[#This Row],[λw]]))^2)*Reinforcements[[#This Row],[Fy, (ksi)]],"N/A")</f>
        <v>N/A</v>
      </c>
      <c r="FZ5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6" t="str">
        <f>IF(Reinforcements[[#This Row],[Type]]="channel",Reinforcements[[#This Row],[Fcr]]*Reinforcements[[#This Row],[Ae]],"N/A")</f>
        <v>N/A</v>
      </c>
      <c r="GD53">
        <f>IF(Reinforcements[[#This Row],[Reinforcement]]="","",φ_c*Reinforcements[[#This Row],[Pnx, FB (kip)]])</f>
        <v>192.97637909675936</v>
      </c>
      <c r="GE53">
        <f>IF(Reinforcements[[#This Row],[Reinforcement]]="","",IF(Reinforcements[[#This Row],[Type]]="channel",φ_c*Reinforcements[[#This Row],[Pn]],φ_c*Reinforcements[[#This Row],[Pny, FB (kip)]]))</f>
        <v>257.01720091933481</v>
      </c>
      <c r="GF53">
        <f>Reinforcements[[#This Row],[Rev. G Tension Yield Capacity (kips)]]</f>
        <v>263.25</v>
      </c>
      <c r="GG53">
        <f>Reinforcements[[#This Row],[Rev. G Tension Rupture Capacity (kips)]]</f>
        <v>195</v>
      </c>
      <c r="GH53">
        <f>Reinforcements[[#This Row],[Rev. G Shear Capacity (kips)]]</f>
        <v>131.625</v>
      </c>
      <c r="GI53">
        <f>IFERROR((Reinforcements[[#This Row],['# of End Connection Bolts          (Bottom)]]-1)*Reinforcements[[#This Row],[End Connection Bolt Spacing (in) (B)]],"-")</f>
        <v>15</v>
      </c>
      <c r="GJ53">
        <f>IFERROR(IF(VLOOKUP(Reinforcements[[#This Row],[Bottom End Connection Bolt Type]],Bolts[],COLUMN(Bolts[[#Headers],[Rev. H Apply Connection Length Reduction Factor (Rb)?]])-1,FALSE)="Yes",(IF(Reinforcements[[#This Row],[Lb(bottom)]]&lt;=16,1,IF(Reinforcements[[#This Row],[Lb(bottom)]]&gt;38,0.75,0.9))),1),"-")</f>
        <v>1</v>
      </c>
      <c r="GK5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f>IFERROR(IF(Reinforcements[[#This Row],[Top End Connection Same?]]="Yes",Reinforcements[[#This Row],[Lb(bottom)]],(Reinforcements[[#This Row],['# of End Connection Bolts          (Top)]]-1)*Reinforcements[[#This Row],[End Connection Bolt Spacing (in) (T)]]),"-")</f>
        <v>15</v>
      </c>
      <c r="GM53">
        <f>IFERROR(IF(VLOOKUP(Reinforcements[[#This Row],[Top End Connection Bolt Type]],Bolts[],COLUMN(Bolts[[#Headers],[Rev. H Apply Connection Length Reduction Factor (Rb)?]])-1,FALSE)=TRUE,(IF(Reinforcements[[#This Row],[Lb(top)]]&lt;=16,1,IF(Reinforcements[[#This Row],[Lb(top)]]&gt;38,0.75,0.9))),1),"-")</f>
        <v>1</v>
      </c>
      <c r="GN5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f>Reinforcements[[#This Row],[Rev. G Bolt-Shaft Bearing Capacity (Bottom)                No Deformation          (*t*Fu kips)]]</f>
        <v>11.96220472440945</v>
      </c>
      <c r="GP53">
        <f>Reinforcements[[#This Row],[Rev. G Bolt-Shaft Bearing Capacity (Bottom)                   Deformation          (*t*Fu kips)]]</f>
        <v>14.952755905511811</v>
      </c>
      <c r="GQ53">
        <f>Reinforcements[[#This Row],[Rev. G Bolt-Shaft Bearing Capacity (Top)                    No Deformation          (*t*Fu kips)]]</f>
        <v>11.96220472440945</v>
      </c>
      <c r="GR53">
        <f>Reinforcements[[#This Row],[Rev. G Bolt-Shaft Bearing Capacity (Top)                        Deformation          (*t*Fu kips)]]</f>
        <v>14.952755905511811</v>
      </c>
      <c r="GS53">
        <f>Reinforcements[[#This Row],[Rev. G Bolt-Reinf. Bearing Capacity (Bottom)            No Deformation (kips)]]</f>
        <v>956.97637795275591</v>
      </c>
      <c r="GT53">
        <f>Reinforcements[[#This Row],[Rev. G Bolt-Reinf. Bearing Capacity (Bottom)               Deformation (kips)]]</f>
        <v>1196.2204724409448</v>
      </c>
      <c r="GU53">
        <f>Reinforcements[[#This Row],[Rev. G Bolt-Reinf. Bearing Capacity (Top)                  No Deformation (kips)]]</f>
        <v>956.97637795275591</v>
      </c>
      <c r="GV53">
        <f>Reinforcements[[#This Row],[Rev. G Bolt-Reinf. Bearing Capacity (Top)               Deformation (kips)]]</f>
        <v>1196.2204724409448</v>
      </c>
      <c r="GW53" t="str">
        <f>Reinforcements[[#This Row],[Rev. G Bottom Transverse Weld Strength]]</f>
        <v>-</v>
      </c>
      <c r="GX53" t="str">
        <f>Reinforcements[[#This Row],[Rev. G Bottom Longitudinal Weld Strength]]</f>
        <v>-</v>
      </c>
      <c r="GY53" t="str">
        <f>Reinforcements[[#This Row],[Rev. G Top Transverse Weld Strength]]</f>
        <v>-</v>
      </c>
      <c r="GZ53" t="str">
        <f>Reinforcements[[#This Row],[Rev. G Top Longitudinal Weld Strength]]</f>
        <v>-</v>
      </c>
      <c r="HA53">
        <v>51</v>
      </c>
      <c r="HB5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49" t="s">
        <v>412</v>
      </c>
      <c r="C54" s="49" t="s">
        <v>352</v>
      </c>
      <c r="D54" s="6">
        <v>4.5</v>
      </c>
      <c r="E54" s="6">
        <v>1</v>
      </c>
      <c r="F54" s="6" t="str">
        <f>IF(Reinforcements[[#This Row],[Type]]="","",IF(Reinforcements[[#This Row],[Type]]="solid round","","n/a"))</f>
        <v>n/a</v>
      </c>
      <c r="G54" s="6" t="str">
        <f>IF(Reinforcements[[#This Row],[Type]]="","",IF(Reinforcements[[#This Row],[Type]]&lt;&gt;"channel","n/a",""))</f>
        <v>n/a</v>
      </c>
      <c r="H54" s="6" t="str">
        <f>IF(Reinforcements[[#This Row],[Type]]="","",IF(Reinforcements[[#This Row],[Type]]&lt;&gt;"channel","n/a",""))</f>
        <v>n/a</v>
      </c>
      <c r="I54" s="126" t="str">
        <f>IF(Reinforcements[[#This Row],[Type]]="","",IF(Reinforcements[[#This Row],[Type]]&lt;&gt;"channel","n/a",Reinforcements[[#This Row],[eo]]))</f>
        <v>n/a</v>
      </c>
      <c r="J54" s="126" t="str">
        <f>IF(Reinforcements[[#This Row],[Type]]="","",IF(Reinforcements[[#This Row],[Type]]&lt;&gt;"channel","n/a",Reinforcements[[#This Row],[J]]))</f>
        <v>n/a</v>
      </c>
      <c r="K54" s="126" t="str">
        <f>IF(Reinforcements[[#This Row],[Type]]="","",IF(Reinforcements[[#This Row],[Type]]&lt;&gt;"channel","n/a",Reinforcements[[#This Row],[Cw]]))</f>
        <v>n/a</v>
      </c>
      <c r="L54" s="6">
        <f>IFERROR(IF(Reinforcements[[#This Row],[Type]]="","",IF(Reinforcements[[#This Row],[Type]]="plate",Reinforcements[[#This Row],[B (in)]]*Reinforcements[[#This Row],[H (in)]],IF(Reinforcements[[#This Row],[Type]]="solid round",PI()/4*Reinforcements[[#This Row],[Diameter (in)]]^2,""))),"")</f>
        <v>4.5</v>
      </c>
      <c r="M54" s="6">
        <f>IFERROR(IF(Reinforcements[[#This Row],[Type]]="","",IF(Reinforcements[[#This Row],[Type]]="plate",Reinforcements[[#This Row],[H (in)]]/2,"")),"")</f>
        <v>0.5</v>
      </c>
      <c r="N54" s="16" t="s">
        <v>353</v>
      </c>
      <c r="O54" s="6" t="s">
        <v>138</v>
      </c>
      <c r="P54" s="123">
        <f>IFERROR(IF(Reinforcements[[#This Row],[Type]]="","",IF(Reinforcements[[#This Row],[Type]]="plate",Reinforcements[[#This Row],[B (in)]]*Reinforcements[[#This Row],[H (in)]]^3/12,IF(Reinforcements[[#This Row],[Type]]="solid round",PI()/64*Reinforcements[[#This Row],[Diameter (in)]]^4,""))),"")</f>
        <v>0.375</v>
      </c>
      <c r="Q54" s="123">
        <f>IF(Reinforcements[[#This Row],[Reinforcement]]="","",SQRT(Reinforcements[[#This Row],[Ix]]/Reinforcements[[#This Row],[Gross Area (in2)]]))</f>
        <v>0.28867513459481287</v>
      </c>
      <c r="R54" s="123">
        <f>IFERROR(IF(Reinforcements[[#This Row],[Type]]="","",IF(Reinforcements[[#This Row],[Type]]="plate",Reinforcements[[#This Row],[B (in)]]^3*Reinforcements[[#This Row],[H (in)]]/12,IF(Reinforcements[[#This Row],[Type]]="solid round",PI()/64*Reinforcements[[#This Row],[Diameter (in)]]^4,""))),"")</f>
        <v>7.59375</v>
      </c>
      <c r="S54" s="123">
        <f>IF(Reinforcements[[#This Row],[Reinforcement]]="","",SQRT(Reinforcements[[#This Row],[Iy]]/Reinforcements[[#This Row],[Gross Area (in2)]]))</f>
        <v>1.299038105676658</v>
      </c>
      <c r="T54" s="6">
        <v>20.625</v>
      </c>
      <c r="U54" s="6">
        <v>0.8</v>
      </c>
      <c r="V54" s="6">
        <v>1</v>
      </c>
      <c r="W54" s="6">
        <v>1.25</v>
      </c>
      <c r="X54" s="6">
        <f>IF(Reinforcements[[#This Row],[Bolt Hole Size (in)]]="","",IF(Reinforcements[[#This Row],[Bolt Hole Size (in)]]="n/a","n/a",Reinforcements[[#This Row],[Bolt Hole Size (in)]]*25.4))</f>
        <v>31.75</v>
      </c>
      <c r="Y5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6">
        <f>IFERROR(IF(Reinforcements[[#This Row],[Reinforcement]]="","",IF(OR(Reinforcements[[#This Row],[Type]]="plate",Reinforcements[[#This Row],[Type]]="solid round"),1,IF(Reinforcements[[#This Row],[Type]]="arbitrary","",1-Reinforcements[[#This Row],[Pole Face to Centroid (in)]]/Reinforcements[[#This Row],[Connection Length (in) '[Channels']]]))),"")</f>
        <v>1</v>
      </c>
      <c r="AA54" s="34" t="s">
        <v>354</v>
      </c>
      <c r="AB54" s="34" t="str">
        <f>IF(Reinforcements[[#This Row],[Reinforcement]]="","",IF(Reinforcements[[#This Row],[Bottom End Connection Type]]&lt;&gt;"Capacity Input","-",""))</f>
        <v>-</v>
      </c>
      <c r="AC54" s="34" t="str">
        <f>IF(Reinforcements[[#This Row],[Reinforcement]]="","",IF(Reinforcements[[#This Row],[Bottom End Connection Type]]&lt;&gt;"Capacity Input","-",""))</f>
        <v>-</v>
      </c>
      <c r="AD54" s="16" t="str">
        <f>IF(Reinforcements[[#This Row],[Reinforcement]]="","",IF(Reinforcements[[#This Row],[Bottom End Connection Type]]&lt;&gt;"Capacity Input","-",""))</f>
        <v>-</v>
      </c>
      <c r="AE54" s="74" t="s">
        <v>355</v>
      </c>
      <c r="AF54" s="6" t="s">
        <v>356</v>
      </c>
      <c r="AG54" s="6">
        <v>6</v>
      </c>
      <c r="AH54" s="6">
        <v>3</v>
      </c>
      <c r="AI54" s="6">
        <v>3</v>
      </c>
      <c r="AJ54" s="6">
        <f>Reinforcements[[#This Row],[End Connection Edge Distance (in) (B)]]-(Reinforcements[[#This Row],[Bolt Hole Size (in)]]+1/16)/2</f>
        <v>2.34375</v>
      </c>
      <c r="AK54" s="6">
        <f>Reinforcements[[#This Row],[End Connection Bolt Spacing (in) (B)]]-(Reinforcements[[#This Row],[Bolt Hole Size (in)]]+1/16)</f>
        <v>1.6875</v>
      </c>
      <c r="AL54" s="6">
        <f>Reinforcements[[#This Row],[End Connection Edge Distance (in) (B)]]</f>
        <v>3</v>
      </c>
      <c r="AM54" s="6">
        <f>Reinforcements[[#This Row],[End Connection Bolt Spacing (in) (B)]]</f>
        <v>3</v>
      </c>
      <c r="AN54" s="6" t="str">
        <f>IF(Reinforcements[[#This Row],[Reinforcement]]="","",IF(OR(Reinforcements[[#This Row],[Bottom End Connection Type]]="Bolted",Reinforcements[[#This Row],[Bottom End Connection Type]]=""),"-",""))</f>
        <v>-</v>
      </c>
      <c r="AO54" s="111" t="str">
        <f>IF(Reinforcements[[#This Row],[Reinforcement]]="","",IF(OR(Reinforcements[[#This Row],[Bottom End Connection Type]]="Bolted",Reinforcements[[#This Row],[Bottom End Connection Type]]=""),"-",""))</f>
        <v>-</v>
      </c>
      <c r="AP54" s="111" t="str">
        <f>IF(Reinforcements[[#This Row],[Reinforcement]]="","",IF(OR(Reinforcements[[#This Row],[Bottom End Connection Type]]="Bolted",Reinforcements[[#This Row],[Bottom End Connection Type]]=""),"-",""))</f>
        <v>-</v>
      </c>
      <c r="AQ54" s="111" t="str">
        <f>IF(OR(Reinforcements[[#This Row],[Bottom End Connection Type]]="Bolted",Reinforcements[[#This Row],[Bottom Transverse (Horizontal) Weld]]="none"),"-","")</f>
        <v>-</v>
      </c>
      <c r="AR5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11" t="str">
        <f>IF(OR(Reinforcements[[#This Row],[Bottom Transverse (Horizontal) Weld]]="none",Reinforcements[[#This Row],[Bottom End Connection Type]]="Bolted"),"-","")</f>
        <v>-</v>
      </c>
      <c r="AU5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11" t="str">
        <f>IF(Reinforcements[[#This Row],[Reinforcement]]="","",IF(OR(Reinforcements[[#This Row],[Bottom End Connection Type]]="Bolted",Reinforcements[[#This Row],[Bottom End Connection Type]]=""),"-",""))</f>
        <v>-</v>
      </c>
      <c r="AW54" s="111" t="str">
        <f>IF(Reinforcements[[#This Row],[Reinforcement]]="","",IF(OR(Reinforcements[[#This Row],[Bottom End Connection Type]]&lt;&gt;"Welded",Reinforcements[[#This Row],[Bottom Longitudinal (Vertical) Weld]]="None",Reinforcements[[#This Row],[Bottom Longitudinal (Vertical) Weld]]=""),"-",""))</f>
        <v>-</v>
      </c>
      <c r="AX54" s="111" t="str">
        <f>IF(Reinforcements[[#This Row],[Reinforcement]]="","",IF(OR(Reinforcements[[#This Row],[Bottom End Connection Type]]&lt;&gt;"Welded",Reinforcements[[#This Row],[Bottom Longitudinal (Vertical) Weld]]="None",Reinforcements[[#This Row],[Bottom Longitudinal (Vertical) Weld]]=""),"-",""))</f>
        <v>-</v>
      </c>
      <c r="AY54" s="6" t="str">
        <f>IF(Reinforcements[[#This Row],[Reinforcement]]="","",IF(OR(Reinforcements[[#This Row],[Bottom End Connection Type]]&lt;&gt;"Welded",Reinforcements[[#This Row],[Bottom Longitudinal (Vertical) Weld]]="None"),"-",SQRT(2)/2*Reinforcements[[#This Row],[Bottom Longitudinal Weld Fillet Size (in)]]))</f>
        <v>-</v>
      </c>
      <c r="AZ54" s="6" t="s">
        <v>357</v>
      </c>
      <c r="BA54" s="16" t="str">
        <f>IF(Reinforcements[[#This Row],[Top End Connection Same?]]="Yes",Reinforcements[[#This Row],[Bottom End Connection Type]],"")</f>
        <v>Bolted</v>
      </c>
      <c r="BB54" s="16" t="str">
        <f>IF(Reinforcements[[#This Row],[Reinforcement]]="","",IF(Reinforcements[[#This Row],[Top End Connection Same?]]="Yes",Reinforcements[[#This Row],[Rev. F Bottom Connection Capacity (kips)]],IF(Reinforcements[[#This Row],[Reinforcement]]="","",IF(Reinforcements[[#This Row],[Top End Connection Type]]&lt;&gt;"Capacity Input","-",""))))</f>
        <v>-</v>
      </c>
      <c r="BC54" s="16" t="str">
        <f>IF(Reinforcements[[#This Row],[Reinforcement]]="","",IF(Reinforcements[[#This Row],[Top End Connection Same?]]="Yes",Reinforcements[[#This Row],[Rev. G Bottom Connection Capacity (kips)]],IF(Reinforcements[[#This Row],[Reinforcement]]="","",IF(Reinforcements[[#This Row],[Top End Connection Type]]&lt;&gt;"Capacity Input","-",""))))</f>
        <v>-</v>
      </c>
      <c r="BD54" s="16" t="str">
        <f>IF(Reinforcements[[#This Row],[Reinforcement]]="","",IF(Reinforcements[[#This Row],[Top End Connection Same?]]="Yes",Reinforcements[[#This Row],[Rev. G Bottom Connection Capacity (kips)]],IF(Reinforcements[[#This Row],[Reinforcement]]="","",IF(Reinforcements[[#This Row],[Top End Connection Type]]&lt;&gt;"Capacity Input","-",""))))</f>
        <v>-</v>
      </c>
      <c r="BE54" s="74" t="str">
        <f>IF(Reinforcements[[#This Row],[Top End Connection Same?]]="Yes",Reinforcements[[#This Row],[Bottom End Connection Bolt Type]],IF(Reinforcements[[#This Row],[Top End Connection Type]]="Welded","-",""))</f>
        <v>PC 8.8 - M20 (100)</v>
      </c>
      <c r="BF54" s="6" t="str">
        <f>IF(Reinforcements[[#This Row],[Top End Connection Same?]]="Yes",Reinforcements[[#This Row],[Threads Included (N) or Excluded (X) (Bottom)]],IF(Reinforcements[[#This Row],[Top End Connection Type]]="Welded","-",""))</f>
        <v>N</v>
      </c>
      <c r="BG54" s="6">
        <f>IF(Reinforcements[[#This Row],[Top End Connection Same?]]="Yes",Reinforcements[[#This Row],['# of End Connection Bolts          (Bottom)]],IF(Reinforcements[[#This Row],[Top End Connection Type]]="Welded","-",""))</f>
        <v>6</v>
      </c>
      <c r="BH54" s="6">
        <f>IF(Reinforcements[[#This Row],[Top End Connection Same?]]="Yes",Reinforcements[[#This Row],[End Connection Bolt Spacing (in) (B)]],IF(Reinforcements[[#This Row],[Top End Connection Type]]="Welded","-",""))</f>
        <v>3</v>
      </c>
      <c r="BI54" s="6">
        <f>IF(Reinforcements[[#This Row],[Top End Connection Same?]]="Yes",Reinforcements[[#This Row],[End Connection Edge Distance (in) (B)]],IF(Reinforcements[[#This Row],[Top End Connection Type]]="Welded","-",""))</f>
        <v>3</v>
      </c>
      <c r="BJ54" s="6">
        <f>Reinforcements[[#This Row],[End Connection Edge Distance (in) (T)]]-(Reinforcements[[#This Row],[Bolt Hole Size (in)]]+1/16)/2</f>
        <v>2.34375</v>
      </c>
      <c r="BK54" s="6">
        <f>Reinforcements[[#This Row],[End Connection Bolt Spacing (in) (T)]]-(Reinforcements[[#This Row],[Bolt Hole Size (in)]]+1/16)</f>
        <v>1.6875</v>
      </c>
      <c r="BL54" s="6">
        <f>Reinforcements[[#This Row],[End Connection Edge Distance (in) (T)]]</f>
        <v>3</v>
      </c>
      <c r="BM54" s="6">
        <f>Reinforcements[[#This Row],[End Connection Bolt Spacing (in) (T)]]</f>
        <v>3</v>
      </c>
      <c r="BN54" s="6" t="str">
        <f>IF(Reinforcements[[#This Row],[Reinforcement]]="","",IF(Reinforcements[[#This Row],[Top End Connection Same?]]="Yes",Reinforcements[[#This Row],[Bottom Connected to Flange/Base Plate?]],IF(Reinforcements[[#This Row],[Top End Connection Type]]="Bolted","-","")))</f>
        <v>-</v>
      </c>
      <c r="BO54" s="6" t="str">
        <f>IF(Reinforcements[[#This Row],[Reinforcement]]="","",IF(Reinforcements[[#This Row],[Top End Connection Same?]]="Yes",Reinforcements[[#This Row],[Bottom Weld Grade (ksi)]],IF(OR(Reinforcements[[#This Row],[Top End Connection Type]]&lt;&gt;"Welded",Reinforcements[[#This Row],[Top End Connection Type]]=""),"-","")))</f>
        <v>-</v>
      </c>
      <c r="BP54" s="6" t="str">
        <f>IF($AZ54="Yes",AP54,IF(Reinforcements[[#This Row],[Reinforcement]]="","",IF(OR(Reinforcements[[#This Row],[Top End Connection Type]]&lt;&gt;"Welded",Reinforcements[[#This Row],[Top End Connection Type]]=""),"-","")))</f>
        <v>-</v>
      </c>
      <c r="BQ54" s="6" t="str">
        <f>IF(Reinforcements[[#This Row],[Reinforcement]]="","",IF($AZ54="Yes",AQ54,IF(OR(Reinforcements[[#This Row],[Top End Connection Type]]&lt;&gt;"Welded",Reinforcements[[#This Row],[Top Transverse (Horizontal) Weld]]="none",Reinforcements[[#This Row],[Top Transverse (Horizontal) Weld]]=""),"-","")))</f>
        <v>-</v>
      </c>
      <c r="BR54" s="6"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6"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6" t="str">
        <f>IF(Reinforcements[[#This Row],[Reinforcement]]="","",IF($AZ54="Yes",AT54,IF(OR(Reinforcements[[#This Row],[Top Transverse (Horizontal) Weld]]="none",Reinforcements[[#This Row],[Top End Connection Type]]&lt;&gt;"Welded",Reinforcements[[#This Row],[Top Transverse (Horizontal) Weld]]=""),"-","")))</f>
        <v>-</v>
      </c>
      <c r="BU54" s="6"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6" t="str">
        <f>IF($AZ54="Yes",AV54,IF(Reinforcements[[#This Row],[Reinforcement]]="","",IF(OR(Reinforcements[[#This Row],[Top End Connection Type]]&lt;&gt;"Welded",Reinforcements[[#This Row],[Top End Connection Type]]=""),"-","")))</f>
        <v>-</v>
      </c>
      <c r="BW54" s="6"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6"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6" t="str">
        <f>IF($AZ54="Yes",AY54,IF(Reinforcements[[#This Row],[Reinforcement]]="","",IF(OR(Reinforcements[[#This Row],[Top End Connection Type]]&lt;&gt;"Welded",Reinforcements[[#This Row],[Top Longitudinal (Vertical) Weld]]="none"),"-",SQRT(2)/2*Reinforcements[[#This Row],[Top Longitudinal Weld Fillet Size (in)]])))</f>
        <v>-</v>
      </c>
      <c r="BZ5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11">
        <f>IF(Reinforcements[[#This Row],[Reinforcement]]="","",IF(Reinforcements[[#This Row],[Top End Connection Type]]&lt;&gt;"Bolted","n/a",(Reinforcements[[#This Row],['# of End Connection Bolts          (Top)]]-1)*Reinforcements[[#This Row],[End Connection Bolt Spacing (in) (T)]]+Reinforcements[[#This Row],[End Connection Edge Distance (in) (T)]]))</f>
        <v>18</v>
      </c>
      <c r="CC5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6">
        <f>IFERROR(IF(Reinforcements[[#This Row],[Type]]="","",Reinforcements[[#This Row],[Effective B (in)]]*Reinforcements[[#This Row],[Effective H (in)]]^3/12),"")</f>
        <v>0.375</v>
      </c>
      <c r="CF54" s="6">
        <f>IFERROR(IF(Reinforcements[[#This Row],[Type]]="","",Reinforcements[[#This Row],[Effective B (in)]]^3*Reinforcements[[#This Row],[Effective H (in)]]/12),"")</f>
        <v>7.59375</v>
      </c>
      <c r="CG54" s="126">
        <f>SQRT(2*PI()^2*29000/VLOOKUP(Reinforcements[[#This Row],[Material]],Materials[],2,FALSE))</f>
        <v>93.844147005158973</v>
      </c>
      <c r="CH5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123">
        <f>Reinforcements[[#This Row],[Effective Length Factor Kx]]*Reinforcements[[#This Row],[Lu (in)]]/(Reinforcements[[#This Row],[rx]]*PI())*SQRT(VLOOKUP(Reinforcements[[#This Row],[Material]],Materials[],2,FALSE)/29000)</f>
        <v>0.86135538647286303</v>
      </c>
      <c r="CK54" s="123">
        <f>Reinforcements[[#This Row],[Effective Length Factor Ky]]*Reinforcements[[#This Row],[Lu (in)]]/(Reinforcements[[#This Row],[ry]]*PI())*SQRT(VLOOKUP(Reinforcements[[#This Row],[Material]],Materials[],2,FALSE)/29000)</f>
        <v>0.23926538513135082</v>
      </c>
      <c r="CL54" s="123">
        <f>IF(Reinforcements[[#This Row],[λcx]]&lt;=1.5,0.658^(Reinforcements[[#This Row],[λcx]]^2)*Reinforcements[[#This Row],[F''y]],0.877/(Reinforcements[[#This Row],[λcx]]^2)*Reinforcements[[#This Row],[F''y]])</f>
        <v>47.648488665866502</v>
      </c>
      <c r="CM54" s="123">
        <f>IF(Reinforcements[[#This Row],[λcy]]&lt;=1.5,0.658^(Reinforcements[[#This Row],[λcy]]^2)*Reinforcements[[#This Row],[F''y]],0.877/(Reinforcements[[#This Row],[λcy]]^2)*Reinforcements[[#This Row],[F''y]])</f>
        <v>63.46103726403328</v>
      </c>
      <c r="CN54" s="6">
        <f>VLOOKUP(Reinforcements[[#This Row],[Material]],Materials[],2,FALSE)</f>
        <v>65</v>
      </c>
      <c r="CO54" s="126">
        <f>IF(Reinforcements[[#This Row],[Reinforcement]]="","",Reinforcements[[#This Row],[Fax]]*Reinforcements[[#This Row],[Gross Area (in2)]])</f>
        <v>127.6210422748988</v>
      </c>
      <c r="CP54" s="126">
        <f>IF(Reinforcements[[#This Row],[Reinforcement]]="","",Reinforcements[[#This Row],[Fay]]*Reinforcements[[#This Row],[Gross Area (in2)]])</f>
        <v>166.70293305689657</v>
      </c>
      <c r="CQ54" s="126">
        <f>IF(Reinforcements[[#This Row],[Reinforcement]]="","",0.6*VLOOKUP(Reinforcements[[#This Row],[Material]],Materials[],2,FALSE)*Reinforcements[[#This Row],[Gross Area (in2)]])</f>
        <v>175.5</v>
      </c>
      <c r="CR54" s="126">
        <f>IF(Reinforcements[[#This Row],[Reinforcement]]="","",0.5*VLOOKUP(Reinforcements[[#This Row],[Material]],Materials[],3,FALSE)*Reinforcements[[#This Row],[Net Area (in2)]]*Reinforcements[[#This Row],[Shear Lag (U)]])</f>
        <v>127.5</v>
      </c>
      <c r="CS54" s="126">
        <f>IF(Reinforcements[[#This Row],[Reinforcement]]="","",0.4*VLOOKUP(Reinforcements[[#This Row],[Material]],Materials[],2,FALSE)*Reinforcements[[#This Row],[Gross Area (in2)]])</f>
        <v>117</v>
      </c>
      <c r="CT5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6"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6"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126">
        <f>IF(Reinforcements[[#This Row],[Reinforcement]]="","",φ_c*Reinforcements[[#This Row],[Fcr,x]]*Reinforcements[[#This Row],[Gross Area (in2)]])</f>
        <v>192.97637909675936</v>
      </c>
      <c r="DI54" s="126">
        <f>IF(Reinforcements[[#This Row],[Reinforcement]]="","",φ_c*Reinforcements[[#This Row],[Fcr,y]]*Reinforcements[[#This Row],[Gross Area (in2)]])</f>
        <v>257.01720091933475</v>
      </c>
      <c r="DJ54" s="126">
        <f>IF(Reinforcements[[#This Row],[Reinforcement]]="","",φ_t_y*VLOOKUP(Reinforcements[[#This Row],[Material]],Materials[],2,FALSE)*Reinforcements[[#This Row],[Gross Area (in2)]])</f>
        <v>263.25</v>
      </c>
      <c r="DK54" s="126">
        <f>IF(Reinforcements[[#This Row],[Reinforcement]]="","",φ_t_r*VLOOKUP(Reinforcements[[#This Row],[Material]],Materials[],3,FALSE)*Reinforcements[[#This Row],[Net Area (in2)]]*Reinforcements[[#This Row],[Shear Lag (U)]])</f>
        <v>191.25</v>
      </c>
      <c r="DL54" s="126">
        <f>IF(Reinforcements[[#This Row],[Reinforcement]]="","",φ_v*0.5*Reinforcements[[#This Row],[F''y]]*Reinforcements[[#This Row],[Gross Area (in2)]])</f>
        <v>131.625</v>
      </c>
      <c r="DM5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6"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6"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111" t="str">
        <f>IF(OR(Reinforcements[[#This Row],[Type]]="plate",Reinforcements[[#This Row],[Type]]="solid round"),"N/A",Reinforcements[[#This Row],[B (in)]])</f>
        <v>N/A</v>
      </c>
      <c r="EB54" s="6" t="str">
        <f>IF(OR(Reinforcements[[#This Row],[Type]]="plate",Reinforcements[[#This Row],[Type]]="solid round"),"N/A",Reinforcements[[#This Row],[H (in)]])</f>
        <v>N/A</v>
      </c>
      <c r="EC54" s="6" t="str">
        <f>IF(OR(Reinforcements[[#This Row],[Type]]="plate",Reinforcements[[#This Row],[Type]]="solid round"),"N/A",Reinforcements[[#This Row],[B (in)]]-Reinforcements[[#This Row],['[Channel'] Flange Thickness (in)]])</f>
        <v>N/A</v>
      </c>
      <c r="ED54" s="6" t="str">
        <f>IF(OR(Reinforcements[[#This Row],[Type]]="plate",Reinforcements[[#This Row],[Type]]="solid round"),"N/A",Reinforcements[[#This Row],['[Channel']Web Thickness (in)]])</f>
        <v>N/A</v>
      </c>
      <c r="EE54" s="6" t="str">
        <f>IF(OR(Reinforcements[[#This Row],[Type]]="plate",Reinforcements[[#This Row],[Type]]="solid round"),"N/A",Reinforcements[[#This Row],['[Channel'] Flange Thickness (in)]])</f>
        <v>N/A</v>
      </c>
      <c r="EF54" s="6" t="str">
        <f>IF(Reinforcements[[#This Row],[Type]]="channel",Reinforcements[[#This Row],[Channel Flange Width, b]]/Reinforcements[[#This Row],[Channel flange thickness, tf]],"N/A")</f>
        <v>N/A</v>
      </c>
      <c r="EG54" s="6" t="str">
        <f>IF(Reinforcements[[#This Row],[Type]]="channel",Reinforcements[[#This Row],[Channel inside depth, T]]/Reinforcements[[#This Row],[Channel web thickness, tw]],"N/A")</f>
        <v>N/A</v>
      </c>
      <c r="EH54" s="6">
        <f>29000</f>
        <v>29000</v>
      </c>
      <c r="EI54" s="6" t="str">
        <f>IF(Reinforcements[[#This Row],[Type]]="channel",0.56*SQRT(Reinforcements[[#This Row],[E, (ksi)]]/Reinforcements[[#This Row],[Fy, (ksi)]]),"N/A")</f>
        <v>N/A</v>
      </c>
      <c r="EJ54" s="6" t="str">
        <f>IF(Reinforcements[[#This Row],[Type]]="channel",1.49*SQRT(Reinforcements[[#This Row],[E, (ksi)]]/Reinforcements[[#This Row],[Fy, (ksi)]]),"N/A")</f>
        <v>N/A</v>
      </c>
      <c r="EK54" s="6">
        <f>VLOOKUP(Reinforcements[[#This Row],[Material]],Materials!$B$2:$C$30,2,FALSE)</f>
        <v>65</v>
      </c>
      <c r="EL54" s="6">
        <f>Reinforcements[[#This Row],[Lu (in)]]*Reinforcements[[#This Row],[Effective Length Factor Kx]]</f>
        <v>16.5</v>
      </c>
      <c r="EM54" s="6">
        <f>Reinforcements[[#This Row],[Lu (in)]]*Reinforcements[[#This Row],[Effective Length Factor Ky]]</f>
        <v>20.625</v>
      </c>
      <c r="EN54" s="6">
        <f>Reinforcements[[#This Row],[rx]]</f>
        <v>0.28867513459481287</v>
      </c>
      <c r="EO54" s="6">
        <f>Reinforcements[[#This Row],[ry]]</f>
        <v>1.299038105676658</v>
      </c>
      <c r="EP54" s="6">
        <f>Reinforcements[[#This Row],[Lcx (in)]]/Reinforcements[[#This Row],[rx (in)]]</f>
        <v>57.157676649772952</v>
      </c>
      <c r="EQ54" s="6">
        <f>Reinforcements[[#This Row],[Lcy (in)]]/Reinforcements[[#This Row],[ry (in)]]</f>
        <v>15.877132402714707</v>
      </c>
      <c r="ER54" s="6">
        <f>((PI()^2)*Reinforcements[[#This Row],[E, (ksi)]])/(Reinforcements[[#This Row],[Lcx/rx]]^2)</f>
        <v>87.608976930392217</v>
      </c>
      <c r="ES54" s="6">
        <f>((PI()^2)*Reinforcements[[#This Row],[E, (ksi)]])/(Reinforcements[[#This Row],[Lcy/ry]]^2)</f>
        <v>1135.4123410178834</v>
      </c>
      <c r="ET54" s="6">
        <f>4.71*(SQRT(Reinforcements[[#This Row],[E, (ksi)]]/Reinforcements[[#This Row],[Fy, (ksi)]]))</f>
        <v>99.486288193205496</v>
      </c>
      <c r="EU54" s="6">
        <f>IF(Reinforcements[[#This Row],[Lcx/rx]]&lt;=Reinforcements[[#This Row],[Fcr Limit]],(0.658^(Reinforcements[[#This Row],[Fy, (ksi)]]/Reinforcements[[#This Row],[Fex, FB (ksi)]]))*Reinforcements[[#This Row],[Fy, (ksi)]],0.877*Reinforcements[[#This Row],[Fex, FB (ksi)]])</f>
        <v>47.648488665866502</v>
      </c>
      <c r="EV54" s="6">
        <f>IF(Reinforcements[[#This Row],[Lcy/ry]]&lt;=Reinforcements[[#This Row],[Fcr Limit]],(0.658^(Reinforcements[[#This Row],[Fy, (ksi)]]/Reinforcements[[#This Row],[Fey, FB (ksi)]]))*Reinforcements[[#This Row],[Fy, (ksi)]],0.877*Reinforcements[[#This Row],[Fey, FB (ksi)]])</f>
        <v>63.46103726403328</v>
      </c>
      <c r="EW54" s="6">
        <f>Reinforcements[[#This Row],[Fcrx (ksi)]]*Reinforcements[[#This Row],[Gross Area (in2)]]</f>
        <v>214.41819899639927</v>
      </c>
      <c r="EX54" s="6">
        <f>Reinforcements[[#This Row],[Fcry (ksi)]]*Reinforcements[[#This Row],[Gross Area (in2)]]</f>
        <v>285.57466768814976</v>
      </c>
      <c r="EY54" s="6" t="str">
        <f>IF(Reinforcements[[#This Row],[Type]]="channel",0,"N/A")</f>
        <v>N/A</v>
      </c>
      <c r="EZ54" s="6" t="str">
        <f>IF(Reinforcements[[#This Row],[Type]]="channel",Reinforcements[[#This Row],[Channel Flange Width, b]]-(0.5*Reinforcements[[#This Row],[Channel web thickness, tw]]),"N/A")</f>
        <v>N/A</v>
      </c>
      <c r="FA54" s="6" t="str">
        <f>IF(Reinforcements[[#This Row],[Type]]="channel",Reinforcements[[#This Row],[Channel Height, h]]-Reinforcements[[#This Row],[Channel flange thickness, tf]],"N/A")</f>
        <v>N/A</v>
      </c>
      <c r="FB54" s="6" t="str">
        <f>IF(Reinforcements[[#This Row],[Type]]="channel",Reinforcements[[#This Row],[Channel web thickness, tw]],"N/A")</f>
        <v>N/A</v>
      </c>
      <c r="FC54" s="6" t="str">
        <f>IF(Reinforcements[[#This Row],[Type]]="channel",((3*Reinforcements[[#This Row],[b]]^2)/(Reinforcements[[#This Row],[h]]+(6*Reinforcements[[#This Row],[b]])))-Reinforcements[[#This Row],[t]]/2,"N/A")</f>
        <v>N/A</v>
      </c>
      <c r="FD54" s="6">
        <f>Reinforcements[[#This Row],[Pole Face to Centroid (in)]]</f>
        <v>0.5</v>
      </c>
      <c r="FE54" s="6" t="str">
        <f>IF(Reinforcements[[#This Row],[Type]]="channel",Reinforcements[[#This Row],[x(bar)]]+Reinforcements[[#This Row],['[Channel'] e0 (in)]],"N/A")</f>
        <v>N/A</v>
      </c>
      <c r="FF54" s="6" t="str">
        <f>IF(Reinforcements[[#This Row],[Type]]="channel",Reinforcements[[#This Row],[Ix]],"N/A")</f>
        <v>N/A</v>
      </c>
      <c r="FG54" s="6" t="str">
        <f>IF(Reinforcements[[#This Row],[Type]]="channel",Reinforcements[[#This Row],[Iy]],"N/A")</f>
        <v>N/A</v>
      </c>
      <c r="FH54" s="6" t="str">
        <f>IF(Reinforcements[[#This Row],[Type]]="channel",Reinforcements[[#This Row],[Gross Area (in2)]],"N/A")</f>
        <v>N/A</v>
      </c>
      <c r="FI54" s="6" t="str">
        <f>IF(Reinforcements[[#This Row],[Type]]="channel",(Reinforcements[[#This Row],[xo]]^2)+((Reinforcements[[#This Row],[Ix (FTB)]]+Reinforcements[[#This Row],[Iy (FTB)]])/Reinforcements[[#This Row],[Ag]]),"N/A")</f>
        <v>N/A</v>
      </c>
      <c r="FJ54" s="6" t="str">
        <f>IF(Reinforcements[[#This Row],[Type]]="channel",Reinforcements[[#This Row],[Lu (in)]],"N/A")</f>
        <v>N/A</v>
      </c>
      <c r="FK54" s="6" t="str">
        <f>IF(Reinforcements[[#This Row],[Type]]="channel",Reinforcements[[#This Row],[Effective Length Factor Kx]],"N/A")</f>
        <v>N/A</v>
      </c>
      <c r="FL54" s="6" t="str">
        <f>IF(Reinforcements[[#This Row],[Type]]="channel",Reinforcements[[#This Row],[Kz]]*Reinforcements[[#This Row],[Lz]],"N/A")</f>
        <v>N/A</v>
      </c>
      <c r="FM54" s="6" t="str">
        <f>IF(Reinforcements[[#This Row],[Type]]="channel",(((Reinforcements[[#This Row],[t]]^3)/3)*(Reinforcements[[#This Row],[h]]+(2*Reinforcements[[#This Row],[b]]))),"N/A")</f>
        <v>N/A</v>
      </c>
      <c r="FN54" s="6" t="str">
        <f>IF(Reinforcements[[#This Row],[Type]]="channel",(1-(((Reinforcements[[#This Row],[xo]]^2)+(Reinforcements[[#This Row],[yo]]^2))/Reinforcements[[#This Row],[ro^2(bar)]])),"N/A")</f>
        <v>N/A</v>
      </c>
      <c r="FO54" s="6">
        <v>11200</v>
      </c>
      <c r="FP54" s="6" t="str">
        <f>IF(Reinforcements[[#This Row],[Type]]="channel",(((Reinforcements[[#This Row],[h]]^2)*(Reinforcements[[#This Row],[b]]^3)*Reinforcements[[#This Row],[t]])/12)*(((2*Reinforcements[[#This Row],[h]])+(3*Reinforcements[[#This Row],[b]]))/(Reinforcements[[#This Row],[h]]+(6*Reinforcements[[#This Row],[b]]))),"N/A")</f>
        <v>N/A</v>
      </c>
      <c r="FQ54" s="6" t="str">
        <f>IF(Reinforcements[[#This Row],[Type]]="Channel",((((PI()^2)*Reinforcements[[#This Row],[E, (ksi)]]*Reinforcements[[#This Row],['[Channel'] CW (in6)]])/(Reinforcements[[#This Row],[Lcz]]^2))+(Reinforcements[[#This Row],[G]]*Reinforcements[[#This Row],['[Channel'] J (in4)]]))*(1/(Reinforcements[[#This Row],[Ag]]*Reinforcements[[#This Row],[ro^2(bar)]])),"N/A")</f>
        <v>N/A</v>
      </c>
      <c r="FR54" s="6" t="str">
        <f>IF(Reinforcements[[#This Row],[Type]]="channel",((PI()^2)*Reinforcements[[#This Row],[E, (ksi)]])/(Reinforcements[[#This Row],[Lcy/ry]]^2),"N/A")</f>
        <v>N/A</v>
      </c>
      <c r="FS54" s="6" t="str">
        <f>IF(Reinforcements[[#This Row],[Type]]="channel",((Reinforcements[[#This Row],[Fey]]+Reinforcements[[#This Row],[Fez]])/(2*Reinforcements[[#This Row],[H2]]))*(1-SQRT(1-((4*Reinforcements[[#This Row],[Fey]]*Reinforcements[[#This Row],[Fez]]*Reinforcements[[#This Row],[H2]])/(Reinforcements[[#This Row],[Fey]]+Reinforcements[[#This Row],[Fez]])^2))),"N/A")</f>
        <v>N/A</v>
      </c>
      <c r="FT54" s="6" t="str">
        <f>IF(Reinforcements[[#This Row],[Type]]="channel",IF(Reinforcements[[#This Row],[Lcx/rx]]&gt;(4.71*SQRT(Reinforcements[[#This Row],[E, (ksi)]]/Reinforcements[[#This Row],[Fy, (ksi)]])),0.877*Reinforcements[[#This Row],[Fe (FTB)]],0.658^(Reinforcements[[#This Row],[Fy, (ksi)]]/Reinforcements[[#This Row],[Fe (FTB)]])*Reinforcements[[#This Row],[Fy, (ksi)]]),"N/A")</f>
        <v>N/A</v>
      </c>
      <c r="FU54" s="6" t="str">
        <f>IF(Reinforcements[[#This Row],[Type]]="channel",MIN(Reinforcements[[#This Row],[Fcr(FTB)]],Reinforcements[[#This Row],[Fcry (ksi)]]),"N/A")</f>
        <v>N/A</v>
      </c>
      <c r="FV54" s="6">
        <v>0.22</v>
      </c>
      <c r="FW54" s="6">
        <v>1.49</v>
      </c>
      <c r="FX54" s="6" t="str">
        <f>IF(Reinforcements[[#This Row],[Type]]="channel",((Reinforcements[[#This Row],[c2]]*(Reinforcements[[#This Row],[λrf]]/Reinforcements[[#This Row],[λf]]))^2)*Reinforcements[[#This Row],[Fy, (ksi)]],"N/A")</f>
        <v>N/A</v>
      </c>
      <c r="FY54" s="6" t="str">
        <f>IF(Reinforcements[[#This Row],[Type]]="channel",((Reinforcements[[#This Row],[c2]]*(Reinforcements[[#This Row],[λrw]]/Reinforcements[[#This Row],[λw]]))^2)*Reinforcements[[#This Row],[Fy, (ksi)]],"N/A")</f>
        <v>N/A</v>
      </c>
      <c r="FZ5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6" t="str">
        <f>IF(Reinforcements[[#This Row],[Type]]="channel",Reinforcements[[#This Row],[Fcr]]*Reinforcements[[#This Row],[Ae]],"N/A")</f>
        <v>N/A</v>
      </c>
      <c r="GD54">
        <f>IF(Reinforcements[[#This Row],[Reinforcement]]="","",φ_c*Reinforcements[[#This Row],[Pnx, FB (kip)]])</f>
        <v>192.97637909675936</v>
      </c>
      <c r="GE54">
        <f>IF(Reinforcements[[#This Row],[Reinforcement]]="","",IF(Reinforcements[[#This Row],[Type]]="channel",φ_c*Reinforcements[[#This Row],[Pn]],φ_c*Reinforcements[[#This Row],[Pny, FB (kip)]]))</f>
        <v>257.01720091933481</v>
      </c>
      <c r="GF54">
        <f>Reinforcements[[#This Row],[Rev. G Tension Yield Capacity (kips)]]</f>
        <v>263.25</v>
      </c>
      <c r="GG54">
        <f>Reinforcements[[#This Row],[Rev. G Tension Rupture Capacity (kips)]]</f>
        <v>191.25</v>
      </c>
      <c r="GH54">
        <f>Reinforcements[[#This Row],[Rev. G Shear Capacity (kips)]]</f>
        <v>131.625</v>
      </c>
      <c r="GI54">
        <f>IFERROR((Reinforcements[[#This Row],['# of End Connection Bolts          (Bottom)]]-1)*Reinforcements[[#This Row],[End Connection Bolt Spacing (in) (B)]],"-")</f>
        <v>15</v>
      </c>
      <c r="GJ54">
        <f>IFERROR(IF(VLOOKUP(Reinforcements[[#This Row],[Bottom End Connection Bolt Type]],Bolts[],COLUMN(Bolts[[#Headers],[Rev. H Apply Connection Length Reduction Factor (Rb)?]])-1,FALSE)="Yes",(IF(Reinforcements[[#This Row],[Lb(bottom)]]&lt;=16,1,IF(Reinforcements[[#This Row],[Lb(bottom)]]&gt;38,0.75,0.9))),1),"-")</f>
        <v>1</v>
      </c>
      <c r="GK5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f>IFERROR(IF(Reinforcements[[#This Row],[Top End Connection Same?]]="Yes",Reinforcements[[#This Row],[Lb(bottom)]],(Reinforcements[[#This Row],['# of End Connection Bolts          (Top)]]-1)*Reinforcements[[#This Row],[End Connection Bolt Spacing (in) (T)]]),"-")</f>
        <v>15</v>
      </c>
      <c r="GM54">
        <f>IFERROR(IF(VLOOKUP(Reinforcements[[#This Row],[Top End Connection Bolt Type]],Bolts[],COLUMN(Bolts[[#Headers],[Rev. H Apply Connection Length Reduction Factor (Rb)?]])-1,FALSE)=TRUE,(IF(Reinforcements[[#This Row],[Lb(top)]]&lt;=16,1,IF(Reinforcements[[#This Row],[Lb(top)]]&gt;38,0.75,0.9))),1),"-")</f>
        <v>1</v>
      </c>
      <c r="GN5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f>Reinforcements[[#This Row],[Rev. G Bolt-Shaft Bearing Capacity (Bottom)                No Deformation          (*t*Fu kips)]]</f>
        <v>11.662204724409449</v>
      </c>
      <c r="GP54">
        <f>Reinforcements[[#This Row],[Rev. G Bolt-Shaft Bearing Capacity (Bottom)                   Deformation          (*t*Fu kips)]]</f>
        <v>14.577755905511811</v>
      </c>
      <c r="GQ54">
        <f>Reinforcements[[#This Row],[Rev. G Bolt-Shaft Bearing Capacity (Top)                    No Deformation          (*t*Fu kips)]]</f>
        <v>11.662204724409449</v>
      </c>
      <c r="GR54">
        <f>Reinforcements[[#This Row],[Rev. G Bolt-Shaft Bearing Capacity (Top)                        Deformation          (*t*Fu kips)]]</f>
        <v>14.577755905511811</v>
      </c>
      <c r="GS54">
        <f>Reinforcements[[#This Row],[Rev. G Bolt-Reinf. Bearing Capacity (Bottom)            No Deformation (kips)]]</f>
        <v>932.97637795275568</v>
      </c>
      <c r="GT54">
        <f>Reinforcements[[#This Row],[Rev. G Bolt-Reinf. Bearing Capacity (Bottom)               Deformation (kips)]]</f>
        <v>1166.2204724409448</v>
      </c>
      <c r="GU54">
        <f>Reinforcements[[#This Row],[Rev. G Bolt-Reinf. Bearing Capacity (Top)                  No Deformation (kips)]]</f>
        <v>932.97637795275568</v>
      </c>
      <c r="GV54">
        <f>Reinforcements[[#This Row],[Rev. G Bolt-Reinf. Bearing Capacity (Top)               Deformation (kips)]]</f>
        <v>1166.2204724409448</v>
      </c>
      <c r="GW54" t="str">
        <f>Reinforcements[[#This Row],[Rev. G Bottom Transverse Weld Strength]]</f>
        <v>-</v>
      </c>
      <c r="GX54" t="str">
        <f>Reinforcements[[#This Row],[Rev. G Bottom Longitudinal Weld Strength]]</f>
        <v>-</v>
      </c>
      <c r="GY54" t="str">
        <f>Reinforcements[[#This Row],[Rev. G Top Transverse Weld Strength]]</f>
        <v>-</v>
      </c>
      <c r="GZ54" t="str">
        <f>Reinforcements[[#This Row],[Rev. G Top Longitudinal Weld Strength]]</f>
        <v>-</v>
      </c>
      <c r="HA54">
        <v>52</v>
      </c>
      <c r="HB5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x14ac:dyDescent="0.2">
      <c r="B55" s="49" t="s">
        <v>413</v>
      </c>
      <c r="C55" s="49" t="s">
        <v>352</v>
      </c>
      <c r="D55" s="6">
        <v>6</v>
      </c>
      <c r="E55" s="6">
        <v>1</v>
      </c>
      <c r="F55" s="6" t="str">
        <f>IF(Reinforcements[[#This Row],[Type]]="","",IF(Reinforcements[[#This Row],[Type]]="solid round","","n/a"))</f>
        <v>n/a</v>
      </c>
      <c r="G55" s="6" t="str">
        <f>IF(Reinforcements[[#This Row],[Type]]="","",IF(Reinforcements[[#This Row],[Type]]&lt;&gt;"channel","n/a",""))</f>
        <v>n/a</v>
      </c>
      <c r="H55" s="6" t="str">
        <f>IF(Reinforcements[[#This Row],[Type]]="","",IF(Reinforcements[[#This Row],[Type]]&lt;&gt;"channel","n/a",""))</f>
        <v>n/a</v>
      </c>
      <c r="I55" s="126" t="str">
        <f>IF(Reinforcements[[#This Row],[Type]]="","",IF(Reinforcements[[#This Row],[Type]]&lt;&gt;"channel","n/a",Reinforcements[[#This Row],[eo]]))</f>
        <v>n/a</v>
      </c>
      <c r="J55" s="126" t="str">
        <f>IF(Reinforcements[[#This Row],[Type]]="","",IF(Reinforcements[[#This Row],[Type]]&lt;&gt;"channel","n/a",Reinforcements[[#This Row],[J]]))</f>
        <v>n/a</v>
      </c>
      <c r="K55" s="126" t="str">
        <f>IF(Reinforcements[[#This Row],[Type]]="","",IF(Reinforcements[[#This Row],[Type]]&lt;&gt;"channel","n/a",Reinforcements[[#This Row],[Cw]]))</f>
        <v>n/a</v>
      </c>
      <c r="L55" s="6">
        <f>IFERROR(IF(Reinforcements[[#This Row],[Type]]="","",IF(Reinforcements[[#This Row],[Type]]="plate",Reinforcements[[#This Row],[B (in)]]*Reinforcements[[#This Row],[H (in)]],IF(Reinforcements[[#This Row],[Type]]="solid round",PI()/4*Reinforcements[[#This Row],[Diameter (in)]]^2,""))),"")</f>
        <v>6</v>
      </c>
      <c r="M55" s="6">
        <f>IFERROR(IF(Reinforcements[[#This Row],[Type]]="","",IF(Reinforcements[[#This Row],[Type]]="plate",Reinforcements[[#This Row],[H (in)]]/2,"")),"")</f>
        <v>0.5</v>
      </c>
      <c r="N55" s="16" t="s">
        <v>353</v>
      </c>
      <c r="O55" s="6" t="s">
        <v>138</v>
      </c>
      <c r="P55" s="123">
        <f>IFERROR(IF(Reinforcements[[#This Row],[Type]]="","",IF(Reinforcements[[#This Row],[Type]]="plate",Reinforcements[[#This Row],[B (in)]]*Reinforcements[[#This Row],[H (in)]]^3/12,IF(Reinforcements[[#This Row],[Type]]="solid round",PI()/64*Reinforcements[[#This Row],[Diameter (in)]]^4,""))),"")</f>
        <v>0.5</v>
      </c>
      <c r="Q55" s="123">
        <f>IF(Reinforcements[[#This Row],[Reinforcement]]="","",SQRT(Reinforcements[[#This Row],[Ix]]/Reinforcements[[#This Row],[Gross Area (in2)]]))</f>
        <v>0.28867513459481287</v>
      </c>
      <c r="R55" s="123">
        <f>IFERROR(IF(Reinforcements[[#This Row],[Type]]="","",IF(Reinforcements[[#This Row],[Type]]="plate",Reinforcements[[#This Row],[B (in)]]^3*Reinforcements[[#This Row],[H (in)]]/12,IF(Reinforcements[[#This Row],[Type]]="solid round",PI()/64*Reinforcements[[#This Row],[Diameter (in)]]^4,""))),"")</f>
        <v>18</v>
      </c>
      <c r="S55" s="123">
        <f>IF(Reinforcements[[#This Row],[Reinforcement]]="","",SQRT(Reinforcements[[#This Row],[Iy]]/Reinforcements[[#This Row],[Gross Area (in2)]]))</f>
        <v>1.7320508075688772</v>
      </c>
      <c r="T55" s="6">
        <v>16.375</v>
      </c>
      <c r="U55" s="6">
        <v>0.8</v>
      </c>
      <c r="V55" s="6">
        <v>1</v>
      </c>
      <c r="W55" s="6">
        <v>1.1875</v>
      </c>
      <c r="X55" s="6">
        <f>IF(Reinforcements[[#This Row],[Bolt Hole Size (in)]]="","",IF(Reinforcements[[#This Row],[Bolt Hole Size (in)]]="n/a","n/a",Reinforcements[[#This Row],[Bolt Hole Size (in)]]*25.4))</f>
        <v>30.162499999999998</v>
      </c>
      <c r="Y5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6">
        <f>IFERROR(IF(Reinforcements[[#This Row],[Reinforcement]]="","",IF(OR(Reinforcements[[#This Row],[Type]]="plate",Reinforcements[[#This Row],[Type]]="solid round"),1,IF(Reinforcements[[#This Row],[Type]]="arbitrary","",1-Reinforcements[[#This Row],[Pole Face to Centroid (in)]]/Reinforcements[[#This Row],[Connection Length (in) '[Channels']]]))),"")</f>
        <v>1</v>
      </c>
      <c r="AA55" s="34" t="s">
        <v>354</v>
      </c>
      <c r="AB55" s="34" t="str">
        <f>IF(Reinforcements[[#This Row],[Reinforcement]]="","",IF(Reinforcements[[#This Row],[Bottom End Connection Type]]&lt;&gt;"Capacity Input","-",""))</f>
        <v>-</v>
      </c>
      <c r="AC55" s="34" t="str">
        <f>IF(Reinforcements[[#This Row],[Reinforcement]]="","",IF(Reinforcements[[#This Row],[Bottom End Connection Type]]&lt;&gt;"Capacity Input","-",""))</f>
        <v>-</v>
      </c>
      <c r="AD55" s="16" t="str">
        <f>IF(Reinforcements[[#This Row],[Reinforcement]]="","",IF(Reinforcements[[#This Row],[Bottom End Connection Type]]&lt;&gt;"Capacity Input","-",""))</f>
        <v>-</v>
      </c>
      <c r="AE55" s="74" t="s">
        <v>355</v>
      </c>
      <c r="AF55" s="6" t="s">
        <v>356</v>
      </c>
      <c r="AG55" s="6">
        <v>8</v>
      </c>
      <c r="AH55" s="6">
        <v>3</v>
      </c>
      <c r="AI55" s="6">
        <v>3</v>
      </c>
      <c r="AJ55" s="6">
        <f>Reinforcements[[#This Row],[End Connection Edge Distance (in) (B)]]-(Reinforcements[[#This Row],[Bolt Hole Size (in)]]+1/16)/2</f>
        <v>2.375</v>
      </c>
      <c r="AK55" s="6">
        <f>Reinforcements[[#This Row],[End Connection Bolt Spacing (in) (B)]]-(Reinforcements[[#This Row],[Bolt Hole Size (in)]]+1/16)</f>
        <v>1.75</v>
      </c>
      <c r="AL55" s="6">
        <f>Reinforcements[[#This Row],[End Connection Edge Distance (in) (B)]]</f>
        <v>3</v>
      </c>
      <c r="AM55" s="6">
        <f>Reinforcements[[#This Row],[End Connection Bolt Spacing (in) (B)]]</f>
        <v>3</v>
      </c>
      <c r="AN55" s="6" t="str">
        <f>IF(Reinforcements[[#This Row],[Reinforcement]]="","",IF(OR(Reinforcements[[#This Row],[Bottom End Connection Type]]="Bolted",Reinforcements[[#This Row],[Bottom End Connection Type]]=""),"-",""))</f>
        <v>-</v>
      </c>
      <c r="AO55" s="111" t="str">
        <f>IF(Reinforcements[[#This Row],[Reinforcement]]="","",IF(OR(Reinforcements[[#This Row],[Bottom End Connection Type]]="Bolted",Reinforcements[[#This Row],[Bottom End Connection Type]]=""),"-",""))</f>
        <v>-</v>
      </c>
      <c r="AP55" s="111" t="str">
        <f>IF(Reinforcements[[#This Row],[Reinforcement]]="","",IF(OR(Reinforcements[[#This Row],[Bottom End Connection Type]]="Bolted",Reinforcements[[#This Row],[Bottom End Connection Type]]=""),"-",""))</f>
        <v>-</v>
      </c>
      <c r="AQ55" s="111" t="str">
        <f>IF(OR(Reinforcements[[#This Row],[Bottom End Connection Type]]="Bolted",Reinforcements[[#This Row],[Bottom Transverse (Horizontal) Weld]]="none"),"-","")</f>
        <v>-</v>
      </c>
      <c r="AR5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11" t="str">
        <f>IF(OR(Reinforcements[[#This Row],[Bottom Transverse (Horizontal) Weld]]="none",Reinforcements[[#This Row],[Bottom End Connection Type]]="Bolted"),"-","")</f>
        <v>-</v>
      </c>
      <c r="AU5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11" t="str">
        <f>IF(Reinforcements[[#This Row],[Reinforcement]]="","",IF(OR(Reinforcements[[#This Row],[Bottom End Connection Type]]="Bolted",Reinforcements[[#This Row],[Bottom End Connection Type]]=""),"-",""))</f>
        <v>-</v>
      </c>
      <c r="AW55" s="111" t="str">
        <f>IF(Reinforcements[[#This Row],[Reinforcement]]="","",IF(OR(Reinforcements[[#This Row],[Bottom End Connection Type]]&lt;&gt;"Welded",Reinforcements[[#This Row],[Bottom Longitudinal (Vertical) Weld]]="None",Reinforcements[[#This Row],[Bottom Longitudinal (Vertical) Weld]]=""),"-",""))</f>
        <v>-</v>
      </c>
      <c r="AX55" s="111" t="str">
        <f>IF(Reinforcements[[#This Row],[Reinforcement]]="","",IF(OR(Reinforcements[[#This Row],[Bottom End Connection Type]]&lt;&gt;"Welded",Reinforcements[[#This Row],[Bottom Longitudinal (Vertical) Weld]]="None",Reinforcements[[#This Row],[Bottom Longitudinal (Vertical) Weld]]=""),"-",""))</f>
        <v>-</v>
      </c>
      <c r="AY55" s="6" t="str">
        <f>IF(Reinforcements[[#This Row],[Reinforcement]]="","",IF(OR(Reinforcements[[#This Row],[Bottom End Connection Type]]&lt;&gt;"Welded",Reinforcements[[#This Row],[Bottom Longitudinal (Vertical) Weld]]="None"),"-",SQRT(2)/2*Reinforcements[[#This Row],[Bottom Longitudinal Weld Fillet Size (in)]]))</f>
        <v>-</v>
      </c>
      <c r="AZ55" s="6" t="s">
        <v>357</v>
      </c>
      <c r="BA55" s="16" t="str">
        <f>IF(Reinforcements[[#This Row],[Top End Connection Same?]]="Yes",Reinforcements[[#This Row],[Bottom End Connection Type]],"")</f>
        <v>Bolted</v>
      </c>
      <c r="BB55" s="16" t="str">
        <f>IF(Reinforcements[[#This Row],[Reinforcement]]="","",IF(Reinforcements[[#This Row],[Top End Connection Same?]]="Yes",Reinforcements[[#This Row],[Rev. F Bottom Connection Capacity (kips)]],IF(Reinforcements[[#This Row],[Reinforcement]]="","",IF(Reinforcements[[#This Row],[Top End Connection Type]]&lt;&gt;"Capacity Input","-",""))))</f>
        <v>-</v>
      </c>
      <c r="BC55" s="16" t="str">
        <f>IF(Reinforcements[[#This Row],[Reinforcement]]="","",IF(Reinforcements[[#This Row],[Top End Connection Same?]]="Yes",Reinforcements[[#This Row],[Rev. G Bottom Connection Capacity (kips)]],IF(Reinforcements[[#This Row],[Reinforcement]]="","",IF(Reinforcements[[#This Row],[Top End Connection Type]]&lt;&gt;"Capacity Input","-",""))))</f>
        <v>-</v>
      </c>
      <c r="BD55" s="16" t="str">
        <f>IF(Reinforcements[[#This Row],[Reinforcement]]="","",IF(Reinforcements[[#This Row],[Top End Connection Same?]]="Yes",Reinforcements[[#This Row],[Rev. G Bottom Connection Capacity (kips)]],IF(Reinforcements[[#This Row],[Reinforcement]]="","",IF(Reinforcements[[#This Row],[Top End Connection Type]]&lt;&gt;"Capacity Input","-",""))))</f>
        <v>-</v>
      </c>
      <c r="BE55" s="74" t="str">
        <f>IF(Reinforcements[[#This Row],[Top End Connection Same?]]="Yes",Reinforcements[[#This Row],[Bottom End Connection Bolt Type]],IF(Reinforcements[[#This Row],[Top End Connection Type]]="Welded","-",""))</f>
        <v>PC 8.8 - M20 (100)</v>
      </c>
      <c r="BF55" s="6" t="str">
        <f>IF(Reinforcements[[#This Row],[Top End Connection Same?]]="Yes",Reinforcements[[#This Row],[Threads Included (N) or Excluded (X) (Bottom)]],IF(Reinforcements[[#This Row],[Top End Connection Type]]="Welded","-",""))</f>
        <v>N</v>
      </c>
      <c r="BG55" s="6">
        <f>IF(Reinforcements[[#This Row],[Top End Connection Same?]]="Yes",Reinforcements[[#This Row],['# of End Connection Bolts          (Bottom)]],IF(Reinforcements[[#This Row],[Top End Connection Type]]="Welded","-",""))</f>
        <v>8</v>
      </c>
      <c r="BH55" s="6">
        <f>IF(Reinforcements[[#This Row],[Top End Connection Same?]]="Yes",Reinforcements[[#This Row],[End Connection Bolt Spacing (in) (B)]],IF(Reinforcements[[#This Row],[Top End Connection Type]]="Welded","-",""))</f>
        <v>3</v>
      </c>
      <c r="BI55" s="6">
        <f>IF(Reinforcements[[#This Row],[Top End Connection Same?]]="Yes",Reinforcements[[#This Row],[End Connection Edge Distance (in) (B)]],IF(Reinforcements[[#This Row],[Top End Connection Type]]="Welded","-",""))</f>
        <v>3</v>
      </c>
      <c r="BJ55" s="6">
        <f>Reinforcements[[#This Row],[End Connection Edge Distance (in) (T)]]-(Reinforcements[[#This Row],[Bolt Hole Size (in)]]+1/16)/2</f>
        <v>2.375</v>
      </c>
      <c r="BK55" s="6">
        <f>Reinforcements[[#This Row],[End Connection Bolt Spacing (in) (T)]]-(Reinforcements[[#This Row],[Bolt Hole Size (in)]]+1/16)</f>
        <v>1.75</v>
      </c>
      <c r="BL55" s="6">
        <f>Reinforcements[[#This Row],[End Connection Edge Distance (in) (T)]]</f>
        <v>3</v>
      </c>
      <c r="BM55" s="6">
        <f>Reinforcements[[#This Row],[End Connection Bolt Spacing (in) (T)]]</f>
        <v>3</v>
      </c>
      <c r="BN55" s="6" t="str">
        <f>IF(Reinforcements[[#This Row],[Reinforcement]]="","",IF(Reinforcements[[#This Row],[Top End Connection Same?]]="Yes",Reinforcements[[#This Row],[Bottom Connected to Flange/Base Plate?]],IF(Reinforcements[[#This Row],[Top End Connection Type]]="Bolted","-","")))</f>
        <v>-</v>
      </c>
      <c r="BO55" s="6" t="str">
        <f>IF(Reinforcements[[#This Row],[Reinforcement]]="","",IF(Reinforcements[[#This Row],[Top End Connection Same?]]="Yes",Reinforcements[[#This Row],[Bottom Weld Grade (ksi)]],IF(OR(Reinforcements[[#This Row],[Top End Connection Type]]&lt;&gt;"Welded",Reinforcements[[#This Row],[Top End Connection Type]]=""),"-","")))</f>
        <v>-</v>
      </c>
      <c r="BP55" s="6" t="str">
        <f>IF($AZ55="Yes",AP55,IF(Reinforcements[[#This Row],[Reinforcement]]="","",IF(OR(Reinforcements[[#This Row],[Top End Connection Type]]&lt;&gt;"Welded",Reinforcements[[#This Row],[Top End Connection Type]]=""),"-","")))</f>
        <v>-</v>
      </c>
      <c r="BQ55" s="6" t="str">
        <f>IF(Reinforcements[[#This Row],[Reinforcement]]="","",IF($AZ55="Yes",AQ55,IF(OR(Reinforcements[[#This Row],[Top End Connection Type]]&lt;&gt;"Welded",Reinforcements[[#This Row],[Top Transverse (Horizontal) Weld]]="none",Reinforcements[[#This Row],[Top Transverse (Horizontal) Weld]]=""),"-","")))</f>
        <v>-</v>
      </c>
      <c r="BR55" s="6"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6"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6" t="str">
        <f>IF(Reinforcements[[#This Row],[Reinforcement]]="","",IF($AZ55="Yes",AT55,IF(OR(Reinforcements[[#This Row],[Top Transverse (Horizontal) Weld]]="none",Reinforcements[[#This Row],[Top End Connection Type]]&lt;&gt;"Welded",Reinforcements[[#This Row],[Top Transverse (Horizontal) Weld]]=""),"-","")))</f>
        <v>-</v>
      </c>
      <c r="BU55" s="6"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6" t="str">
        <f>IF($AZ55="Yes",AV55,IF(Reinforcements[[#This Row],[Reinforcement]]="","",IF(OR(Reinforcements[[#This Row],[Top End Connection Type]]&lt;&gt;"Welded",Reinforcements[[#This Row],[Top End Connection Type]]=""),"-","")))</f>
        <v>-</v>
      </c>
      <c r="BW55" s="6"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6"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6" t="str">
        <f>IF($AZ55="Yes",AY55,IF(Reinforcements[[#This Row],[Reinforcement]]="","",IF(OR(Reinforcements[[#This Row],[Top End Connection Type]]&lt;&gt;"Welded",Reinforcements[[#This Row],[Top Longitudinal (Vertical) Weld]]="none"),"-",SQRT(2)/2*Reinforcements[[#This Row],[Top Longitudinal Weld Fillet Size (in)]])))</f>
        <v>-</v>
      </c>
      <c r="BZ5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11">
        <f>IF(Reinforcements[[#This Row],[Reinforcement]]="","",IF(Reinforcements[[#This Row],[Top End Connection Type]]&lt;&gt;"Bolted","n/a",(Reinforcements[[#This Row],['# of End Connection Bolts          (Top)]]-1)*Reinforcements[[#This Row],[End Connection Bolt Spacing (in) (T)]]+Reinforcements[[#This Row],[End Connection Edge Distance (in) (T)]]))</f>
        <v>24</v>
      </c>
      <c r="CC5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6">
        <f>IFERROR(IF(Reinforcements[[#This Row],[Type]]="","",Reinforcements[[#This Row],[Effective B (in)]]*Reinforcements[[#This Row],[Effective H (in)]]^3/12),"")</f>
        <v>0.5</v>
      </c>
      <c r="CF55" s="6">
        <f>IFERROR(IF(Reinforcements[[#This Row],[Type]]="","",Reinforcements[[#This Row],[Effective B (in)]]^3*Reinforcements[[#This Row],[Effective H (in)]]/12),"")</f>
        <v>18</v>
      </c>
      <c r="CG55" s="126">
        <f>SQRT(2*PI()^2*29000/VLOOKUP(Reinforcements[[#This Row],[Material]],Materials[],2,FALSE))</f>
        <v>93.844147005158973</v>
      </c>
      <c r="CH5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123">
        <f>Reinforcements[[#This Row],[Effective Length Factor Kx]]*Reinforcements[[#This Row],[Lu (in)]]/(Reinforcements[[#This Row],[rx]]*PI())*SQRT(VLOOKUP(Reinforcements[[#This Row],[Material]],Materials[],2,FALSE)/29000)</f>
        <v>0.68386397350269734</v>
      </c>
      <c r="CK55" s="123">
        <f>Reinforcements[[#This Row],[Effective Length Factor Ky]]*Reinforcements[[#This Row],[Lu (in)]]/(Reinforcements[[#This Row],[ry]]*PI())*SQRT(VLOOKUP(Reinforcements[[#This Row],[Material]],Materials[],2,FALSE)/29000)</f>
        <v>0.14247166114639526</v>
      </c>
      <c r="CL55" s="123">
        <f>IF(Reinforcements[[#This Row],[λcx]]&lt;=1.5,0.658^(Reinforcements[[#This Row],[λcx]]^2)*Reinforcements[[#This Row],[F''y]],0.877/(Reinforcements[[#This Row],[λcx]]^2)*Reinforcements[[#This Row],[F''y]])</f>
        <v>53.444506630034688</v>
      </c>
      <c r="CM55" s="123">
        <f>IF(Reinforcements[[#This Row],[λcy]]&lt;=1.5,0.658^(Reinforcements[[#This Row],[λcy]]^2)*Reinforcements[[#This Row],[F''y]],0.877/(Reinforcements[[#This Row],[λcy]]^2)*Reinforcements[[#This Row],[F''y]])</f>
        <v>64.450111668084361</v>
      </c>
      <c r="CN55" s="6">
        <f>VLOOKUP(Reinforcements[[#This Row],[Material]],Materials[],2,FALSE)</f>
        <v>65</v>
      </c>
      <c r="CO55" s="126">
        <f>IF(Reinforcements[[#This Row],[Reinforcement]]="","",Reinforcements[[#This Row],[Fax]]*Reinforcements[[#This Row],[Gross Area (in2)]])</f>
        <v>187.80084384643152</v>
      </c>
      <c r="CP55" s="126">
        <f>IF(Reinforcements[[#This Row],[Reinforcement]]="","",Reinforcements[[#This Row],[Fay]]*Reinforcements[[#This Row],[Gross Area (in2)]])</f>
        <v>227.6694094496286</v>
      </c>
      <c r="CQ55" s="126">
        <f>IF(Reinforcements[[#This Row],[Reinforcement]]="","",0.6*VLOOKUP(Reinforcements[[#This Row],[Material]],Materials[],2,FALSE)*Reinforcements[[#This Row],[Gross Area (in2)]])</f>
        <v>234</v>
      </c>
      <c r="CR55" s="126">
        <f>IF(Reinforcements[[#This Row],[Reinforcement]]="","",0.5*VLOOKUP(Reinforcements[[#This Row],[Material]],Materials[],3,FALSE)*Reinforcements[[#This Row],[Net Area (in2)]]*Reinforcements[[#This Row],[Shear Lag (U)]])</f>
        <v>190</v>
      </c>
      <c r="CS55" s="126">
        <f>IF(Reinforcements[[#This Row],[Reinforcement]]="","",0.4*VLOOKUP(Reinforcements[[#This Row],[Material]],Materials[],2,FALSE)*Reinforcements[[#This Row],[Gross Area (in2)]])</f>
        <v>156</v>
      </c>
      <c r="CT5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6"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6"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126">
        <f>IF(Reinforcements[[#This Row],[Reinforcement]]="","",φ_c*Reinforcements[[#This Row],[Fcr,x]]*Reinforcements[[#This Row],[Gross Area (in2)]])</f>
        <v>288.60033580218732</v>
      </c>
      <c r="DI55" s="126">
        <f>IF(Reinforcements[[#This Row],[Reinforcement]]="","",φ_c*Reinforcements[[#This Row],[Fcr,y]]*Reinforcements[[#This Row],[Gross Area (in2)]])</f>
        <v>348.03060300765554</v>
      </c>
      <c r="DJ55" s="126">
        <f>IF(Reinforcements[[#This Row],[Reinforcement]]="","",φ_t_y*VLOOKUP(Reinforcements[[#This Row],[Material]],Materials[],2,FALSE)*Reinforcements[[#This Row],[Gross Area (in2)]])</f>
        <v>351</v>
      </c>
      <c r="DK55" s="126">
        <f>IF(Reinforcements[[#This Row],[Reinforcement]]="","",φ_t_r*VLOOKUP(Reinforcements[[#This Row],[Material]],Materials[],3,FALSE)*Reinforcements[[#This Row],[Net Area (in2)]]*Reinforcements[[#This Row],[Shear Lag (U)]])</f>
        <v>285</v>
      </c>
      <c r="DL55" s="126">
        <f>IF(Reinforcements[[#This Row],[Reinforcement]]="","",φ_v*0.5*Reinforcements[[#This Row],[F''y]]*Reinforcements[[#This Row],[Gross Area (in2)]])</f>
        <v>175.5</v>
      </c>
      <c r="DM5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6"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6"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111" t="str">
        <f>IF(OR(Reinforcements[[#This Row],[Type]]="plate",Reinforcements[[#This Row],[Type]]="solid round"),"N/A",Reinforcements[[#This Row],[B (in)]])</f>
        <v>N/A</v>
      </c>
      <c r="EB55" s="6" t="str">
        <f>IF(OR(Reinforcements[[#This Row],[Type]]="plate",Reinforcements[[#This Row],[Type]]="solid round"),"N/A",Reinforcements[[#This Row],[H (in)]])</f>
        <v>N/A</v>
      </c>
      <c r="EC55" s="6" t="str">
        <f>IF(OR(Reinforcements[[#This Row],[Type]]="plate",Reinforcements[[#This Row],[Type]]="solid round"),"N/A",Reinforcements[[#This Row],[B (in)]]-Reinforcements[[#This Row],['[Channel'] Flange Thickness (in)]])</f>
        <v>N/A</v>
      </c>
      <c r="ED55" s="6" t="str">
        <f>IF(OR(Reinforcements[[#This Row],[Type]]="plate",Reinforcements[[#This Row],[Type]]="solid round"),"N/A",Reinforcements[[#This Row],['[Channel']Web Thickness (in)]])</f>
        <v>N/A</v>
      </c>
      <c r="EE55" s="6" t="str">
        <f>IF(OR(Reinforcements[[#This Row],[Type]]="plate",Reinforcements[[#This Row],[Type]]="solid round"),"N/A",Reinforcements[[#This Row],['[Channel'] Flange Thickness (in)]])</f>
        <v>N/A</v>
      </c>
      <c r="EF55" s="6" t="str">
        <f>IF(Reinforcements[[#This Row],[Type]]="channel",Reinforcements[[#This Row],[Channel Flange Width, b]]/Reinforcements[[#This Row],[Channel flange thickness, tf]],"N/A")</f>
        <v>N/A</v>
      </c>
      <c r="EG55" s="6" t="str">
        <f>IF(Reinforcements[[#This Row],[Type]]="channel",Reinforcements[[#This Row],[Channel inside depth, T]]/Reinforcements[[#This Row],[Channel web thickness, tw]],"N/A")</f>
        <v>N/A</v>
      </c>
      <c r="EH55" s="6">
        <f>29000</f>
        <v>29000</v>
      </c>
      <c r="EI55" s="6" t="str">
        <f>IF(Reinforcements[[#This Row],[Type]]="channel",0.56*SQRT(Reinforcements[[#This Row],[E, (ksi)]]/Reinforcements[[#This Row],[Fy, (ksi)]]),"N/A")</f>
        <v>N/A</v>
      </c>
      <c r="EJ55" s="6" t="str">
        <f>IF(Reinforcements[[#This Row],[Type]]="channel",1.49*SQRT(Reinforcements[[#This Row],[E, (ksi)]]/Reinforcements[[#This Row],[Fy, (ksi)]]),"N/A")</f>
        <v>N/A</v>
      </c>
      <c r="EK55" s="6">
        <f>VLOOKUP(Reinforcements[[#This Row],[Material]],Materials!$B$2:$C$30,2,FALSE)</f>
        <v>65</v>
      </c>
      <c r="EL55" s="6">
        <f>Reinforcements[[#This Row],[Lu (in)]]*Reinforcements[[#This Row],[Effective Length Factor Kx]]</f>
        <v>13.100000000000001</v>
      </c>
      <c r="EM55" s="6">
        <f>Reinforcements[[#This Row],[Lu (in)]]*Reinforcements[[#This Row],[Effective Length Factor Ky]]</f>
        <v>16.375</v>
      </c>
      <c r="EN55" s="6">
        <f>Reinforcements[[#This Row],[rx]]</f>
        <v>0.28867513459481287</v>
      </c>
      <c r="EO55" s="6">
        <f>Reinforcements[[#This Row],[ry]]</f>
        <v>1.7320508075688772</v>
      </c>
      <c r="EP55" s="6">
        <f>Reinforcements[[#This Row],[Lcx (in)]]/Reinforcements[[#This Row],[rx (in)]]</f>
        <v>45.379731158304594</v>
      </c>
      <c r="EQ55" s="6">
        <f>Reinforcements[[#This Row],[Lcy (in)]]/Reinforcements[[#This Row],[ry (in)]]</f>
        <v>9.454110657980122</v>
      </c>
      <c r="ER55" s="6">
        <f>((PI()^2)*Reinforcements[[#This Row],[E, (ksi)]])/(Reinforcements[[#This Row],[Lcx/rx]]^2)</f>
        <v>138.98691200570639</v>
      </c>
      <c r="ES55" s="6">
        <f>((PI()^2)*Reinforcements[[#This Row],[E, (ksi)]])/(Reinforcements[[#This Row],[Lcy/ry]]^2)</f>
        <v>3202.2584526114765</v>
      </c>
      <c r="ET55" s="6">
        <f>4.71*(SQRT(Reinforcements[[#This Row],[E, (ksi)]]/Reinforcements[[#This Row],[Fy, (ksi)]]))</f>
        <v>99.486288193205496</v>
      </c>
      <c r="EU55" s="6">
        <f>IF(Reinforcements[[#This Row],[Lcx/rx]]&lt;=Reinforcements[[#This Row],[Fcr Limit]],(0.658^(Reinforcements[[#This Row],[Fy, (ksi)]]/Reinforcements[[#This Row],[Fex, FB (ksi)]]))*Reinforcements[[#This Row],[Fy, (ksi)]],0.877*Reinforcements[[#This Row],[Fex, FB (ksi)]])</f>
        <v>53.444506630034688</v>
      </c>
      <c r="EV55" s="6">
        <f>IF(Reinforcements[[#This Row],[Lcy/ry]]&lt;=Reinforcements[[#This Row],[Fcr Limit]],(0.658^(Reinforcements[[#This Row],[Fy, (ksi)]]/Reinforcements[[#This Row],[Fey, FB (ksi)]]))*Reinforcements[[#This Row],[Fy, (ksi)]],0.877*Reinforcements[[#This Row],[Fey, FB (ksi)]])</f>
        <v>64.450111668084361</v>
      </c>
      <c r="EW55" s="6">
        <f>Reinforcements[[#This Row],[Fcrx (ksi)]]*Reinforcements[[#This Row],[Gross Area (in2)]]</f>
        <v>320.66703978020814</v>
      </c>
      <c r="EX55" s="6">
        <f>Reinforcements[[#This Row],[Fcry (ksi)]]*Reinforcements[[#This Row],[Gross Area (in2)]]</f>
        <v>386.70067000850617</v>
      </c>
      <c r="EY55" s="6" t="str">
        <f>IF(Reinforcements[[#This Row],[Type]]="channel",0,"N/A")</f>
        <v>N/A</v>
      </c>
      <c r="EZ55" s="6" t="str">
        <f>IF(Reinforcements[[#This Row],[Type]]="channel",Reinforcements[[#This Row],[Channel Flange Width, b]]-(0.5*Reinforcements[[#This Row],[Channel web thickness, tw]]),"N/A")</f>
        <v>N/A</v>
      </c>
      <c r="FA55" s="6" t="str">
        <f>IF(Reinforcements[[#This Row],[Type]]="channel",Reinforcements[[#This Row],[Channel Height, h]]-Reinforcements[[#This Row],[Channel flange thickness, tf]],"N/A")</f>
        <v>N/A</v>
      </c>
      <c r="FB55" s="6" t="str">
        <f>IF(Reinforcements[[#This Row],[Type]]="channel",Reinforcements[[#This Row],[Channel web thickness, tw]],"N/A")</f>
        <v>N/A</v>
      </c>
      <c r="FC55" s="6" t="str">
        <f>IF(Reinforcements[[#This Row],[Type]]="channel",((3*Reinforcements[[#This Row],[b]]^2)/(Reinforcements[[#This Row],[h]]+(6*Reinforcements[[#This Row],[b]])))-Reinforcements[[#This Row],[t]]/2,"N/A")</f>
        <v>N/A</v>
      </c>
      <c r="FD55" s="6">
        <f>Reinforcements[[#This Row],[Pole Face to Centroid (in)]]</f>
        <v>0.5</v>
      </c>
      <c r="FE55" s="6" t="str">
        <f>IF(Reinforcements[[#This Row],[Type]]="channel",Reinforcements[[#This Row],[x(bar)]]+Reinforcements[[#This Row],['[Channel'] e0 (in)]],"N/A")</f>
        <v>N/A</v>
      </c>
      <c r="FF55" s="6" t="str">
        <f>IF(Reinforcements[[#This Row],[Type]]="channel",Reinforcements[[#This Row],[Ix]],"N/A")</f>
        <v>N/A</v>
      </c>
      <c r="FG55" s="6" t="str">
        <f>IF(Reinforcements[[#This Row],[Type]]="channel",Reinforcements[[#This Row],[Iy]],"N/A")</f>
        <v>N/A</v>
      </c>
      <c r="FH55" s="6" t="str">
        <f>IF(Reinforcements[[#This Row],[Type]]="channel",Reinforcements[[#This Row],[Gross Area (in2)]],"N/A")</f>
        <v>N/A</v>
      </c>
      <c r="FI55" s="6" t="str">
        <f>IF(Reinforcements[[#This Row],[Type]]="channel",(Reinforcements[[#This Row],[xo]]^2)+((Reinforcements[[#This Row],[Ix (FTB)]]+Reinforcements[[#This Row],[Iy (FTB)]])/Reinforcements[[#This Row],[Ag]]),"N/A")</f>
        <v>N/A</v>
      </c>
      <c r="FJ55" s="6" t="str">
        <f>IF(Reinforcements[[#This Row],[Type]]="channel",Reinforcements[[#This Row],[Lu (in)]],"N/A")</f>
        <v>N/A</v>
      </c>
      <c r="FK55" s="6" t="str">
        <f>IF(Reinforcements[[#This Row],[Type]]="channel",Reinforcements[[#This Row],[Effective Length Factor Kx]],"N/A")</f>
        <v>N/A</v>
      </c>
      <c r="FL55" s="6" t="str">
        <f>IF(Reinforcements[[#This Row],[Type]]="channel",Reinforcements[[#This Row],[Kz]]*Reinforcements[[#This Row],[Lz]],"N/A")</f>
        <v>N/A</v>
      </c>
      <c r="FM55" s="6" t="str">
        <f>IF(Reinforcements[[#This Row],[Type]]="channel",(((Reinforcements[[#This Row],[t]]^3)/3)*(Reinforcements[[#This Row],[h]]+(2*Reinforcements[[#This Row],[b]]))),"N/A")</f>
        <v>N/A</v>
      </c>
      <c r="FN55" s="6" t="str">
        <f>IF(Reinforcements[[#This Row],[Type]]="channel",(1-(((Reinforcements[[#This Row],[xo]]^2)+(Reinforcements[[#This Row],[yo]]^2))/Reinforcements[[#This Row],[ro^2(bar)]])),"N/A")</f>
        <v>N/A</v>
      </c>
      <c r="FO55" s="6">
        <v>11200</v>
      </c>
      <c r="FP55" s="6" t="str">
        <f>IF(Reinforcements[[#This Row],[Type]]="channel",(((Reinforcements[[#This Row],[h]]^2)*(Reinforcements[[#This Row],[b]]^3)*Reinforcements[[#This Row],[t]])/12)*(((2*Reinforcements[[#This Row],[h]])+(3*Reinforcements[[#This Row],[b]]))/(Reinforcements[[#This Row],[h]]+(6*Reinforcements[[#This Row],[b]]))),"N/A")</f>
        <v>N/A</v>
      </c>
      <c r="FQ55" s="6" t="str">
        <f>IF(Reinforcements[[#This Row],[Type]]="Channel",((((PI()^2)*Reinforcements[[#This Row],[E, (ksi)]]*Reinforcements[[#This Row],['[Channel'] CW (in6)]])/(Reinforcements[[#This Row],[Lcz]]^2))+(Reinforcements[[#This Row],[G]]*Reinforcements[[#This Row],['[Channel'] J (in4)]]))*(1/(Reinforcements[[#This Row],[Ag]]*Reinforcements[[#This Row],[ro^2(bar)]])),"N/A")</f>
        <v>N/A</v>
      </c>
      <c r="FR55" s="6" t="str">
        <f>IF(Reinforcements[[#This Row],[Type]]="channel",((PI()^2)*Reinforcements[[#This Row],[E, (ksi)]])/(Reinforcements[[#This Row],[Lcy/ry]]^2),"N/A")</f>
        <v>N/A</v>
      </c>
      <c r="FS55" s="6" t="str">
        <f>IF(Reinforcements[[#This Row],[Type]]="channel",((Reinforcements[[#This Row],[Fey]]+Reinforcements[[#This Row],[Fez]])/(2*Reinforcements[[#This Row],[H2]]))*(1-SQRT(1-((4*Reinforcements[[#This Row],[Fey]]*Reinforcements[[#This Row],[Fez]]*Reinforcements[[#This Row],[H2]])/(Reinforcements[[#This Row],[Fey]]+Reinforcements[[#This Row],[Fez]])^2))),"N/A")</f>
        <v>N/A</v>
      </c>
      <c r="FT55" s="6" t="str">
        <f>IF(Reinforcements[[#This Row],[Type]]="channel",IF(Reinforcements[[#This Row],[Lcx/rx]]&gt;(4.71*SQRT(Reinforcements[[#This Row],[E, (ksi)]]/Reinforcements[[#This Row],[Fy, (ksi)]])),0.877*Reinforcements[[#This Row],[Fe (FTB)]],0.658^(Reinforcements[[#This Row],[Fy, (ksi)]]/Reinforcements[[#This Row],[Fe (FTB)]])*Reinforcements[[#This Row],[Fy, (ksi)]]),"N/A")</f>
        <v>N/A</v>
      </c>
      <c r="FU55" s="6" t="str">
        <f>IF(Reinforcements[[#This Row],[Type]]="channel",MIN(Reinforcements[[#This Row],[Fcr(FTB)]],Reinforcements[[#This Row],[Fcry (ksi)]]),"N/A")</f>
        <v>N/A</v>
      </c>
      <c r="FV55" s="6">
        <v>0.22</v>
      </c>
      <c r="FW55" s="6">
        <v>1.49</v>
      </c>
      <c r="FX55" s="6" t="str">
        <f>IF(Reinforcements[[#This Row],[Type]]="channel",((Reinforcements[[#This Row],[c2]]*(Reinforcements[[#This Row],[λrf]]/Reinforcements[[#This Row],[λf]]))^2)*Reinforcements[[#This Row],[Fy, (ksi)]],"N/A")</f>
        <v>N/A</v>
      </c>
      <c r="FY55" s="6" t="str">
        <f>IF(Reinforcements[[#This Row],[Type]]="channel",((Reinforcements[[#This Row],[c2]]*(Reinforcements[[#This Row],[λrw]]/Reinforcements[[#This Row],[λw]]))^2)*Reinforcements[[#This Row],[Fy, (ksi)]],"N/A")</f>
        <v>N/A</v>
      </c>
      <c r="FZ5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6" t="str">
        <f>IF(Reinforcements[[#This Row],[Type]]="channel",Reinforcements[[#This Row],[Fcr]]*Reinforcements[[#This Row],[Ae]],"N/A")</f>
        <v>N/A</v>
      </c>
      <c r="GD55">
        <f>IF(Reinforcements[[#This Row],[Reinforcement]]="","",φ_c*Reinforcements[[#This Row],[Pnx, FB (kip)]])</f>
        <v>288.60033580218732</v>
      </c>
      <c r="GE55">
        <f>IF(Reinforcements[[#This Row],[Reinforcement]]="","",IF(Reinforcements[[#This Row],[Type]]="channel",φ_c*Reinforcements[[#This Row],[Pn]],φ_c*Reinforcements[[#This Row],[Pny, FB (kip)]]))</f>
        <v>348.03060300765554</v>
      </c>
      <c r="GF55">
        <f>Reinforcements[[#This Row],[Rev. G Tension Yield Capacity (kips)]]</f>
        <v>351</v>
      </c>
      <c r="GG55">
        <f>Reinforcements[[#This Row],[Rev. G Tension Rupture Capacity (kips)]]</f>
        <v>285</v>
      </c>
      <c r="GH55">
        <f>Reinforcements[[#This Row],[Rev. G Shear Capacity (kips)]]</f>
        <v>175.5</v>
      </c>
      <c r="GI55">
        <f>IFERROR((Reinforcements[[#This Row],['# of End Connection Bolts          (Bottom)]]-1)*Reinforcements[[#This Row],[End Connection Bolt Spacing (in) (B)]],"-")</f>
        <v>21</v>
      </c>
      <c r="GJ55">
        <f>IFERROR(IF(VLOOKUP(Reinforcements[[#This Row],[Bottom End Connection Bolt Type]],Bolts[],COLUMN(Bolts[[#Headers],[Rev. H Apply Connection Length Reduction Factor (Rb)?]])-1,FALSE)="Yes",(IF(Reinforcements[[#This Row],[Lb(bottom)]]&lt;=16,1,IF(Reinforcements[[#This Row],[Lb(bottom)]]&gt;38,0.75,0.9))),1),"-")</f>
        <v>1</v>
      </c>
      <c r="GK5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f>IFERROR(IF(Reinforcements[[#This Row],[Top End Connection Same?]]="Yes",Reinforcements[[#This Row],[Lb(bottom)]],(Reinforcements[[#This Row],['# of End Connection Bolts          (Top)]]-1)*Reinforcements[[#This Row],[End Connection Bolt Spacing (in) (T)]]),"-")</f>
        <v>21</v>
      </c>
      <c r="GM55">
        <f>IFERROR(IF(VLOOKUP(Reinforcements[[#This Row],[Top End Connection Bolt Type]],Bolts[],COLUMN(Bolts[[#Headers],[Rev. H Apply Connection Length Reduction Factor (Rb)?]])-1,FALSE)=TRUE,(IF(Reinforcements[[#This Row],[Lb(top)]]&lt;=16,1,IF(Reinforcements[[#This Row],[Lb(top)]]&gt;38,0.75,0.9))),1),"-")</f>
        <v>0.9</v>
      </c>
      <c r="GN5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f>Reinforcements[[#This Row],[Rev. G Bolt-Shaft Bearing Capacity (Bottom)                No Deformation          (*t*Fu kips)]]</f>
        <v>15.870236220472439</v>
      </c>
      <c r="GP55">
        <f>Reinforcements[[#This Row],[Rev. G Bolt-Shaft Bearing Capacity (Bottom)                   Deformation          (*t*Fu kips)]]</f>
        <v>19.837795275590551</v>
      </c>
      <c r="GQ55">
        <f>Reinforcements[[#This Row],[Rev. G Bolt-Shaft Bearing Capacity (Top)                    No Deformation          (*t*Fu kips)]]</f>
        <v>15.870236220472439</v>
      </c>
      <c r="GR55">
        <f>Reinforcements[[#This Row],[Rev. G Bolt-Shaft Bearing Capacity (Top)                        Deformation          (*t*Fu kips)]]</f>
        <v>19.837795275590551</v>
      </c>
      <c r="GS55">
        <f>Reinforcements[[#This Row],[Rev. G Bolt-Reinf. Bearing Capacity (Bottom)            No Deformation (kips)]]</f>
        <v>1269.6188976377953</v>
      </c>
      <c r="GT55">
        <f>Reinforcements[[#This Row],[Rev. G Bolt-Reinf. Bearing Capacity (Bottom)               Deformation (kips)]]</f>
        <v>1587.0236220472443</v>
      </c>
      <c r="GU55">
        <f>Reinforcements[[#This Row],[Rev. G Bolt-Reinf. Bearing Capacity (Top)                  No Deformation (kips)]]</f>
        <v>1269.6188976377953</v>
      </c>
      <c r="GV55">
        <f>Reinforcements[[#This Row],[Rev. G Bolt-Reinf. Bearing Capacity (Top)               Deformation (kips)]]</f>
        <v>1587.0236220472443</v>
      </c>
      <c r="GW55" t="str">
        <f>Reinforcements[[#This Row],[Rev. G Bottom Transverse Weld Strength]]</f>
        <v>-</v>
      </c>
      <c r="GX55" t="str">
        <f>Reinforcements[[#This Row],[Rev. G Bottom Longitudinal Weld Strength]]</f>
        <v>-</v>
      </c>
      <c r="GY55" t="str">
        <f>Reinforcements[[#This Row],[Rev. G Top Transverse Weld Strength]]</f>
        <v>-</v>
      </c>
      <c r="GZ55" t="str">
        <f>Reinforcements[[#This Row],[Rev. G Top Longitudinal Weld Strength]]</f>
        <v>-</v>
      </c>
      <c r="HA55">
        <v>53</v>
      </c>
      <c r="HB5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49" t="s">
        <v>414</v>
      </c>
      <c r="C56" s="49" t="s">
        <v>352</v>
      </c>
      <c r="D56" s="6">
        <v>6</v>
      </c>
      <c r="E56" s="6">
        <v>1</v>
      </c>
      <c r="F56" s="6" t="str">
        <f>IF(Reinforcements[[#This Row],[Type]]="","",IF(Reinforcements[[#This Row],[Type]]="solid round","","n/a"))</f>
        <v>n/a</v>
      </c>
      <c r="G56" s="6" t="str">
        <f>IF(Reinforcements[[#This Row],[Type]]="","",IF(Reinforcements[[#This Row],[Type]]&lt;&gt;"channel","n/a",""))</f>
        <v>n/a</v>
      </c>
      <c r="H56" s="6" t="str">
        <f>IF(Reinforcements[[#This Row],[Type]]="","",IF(Reinforcements[[#This Row],[Type]]&lt;&gt;"channel","n/a",""))</f>
        <v>n/a</v>
      </c>
      <c r="I56" s="126" t="str">
        <f>IF(Reinforcements[[#This Row],[Type]]="","",IF(Reinforcements[[#This Row],[Type]]&lt;&gt;"channel","n/a",Reinforcements[[#This Row],[eo]]))</f>
        <v>n/a</v>
      </c>
      <c r="J56" s="126" t="str">
        <f>IF(Reinforcements[[#This Row],[Type]]="","",IF(Reinforcements[[#This Row],[Type]]&lt;&gt;"channel","n/a",Reinforcements[[#This Row],[J]]))</f>
        <v>n/a</v>
      </c>
      <c r="K56" s="126" t="str">
        <f>IF(Reinforcements[[#This Row],[Type]]="","",IF(Reinforcements[[#This Row],[Type]]&lt;&gt;"channel","n/a",Reinforcements[[#This Row],[Cw]]))</f>
        <v>n/a</v>
      </c>
      <c r="L56" s="6">
        <f>IFERROR(IF(Reinforcements[[#This Row],[Type]]="","",IF(Reinforcements[[#This Row],[Type]]="plate",Reinforcements[[#This Row],[B (in)]]*Reinforcements[[#This Row],[H (in)]],IF(Reinforcements[[#This Row],[Type]]="solid round",PI()/4*Reinforcements[[#This Row],[Diameter (in)]]^2,""))),"")</f>
        <v>6</v>
      </c>
      <c r="M56" s="6">
        <f>IFERROR(IF(Reinforcements[[#This Row],[Type]]="","",IF(Reinforcements[[#This Row],[Type]]="plate",Reinforcements[[#This Row],[H (in)]]/2,"")),"")</f>
        <v>0.5</v>
      </c>
      <c r="N56" s="16" t="s">
        <v>353</v>
      </c>
      <c r="O56" s="6" t="s">
        <v>138</v>
      </c>
      <c r="P56" s="123">
        <f>IFERROR(IF(Reinforcements[[#This Row],[Type]]="","",IF(Reinforcements[[#This Row],[Type]]="plate",Reinforcements[[#This Row],[B (in)]]*Reinforcements[[#This Row],[H (in)]]^3/12,IF(Reinforcements[[#This Row],[Type]]="solid round",PI()/64*Reinforcements[[#This Row],[Diameter (in)]]^4,""))),"")</f>
        <v>0.5</v>
      </c>
      <c r="Q56" s="123">
        <f>IF(Reinforcements[[#This Row],[Reinforcement]]="","",SQRT(Reinforcements[[#This Row],[Ix]]/Reinforcements[[#This Row],[Gross Area (in2)]]))</f>
        <v>0.28867513459481287</v>
      </c>
      <c r="R56" s="123">
        <f>IFERROR(IF(Reinforcements[[#This Row],[Type]]="","",IF(Reinforcements[[#This Row],[Type]]="plate",Reinforcements[[#This Row],[B (in)]]^3*Reinforcements[[#This Row],[H (in)]]/12,IF(Reinforcements[[#This Row],[Type]]="solid round",PI()/64*Reinforcements[[#This Row],[Diameter (in)]]^4,""))),"")</f>
        <v>18</v>
      </c>
      <c r="S56" s="123">
        <f>IF(Reinforcements[[#This Row],[Reinforcement]]="","",SQRT(Reinforcements[[#This Row],[Iy]]/Reinforcements[[#This Row],[Gross Area (in2)]]))</f>
        <v>1.7320508075688772</v>
      </c>
      <c r="T56" s="6">
        <v>16.375</v>
      </c>
      <c r="U56" s="6">
        <v>0.8</v>
      </c>
      <c r="V56" s="6">
        <v>1</v>
      </c>
      <c r="W56" s="6">
        <v>1.25</v>
      </c>
      <c r="X56" s="6">
        <f>IF(Reinforcements[[#This Row],[Bolt Hole Size (in)]]="","",IF(Reinforcements[[#This Row],[Bolt Hole Size (in)]]="n/a","n/a",Reinforcements[[#This Row],[Bolt Hole Size (in)]]*25.4))</f>
        <v>31.75</v>
      </c>
      <c r="Y5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6">
        <f>IFERROR(IF(Reinforcements[[#This Row],[Reinforcement]]="","",IF(OR(Reinforcements[[#This Row],[Type]]="plate",Reinforcements[[#This Row],[Type]]="solid round"),1,IF(Reinforcements[[#This Row],[Type]]="arbitrary","",1-Reinforcements[[#This Row],[Pole Face to Centroid (in)]]/Reinforcements[[#This Row],[Connection Length (in) '[Channels']]]))),"")</f>
        <v>1</v>
      </c>
      <c r="AA56" s="16" t="s">
        <v>354</v>
      </c>
      <c r="AB56" s="16" t="str">
        <f>IF(Reinforcements[[#This Row],[Reinforcement]]="","",IF(Reinforcements[[#This Row],[Bottom End Connection Type]]&lt;&gt;"Capacity Input","-",""))</f>
        <v>-</v>
      </c>
      <c r="AC56" s="16" t="str">
        <f>IF(Reinforcements[[#This Row],[Reinforcement]]="","",IF(Reinforcements[[#This Row],[Bottom End Connection Type]]&lt;&gt;"Capacity Input","-",""))</f>
        <v>-</v>
      </c>
      <c r="AD56" s="16" t="str">
        <f>IF(Reinforcements[[#This Row],[Reinforcement]]="","",IF(Reinforcements[[#This Row],[Bottom End Connection Type]]&lt;&gt;"Capacity Input","-",""))</f>
        <v>-</v>
      </c>
      <c r="AE56" s="74" t="s">
        <v>355</v>
      </c>
      <c r="AF56" s="6" t="s">
        <v>356</v>
      </c>
      <c r="AG56" s="6">
        <v>8</v>
      </c>
      <c r="AH56" s="6">
        <v>3</v>
      </c>
      <c r="AI56" s="6">
        <v>3</v>
      </c>
      <c r="AJ56" s="6">
        <f>Reinforcements[[#This Row],[End Connection Edge Distance (in) (B)]]-(Reinforcements[[#This Row],[Bolt Hole Size (in)]]+1/16)/2</f>
        <v>2.34375</v>
      </c>
      <c r="AK56" s="6">
        <f>Reinforcements[[#This Row],[End Connection Bolt Spacing (in) (B)]]-(Reinforcements[[#This Row],[Bolt Hole Size (in)]]+1/16)</f>
        <v>1.6875</v>
      </c>
      <c r="AL56" s="6">
        <f>Reinforcements[[#This Row],[End Connection Edge Distance (in) (B)]]</f>
        <v>3</v>
      </c>
      <c r="AM56" s="6">
        <f>Reinforcements[[#This Row],[End Connection Bolt Spacing (in) (B)]]</f>
        <v>3</v>
      </c>
      <c r="AN56" s="6" t="str">
        <f>IF(Reinforcements[[#This Row],[Reinforcement]]="","",IF(OR(Reinforcements[[#This Row],[Bottom End Connection Type]]="Bolted",Reinforcements[[#This Row],[Bottom End Connection Type]]=""),"-",""))</f>
        <v>-</v>
      </c>
      <c r="AO56" s="111" t="str">
        <f>IF(Reinforcements[[#This Row],[Reinforcement]]="","",IF(OR(Reinforcements[[#This Row],[Bottom End Connection Type]]="Bolted",Reinforcements[[#This Row],[Bottom End Connection Type]]=""),"-",""))</f>
        <v>-</v>
      </c>
      <c r="AP56" s="111" t="str">
        <f>IF(Reinforcements[[#This Row],[Reinforcement]]="","",IF(OR(Reinforcements[[#This Row],[Bottom End Connection Type]]="Bolted",Reinforcements[[#This Row],[Bottom End Connection Type]]=""),"-",""))</f>
        <v>-</v>
      </c>
      <c r="AQ56" s="111" t="str">
        <f>IF(OR(Reinforcements[[#This Row],[Bottom End Connection Type]]="Bolted",Reinforcements[[#This Row],[Bottom Transverse (Horizontal) Weld]]="none"),"-","")</f>
        <v>-</v>
      </c>
      <c r="AR5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11" t="str">
        <f>IF(OR(Reinforcements[[#This Row],[Bottom Transverse (Horizontal) Weld]]="none",Reinforcements[[#This Row],[Bottom End Connection Type]]="Bolted"),"-","")</f>
        <v>-</v>
      </c>
      <c r="AU5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11" t="str">
        <f>IF(Reinforcements[[#This Row],[Reinforcement]]="","",IF(OR(Reinforcements[[#This Row],[Bottom End Connection Type]]="Bolted",Reinforcements[[#This Row],[Bottom End Connection Type]]=""),"-",""))</f>
        <v>-</v>
      </c>
      <c r="AW56" s="111" t="str">
        <f>IF(Reinforcements[[#This Row],[Reinforcement]]="","",IF(OR(Reinforcements[[#This Row],[Bottom End Connection Type]]&lt;&gt;"Welded",Reinforcements[[#This Row],[Bottom Longitudinal (Vertical) Weld]]="None",Reinforcements[[#This Row],[Bottom Longitudinal (Vertical) Weld]]=""),"-",""))</f>
        <v>-</v>
      </c>
      <c r="AX56" s="111" t="str">
        <f>IF(Reinforcements[[#This Row],[Reinforcement]]="","",IF(OR(Reinforcements[[#This Row],[Bottom End Connection Type]]&lt;&gt;"Welded",Reinforcements[[#This Row],[Bottom Longitudinal (Vertical) Weld]]="None",Reinforcements[[#This Row],[Bottom Longitudinal (Vertical) Weld]]=""),"-",""))</f>
        <v>-</v>
      </c>
      <c r="AY56" s="6" t="str">
        <f>IF(Reinforcements[[#This Row],[Reinforcement]]="","",IF(OR(Reinforcements[[#This Row],[Bottom End Connection Type]]&lt;&gt;"Welded",Reinforcements[[#This Row],[Bottom Longitudinal (Vertical) Weld]]="None"),"-",SQRT(2)/2*Reinforcements[[#This Row],[Bottom Longitudinal Weld Fillet Size (in)]]))</f>
        <v>-</v>
      </c>
      <c r="AZ56" s="6" t="s">
        <v>357</v>
      </c>
      <c r="BA56" s="16" t="str">
        <f>IF(Reinforcements[[#This Row],[Top End Connection Same?]]="Yes",Reinforcements[[#This Row],[Bottom End Connection Type]],"")</f>
        <v>Bolted</v>
      </c>
      <c r="BB56" s="16" t="str">
        <f>IF(Reinforcements[[#This Row],[Reinforcement]]="","",IF(Reinforcements[[#This Row],[Top End Connection Same?]]="Yes",Reinforcements[[#This Row],[Rev. F Bottom Connection Capacity (kips)]],IF(Reinforcements[[#This Row],[Reinforcement]]="","",IF(Reinforcements[[#This Row],[Top End Connection Type]]&lt;&gt;"Capacity Input","-",""))))</f>
        <v>-</v>
      </c>
      <c r="BC56" s="16" t="str">
        <f>IF(Reinforcements[[#This Row],[Reinforcement]]="","",IF(Reinforcements[[#This Row],[Top End Connection Same?]]="Yes",Reinforcements[[#This Row],[Rev. G Bottom Connection Capacity (kips)]],IF(Reinforcements[[#This Row],[Reinforcement]]="","",IF(Reinforcements[[#This Row],[Top End Connection Type]]&lt;&gt;"Capacity Input","-",""))))</f>
        <v>-</v>
      </c>
      <c r="BD56" s="16" t="str">
        <f>IF(Reinforcements[[#This Row],[Reinforcement]]="","",IF(Reinforcements[[#This Row],[Top End Connection Same?]]="Yes",Reinforcements[[#This Row],[Rev. G Bottom Connection Capacity (kips)]],IF(Reinforcements[[#This Row],[Reinforcement]]="","",IF(Reinforcements[[#This Row],[Top End Connection Type]]&lt;&gt;"Capacity Input","-",""))))</f>
        <v>-</v>
      </c>
      <c r="BE56" s="74" t="str">
        <f>IF(Reinforcements[[#This Row],[Top End Connection Same?]]="Yes",Reinforcements[[#This Row],[Bottom End Connection Bolt Type]],IF(Reinforcements[[#This Row],[Top End Connection Type]]="Welded","-",""))</f>
        <v>PC 8.8 - M20 (100)</v>
      </c>
      <c r="BF56" s="6" t="str">
        <f>IF(Reinforcements[[#This Row],[Top End Connection Same?]]="Yes",Reinforcements[[#This Row],[Threads Included (N) or Excluded (X) (Bottom)]],IF(Reinforcements[[#This Row],[Top End Connection Type]]="Welded","-",""))</f>
        <v>N</v>
      </c>
      <c r="BG56" s="6">
        <f>IF(Reinforcements[[#This Row],[Top End Connection Same?]]="Yes",Reinforcements[[#This Row],['# of End Connection Bolts          (Bottom)]],IF(Reinforcements[[#This Row],[Top End Connection Type]]="Welded","-",""))</f>
        <v>8</v>
      </c>
      <c r="BH56" s="6">
        <f>IF(Reinforcements[[#This Row],[Top End Connection Same?]]="Yes",Reinforcements[[#This Row],[End Connection Bolt Spacing (in) (B)]],IF(Reinforcements[[#This Row],[Top End Connection Type]]="Welded","-",""))</f>
        <v>3</v>
      </c>
      <c r="BI56" s="6">
        <f>IF(Reinforcements[[#This Row],[Top End Connection Same?]]="Yes",Reinforcements[[#This Row],[End Connection Edge Distance (in) (B)]],IF(Reinforcements[[#This Row],[Top End Connection Type]]="Welded","-",""))</f>
        <v>3</v>
      </c>
      <c r="BJ56" s="6">
        <f>Reinforcements[[#This Row],[End Connection Edge Distance (in) (T)]]-(Reinforcements[[#This Row],[Bolt Hole Size (in)]]+1/16)/2</f>
        <v>2.34375</v>
      </c>
      <c r="BK56" s="6">
        <f>Reinforcements[[#This Row],[End Connection Bolt Spacing (in) (T)]]-(Reinforcements[[#This Row],[Bolt Hole Size (in)]]+1/16)</f>
        <v>1.6875</v>
      </c>
      <c r="BL56" s="6">
        <f>Reinforcements[[#This Row],[End Connection Edge Distance (in) (T)]]</f>
        <v>3</v>
      </c>
      <c r="BM56" s="6">
        <f>Reinforcements[[#This Row],[End Connection Bolt Spacing (in) (T)]]</f>
        <v>3</v>
      </c>
      <c r="BN56" s="6" t="str">
        <f>IF(Reinforcements[[#This Row],[Reinforcement]]="","",IF(Reinforcements[[#This Row],[Top End Connection Same?]]="Yes",Reinforcements[[#This Row],[Bottom Connected to Flange/Base Plate?]],IF(Reinforcements[[#This Row],[Top End Connection Type]]="Bolted","-","")))</f>
        <v>-</v>
      </c>
      <c r="BO56" s="6" t="str">
        <f>IF(Reinforcements[[#This Row],[Reinforcement]]="","",IF(Reinforcements[[#This Row],[Top End Connection Same?]]="Yes",Reinforcements[[#This Row],[Bottom Weld Grade (ksi)]],IF(OR(Reinforcements[[#This Row],[Top End Connection Type]]&lt;&gt;"Welded",Reinforcements[[#This Row],[Top End Connection Type]]=""),"-","")))</f>
        <v>-</v>
      </c>
      <c r="BP56" s="6" t="str">
        <f>IF($AZ56="Yes",AP56,IF(Reinforcements[[#This Row],[Reinforcement]]="","",IF(OR(Reinforcements[[#This Row],[Top End Connection Type]]&lt;&gt;"Welded",Reinforcements[[#This Row],[Top End Connection Type]]=""),"-","")))</f>
        <v>-</v>
      </c>
      <c r="BQ56" s="6" t="str">
        <f>IF(Reinforcements[[#This Row],[Reinforcement]]="","",IF($AZ56="Yes",AQ56,IF(OR(Reinforcements[[#This Row],[Top End Connection Type]]&lt;&gt;"Welded",Reinforcements[[#This Row],[Top Transverse (Horizontal) Weld]]="none",Reinforcements[[#This Row],[Top Transverse (Horizontal) Weld]]=""),"-","")))</f>
        <v>-</v>
      </c>
      <c r="BR56" s="6"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6"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6" t="str">
        <f>IF(Reinforcements[[#This Row],[Reinforcement]]="","",IF($AZ56="Yes",AT56,IF(OR(Reinforcements[[#This Row],[Top Transverse (Horizontal) Weld]]="none",Reinforcements[[#This Row],[Top End Connection Type]]&lt;&gt;"Welded",Reinforcements[[#This Row],[Top Transverse (Horizontal) Weld]]=""),"-","")))</f>
        <v>-</v>
      </c>
      <c r="BU56" s="6"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6" t="str">
        <f>IF($AZ56="Yes",AV56,IF(Reinforcements[[#This Row],[Reinforcement]]="","",IF(OR(Reinforcements[[#This Row],[Top End Connection Type]]&lt;&gt;"Welded",Reinforcements[[#This Row],[Top End Connection Type]]=""),"-","")))</f>
        <v>-</v>
      </c>
      <c r="BW56" s="6"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6"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6" t="str">
        <f>IF($AZ56="Yes",AY56,IF(Reinforcements[[#This Row],[Reinforcement]]="","",IF(OR(Reinforcements[[#This Row],[Top End Connection Type]]&lt;&gt;"Welded",Reinforcements[[#This Row],[Top Longitudinal (Vertical) Weld]]="none"),"-",SQRT(2)/2*Reinforcements[[#This Row],[Top Longitudinal Weld Fillet Size (in)]])))</f>
        <v>-</v>
      </c>
      <c r="BZ5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11">
        <f>IF(Reinforcements[[#This Row],[Reinforcement]]="","",IF(Reinforcements[[#This Row],[Top End Connection Type]]&lt;&gt;"Bolted","n/a",(Reinforcements[[#This Row],['# of End Connection Bolts          (Top)]]-1)*Reinforcements[[#This Row],[End Connection Bolt Spacing (in) (T)]]+Reinforcements[[#This Row],[End Connection Edge Distance (in) (T)]]))</f>
        <v>24</v>
      </c>
      <c r="CC5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6">
        <f>IFERROR(IF(Reinforcements[[#This Row],[Type]]="","",Reinforcements[[#This Row],[Effective B (in)]]*Reinforcements[[#This Row],[Effective H (in)]]^3/12),"")</f>
        <v>0.5</v>
      </c>
      <c r="CF56" s="6">
        <f>IFERROR(IF(Reinforcements[[#This Row],[Type]]="","",Reinforcements[[#This Row],[Effective B (in)]]^3*Reinforcements[[#This Row],[Effective H (in)]]/12),"")</f>
        <v>18</v>
      </c>
      <c r="CG56" s="126">
        <f>SQRT(2*PI()^2*29000/VLOOKUP(Reinforcements[[#This Row],[Material]],Materials[],2,FALSE))</f>
        <v>93.844147005158973</v>
      </c>
      <c r="CH5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123">
        <f>Reinforcements[[#This Row],[Effective Length Factor Kx]]*Reinforcements[[#This Row],[Lu (in)]]/(Reinforcements[[#This Row],[rx]]*PI())*SQRT(VLOOKUP(Reinforcements[[#This Row],[Material]],Materials[],2,FALSE)/29000)</f>
        <v>0.68386397350269734</v>
      </c>
      <c r="CK56" s="123">
        <f>Reinforcements[[#This Row],[Effective Length Factor Ky]]*Reinforcements[[#This Row],[Lu (in)]]/(Reinforcements[[#This Row],[ry]]*PI())*SQRT(VLOOKUP(Reinforcements[[#This Row],[Material]],Materials[],2,FALSE)/29000)</f>
        <v>0.14247166114639526</v>
      </c>
      <c r="CL56" s="123">
        <f>IF(Reinforcements[[#This Row],[λcx]]&lt;=1.5,0.658^(Reinforcements[[#This Row],[λcx]]^2)*Reinforcements[[#This Row],[F''y]],0.877/(Reinforcements[[#This Row],[λcx]]^2)*Reinforcements[[#This Row],[F''y]])</f>
        <v>53.444506630034688</v>
      </c>
      <c r="CM56" s="123">
        <f>IF(Reinforcements[[#This Row],[λcy]]&lt;=1.5,0.658^(Reinforcements[[#This Row],[λcy]]^2)*Reinforcements[[#This Row],[F''y]],0.877/(Reinforcements[[#This Row],[λcy]]^2)*Reinforcements[[#This Row],[F''y]])</f>
        <v>64.450111668084361</v>
      </c>
      <c r="CN56" s="6">
        <f>VLOOKUP(Reinforcements[[#This Row],[Material]],Materials[],2,FALSE)</f>
        <v>65</v>
      </c>
      <c r="CO56" s="126">
        <f>IF(Reinforcements[[#This Row],[Reinforcement]]="","",Reinforcements[[#This Row],[Fax]]*Reinforcements[[#This Row],[Gross Area (in2)]])</f>
        <v>187.80084384643152</v>
      </c>
      <c r="CP56" s="126">
        <f>IF(Reinforcements[[#This Row],[Reinforcement]]="","",Reinforcements[[#This Row],[Fay]]*Reinforcements[[#This Row],[Gross Area (in2)]])</f>
        <v>227.6694094496286</v>
      </c>
      <c r="CQ56" s="126">
        <f>IF(Reinforcements[[#This Row],[Reinforcement]]="","",0.6*VLOOKUP(Reinforcements[[#This Row],[Material]],Materials[],2,FALSE)*Reinforcements[[#This Row],[Gross Area (in2)]])</f>
        <v>234</v>
      </c>
      <c r="CR56" s="126">
        <f>IF(Reinforcements[[#This Row],[Reinforcement]]="","",0.5*VLOOKUP(Reinforcements[[#This Row],[Material]],Materials[],3,FALSE)*Reinforcements[[#This Row],[Net Area (in2)]]*Reinforcements[[#This Row],[Shear Lag (U)]])</f>
        <v>187.5</v>
      </c>
      <c r="CS56" s="126">
        <f>IF(Reinforcements[[#This Row],[Reinforcement]]="","",0.4*VLOOKUP(Reinforcements[[#This Row],[Material]],Materials[],2,FALSE)*Reinforcements[[#This Row],[Gross Area (in2)]])</f>
        <v>156</v>
      </c>
      <c r="CT5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6"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6"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126">
        <f>IF(Reinforcements[[#This Row],[Reinforcement]]="","",φ_c*Reinforcements[[#This Row],[Fcr,x]]*Reinforcements[[#This Row],[Gross Area (in2)]])</f>
        <v>288.60033580218732</v>
      </c>
      <c r="DI56" s="126">
        <f>IF(Reinforcements[[#This Row],[Reinforcement]]="","",φ_c*Reinforcements[[#This Row],[Fcr,y]]*Reinforcements[[#This Row],[Gross Area (in2)]])</f>
        <v>348.03060300765554</v>
      </c>
      <c r="DJ56" s="126">
        <f>IF(Reinforcements[[#This Row],[Reinforcement]]="","",φ_t_y*VLOOKUP(Reinforcements[[#This Row],[Material]],Materials[],2,FALSE)*Reinforcements[[#This Row],[Gross Area (in2)]])</f>
        <v>351</v>
      </c>
      <c r="DK56" s="126">
        <f>IF(Reinforcements[[#This Row],[Reinforcement]]="","",φ_t_r*VLOOKUP(Reinforcements[[#This Row],[Material]],Materials[],3,FALSE)*Reinforcements[[#This Row],[Net Area (in2)]]*Reinforcements[[#This Row],[Shear Lag (U)]])</f>
        <v>281.25</v>
      </c>
      <c r="DL56" s="126">
        <f>IF(Reinforcements[[#This Row],[Reinforcement]]="","",φ_v*0.5*Reinforcements[[#This Row],[F''y]]*Reinforcements[[#This Row],[Gross Area (in2)]])</f>
        <v>175.5</v>
      </c>
      <c r="DM5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6"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6"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111" t="str">
        <f>IF(OR(Reinforcements[[#This Row],[Type]]="plate",Reinforcements[[#This Row],[Type]]="solid round"),"N/A",Reinforcements[[#This Row],[B (in)]])</f>
        <v>N/A</v>
      </c>
      <c r="EB56" s="6" t="str">
        <f>IF(OR(Reinforcements[[#This Row],[Type]]="plate",Reinforcements[[#This Row],[Type]]="solid round"),"N/A",Reinforcements[[#This Row],[H (in)]])</f>
        <v>N/A</v>
      </c>
      <c r="EC56" s="6" t="str">
        <f>IF(OR(Reinforcements[[#This Row],[Type]]="plate",Reinforcements[[#This Row],[Type]]="solid round"),"N/A",Reinforcements[[#This Row],[B (in)]]-Reinforcements[[#This Row],['[Channel'] Flange Thickness (in)]])</f>
        <v>N/A</v>
      </c>
      <c r="ED56" s="6" t="str">
        <f>IF(OR(Reinforcements[[#This Row],[Type]]="plate",Reinforcements[[#This Row],[Type]]="solid round"),"N/A",Reinforcements[[#This Row],['[Channel']Web Thickness (in)]])</f>
        <v>N/A</v>
      </c>
      <c r="EE56" s="6" t="str">
        <f>IF(OR(Reinforcements[[#This Row],[Type]]="plate",Reinforcements[[#This Row],[Type]]="solid round"),"N/A",Reinforcements[[#This Row],['[Channel'] Flange Thickness (in)]])</f>
        <v>N/A</v>
      </c>
      <c r="EF56" s="6" t="str">
        <f>IF(Reinforcements[[#This Row],[Type]]="channel",Reinforcements[[#This Row],[Channel Flange Width, b]]/Reinforcements[[#This Row],[Channel flange thickness, tf]],"N/A")</f>
        <v>N/A</v>
      </c>
      <c r="EG56" s="6" t="str">
        <f>IF(Reinforcements[[#This Row],[Type]]="channel",Reinforcements[[#This Row],[Channel inside depth, T]]/Reinforcements[[#This Row],[Channel web thickness, tw]],"N/A")</f>
        <v>N/A</v>
      </c>
      <c r="EH56" s="6">
        <f>29000</f>
        <v>29000</v>
      </c>
      <c r="EI56" s="6" t="str">
        <f>IF(Reinforcements[[#This Row],[Type]]="channel",0.56*SQRT(Reinforcements[[#This Row],[E, (ksi)]]/Reinforcements[[#This Row],[Fy, (ksi)]]),"N/A")</f>
        <v>N/A</v>
      </c>
      <c r="EJ56" s="6" t="str">
        <f>IF(Reinforcements[[#This Row],[Type]]="channel",1.49*SQRT(Reinforcements[[#This Row],[E, (ksi)]]/Reinforcements[[#This Row],[Fy, (ksi)]]),"N/A")</f>
        <v>N/A</v>
      </c>
      <c r="EK56" s="6">
        <f>VLOOKUP(Reinforcements[[#This Row],[Material]],Materials!$B$2:$C$30,2,FALSE)</f>
        <v>65</v>
      </c>
      <c r="EL56" s="6">
        <f>Reinforcements[[#This Row],[Lu (in)]]*Reinforcements[[#This Row],[Effective Length Factor Kx]]</f>
        <v>13.100000000000001</v>
      </c>
      <c r="EM56" s="6">
        <f>Reinforcements[[#This Row],[Lu (in)]]*Reinforcements[[#This Row],[Effective Length Factor Ky]]</f>
        <v>16.375</v>
      </c>
      <c r="EN56" s="6">
        <f>Reinforcements[[#This Row],[rx]]</f>
        <v>0.28867513459481287</v>
      </c>
      <c r="EO56" s="6">
        <f>Reinforcements[[#This Row],[ry]]</f>
        <v>1.7320508075688772</v>
      </c>
      <c r="EP56" s="6">
        <f>Reinforcements[[#This Row],[Lcx (in)]]/Reinforcements[[#This Row],[rx (in)]]</f>
        <v>45.379731158304594</v>
      </c>
      <c r="EQ56" s="6">
        <f>Reinforcements[[#This Row],[Lcy (in)]]/Reinforcements[[#This Row],[ry (in)]]</f>
        <v>9.454110657980122</v>
      </c>
      <c r="ER56" s="6">
        <f>((PI()^2)*Reinforcements[[#This Row],[E, (ksi)]])/(Reinforcements[[#This Row],[Lcx/rx]]^2)</f>
        <v>138.98691200570639</v>
      </c>
      <c r="ES56" s="6">
        <f>((PI()^2)*Reinforcements[[#This Row],[E, (ksi)]])/(Reinforcements[[#This Row],[Lcy/ry]]^2)</f>
        <v>3202.2584526114765</v>
      </c>
      <c r="ET56" s="6">
        <f>4.71*(SQRT(Reinforcements[[#This Row],[E, (ksi)]]/Reinforcements[[#This Row],[Fy, (ksi)]]))</f>
        <v>99.486288193205496</v>
      </c>
      <c r="EU56" s="6">
        <f>IF(Reinforcements[[#This Row],[Lcx/rx]]&lt;=Reinforcements[[#This Row],[Fcr Limit]],(0.658^(Reinforcements[[#This Row],[Fy, (ksi)]]/Reinforcements[[#This Row],[Fex, FB (ksi)]]))*Reinforcements[[#This Row],[Fy, (ksi)]],0.877*Reinforcements[[#This Row],[Fex, FB (ksi)]])</f>
        <v>53.444506630034688</v>
      </c>
      <c r="EV56" s="6">
        <f>IF(Reinforcements[[#This Row],[Lcy/ry]]&lt;=Reinforcements[[#This Row],[Fcr Limit]],(0.658^(Reinforcements[[#This Row],[Fy, (ksi)]]/Reinforcements[[#This Row],[Fey, FB (ksi)]]))*Reinforcements[[#This Row],[Fy, (ksi)]],0.877*Reinforcements[[#This Row],[Fey, FB (ksi)]])</f>
        <v>64.450111668084361</v>
      </c>
      <c r="EW56" s="6">
        <f>Reinforcements[[#This Row],[Fcrx (ksi)]]*Reinforcements[[#This Row],[Gross Area (in2)]]</f>
        <v>320.66703978020814</v>
      </c>
      <c r="EX56" s="6">
        <f>Reinforcements[[#This Row],[Fcry (ksi)]]*Reinforcements[[#This Row],[Gross Area (in2)]]</f>
        <v>386.70067000850617</v>
      </c>
      <c r="EY56" s="6" t="str">
        <f>IF(Reinforcements[[#This Row],[Type]]="channel",0,"N/A")</f>
        <v>N/A</v>
      </c>
      <c r="EZ56" s="6" t="str">
        <f>IF(Reinforcements[[#This Row],[Type]]="channel",Reinforcements[[#This Row],[Channel Flange Width, b]]-(0.5*Reinforcements[[#This Row],[Channel web thickness, tw]]),"N/A")</f>
        <v>N/A</v>
      </c>
      <c r="FA56" s="6" t="str">
        <f>IF(Reinforcements[[#This Row],[Type]]="channel",Reinforcements[[#This Row],[Channel Height, h]]-Reinforcements[[#This Row],[Channel flange thickness, tf]],"N/A")</f>
        <v>N/A</v>
      </c>
      <c r="FB56" s="6" t="str">
        <f>IF(Reinforcements[[#This Row],[Type]]="channel",Reinforcements[[#This Row],[Channel web thickness, tw]],"N/A")</f>
        <v>N/A</v>
      </c>
      <c r="FC56" s="6" t="str">
        <f>IF(Reinforcements[[#This Row],[Type]]="channel",((3*Reinforcements[[#This Row],[b]]^2)/(Reinforcements[[#This Row],[h]]+(6*Reinforcements[[#This Row],[b]])))-Reinforcements[[#This Row],[t]]/2,"N/A")</f>
        <v>N/A</v>
      </c>
      <c r="FD56" s="6">
        <f>Reinforcements[[#This Row],[Pole Face to Centroid (in)]]</f>
        <v>0.5</v>
      </c>
      <c r="FE56" s="6" t="str">
        <f>IF(Reinforcements[[#This Row],[Type]]="channel",Reinforcements[[#This Row],[x(bar)]]+Reinforcements[[#This Row],['[Channel'] e0 (in)]],"N/A")</f>
        <v>N/A</v>
      </c>
      <c r="FF56" s="6" t="str">
        <f>IF(Reinforcements[[#This Row],[Type]]="channel",Reinforcements[[#This Row],[Ix]],"N/A")</f>
        <v>N/A</v>
      </c>
      <c r="FG56" s="6" t="str">
        <f>IF(Reinforcements[[#This Row],[Type]]="channel",Reinforcements[[#This Row],[Iy]],"N/A")</f>
        <v>N/A</v>
      </c>
      <c r="FH56" s="6" t="str">
        <f>IF(Reinforcements[[#This Row],[Type]]="channel",Reinforcements[[#This Row],[Gross Area (in2)]],"N/A")</f>
        <v>N/A</v>
      </c>
      <c r="FI56" s="6" t="str">
        <f>IF(Reinforcements[[#This Row],[Type]]="channel",(Reinforcements[[#This Row],[xo]]^2)+((Reinforcements[[#This Row],[Ix (FTB)]]+Reinforcements[[#This Row],[Iy (FTB)]])/Reinforcements[[#This Row],[Ag]]),"N/A")</f>
        <v>N/A</v>
      </c>
      <c r="FJ56" s="6" t="str">
        <f>IF(Reinforcements[[#This Row],[Type]]="channel",Reinforcements[[#This Row],[Lu (in)]],"N/A")</f>
        <v>N/A</v>
      </c>
      <c r="FK56" s="6" t="str">
        <f>IF(Reinforcements[[#This Row],[Type]]="channel",Reinforcements[[#This Row],[Effective Length Factor Kx]],"N/A")</f>
        <v>N/A</v>
      </c>
      <c r="FL56" s="6" t="str">
        <f>IF(Reinforcements[[#This Row],[Type]]="channel",Reinforcements[[#This Row],[Kz]]*Reinforcements[[#This Row],[Lz]],"N/A")</f>
        <v>N/A</v>
      </c>
      <c r="FM56" s="6" t="str">
        <f>IF(Reinforcements[[#This Row],[Type]]="channel",(((Reinforcements[[#This Row],[t]]^3)/3)*(Reinforcements[[#This Row],[h]]+(2*Reinforcements[[#This Row],[b]]))),"N/A")</f>
        <v>N/A</v>
      </c>
      <c r="FN56" s="6" t="str">
        <f>IF(Reinforcements[[#This Row],[Type]]="channel",(1-(((Reinforcements[[#This Row],[xo]]^2)+(Reinforcements[[#This Row],[yo]]^2))/Reinforcements[[#This Row],[ro^2(bar)]])),"N/A")</f>
        <v>N/A</v>
      </c>
      <c r="FO56" s="6">
        <v>11200</v>
      </c>
      <c r="FP56" s="6" t="str">
        <f>IF(Reinforcements[[#This Row],[Type]]="channel",(((Reinforcements[[#This Row],[h]]^2)*(Reinforcements[[#This Row],[b]]^3)*Reinforcements[[#This Row],[t]])/12)*(((2*Reinforcements[[#This Row],[h]])+(3*Reinforcements[[#This Row],[b]]))/(Reinforcements[[#This Row],[h]]+(6*Reinforcements[[#This Row],[b]]))),"N/A")</f>
        <v>N/A</v>
      </c>
      <c r="FQ56" s="6" t="str">
        <f>IF(Reinforcements[[#This Row],[Type]]="Channel",((((PI()^2)*Reinforcements[[#This Row],[E, (ksi)]]*Reinforcements[[#This Row],['[Channel'] CW (in6)]])/(Reinforcements[[#This Row],[Lcz]]^2))+(Reinforcements[[#This Row],[G]]*Reinforcements[[#This Row],['[Channel'] J (in4)]]))*(1/(Reinforcements[[#This Row],[Ag]]*Reinforcements[[#This Row],[ro^2(bar)]])),"N/A")</f>
        <v>N/A</v>
      </c>
      <c r="FR56" s="6" t="str">
        <f>IF(Reinforcements[[#This Row],[Type]]="channel",((PI()^2)*Reinforcements[[#This Row],[E, (ksi)]])/(Reinforcements[[#This Row],[Lcy/ry]]^2),"N/A")</f>
        <v>N/A</v>
      </c>
      <c r="FS56" s="6" t="str">
        <f>IF(Reinforcements[[#This Row],[Type]]="channel",((Reinforcements[[#This Row],[Fey]]+Reinforcements[[#This Row],[Fez]])/(2*Reinforcements[[#This Row],[H2]]))*(1-SQRT(1-((4*Reinforcements[[#This Row],[Fey]]*Reinforcements[[#This Row],[Fez]]*Reinforcements[[#This Row],[H2]])/(Reinforcements[[#This Row],[Fey]]+Reinforcements[[#This Row],[Fez]])^2))),"N/A")</f>
        <v>N/A</v>
      </c>
      <c r="FT56" s="6" t="str">
        <f>IF(Reinforcements[[#This Row],[Type]]="channel",IF(Reinforcements[[#This Row],[Lcx/rx]]&gt;(4.71*SQRT(Reinforcements[[#This Row],[E, (ksi)]]/Reinforcements[[#This Row],[Fy, (ksi)]])),0.877*Reinforcements[[#This Row],[Fe (FTB)]],0.658^(Reinforcements[[#This Row],[Fy, (ksi)]]/Reinforcements[[#This Row],[Fe (FTB)]])*Reinforcements[[#This Row],[Fy, (ksi)]]),"N/A")</f>
        <v>N/A</v>
      </c>
      <c r="FU56" s="6" t="str">
        <f>IF(Reinforcements[[#This Row],[Type]]="channel",MIN(Reinforcements[[#This Row],[Fcr(FTB)]],Reinforcements[[#This Row],[Fcry (ksi)]]),"N/A")</f>
        <v>N/A</v>
      </c>
      <c r="FV56" s="6">
        <v>0.22</v>
      </c>
      <c r="FW56" s="6">
        <v>1.49</v>
      </c>
      <c r="FX56" s="6" t="str">
        <f>IF(Reinforcements[[#This Row],[Type]]="channel",((Reinforcements[[#This Row],[c2]]*(Reinforcements[[#This Row],[λrf]]/Reinforcements[[#This Row],[λf]]))^2)*Reinforcements[[#This Row],[Fy, (ksi)]],"N/A")</f>
        <v>N/A</v>
      </c>
      <c r="FY56" s="6" t="str">
        <f>IF(Reinforcements[[#This Row],[Type]]="channel",((Reinforcements[[#This Row],[c2]]*(Reinforcements[[#This Row],[λrw]]/Reinforcements[[#This Row],[λw]]))^2)*Reinforcements[[#This Row],[Fy, (ksi)]],"N/A")</f>
        <v>N/A</v>
      </c>
      <c r="FZ5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6" t="str">
        <f>IF(Reinforcements[[#This Row],[Type]]="channel",Reinforcements[[#This Row],[Fcr]]*Reinforcements[[#This Row],[Ae]],"N/A")</f>
        <v>N/A</v>
      </c>
      <c r="GD56">
        <f>IF(Reinforcements[[#This Row],[Reinforcement]]="","",φ_c*Reinforcements[[#This Row],[Pnx, FB (kip)]])</f>
        <v>288.60033580218732</v>
      </c>
      <c r="GE56">
        <f>IF(Reinforcements[[#This Row],[Reinforcement]]="","",IF(Reinforcements[[#This Row],[Type]]="channel",φ_c*Reinforcements[[#This Row],[Pn]],φ_c*Reinforcements[[#This Row],[Pny, FB (kip)]]))</f>
        <v>348.03060300765554</v>
      </c>
      <c r="GF56">
        <f>Reinforcements[[#This Row],[Rev. G Tension Yield Capacity (kips)]]</f>
        <v>351</v>
      </c>
      <c r="GG56">
        <f>Reinforcements[[#This Row],[Rev. G Tension Rupture Capacity (kips)]]</f>
        <v>281.25</v>
      </c>
      <c r="GH56">
        <f>Reinforcements[[#This Row],[Rev. G Shear Capacity (kips)]]</f>
        <v>175.5</v>
      </c>
      <c r="GI56">
        <f>IFERROR((Reinforcements[[#This Row],['# of End Connection Bolts          (Bottom)]]-1)*Reinforcements[[#This Row],[End Connection Bolt Spacing (in) (B)]],"-")</f>
        <v>21</v>
      </c>
      <c r="GJ56">
        <f>IFERROR(IF(VLOOKUP(Reinforcements[[#This Row],[Bottom End Connection Bolt Type]],Bolts[],COLUMN(Bolts[[#Headers],[Rev. H Apply Connection Length Reduction Factor (Rb)?]])-1,FALSE)="Yes",(IF(Reinforcements[[#This Row],[Lb(bottom)]]&lt;=16,1,IF(Reinforcements[[#This Row],[Lb(bottom)]]&gt;38,0.75,0.9))),1),"-")</f>
        <v>1</v>
      </c>
      <c r="GK5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f>IFERROR(IF(Reinforcements[[#This Row],[Top End Connection Same?]]="Yes",Reinforcements[[#This Row],[Lb(bottom)]],(Reinforcements[[#This Row],['# of End Connection Bolts          (Top)]]-1)*Reinforcements[[#This Row],[End Connection Bolt Spacing (in) (T)]]),"-")</f>
        <v>21</v>
      </c>
      <c r="GM56">
        <f>IFERROR(IF(VLOOKUP(Reinforcements[[#This Row],[Top End Connection Bolt Type]],Bolts[],COLUMN(Bolts[[#Headers],[Rev. H Apply Connection Length Reduction Factor (Rb)?]])-1,FALSE)=TRUE,(IF(Reinforcements[[#This Row],[Lb(top)]]&lt;=16,1,IF(Reinforcements[[#This Row],[Lb(top)]]&gt;38,0.75,0.9))),1),"-")</f>
        <v>0.9</v>
      </c>
      <c r="GN5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f>Reinforcements[[#This Row],[Rev. G Bolt-Shaft Bearing Capacity (Bottom)                No Deformation          (*t*Fu kips)]]</f>
        <v>15.450236220472441</v>
      </c>
      <c r="GP56">
        <f>Reinforcements[[#This Row],[Rev. G Bolt-Shaft Bearing Capacity (Bottom)                   Deformation          (*t*Fu kips)]]</f>
        <v>19.312795275590553</v>
      </c>
      <c r="GQ56">
        <f>Reinforcements[[#This Row],[Rev. G Bolt-Shaft Bearing Capacity (Top)                    No Deformation          (*t*Fu kips)]]</f>
        <v>15.450236220472441</v>
      </c>
      <c r="GR56">
        <f>Reinforcements[[#This Row],[Rev. G Bolt-Shaft Bearing Capacity (Top)                        Deformation          (*t*Fu kips)]]</f>
        <v>19.312795275590553</v>
      </c>
      <c r="GS56">
        <f>Reinforcements[[#This Row],[Rev. G Bolt-Reinf. Bearing Capacity (Bottom)            No Deformation (kips)]]</f>
        <v>1236.0188976377951</v>
      </c>
      <c r="GT56">
        <f>Reinforcements[[#This Row],[Rev. G Bolt-Reinf. Bearing Capacity (Bottom)               Deformation (kips)]]</f>
        <v>1545.0236220472443</v>
      </c>
      <c r="GU56">
        <f>Reinforcements[[#This Row],[Rev. G Bolt-Reinf. Bearing Capacity (Top)                  No Deformation (kips)]]</f>
        <v>1236.0188976377951</v>
      </c>
      <c r="GV56">
        <f>Reinforcements[[#This Row],[Rev. G Bolt-Reinf. Bearing Capacity (Top)               Deformation (kips)]]</f>
        <v>1545.0236220472443</v>
      </c>
      <c r="GW56" t="str">
        <f>Reinforcements[[#This Row],[Rev. G Bottom Transverse Weld Strength]]</f>
        <v>-</v>
      </c>
      <c r="GX56" t="str">
        <f>Reinforcements[[#This Row],[Rev. G Bottom Longitudinal Weld Strength]]</f>
        <v>-</v>
      </c>
      <c r="GY56" t="str">
        <f>Reinforcements[[#This Row],[Rev. G Top Transverse Weld Strength]]</f>
        <v>-</v>
      </c>
      <c r="GZ56" t="str">
        <f>Reinforcements[[#This Row],[Rev. G Top Longitudinal Weld Strength]]</f>
        <v>-</v>
      </c>
      <c r="HA56">
        <v>54</v>
      </c>
      <c r="HB5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49" t="s">
        <v>415</v>
      </c>
      <c r="C57" s="49" t="s">
        <v>352</v>
      </c>
      <c r="D57" s="6">
        <v>6.5</v>
      </c>
      <c r="E57" s="6">
        <v>1.25</v>
      </c>
      <c r="F57" s="6" t="str">
        <f>IF(Reinforcements[[#This Row],[Type]]="","",IF(Reinforcements[[#This Row],[Type]]="solid round","","n/a"))</f>
        <v>n/a</v>
      </c>
      <c r="G57" s="6" t="str">
        <f>IF(Reinforcements[[#This Row],[Type]]="","",IF(Reinforcements[[#This Row],[Type]]&lt;&gt;"channel","n/a",""))</f>
        <v>n/a</v>
      </c>
      <c r="H57" s="6" t="str">
        <f>IF(Reinforcements[[#This Row],[Type]]="","",IF(Reinforcements[[#This Row],[Type]]&lt;&gt;"channel","n/a",""))</f>
        <v>n/a</v>
      </c>
      <c r="I57" s="126" t="str">
        <f>IF(Reinforcements[[#This Row],[Type]]="","",IF(Reinforcements[[#This Row],[Type]]&lt;&gt;"channel","n/a",Reinforcements[[#This Row],[eo]]))</f>
        <v>n/a</v>
      </c>
      <c r="J57" s="126" t="str">
        <f>IF(Reinforcements[[#This Row],[Type]]="","",IF(Reinforcements[[#This Row],[Type]]&lt;&gt;"channel","n/a",Reinforcements[[#This Row],[J]]))</f>
        <v>n/a</v>
      </c>
      <c r="K57" s="126" t="str">
        <f>IF(Reinforcements[[#This Row],[Type]]="","",IF(Reinforcements[[#This Row],[Type]]&lt;&gt;"channel","n/a",Reinforcements[[#This Row],[Cw]]))</f>
        <v>n/a</v>
      </c>
      <c r="L57" s="6">
        <f>IFERROR(IF(Reinforcements[[#This Row],[Type]]="","",IF(Reinforcements[[#This Row],[Type]]="plate",Reinforcements[[#This Row],[B (in)]]*Reinforcements[[#This Row],[H (in)]],IF(Reinforcements[[#This Row],[Type]]="solid round",PI()/4*Reinforcements[[#This Row],[Diameter (in)]]^2,""))),"")</f>
        <v>8.125</v>
      </c>
      <c r="M57" s="6">
        <f>IFERROR(IF(Reinforcements[[#This Row],[Type]]="","",IF(Reinforcements[[#This Row],[Type]]="plate",Reinforcements[[#This Row],[H (in)]]/2,"")),"")</f>
        <v>0.625</v>
      </c>
      <c r="N57" s="16" t="s">
        <v>353</v>
      </c>
      <c r="O57" s="6" t="s">
        <v>138</v>
      </c>
      <c r="P57" s="123">
        <f>IFERROR(IF(Reinforcements[[#This Row],[Type]]="","",IF(Reinforcements[[#This Row],[Type]]="plate",Reinforcements[[#This Row],[B (in)]]*Reinforcements[[#This Row],[H (in)]]^3/12,IF(Reinforcements[[#This Row],[Type]]="solid round",PI()/64*Reinforcements[[#This Row],[Diameter (in)]]^4,""))),"")</f>
        <v>1.0579427083333333</v>
      </c>
      <c r="Q57" s="123">
        <f>IF(Reinforcements[[#This Row],[Reinforcement]]="","",SQRT(Reinforcements[[#This Row],[Ix]]/Reinforcements[[#This Row],[Gross Area (in2)]]))</f>
        <v>0.36084391824351608</v>
      </c>
      <c r="R57" s="123">
        <f>IFERROR(IF(Reinforcements[[#This Row],[Type]]="","",IF(Reinforcements[[#This Row],[Type]]="plate",Reinforcements[[#This Row],[B (in)]]^3*Reinforcements[[#This Row],[H (in)]]/12,IF(Reinforcements[[#This Row],[Type]]="solid round",PI()/64*Reinforcements[[#This Row],[Diameter (in)]]^4,""))),"")</f>
        <v>28.606770833333332</v>
      </c>
      <c r="S57" s="123">
        <f>IF(Reinforcements[[#This Row],[Reinforcement]]="","",SQRT(Reinforcements[[#This Row],[Iy]]/Reinforcements[[#This Row],[Gross Area (in2)]]))</f>
        <v>1.8763883748662837</v>
      </c>
      <c r="T57" s="6">
        <v>19.25</v>
      </c>
      <c r="U57" s="6">
        <v>0.8</v>
      </c>
      <c r="V57" s="6">
        <v>1</v>
      </c>
      <c r="W57" s="6">
        <v>1.1875</v>
      </c>
      <c r="X57" s="6">
        <f>IF(Reinforcements[[#This Row],[Bolt Hole Size (in)]]="","",IF(Reinforcements[[#This Row],[Bolt Hole Size (in)]]="n/a","n/a",Reinforcements[[#This Row],[Bolt Hole Size (in)]]*25.4))</f>
        <v>30.162499999999998</v>
      </c>
      <c r="Y5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6">
        <f>IFERROR(IF(Reinforcements[[#This Row],[Reinforcement]]="","",IF(OR(Reinforcements[[#This Row],[Type]]="plate",Reinforcements[[#This Row],[Type]]="solid round"),1,IF(Reinforcements[[#This Row],[Type]]="arbitrary","",1-Reinforcements[[#This Row],[Pole Face to Centroid (in)]]/Reinforcements[[#This Row],[Connection Length (in) '[Channels']]]))),"")</f>
        <v>1</v>
      </c>
      <c r="AA57" s="16" t="s">
        <v>354</v>
      </c>
      <c r="AB57" s="16" t="str">
        <f>IF(Reinforcements[[#This Row],[Reinforcement]]="","",IF(Reinforcements[[#This Row],[Bottom End Connection Type]]&lt;&gt;"Capacity Input","-",""))</f>
        <v>-</v>
      </c>
      <c r="AC57" s="16" t="str">
        <f>IF(Reinforcements[[#This Row],[Reinforcement]]="","",IF(Reinforcements[[#This Row],[Bottom End Connection Type]]&lt;&gt;"Capacity Input","-",""))</f>
        <v>-</v>
      </c>
      <c r="AD57" s="16" t="str">
        <f>IF(Reinforcements[[#This Row],[Reinforcement]]="","",IF(Reinforcements[[#This Row],[Bottom End Connection Type]]&lt;&gt;"Capacity Input","-",""))</f>
        <v>-</v>
      </c>
      <c r="AE57" s="74" t="s">
        <v>355</v>
      </c>
      <c r="AF57" s="6" t="s">
        <v>356</v>
      </c>
      <c r="AG57" s="6">
        <v>11</v>
      </c>
      <c r="AH57" s="6">
        <v>3</v>
      </c>
      <c r="AI57" s="6">
        <v>3</v>
      </c>
      <c r="AJ57" s="6">
        <f>Reinforcements[[#This Row],[End Connection Edge Distance (in) (B)]]-(Reinforcements[[#This Row],[Bolt Hole Size (in)]]+1/16)/2</f>
        <v>2.375</v>
      </c>
      <c r="AK57" s="6">
        <f>Reinforcements[[#This Row],[End Connection Bolt Spacing (in) (B)]]-(Reinforcements[[#This Row],[Bolt Hole Size (in)]]+1/16)</f>
        <v>1.75</v>
      </c>
      <c r="AL57" s="6">
        <f>Reinforcements[[#This Row],[End Connection Edge Distance (in) (B)]]</f>
        <v>3</v>
      </c>
      <c r="AM57" s="6">
        <f>Reinforcements[[#This Row],[End Connection Bolt Spacing (in) (B)]]</f>
        <v>3</v>
      </c>
      <c r="AN57" s="6" t="str">
        <f>IF(Reinforcements[[#This Row],[Reinforcement]]="","",IF(OR(Reinforcements[[#This Row],[Bottom End Connection Type]]="Bolted",Reinforcements[[#This Row],[Bottom End Connection Type]]=""),"-",""))</f>
        <v>-</v>
      </c>
      <c r="AO57" s="111" t="str">
        <f>IF(Reinforcements[[#This Row],[Reinforcement]]="","",IF(OR(Reinforcements[[#This Row],[Bottom End Connection Type]]="Bolted",Reinforcements[[#This Row],[Bottom End Connection Type]]=""),"-",""))</f>
        <v>-</v>
      </c>
      <c r="AP57" s="111" t="str">
        <f>IF(Reinforcements[[#This Row],[Reinforcement]]="","",IF(OR(Reinforcements[[#This Row],[Bottom End Connection Type]]="Bolted",Reinforcements[[#This Row],[Bottom End Connection Type]]=""),"-",""))</f>
        <v>-</v>
      </c>
      <c r="AQ57" s="111" t="str">
        <f>IF(OR(Reinforcements[[#This Row],[Bottom End Connection Type]]="Bolted",Reinforcements[[#This Row],[Bottom Transverse (Horizontal) Weld]]="none"),"-","")</f>
        <v>-</v>
      </c>
      <c r="AR5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11" t="str">
        <f>IF(OR(Reinforcements[[#This Row],[Bottom Transverse (Horizontal) Weld]]="none",Reinforcements[[#This Row],[Bottom End Connection Type]]="Bolted"),"-","")</f>
        <v>-</v>
      </c>
      <c r="AU5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11" t="str">
        <f>IF(Reinforcements[[#This Row],[Reinforcement]]="","",IF(OR(Reinforcements[[#This Row],[Bottom End Connection Type]]="Bolted",Reinforcements[[#This Row],[Bottom End Connection Type]]=""),"-",""))</f>
        <v>-</v>
      </c>
      <c r="AW57" s="111" t="str">
        <f>IF(Reinforcements[[#This Row],[Reinforcement]]="","",IF(OR(Reinforcements[[#This Row],[Bottom End Connection Type]]&lt;&gt;"Welded",Reinforcements[[#This Row],[Bottom Longitudinal (Vertical) Weld]]="None",Reinforcements[[#This Row],[Bottom Longitudinal (Vertical) Weld]]=""),"-",""))</f>
        <v>-</v>
      </c>
      <c r="AX57" s="111" t="str">
        <f>IF(Reinforcements[[#This Row],[Reinforcement]]="","",IF(OR(Reinforcements[[#This Row],[Bottom End Connection Type]]&lt;&gt;"Welded",Reinforcements[[#This Row],[Bottom Longitudinal (Vertical) Weld]]="None",Reinforcements[[#This Row],[Bottom Longitudinal (Vertical) Weld]]=""),"-",""))</f>
        <v>-</v>
      </c>
      <c r="AY57" s="6" t="str">
        <f>IF(Reinforcements[[#This Row],[Reinforcement]]="","",IF(OR(Reinforcements[[#This Row],[Bottom End Connection Type]]&lt;&gt;"Welded",Reinforcements[[#This Row],[Bottom Longitudinal (Vertical) Weld]]="None"),"-",SQRT(2)/2*Reinforcements[[#This Row],[Bottom Longitudinal Weld Fillet Size (in)]]))</f>
        <v>-</v>
      </c>
      <c r="AZ57" s="6" t="s">
        <v>357</v>
      </c>
      <c r="BA57" s="16" t="str">
        <f>IF(Reinforcements[[#This Row],[Top End Connection Same?]]="Yes",Reinforcements[[#This Row],[Bottom End Connection Type]],"")</f>
        <v>Bolted</v>
      </c>
      <c r="BB57" s="16" t="str">
        <f>IF(Reinforcements[[#This Row],[Reinforcement]]="","",IF(Reinforcements[[#This Row],[Top End Connection Same?]]="Yes",Reinforcements[[#This Row],[Rev. F Bottom Connection Capacity (kips)]],IF(Reinforcements[[#This Row],[Reinforcement]]="","",IF(Reinforcements[[#This Row],[Top End Connection Type]]&lt;&gt;"Capacity Input","-",""))))</f>
        <v>-</v>
      </c>
      <c r="BC57" s="16" t="str">
        <f>IF(Reinforcements[[#This Row],[Reinforcement]]="","",IF(Reinforcements[[#This Row],[Top End Connection Same?]]="Yes",Reinforcements[[#This Row],[Rev. G Bottom Connection Capacity (kips)]],IF(Reinforcements[[#This Row],[Reinforcement]]="","",IF(Reinforcements[[#This Row],[Top End Connection Type]]&lt;&gt;"Capacity Input","-",""))))</f>
        <v>-</v>
      </c>
      <c r="BD57" s="16" t="str">
        <f>IF(Reinforcements[[#This Row],[Reinforcement]]="","",IF(Reinforcements[[#This Row],[Top End Connection Same?]]="Yes",Reinforcements[[#This Row],[Rev. G Bottom Connection Capacity (kips)]],IF(Reinforcements[[#This Row],[Reinforcement]]="","",IF(Reinforcements[[#This Row],[Top End Connection Type]]&lt;&gt;"Capacity Input","-",""))))</f>
        <v>-</v>
      </c>
      <c r="BE57" s="74" t="str">
        <f>IF(Reinforcements[[#This Row],[Top End Connection Same?]]="Yes",Reinforcements[[#This Row],[Bottom End Connection Bolt Type]],IF(Reinforcements[[#This Row],[Top End Connection Type]]="Welded","-",""))</f>
        <v>PC 8.8 - M20 (100)</v>
      </c>
      <c r="BF57" s="6" t="str">
        <f>IF(Reinforcements[[#This Row],[Top End Connection Same?]]="Yes",Reinforcements[[#This Row],[Threads Included (N) or Excluded (X) (Bottom)]],IF(Reinforcements[[#This Row],[Top End Connection Type]]="Welded","-",""))</f>
        <v>N</v>
      </c>
      <c r="BG57" s="6">
        <f>IF(Reinforcements[[#This Row],[Top End Connection Same?]]="Yes",Reinforcements[[#This Row],['# of End Connection Bolts          (Bottom)]],IF(Reinforcements[[#This Row],[Top End Connection Type]]="Welded","-",""))</f>
        <v>11</v>
      </c>
      <c r="BH57" s="6">
        <f>IF(Reinforcements[[#This Row],[Top End Connection Same?]]="Yes",Reinforcements[[#This Row],[End Connection Bolt Spacing (in) (B)]],IF(Reinforcements[[#This Row],[Top End Connection Type]]="Welded","-",""))</f>
        <v>3</v>
      </c>
      <c r="BI57" s="6">
        <f>IF(Reinforcements[[#This Row],[Top End Connection Same?]]="Yes",Reinforcements[[#This Row],[End Connection Edge Distance (in) (B)]],IF(Reinforcements[[#This Row],[Top End Connection Type]]="Welded","-",""))</f>
        <v>3</v>
      </c>
      <c r="BJ57" s="6">
        <f>Reinforcements[[#This Row],[End Connection Edge Distance (in) (T)]]-(Reinforcements[[#This Row],[Bolt Hole Size (in)]]+1/16)/2</f>
        <v>2.375</v>
      </c>
      <c r="BK57" s="6">
        <f>Reinforcements[[#This Row],[End Connection Bolt Spacing (in) (T)]]-(Reinforcements[[#This Row],[Bolt Hole Size (in)]]+1/16)</f>
        <v>1.75</v>
      </c>
      <c r="BL57" s="6">
        <f>Reinforcements[[#This Row],[End Connection Edge Distance (in) (T)]]</f>
        <v>3</v>
      </c>
      <c r="BM57" s="6">
        <f>Reinforcements[[#This Row],[End Connection Bolt Spacing (in) (T)]]</f>
        <v>3</v>
      </c>
      <c r="BN57" s="6" t="str">
        <f>IF(Reinforcements[[#This Row],[Reinforcement]]="","",IF(Reinforcements[[#This Row],[Top End Connection Same?]]="Yes",Reinforcements[[#This Row],[Bottom Connected to Flange/Base Plate?]],IF(Reinforcements[[#This Row],[Top End Connection Type]]="Bolted","-","")))</f>
        <v>-</v>
      </c>
      <c r="BO57" s="6" t="str">
        <f>IF(Reinforcements[[#This Row],[Reinforcement]]="","",IF(Reinforcements[[#This Row],[Top End Connection Same?]]="Yes",Reinforcements[[#This Row],[Bottom Weld Grade (ksi)]],IF(OR(Reinforcements[[#This Row],[Top End Connection Type]]&lt;&gt;"Welded",Reinforcements[[#This Row],[Top End Connection Type]]=""),"-","")))</f>
        <v>-</v>
      </c>
      <c r="BP57" s="6" t="str">
        <f>IF($AZ57="Yes",AP57,IF(Reinforcements[[#This Row],[Reinforcement]]="","",IF(OR(Reinforcements[[#This Row],[Top End Connection Type]]&lt;&gt;"Welded",Reinforcements[[#This Row],[Top End Connection Type]]=""),"-","")))</f>
        <v>-</v>
      </c>
      <c r="BQ57" s="6" t="str">
        <f>IF(Reinforcements[[#This Row],[Reinforcement]]="","",IF($AZ57="Yes",AQ57,IF(OR(Reinforcements[[#This Row],[Top End Connection Type]]&lt;&gt;"Welded",Reinforcements[[#This Row],[Top Transverse (Horizontal) Weld]]="none",Reinforcements[[#This Row],[Top Transverse (Horizontal) Weld]]=""),"-","")))</f>
        <v>-</v>
      </c>
      <c r="BR57" s="6"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6"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6" t="str">
        <f>IF(Reinforcements[[#This Row],[Reinforcement]]="","",IF($AZ57="Yes",AT57,IF(OR(Reinforcements[[#This Row],[Top Transverse (Horizontal) Weld]]="none",Reinforcements[[#This Row],[Top End Connection Type]]&lt;&gt;"Welded",Reinforcements[[#This Row],[Top Transverse (Horizontal) Weld]]=""),"-","")))</f>
        <v>-</v>
      </c>
      <c r="BU57" s="6"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6" t="str">
        <f>IF($AZ57="Yes",AV57,IF(Reinforcements[[#This Row],[Reinforcement]]="","",IF(OR(Reinforcements[[#This Row],[Top End Connection Type]]&lt;&gt;"Welded",Reinforcements[[#This Row],[Top End Connection Type]]=""),"-","")))</f>
        <v>-</v>
      </c>
      <c r="BW57" s="6"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6"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6" t="str">
        <f>IF($AZ57="Yes",AY57,IF(Reinforcements[[#This Row],[Reinforcement]]="","",IF(OR(Reinforcements[[#This Row],[Top End Connection Type]]&lt;&gt;"Welded",Reinforcements[[#This Row],[Top Longitudinal (Vertical) Weld]]="none"),"-",SQRT(2)/2*Reinforcements[[#This Row],[Top Longitudinal Weld Fillet Size (in)]])))</f>
        <v>-</v>
      </c>
      <c r="BZ5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11">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11">
        <f>IF(Reinforcements[[#This Row],[Reinforcement]]="","",IF(Reinforcements[[#This Row],[Top End Connection Type]]&lt;&gt;"Bolted","n/a",(Reinforcements[[#This Row],['# of End Connection Bolts          (Top)]]-1)*Reinforcements[[#This Row],[End Connection Bolt Spacing (in) (T)]]+Reinforcements[[#This Row],[End Connection Edge Distance (in) (T)]]))</f>
        <v>33</v>
      </c>
      <c r="CC5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6">
        <f>IFERROR(IF(Reinforcements[[#This Row],[Type]]="","",Reinforcements[[#This Row],[Effective B (in)]]*Reinforcements[[#This Row],[Effective H (in)]]^3/12),"")</f>
        <v>1.0579427083333333</v>
      </c>
      <c r="CF57" s="6">
        <f>IFERROR(IF(Reinforcements[[#This Row],[Type]]="","",Reinforcements[[#This Row],[Effective B (in)]]^3*Reinforcements[[#This Row],[Effective H (in)]]/12),"")</f>
        <v>28.606770833333332</v>
      </c>
      <c r="CG57" s="126">
        <f>SQRT(2*PI()^2*29000/VLOOKUP(Reinforcements[[#This Row],[Material]],Materials[],2,FALSE))</f>
        <v>93.844147005158973</v>
      </c>
      <c r="CH5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123">
        <f>Reinforcements[[#This Row],[Effective Length Factor Kx]]*Reinforcements[[#This Row],[Lu (in)]]/(Reinforcements[[#This Row],[rx]]*PI())*SQRT(VLOOKUP(Reinforcements[[#This Row],[Material]],Materials[],2,FALSE)/29000)</f>
        <v>0.64314535523307104</v>
      </c>
      <c r="CK57" s="123">
        <f>Reinforcements[[#This Row],[Effective Length Factor Ky]]*Reinforcements[[#This Row],[Lu (in)]]/(Reinforcements[[#This Row],[ry]]*PI())*SQRT(VLOOKUP(Reinforcements[[#This Row],[Material]],Materials[],2,FALSE)/29000)</f>
        <v>0.15460224885410362</v>
      </c>
      <c r="CL57" s="123">
        <f>IF(Reinforcements[[#This Row],[λcx]]&lt;=1.5,0.658^(Reinforcements[[#This Row],[λcx]]^2)*Reinforcements[[#This Row],[F''y]],0.877/(Reinforcements[[#This Row],[λcx]]^2)*Reinforcements[[#This Row],[F''y]])</f>
        <v>54.666976131083018</v>
      </c>
      <c r="CM57" s="123">
        <f>IF(Reinforcements[[#This Row],[λcy]]&lt;=1.5,0.658^(Reinforcements[[#This Row],[λcy]]^2)*Reinforcements[[#This Row],[F''y]],0.877/(Reinforcements[[#This Row],[λcy]]^2)*Reinforcements[[#This Row],[F''y]])</f>
        <v>64.352973423945272</v>
      </c>
      <c r="CN57" s="6">
        <f>VLOOKUP(Reinforcements[[#This Row],[Material]],Materials[],2,FALSE)</f>
        <v>65</v>
      </c>
      <c r="CO57" s="126">
        <f>IF(Reinforcements[[#This Row],[Reinforcement]]="","",Reinforcements[[#This Row],[Fax]]*Reinforcements[[#This Row],[Gross Area (in2)]])</f>
        <v>259.39481948183447</v>
      </c>
      <c r="CP57" s="126">
        <f>IF(Reinforcements[[#This Row],[Reinforcement]]="","",Reinforcements[[#This Row],[Fay]]*Reinforcements[[#This Row],[Gross Area (in2)]])</f>
        <v>307.44929952692496</v>
      </c>
      <c r="CQ57" s="126">
        <f>IF(Reinforcements[[#This Row],[Reinforcement]]="","",0.6*VLOOKUP(Reinforcements[[#This Row],[Material]],Materials[],2,FALSE)*Reinforcements[[#This Row],[Gross Area (in2)]])</f>
        <v>316.875</v>
      </c>
      <c r="CR57" s="126">
        <f>IF(Reinforcements[[#This Row],[Reinforcement]]="","",0.5*VLOOKUP(Reinforcements[[#This Row],[Material]],Materials[],3,FALSE)*Reinforcements[[#This Row],[Net Area (in2)]]*Reinforcements[[#This Row],[Shear Lag (U)]])</f>
        <v>262.5</v>
      </c>
      <c r="CS57" s="126">
        <f>IF(Reinforcements[[#This Row],[Reinforcement]]="","",0.4*VLOOKUP(Reinforcements[[#This Row],[Material]],Materials[],2,FALSE)*Reinforcements[[#This Row],[Gross Area (in2)]])</f>
        <v>211.25</v>
      </c>
      <c r="CT57"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6"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6"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126">
        <f>IF(Reinforcements[[#This Row],[Reinforcement]]="","",φ_c*Reinforcements[[#This Row],[Fcr,x]]*Reinforcements[[#This Row],[Gross Area (in2)]])</f>
        <v>399.75226295854458</v>
      </c>
      <c r="DI57" s="126">
        <f>IF(Reinforcements[[#This Row],[Reinforcement]]="","",φ_c*Reinforcements[[#This Row],[Fcr,y]]*Reinforcements[[#This Row],[Gross Area (in2)]])</f>
        <v>470.58111816259981</v>
      </c>
      <c r="DJ57" s="126">
        <f>IF(Reinforcements[[#This Row],[Reinforcement]]="","",φ_t_y*VLOOKUP(Reinforcements[[#This Row],[Material]],Materials[],2,FALSE)*Reinforcements[[#This Row],[Gross Area (in2)]])</f>
        <v>475.3125</v>
      </c>
      <c r="DK57" s="126">
        <f>IF(Reinforcements[[#This Row],[Reinforcement]]="","",φ_t_r*VLOOKUP(Reinforcements[[#This Row],[Material]],Materials[],3,FALSE)*Reinforcements[[#This Row],[Net Area (in2)]]*Reinforcements[[#This Row],[Shear Lag (U)]])</f>
        <v>393.75</v>
      </c>
      <c r="DL57" s="126">
        <f>IF(Reinforcements[[#This Row],[Reinforcement]]="","",φ_v*0.5*Reinforcements[[#This Row],[F''y]]*Reinforcements[[#This Row],[Gross Area (in2)]])</f>
        <v>237.65625</v>
      </c>
      <c r="DM57"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6"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6"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111" t="str">
        <f>IF(OR(Reinforcements[[#This Row],[Type]]="plate",Reinforcements[[#This Row],[Type]]="solid round"),"N/A",Reinforcements[[#This Row],[B (in)]])</f>
        <v>N/A</v>
      </c>
      <c r="EB57" s="6" t="str">
        <f>IF(OR(Reinforcements[[#This Row],[Type]]="plate",Reinforcements[[#This Row],[Type]]="solid round"),"N/A",Reinforcements[[#This Row],[H (in)]])</f>
        <v>N/A</v>
      </c>
      <c r="EC57" s="6" t="str">
        <f>IF(OR(Reinforcements[[#This Row],[Type]]="plate",Reinforcements[[#This Row],[Type]]="solid round"),"N/A",Reinforcements[[#This Row],[B (in)]]-Reinforcements[[#This Row],['[Channel'] Flange Thickness (in)]])</f>
        <v>N/A</v>
      </c>
      <c r="ED57" s="6" t="str">
        <f>IF(OR(Reinforcements[[#This Row],[Type]]="plate",Reinforcements[[#This Row],[Type]]="solid round"),"N/A",Reinforcements[[#This Row],['[Channel']Web Thickness (in)]])</f>
        <v>N/A</v>
      </c>
      <c r="EE57" s="6" t="str">
        <f>IF(OR(Reinforcements[[#This Row],[Type]]="plate",Reinforcements[[#This Row],[Type]]="solid round"),"N/A",Reinforcements[[#This Row],['[Channel'] Flange Thickness (in)]])</f>
        <v>N/A</v>
      </c>
      <c r="EF57" s="6" t="str">
        <f>IF(Reinforcements[[#This Row],[Type]]="channel",Reinforcements[[#This Row],[Channel Flange Width, b]]/Reinforcements[[#This Row],[Channel flange thickness, tf]],"N/A")</f>
        <v>N/A</v>
      </c>
      <c r="EG57" s="6" t="str">
        <f>IF(Reinforcements[[#This Row],[Type]]="channel",Reinforcements[[#This Row],[Channel inside depth, T]]/Reinforcements[[#This Row],[Channel web thickness, tw]],"N/A")</f>
        <v>N/A</v>
      </c>
      <c r="EH57" s="6">
        <f>29000</f>
        <v>29000</v>
      </c>
      <c r="EI57" s="6" t="str">
        <f>IF(Reinforcements[[#This Row],[Type]]="channel",0.56*SQRT(Reinforcements[[#This Row],[E, (ksi)]]/Reinforcements[[#This Row],[Fy, (ksi)]]),"N/A")</f>
        <v>N/A</v>
      </c>
      <c r="EJ57" s="6" t="str">
        <f>IF(Reinforcements[[#This Row],[Type]]="channel",1.49*SQRT(Reinforcements[[#This Row],[E, (ksi)]]/Reinforcements[[#This Row],[Fy, (ksi)]]),"N/A")</f>
        <v>N/A</v>
      </c>
      <c r="EK57" s="6">
        <f>VLOOKUP(Reinforcements[[#This Row],[Material]],Materials!$B$2:$C$30,2,FALSE)</f>
        <v>65</v>
      </c>
      <c r="EL57" s="6">
        <f>Reinforcements[[#This Row],[Lu (in)]]*Reinforcements[[#This Row],[Effective Length Factor Kx]]</f>
        <v>15.4</v>
      </c>
      <c r="EM57" s="6">
        <f>Reinforcements[[#This Row],[Lu (in)]]*Reinforcements[[#This Row],[Effective Length Factor Ky]]</f>
        <v>19.25</v>
      </c>
      <c r="EN57" s="6">
        <f>Reinforcements[[#This Row],[rx]]</f>
        <v>0.36084391824351608</v>
      </c>
      <c r="EO57" s="6">
        <f>Reinforcements[[#This Row],[ry]]</f>
        <v>1.8763883748662837</v>
      </c>
      <c r="EP57" s="6">
        <f>Reinforcements[[#This Row],[Lcx (in)]]/Reinforcements[[#This Row],[rx (in)]]</f>
        <v>42.677731898497143</v>
      </c>
      <c r="EQ57" s="6">
        <f>Reinforcements[[#This Row],[Lcy (in)]]/Reinforcements[[#This Row],[ry (in)]]</f>
        <v>10.259070167907966</v>
      </c>
      <c r="ER57" s="6">
        <f>((PI()^2)*Reinforcements[[#This Row],[E, (ksi)]])/(Reinforcements[[#This Row],[Lcx/rx]]^2)</f>
        <v>157.1430150616888</v>
      </c>
      <c r="ES57" s="6">
        <f>((PI()^2)*Reinforcements[[#This Row],[E, (ksi)]])/(Reinforcements[[#This Row],[Lcy/ry]]^2)</f>
        <v>2719.454161451562</v>
      </c>
      <c r="ET57" s="6">
        <f>4.71*(SQRT(Reinforcements[[#This Row],[E, (ksi)]]/Reinforcements[[#This Row],[Fy, (ksi)]]))</f>
        <v>99.486288193205496</v>
      </c>
      <c r="EU57" s="6">
        <f>IF(Reinforcements[[#This Row],[Lcx/rx]]&lt;=Reinforcements[[#This Row],[Fcr Limit]],(0.658^(Reinforcements[[#This Row],[Fy, (ksi)]]/Reinforcements[[#This Row],[Fex, FB (ksi)]]))*Reinforcements[[#This Row],[Fy, (ksi)]],0.877*Reinforcements[[#This Row],[Fex, FB (ksi)]])</f>
        <v>54.666976131083011</v>
      </c>
      <c r="EV57" s="6">
        <f>IF(Reinforcements[[#This Row],[Lcy/ry]]&lt;=Reinforcements[[#This Row],[Fcr Limit]],(0.658^(Reinforcements[[#This Row],[Fy, (ksi)]]/Reinforcements[[#This Row],[Fey, FB (ksi)]]))*Reinforcements[[#This Row],[Fy, (ksi)]],0.877*Reinforcements[[#This Row],[Fey, FB (ksi)]])</f>
        <v>64.352973423945272</v>
      </c>
      <c r="EW57" s="6">
        <f>Reinforcements[[#This Row],[Fcrx (ksi)]]*Reinforcements[[#This Row],[Gross Area (in2)]]</f>
        <v>444.16918106504949</v>
      </c>
      <c r="EX57" s="6">
        <f>Reinforcements[[#This Row],[Fcry (ksi)]]*Reinforcements[[#This Row],[Gross Area (in2)]]</f>
        <v>522.86790906955537</v>
      </c>
      <c r="EY57" s="6" t="str">
        <f>IF(Reinforcements[[#This Row],[Type]]="channel",0,"N/A")</f>
        <v>N/A</v>
      </c>
      <c r="EZ57" s="6" t="str">
        <f>IF(Reinforcements[[#This Row],[Type]]="channel",Reinforcements[[#This Row],[Channel Flange Width, b]]-(0.5*Reinforcements[[#This Row],[Channel web thickness, tw]]),"N/A")</f>
        <v>N/A</v>
      </c>
      <c r="FA57" s="6" t="str">
        <f>IF(Reinforcements[[#This Row],[Type]]="channel",Reinforcements[[#This Row],[Channel Height, h]]-Reinforcements[[#This Row],[Channel flange thickness, tf]],"N/A")</f>
        <v>N/A</v>
      </c>
      <c r="FB57" s="6" t="str">
        <f>IF(Reinforcements[[#This Row],[Type]]="channel",Reinforcements[[#This Row],[Channel web thickness, tw]],"N/A")</f>
        <v>N/A</v>
      </c>
      <c r="FC57" s="6" t="str">
        <f>IF(Reinforcements[[#This Row],[Type]]="channel",((3*Reinforcements[[#This Row],[b]]^2)/(Reinforcements[[#This Row],[h]]+(6*Reinforcements[[#This Row],[b]])))-Reinforcements[[#This Row],[t]]/2,"N/A")</f>
        <v>N/A</v>
      </c>
      <c r="FD57" s="6">
        <f>Reinforcements[[#This Row],[Pole Face to Centroid (in)]]</f>
        <v>0.625</v>
      </c>
      <c r="FE57" s="6" t="str">
        <f>IF(Reinforcements[[#This Row],[Type]]="channel",Reinforcements[[#This Row],[x(bar)]]+Reinforcements[[#This Row],['[Channel'] e0 (in)]],"N/A")</f>
        <v>N/A</v>
      </c>
      <c r="FF57" s="6" t="str">
        <f>IF(Reinforcements[[#This Row],[Type]]="channel",Reinforcements[[#This Row],[Ix]],"N/A")</f>
        <v>N/A</v>
      </c>
      <c r="FG57" s="6" t="str">
        <f>IF(Reinforcements[[#This Row],[Type]]="channel",Reinforcements[[#This Row],[Iy]],"N/A")</f>
        <v>N/A</v>
      </c>
      <c r="FH57" s="6" t="str">
        <f>IF(Reinforcements[[#This Row],[Type]]="channel",Reinforcements[[#This Row],[Gross Area (in2)]],"N/A")</f>
        <v>N/A</v>
      </c>
      <c r="FI57" s="6" t="str">
        <f>IF(Reinforcements[[#This Row],[Type]]="channel",(Reinforcements[[#This Row],[xo]]^2)+((Reinforcements[[#This Row],[Ix (FTB)]]+Reinforcements[[#This Row],[Iy (FTB)]])/Reinforcements[[#This Row],[Ag]]),"N/A")</f>
        <v>N/A</v>
      </c>
      <c r="FJ57" s="6" t="str">
        <f>IF(Reinforcements[[#This Row],[Type]]="channel",Reinforcements[[#This Row],[Lu (in)]],"N/A")</f>
        <v>N/A</v>
      </c>
      <c r="FK57" s="6" t="str">
        <f>IF(Reinforcements[[#This Row],[Type]]="channel",Reinforcements[[#This Row],[Effective Length Factor Kx]],"N/A")</f>
        <v>N/A</v>
      </c>
      <c r="FL57" s="6" t="str">
        <f>IF(Reinforcements[[#This Row],[Type]]="channel",Reinforcements[[#This Row],[Kz]]*Reinforcements[[#This Row],[Lz]],"N/A")</f>
        <v>N/A</v>
      </c>
      <c r="FM57" s="6" t="str">
        <f>IF(Reinforcements[[#This Row],[Type]]="channel",(((Reinforcements[[#This Row],[t]]^3)/3)*(Reinforcements[[#This Row],[h]]+(2*Reinforcements[[#This Row],[b]]))),"N/A")</f>
        <v>N/A</v>
      </c>
      <c r="FN57" s="6" t="str">
        <f>IF(Reinforcements[[#This Row],[Type]]="channel",(1-(((Reinforcements[[#This Row],[xo]]^2)+(Reinforcements[[#This Row],[yo]]^2))/Reinforcements[[#This Row],[ro^2(bar)]])),"N/A")</f>
        <v>N/A</v>
      </c>
      <c r="FO57" s="6">
        <v>11200</v>
      </c>
      <c r="FP57" s="6" t="str">
        <f>IF(Reinforcements[[#This Row],[Type]]="channel",(((Reinforcements[[#This Row],[h]]^2)*(Reinforcements[[#This Row],[b]]^3)*Reinforcements[[#This Row],[t]])/12)*(((2*Reinforcements[[#This Row],[h]])+(3*Reinforcements[[#This Row],[b]]))/(Reinforcements[[#This Row],[h]]+(6*Reinforcements[[#This Row],[b]]))),"N/A")</f>
        <v>N/A</v>
      </c>
      <c r="FQ57" s="6" t="str">
        <f>IF(Reinforcements[[#This Row],[Type]]="Channel",((((PI()^2)*Reinforcements[[#This Row],[E, (ksi)]]*Reinforcements[[#This Row],['[Channel'] CW (in6)]])/(Reinforcements[[#This Row],[Lcz]]^2))+(Reinforcements[[#This Row],[G]]*Reinforcements[[#This Row],['[Channel'] J (in4)]]))*(1/(Reinforcements[[#This Row],[Ag]]*Reinforcements[[#This Row],[ro^2(bar)]])),"N/A")</f>
        <v>N/A</v>
      </c>
      <c r="FR57" s="6" t="str">
        <f>IF(Reinforcements[[#This Row],[Type]]="channel",((PI()^2)*Reinforcements[[#This Row],[E, (ksi)]])/(Reinforcements[[#This Row],[Lcy/ry]]^2),"N/A")</f>
        <v>N/A</v>
      </c>
      <c r="FS57" s="6" t="str">
        <f>IF(Reinforcements[[#This Row],[Type]]="channel",((Reinforcements[[#This Row],[Fey]]+Reinforcements[[#This Row],[Fez]])/(2*Reinforcements[[#This Row],[H2]]))*(1-SQRT(1-((4*Reinforcements[[#This Row],[Fey]]*Reinforcements[[#This Row],[Fez]]*Reinforcements[[#This Row],[H2]])/(Reinforcements[[#This Row],[Fey]]+Reinforcements[[#This Row],[Fez]])^2))),"N/A")</f>
        <v>N/A</v>
      </c>
      <c r="FT57" s="6" t="str">
        <f>IF(Reinforcements[[#This Row],[Type]]="channel",IF(Reinforcements[[#This Row],[Lcx/rx]]&gt;(4.71*SQRT(Reinforcements[[#This Row],[E, (ksi)]]/Reinforcements[[#This Row],[Fy, (ksi)]])),0.877*Reinforcements[[#This Row],[Fe (FTB)]],0.658^(Reinforcements[[#This Row],[Fy, (ksi)]]/Reinforcements[[#This Row],[Fe (FTB)]])*Reinforcements[[#This Row],[Fy, (ksi)]]),"N/A")</f>
        <v>N/A</v>
      </c>
      <c r="FU57" s="6" t="str">
        <f>IF(Reinforcements[[#This Row],[Type]]="channel",MIN(Reinforcements[[#This Row],[Fcr(FTB)]],Reinforcements[[#This Row],[Fcry (ksi)]]),"N/A")</f>
        <v>N/A</v>
      </c>
      <c r="FV57" s="6">
        <v>0.22</v>
      </c>
      <c r="FW57" s="6">
        <v>1.49</v>
      </c>
      <c r="FX57" s="6" t="str">
        <f>IF(Reinforcements[[#This Row],[Type]]="channel",((Reinforcements[[#This Row],[c2]]*(Reinforcements[[#This Row],[λrf]]/Reinforcements[[#This Row],[λf]]))^2)*Reinforcements[[#This Row],[Fy, (ksi)]],"N/A")</f>
        <v>N/A</v>
      </c>
      <c r="FY57" s="6" t="str">
        <f>IF(Reinforcements[[#This Row],[Type]]="channel",((Reinforcements[[#This Row],[c2]]*(Reinforcements[[#This Row],[λrw]]/Reinforcements[[#This Row],[λw]]))^2)*Reinforcements[[#This Row],[Fy, (ksi)]],"N/A")</f>
        <v>N/A</v>
      </c>
      <c r="FZ5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6" t="str">
        <f>IF(Reinforcements[[#This Row],[Type]]="channel",Reinforcements[[#This Row],[Fcr]]*Reinforcements[[#This Row],[Ae]],"N/A")</f>
        <v>N/A</v>
      </c>
      <c r="GD57">
        <f>IF(Reinforcements[[#This Row],[Reinforcement]]="","",φ_c*Reinforcements[[#This Row],[Pnx, FB (kip)]])</f>
        <v>399.75226295854452</v>
      </c>
      <c r="GE57">
        <f>IF(Reinforcements[[#This Row],[Reinforcement]]="","",IF(Reinforcements[[#This Row],[Type]]="channel",φ_c*Reinforcements[[#This Row],[Pn]],φ_c*Reinforcements[[#This Row],[Pny, FB (kip)]]))</f>
        <v>470.58111816259986</v>
      </c>
      <c r="GF57">
        <f>Reinforcements[[#This Row],[Rev. G Tension Yield Capacity (kips)]]</f>
        <v>475.3125</v>
      </c>
      <c r="GG57">
        <f>Reinforcements[[#This Row],[Rev. G Tension Rupture Capacity (kips)]]</f>
        <v>393.75</v>
      </c>
      <c r="GH57">
        <f>Reinforcements[[#This Row],[Rev. G Shear Capacity (kips)]]</f>
        <v>237.65625</v>
      </c>
      <c r="GI57">
        <f>IFERROR((Reinforcements[[#This Row],['# of End Connection Bolts          (Bottom)]]-1)*Reinforcements[[#This Row],[End Connection Bolt Spacing (in) (B)]],"-")</f>
        <v>30</v>
      </c>
      <c r="GJ57">
        <f>IFERROR(IF(VLOOKUP(Reinforcements[[#This Row],[Bottom End Connection Bolt Type]],Bolts[],COLUMN(Bolts[[#Headers],[Rev. H Apply Connection Length Reduction Factor (Rb)?]])-1,FALSE)="Yes",(IF(Reinforcements[[#This Row],[Lb(bottom)]]&lt;=16,1,IF(Reinforcements[[#This Row],[Lb(bottom)]]&gt;38,0.75,0.9))),1),"-")</f>
        <v>1</v>
      </c>
      <c r="GK57">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f>IFERROR(IF(Reinforcements[[#This Row],[Top End Connection Same?]]="Yes",Reinforcements[[#This Row],[Lb(bottom)]],(Reinforcements[[#This Row],['# of End Connection Bolts          (Top)]]-1)*Reinforcements[[#This Row],[End Connection Bolt Spacing (in) (T)]]),"-")</f>
        <v>30</v>
      </c>
      <c r="GM57">
        <f>IFERROR(IF(VLOOKUP(Reinforcements[[#This Row],[Top End Connection Bolt Type]],Bolts[],COLUMN(Bolts[[#Headers],[Rev. H Apply Connection Length Reduction Factor (Rb)?]])-1,FALSE)=TRUE,(IF(Reinforcements[[#This Row],[Lb(top)]]&lt;=16,1,IF(Reinforcements[[#This Row],[Lb(top)]]&gt;38,0.75,0.9))),1),"-")</f>
        <v>0.9</v>
      </c>
      <c r="GN5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f>Reinforcements[[#This Row],[Rev. G Bolt-Shaft Bearing Capacity (Bottom)                No Deformation          (*t*Fu kips)]]</f>
        <v>21.73228346456693</v>
      </c>
      <c r="GP57">
        <f>Reinforcements[[#This Row],[Rev. G Bolt-Shaft Bearing Capacity (Bottom)                   Deformation          (*t*Fu kips)]]</f>
        <v>27.165354330708666</v>
      </c>
      <c r="GQ57">
        <f>Reinforcements[[#This Row],[Rev. G Bolt-Shaft Bearing Capacity (Top)                    No Deformation          (*t*Fu kips)]]</f>
        <v>21.73228346456693</v>
      </c>
      <c r="GR57">
        <f>Reinforcements[[#This Row],[Rev. G Bolt-Shaft Bearing Capacity (Top)                        Deformation          (*t*Fu kips)]]</f>
        <v>27.165354330708666</v>
      </c>
      <c r="GS57">
        <f>Reinforcements[[#This Row],[Rev. G Bolt-Reinf. Bearing Capacity (Bottom)            No Deformation (kips)]]</f>
        <v>2173.2283464566931</v>
      </c>
      <c r="GT57">
        <f>Reinforcements[[#This Row],[Rev. G Bolt-Reinf. Bearing Capacity (Bottom)               Deformation (kips)]]</f>
        <v>2716.535433070866</v>
      </c>
      <c r="GU57">
        <f>Reinforcements[[#This Row],[Rev. G Bolt-Reinf. Bearing Capacity (Top)                  No Deformation (kips)]]</f>
        <v>2173.2283464566931</v>
      </c>
      <c r="GV57">
        <f>Reinforcements[[#This Row],[Rev. G Bolt-Reinf. Bearing Capacity (Top)               Deformation (kips)]]</f>
        <v>2716.535433070866</v>
      </c>
      <c r="GW57" t="str">
        <f>Reinforcements[[#This Row],[Rev. G Bottom Transverse Weld Strength]]</f>
        <v>-</v>
      </c>
      <c r="GX57" t="str">
        <f>Reinforcements[[#This Row],[Rev. G Bottom Longitudinal Weld Strength]]</f>
        <v>-</v>
      </c>
      <c r="GY57" t="str">
        <f>Reinforcements[[#This Row],[Rev. G Top Transverse Weld Strength]]</f>
        <v>-</v>
      </c>
      <c r="GZ57" t="str">
        <f>Reinforcements[[#This Row],[Rev. G Top Longitudinal Weld Strength]]</f>
        <v>-</v>
      </c>
      <c r="HA57">
        <v>55</v>
      </c>
      <c r="HB5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49" t="s">
        <v>416</v>
      </c>
      <c r="C58" s="49" t="s">
        <v>352</v>
      </c>
      <c r="D58" s="6">
        <v>6.5</v>
      </c>
      <c r="E58" s="6">
        <v>1.25</v>
      </c>
      <c r="F58" s="6" t="str">
        <f>IF(Reinforcements[[#This Row],[Type]]="","",IF(Reinforcements[[#This Row],[Type]]="solid round","","n/a"))</f>
        <v>n/a</v>
      </c>
      <c r="G58" s="6" t="str">
        <f>IF(Reinforcements[[#This Row],[Type]]="","",IF(Reinforcements[[#This Row],[Type]]&lt;&gt;"channel","n/a",""))</f>
        <v>n/a</v>
      </c>
      <c r="H58" s="6" t="str">
        <f>IF(Reinforcements[[#This Row],[Type]]="","",IF(Reinforcements[[#This Row],[Type]]&lt;&gt;"channel","n/a",""))</f>
        <v>n/a</v>
      </c>
      <c r="I58" s="126" t="str">
        <f>IF(Reinforcements[[#This Row],[Type]]="","",IF(Reinforcements[[#This Row],[Type]]&lt;&gt;"channel","n/a",Reinforcements[[#This Row],[eo]]))</f>
        <v>n/a</v>
      </c>
      <c r="J58" s="126" t="str">
        <f>IF(Reinforcements[[#This Row],[Type]]="","",IF(Reinforcements[[#This Row],[Type]]&lt;&gt;"channel","n/a",Reinforcements[[#This Row],[J]]))</f>
        <v>n/a</v>
      </c>
      <c r="K58" s="126" t="str">
        <f>IF(Reinforcements[[#This Row],[Type]]="","",IF(Reinforcements[[#This Row],[Type]]&lt;&gt;"channel","n/a",Reinforcements[[#This Row],[Cw]]))</f>
        <v>n/a</v>
      </c>
      <c r="L58" s="6">
        <f>IFERROR(IF(Reinforcements[[#This Row],[Type]]="","",IF(Reinforcements[[#This Row],[Type]]="plate",Reinforcements[[#This Row],[B (in)]]*Reinforcements[[#This Row],[H (in)]],IF(Reinforcements[[#This Row],[Type]]="solid round",PI()/4*Reinforcements[[#This Row],[Diameter (in)]]^2,""))),"")</f>
        <v>8.125</v>
      </c>
      <c r="M58" s="6">
        <f>IFERROR(IF(Reinforcements[[#This Row],[Type]]="","",IF(Reinforcements[[#This Row],[Type]]="plate",Reinforcements[[#This Row],[H (in)]]/2,"")),"")</f>
        <v>0.625</v>
      </c>
      <c r="N58" s="16" t="s">
        <v>353</v>
      </c>
      <c r="O58" s="6" t="s">
        <v>138</v>
      </c>
      <c r="P58" s="123">
        <f>IFERROR(IF(Reinforcements[[#This Row],[Type]]="","",IF(Reinforcements[[#This Row],[Type]]="plate",Reinforcements[[#This Row],[B (in)]]*Reinforcements[[#This Row],[H (in)]]^3/12,IF(Reinforcements[[#This Row],[Type]]="solid round",PI()/64*Reinforcements[[#This Row],[Diameter (in)]]^4,""))),"")</f>
        <v>1.0579427083333333</v>
      </c>
      <c r="Q58" s="123">
        <f>IF(Reinforcements[[#This Row],[Reinforcement]]="","",SQRT(Reinforcements[[#This Row],[Ix]]/Reinforcements[[#This Row],[Gross Area (in2)]]))</f>
        <v>0.36084391824351608</v>
      </c>
      <c r="R58" s="123">
        <f>IFERROR(IF(Reinforcements[[#This Row],[Type]]="","",IF(Reinforcements[[#This Row],[Type]]="plate",Reinforcements[[#This Row],[B (in)]]^3*Reinforcements[[#This Row],[H (in)]]/12,IF(Reinforcements[[#This Row],[Type]]="solid round",PI()/64*Reinforcements[[#This Row],[Diameter (in)]]^4,""))),"")</f>
        <v>28.606770833333332</v>
      </c>
      <c r="S58" s="123">
        <f>IF(Reinforcements[[#This Row],[Reinforcement]]="","",SQRT(Reinforcements[[#This Row],[Iy]]/Reinforcements[[#This Row],[Gross Area (in2)]]))</f>
        <v>1.8763883748662837</v>
      </c>
      <c r="T58" s="6">
        <v>19.25</v>
      </c>
      <c r="U58" s="6">
        <v>0.8</v>
      </c>
      <c r="V58" s="6">
        <v>1</v>
      </c>
      <c r="W58" s="6">
        <v>1.25</v>
      </c>
      <c r="X58" s="6">
        <f>IF(Reinforcements[[#This Row],[Bolt Hole Size (in)]]="","",IF(Reinforcements[[#This Row],[Bolt Hole Size (in)]]="n/a","n/a",Reinforcements[[#This Row],[Bolt Hole Size (in)]]*25.4))</f>
        <v>31.75</v>
      </c>
      <c r="Y5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6">
        <f>IFERROR(IF(Reinforcements[[#This Row],[Reinforcement]]="","",IF(OR(Reinforcements[[#This Row],[Type]]="plate",Reinforcements[[#This Row],[Type]]="solid round"),1,IF(Reinforcements[[#This Row],[Type]]="arbitrary","",1-Reinforcements[[#This Row],[Pole Face to Centroid (in)]]/Reinforcements[[#This Row],[Connection Length (in) '[Channels']]]))),"")</f>
        <v>1</v>
      </c>
      <c r="AA58" s="16" t="s">
        <v>354</v>
      </c>
      <c r="AB58" s="16" t="str">
        <f>IF(Reinforcements[[#This Row],[Reinforcement]]="","",IF(Reinforcements[[#This Row],[Bottom End Connection Type]]&lt;&gt;"Capacity Input","-",""))</f>
        <v>-</v>
      </c>
      <c r="AC58" s="16" t="str">
        <f>IF(Reinforcements[[#This Row],[Reinforcement]]="","",IF(Reinforcements[[#This Row],[Bottom End Connection Type]]&lt;&gt;"Capacity Input","-",""))</f>
        <v>-</v>
      </c>
      <c r="AD58" s="16" t="str">
        <f>IF(Reinforcements[[#This Row],[Reinforcement]]="","",IF(Reinforcements[[#This Row],[Bottom End Connection Type]]&lt;&gt;"Capacity Input","-",""))</f>
        <v>-</v>
      </c>
      <c r="AE58" s="74" t="s">
        <v>355</v>
      </c>
      <c r="AF58" s="6" t="s">
        <v>356</v>
      </c>
      <c r="AG58" s="6">
        <v>11</v>
      </c>
      <c r="AH58" s="6">
        <v>3</v>
      </c>
      <c r="AI58" s="6">
        <v>3</v>
      </c>
      <c r="AJ58" s="6">
        <f>Reinforcements[[#This Row],[End Connection Edge Distance (in) (B)]]-(Reinforcements[[#This Row],[Bolt Hole Size (in)]]+1/16)/2</f>
        <v>2.34375</v>
      </c>
      <c r="AK58" s="6">
        <f>Reinforcements[[#This Row],[End Connection Bolt Spacing (in) (B)]]-(Reinforcements[[#This Row],[Bolt Hole Size (in)]]+1/16)</f>
        <v>1.6875</v>
      </c>
      <c r="AL58" s="6">
        <f>Reinforcements[[#This Row],[End Connection Edge Distance (in) (B)]]</f>
        <v>3</v>
      </c>
      <c r="AM58" s="6">
        <f>Reinforcements[[#This Row],[End Connection Bolt Spacing (in) (B)]]</f>
        <v>3</v>
      </c>
      <c r="AN58" s="6" t="str">
        <f>IF(Reinforcements[[#This Row],[Reinforcement]]="","",IF(OR(Reinforcements[[#This Row],[Bottom End Connection Type]]="Bolted",Reinforcements[[#This Row],[Bottom End Connection Type]]=""),"-",""))</f>
        <v>-</v>
      </c>
      <c r="AO58" s="111" t="str">
        <f>IF(Reinforcements[[#This Row],[Reinforcement]]="","",IF(OR(Reinforcements[[#This Row],[Bottom End Connection Type]]="Bolted",Reinforcements[[#This Row],[Bottom End Connection Type]]=""),"-",""))</f>
        <v>-</v>
      </c>
      <c r="AP58" s="111" t="str">
        <f>IF(Reinforcements[[#This Row],[Reinforcement]]="","",IF(OR(Reinforcements[[#This Row],[Bottom End Connection Type]]="Bolted",Reinforcements[[#This Row],[Bottom End Connection Type]]=""),"-",""))</f>
        <v>-</v>
      </c>
      <c r="AQ58" s="111" t="str">
        <f>IF(OR(Reinforcements[[#This Row],[Bottom End Connection Type]]="Bolted",Reinforcements[[#This Row],[Bottom Transverse (Horizontal) Weld]]="none"),"-","")</f>
        <v>-</v>
      </c>
      <c r="AR5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11" t="str">
        <f>IF(OR(Reinforcements[[#This Row],[Bottom Transverse (Horizontal) Weld]]="none",Reinforcements[[#This Row],[Bottom End Connection Type]]="Bolted"),"-","")</f>
        <v>-</v>
      </c>
      <c r="AU5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11" t="str">
        <f>IF(Reinforcements[[#This Row],[Reinforcement]]="","",IF(OR(Reinforcements[[#This Row],[Bottom End Connection Type]]="Bolted",Reinforcements[[#This Row],[Bottom End Connection Type]]=""),"-",""))</f>
        <v>-</v>
      </c>
      <c r="AW58" s="111" t="str">
        <f>IF(Reinforcements[[#This Row],[Reinforcement]]="","",IF(OR(Reinforcements[[#This Row],[Bottom End Connection Type]]&lt;&gt;"Welded",Reinforcements[[#This Row],[Bottom Longitudinal (Vertical) Weld]]="None",Reinforcements[[#This Row],[Bottom Longitudinal (Vertical) Weld]]=""),"-",""))</f>
        <v>-</v>
      </c>
      <c r="AX58" s="111" t="str">
        <f>IF(Reinforcements[[#This Row],[Reinforcement]]="","",IF(OR(Reinforcements[[#This Row],[Bottom End Connection Type]]&lt;&gt;"Welded",Reinforcements[[#This Row],[Bottom Longitudinal (Vertical) Weld]]="None",Reinforcements[[#This Row],[Bottom Longitudinal (Vertical) Weld]]=""),"-",""))</f>
        <v>-</v>
      </c>
      <c r="AY58" s="6" t="str">
        <f>IF(Reinforcements[[#This Row],[Reinforcement]]="","",IF(OR(Reinforcements[[#This Row],[Bottom End Connection Type]]&lt;&gt;"Welded",Reinforcements[[#This Row],[Bottom Longitudinal (Vertical) Weld]]="None"),"-",SQRT(2)/2*Reinforcements[[#This Row],[Bottom Longitudinal Weld Fillet Size (in)]]))</f>
        <v>-</v>
      </c>
      <c r="AZ58" s="6" t="s">
        <v>357</v>
      </c>
      <c r="BA58" s="16" t="str">
        <f>IF(Reinforcements[[#This Row],[Top End Connection Same?]]="Yes",Reinforcements[[#This Row],[Bottom End Connection Type]],"")</f>
        <v>Bolted</v>
      </c>
      <c r="BB58" s="16" t="str">
        <f>IF(Reinforcements[[#This Row],[Reinforcement]]="","",IF(Reinforcements[[#This Row],[Top End Connection Same?]]="Yes",Reinforcements[[#This Row],[Rev. F Bottom Connection Capacity (kips)]],IF(Reinforcements[[#This Row],[Reinforcement]]="","",IF(Reinforcements[[#This Row],[Top End Connection Type]]&lt;&gt;"Capacity Input","-",""))))</f>
        <v>-</v>
      </c>
      <c r="BC58" s="16" t="str">
        <f>IF(Reinforcements[[#This Row],[Reinforcement]]="","",IF(Reinforcements[[#This Row],[Top End Connection Same?]]="Yes",Reinforcements[[#This Row],[Rev. G Bottom Connection Capacity (kips)]],IF(Reinforcements[[#This Row],[Reinforcement]]="","",IF(Reinforcements[[#This Row],[Top End Connection Type]]&lt;&gt;"Capacity Input","-",""))))</f>
        <v>-</v>
      </c>
      <c r="BD58" s="16" t="str">
        <f>IF(Reinforcements[[#This Row],[Reinforcement]]="","",IF(Reinforcements[[#This Row],[Top End Connection Same?]]="Yes",Reinforcements[[#This Row],[Rev. G Bottom Connection Capacity (kips)]],IF(Reinforcements[[#This Row],[Reinforcement]]="","",IF(Reinforcements[[#This Row],[Top End Connection Type]]&lt;&gt;"Capacity Input","-",""))))</f>
        <v>-</v>
      </c>
      <c r="BE58" s="74" t="str">
        <f>IF(Reinforcements[[#This Row],[Top End Connection Same?]]="Yes",Reinforcements[[#This Row],[Bottom End Connection Bolt Type]],IF(Reinforcements[[#This Row],[Top End Connection Type]]="Welded","-",""))</f>
        <v>PC 8.8 - M20 (100)</v>
      </c>
      <c r="BF58" s="6" t="str">
        <f>IF(Reinforcements[[#This Row],[Top End Connection Same?]]="Yes",Reinforcements[[#This Row],[Threads Included (N) or Excluded (X) (Bottom)]],IF(Reinforcements[[#This Row],[Top End Connection Type]]="Welded","-",""))</f>
        <v>N</v>
      </c>
      <c r="BG58" s="6">
        <f>IF(Reinforcements[[#This Row],[Top End Connection Same?]]="Yes",Reinforcements[[#This Row],['# of End Connection Bolts          (Bottom)]],IF(Reinforcements[[#This Row],[Top End Connection Type]]="Welded","-",""))</f>
        <v>11</v>
      </c>
      <c r="BH58" s="6">
        <f>IF(Reinforcements[[#This Row],[Top End Connection Same?]]="Yes",Reinforcements[[#This Row],[End Connection Bolt Spacing (in) (B)]],IF(Reinforcements[[#This Row],[Top End Connection Type]]="Welded","-",""))</f>
        <v>3</v>
      </c>
      <c r="BI58" s="6">
        <f>IF(Reinforcements[[#This Row],[Top End Connection Same?]]="Yes",Reinforcements[[#This Row],[End Connection Edge Distance (in) (B)]],IF(Reinforcements[[#This Row],[Top End Connection Type]]="Welded","-",""))</f>
        <v>3</v>
      </c>
      <c r="BJ58" s="6">
        <f>Reinforcements[[#This Row],[End Connection Edge Distance (in) (T)]]-(Reinforcements[[#This Row],[Bolt Hole Size (in)]]+1/16)/2</f>
        <v>2.34375</v>
      </c>
      <c r="BK58" s="6">
        <f>Reinforcements[[#This Row],[End Connection Bolt Spacing (in) (T)]]-(Reinforcements[[#This Row],[Bolt Hole Size (in)]]+1/16)</f>
        <v>1.6875</v>
      </c>
      <c r="BL58" s="6">
        <f>Reinforcements[[#This Row],[End Connection Edge Distance (in) (T)]]</f>
        <v>3</v>
      </c>
      <c r="BM58" s="6">
        <f>Reinforcements[[#This Row],[End Connection Bolt Spacing (in) (T)]]</f>
        <v>3</v>
      </c>
      <c r="BN58" s="6" t="str">
        <f>IF(Reinforcements[[#This Row],[Reinforcement]]="","",IF(Reinforcements[[#This Row],[Top End Connection Same?]]="Yes",Reinforcements[[#This Row],[Bottom Connected to Flange/Base Plate?]],IF(Reinforcements[[#This Row],[Top End Connection Type]]="Bolted","-","")))</f>
        <v>-</v>
      </c>
      <c r="BO58" s="6" t="str">
        <f>IF(Reinforcements[[#This Row],[Reinforcement]]="","",IF(Reinforcements[[#This Row],[Top End Connection Same?]]="Yes",Reinforcements[[#This Row],[Bottom Weld Grade (ksi)]],IF(OR(Reinforcements[[#This Row],[Top End Connection Type]]&lt;&gt;"Welded",Reinforcements[[#This Row],[Top End Connection Type]]=""),"-","")))</f>
        <v>-</v>
      </c>
      <c r="BP58" s="6" t="str">
        <f>IF($AZ58="Yes",AP58,IF(Reinforcements[[#This Row],[Reinforcement]]="","",IF(OR(Reinforcements[[#This Row],[Top End Connection Type]]&lt;&gt;"Welded",Reinforcements[[#This Row],[Top End Connection Type]]=""),"-","")))</f>
        <v>-</v>
      </c>
      <c r="BQ58" s="6" t="str">
        <f>IF(Reinforcements[[#This Row],[Reinforcement]]="","",IF($AZ58="Yes",AQ58,IF(OR(Reinforcements[[#This Row],[Top End Connection Type]]&lt;&gt;"Welded",Reinforcements[[#This Row],[Top Transverse (Horizontal) Weld]]="none",Reinforcements[[#This Row],[Top Transverse (Horizontal) Weld]]=""),"-","")))</f>
        <v>-</v>
      </c>
      <c r="BR58" s="6"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6"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6" t="str">
        <f>IF(Reinforcements[[#This Row],[Reinforcement]]="","",IF($AZ58="Yes",AT58,IF(OR(Reinforcements[[#This Row],[Top Transverse (Horizontal) Weld]]="none",Reinforcements[[#This Row],[Top End Connection Type]]&lt;&gt;"Welded",Reinforcements[[#This Row],[Top Transverse (Horizontal) Weld]]=""),"-","")))</f>
        <v>-</v>
      </c>
      <c r="BU58" s="6"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6" t="str">
        <f>IF($AZ58="Yes",AV58,IF(Reinforcements[[#This Row],[Reinforcement]]="","",IF(OR(Reinforcements[[#This Row],[Top End Connection Type]]&lt;&gt;"Welded",Reinforcements[[#This Row],[Top End Connection Type]]=""),"-","")))</f>
        <v>-</v>
      </c>
      <c r="BW58" s="6"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6"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6" t="str">
        <f>IF($AZ58="Yes",AY58,IF(Reinforcements[[#This Row],[Reinforcement]]="","",IF(OR(Reinforcements[[#This Row],[Top End Connection Type]]&lt;&gt;"Welded",Reinforcements[[#This Row],[Top Longitudinal (Vertical) Weld]]="none"),"-",SQRT(2)/2*Reinforcements[[#This Row],[Top Longitudinal Weld Fillet Size (in)]])))</f>
        <v>-</v>
      </c>
      <c r="BZ5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11">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11">
        <f>IF(Reinforcements[[#This Row],[Reinforcement]]="","",IF(Reinforcements[[#This Row],[Top End Connection Type]]&lt;&gt;"Bolted","n/a",(Reinforcements[[#This Row],['# of End Connection Bolts          (Top)]]-1)*Reinforcements[[#This Row],[End Connection Bolt Spacing (in) (T)]]+Reinforcements[[#This Row],[End Connection Edge Distance (in) (T)]]))</f>
        <v>33</v>
      </c>
      <c r="CC5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6">
        <f>IFERROR(IF(Reinforcements[[#This Row],[Type]]="","",Reinforcements[[#This Row],[Effective B (in)]]*Reinforcements[[#This Row],[Effective H (in)]]^3/12),"")</f>
        <v>1.0579427083333333</v>
      </c>
      <c r="CF58" s="6">
        <f>IFERROR(IF(Reinforcements[[#This Row],[Type]]="","",Reinforcements[[#This Row],[Effective B (in)]]^3*Reinforcements[[#This Row],[Effective H (in)]]/12),"")</f>
        <v>28.606770833333332</v>
      </c>
      <c r="CG58" s="126">
        <f>SQRT(2*PI()^2*29000/VLOOKUP(Reinforcements[[#This Row],[Material]],Materials[],2,FALSE))</f>
        <v>93.844147005158973</v>
      </c>
      <c r="CH5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123">
        <f>Reinforcements[[#This Row],[Effective Length Factor Kx]]*Reinforcements[[#This Row],[Lu (in)]]/(Reinforcements[[#This Row],[rx]]*PI())*SQRT(VLOOKUP(Reinforcements[[#This Row],[Material]],Materials[],2,FALSE)/29000)</f>
        <v>0.64314535523307104</v>
      </c>
      <c r="CK58" s="123">
        <f>Reinforcements[[#This Row],[Effective Length Factor Ky]]*Reinforcements[[#This Row],[Lu (in)]]/(Reinforcements[[#This Row],[ry]]*PI())*SQRT(VLOOKUP(Reinforcements[[#This Row],[Material]],Materials[],2,FALSE)/29000)</f>
        <v>0.15460224885410362</v>
      </c>
      <c r="CL58" s="123">
        <f>IF(Reinforcements[[#This Row],[λcx]]&lt;=1.5,0.658^(Reinforcements[[#This Row],[λcx]]^2)*Reinforcements[[#This Row],[F''y]],0.877/(Reinforcements[[#This Row],[λcx]]^2)*Reinforcements[[#This Row],[F''y]])</f>
        <v>54.666976131083018</v>
      </c>
      <c r="CM58" s="123">
        <f>IF(Reinforcements[[#This Row],[λcy]]&lt;=1.5,0.658^(Reinforcements[[#This Row],[λcy]]^2)*Reinforcements[[#This Row],[F''y]],0.877/(Reinforcements[[#This Row],[λcy]]^2)*Reinforcements[[#This Row],[F''y]])</f>
        <v>64.352973423945272</v>
      </c>
      <c r="CN58" s="6">
        <f>VLOOKUP(Reinforcements[[#This Row],[Material]],Materials[],2,FALSE)</f>
        <v>65</v>
      </c>
      <c r="CO58" s="126">
        <f>IF(Reinforcements[[#This Row],[Reinforcement]]="","",Reinforcements[[#This Row],[Fax]]*Reinforcements[[#This Row],[Gross Area (in2)]])</f>
        <v>259.39481948183447</v>
      </c>
      <c r="CP58" s="126">
        <f>IF(Reinforcements[[#This Row],[Reinforcement]]="","",Reinforcements[[#This Row],[Fay]]*Reinforcements[[#This Row],[Gross Area (in2)]])</f>
        <v>307.44929952692496</v>
      </c>
      <c r="CQ58" s="126">
        <f>IF(Reinforcements[[#This Row],[Reinforcement]]="","",0.6*VLOOKUP(Reinforcements[[#This Row],[Material]],Materials[],2,FALSE)*Reinforcements[[#This Row],[Gross Area (in2)]])</f>
        <v>316.875</v>
      </c>
      <c r="CR58" s="126">
        <f>IF(Reinforcements[[#This Row],[Reinforcement]]="","",0.5*VLOOKUP(Reinforcements[[#This Row],[Material]],Materials[],3,FALSE)*Reinforcements[[#This Row],[Net Area (in2)]]*Reinforcements[[#This Row],[Shear Lag (U)]])</f>
        <v>259.375</v>
      </c>
      <c r="CS58" s="126">
        <f>IF(Reinforcements[[#This Row],[Reinforcement]]="","",0.4*VLOOKUP(Reinforcements[[#This Row],[Material]],Materials[],2,FALSE)*Reinforcements[[#This Row],[Gross Area (in2)]])</f>
        <v>211.25</v>
      </c>
      <c r="CT58"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6"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6"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126">
        <f>IF(Reinforcements[[#This Row],[Reinforcement]]="","",φ_c*Reinforcements[[#This Row],[Fcr,x]]*Reinforcements[[#This Row],[Gross Area (in2)]])</f>
        <v>399.75226295854458</v>
      </c>
      <c r="DI58" s="126">
        <f>IF(Reinforcements[[#This Row],[Reinforcement]]="","",φ_c*Reinforcements[[#This Row],[Fcr,y]]*Reinforcements[[#This Row],[Gross Area (in2)]])</f>
        <v>470.58111816259981</v>
      </c>
      <c r="DJ58" s="126">
        <f>IF(Reinforcements[[#This Row],[Reinforcement]]="","",φ_t_y*VLOOKUP(Reinforcements[[#This Row],[Material]],Materials[],2,FALSE)*Reinforcements[[#This Row],[Gross Area (in2)]])</f>
        <v>475.3125</v>
      </c>
      <c r="DK58" s="126">
        <f>IF(Reinforcements[[#This Row],[Reinforcement]]="","",φ_t_r*VLOOKUP(Reinforcements[[#This Row],[Material]],Materials[],3,FALSE)*Reinforcements[[#This Row],[Net Area (in2)]]*Reinforcements[[#This Row],[Shear Lag (U)]])</f>
        <v>389.0625</v>
      </c>
      <c r="DL58" s="126">
        <f>IF(Reinforcements[[#This Row],[Reinforcement]]="","",φ_v*0.5*Reinforcements[[#This Row],[F''y]]*Reinforcements[[#This Row],[Gross Area (in2)]])</f>
        <v>237.65625</v>
      </c>
      <c r="DM58"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6"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6"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111" t="str">
        <f>IF(OR(Reinforcements[[#This Row],[Type]]="plate",Reinforcements[[#This Row],[Type]]="solid round"),"N/A",Reinforcements[[#This Row],[B (in)]])</f>
        <v>N/A</v>
      </c>
      <c r="EB58" s="6" t="str">
        <f>IF(OR(Reinforcements[[#This Row],[Type]]="plate",Reinforcements[[#This Row],[Type]]="solid round"),"N/A",Reinforcements[[#This Row],[H (in)]])</f>
        <v>N/A</v>
      </c>
      <c r="EC58" s="6" t="str">
        <f>IF(OR(Reinforcements[[#This Row],[Type]]="plate",Reinforcements[[#This Row],[Type]]="solid round"),"N/A",Reinforcements[[#This Row],[B (in)]]-Reinforcements[[#This Row],['[Channel'] Flange Thickness (in)]])</f>
        <v>N/A</v>
      </c>
      <c r="ED58" s="6" t="str">
        <f>IF(OR(Reinforcements[[#This Row],[Type]]="plate",Reinforcements[[#This Row],[Type]]="solid round"),"N/A",Reinforcements[[#This Row],['[Channel']Web Thickness (in)]])</f>
        <v>N/A</v>
      </c>
      <c r="EE58" s="6" t="str">
        <f>IF(OR(Reinforcements[[#This Row],[Type]]="plate",Reinforcements[[#This Row],[Type]]="solid round"),"N/A",Reinforcements[[#This Row],['[Channel'] Flange Thickness (in)]])</f>
        <v>N/A</v>
      </c>
      <c r="EF58" s="6" t="str">
        <f>IF(Reinforcements[[#This Row],[Type]]="channel",Reinforcements[[#This Row],[Channel Flange Width, b]]/Reinforcements[[#This Row],[Channel flange thickness, tf]],"N/A")</f>
        <v>N/A</v>
      </c>
      <c r="EG58" s="6" t="str">
        <f>IF(Reinforcements[[#This Row],[Type]]="channel",Reinforcements[[#This Row],[Channel inside depth, T]]/Reinforcements[[#This Row],[Channel web thickness, tw]],"N/A")</f>
        <v>N/A</v>
      </c>
      <c r="EH58" s="6">
        <f>29000</f>
        <v>29000</v>
      </c>
      <c r="EI58" s="6" t="str">
        <f>IF(Reinforcements[[#This Row],[Type]]="channel",0.56*SQRT(Reinforcements[[#This Row],[E, (ksi)]]/Reinforcements[[#This Row],[Fy, (ksi)]]),"N/A")</f>
        <v>N/A</v>
      </c>
      <c r="EJ58" s="6" t="str">
        <f>IF(Reinforcements[[#This Row],[Type]]="channel",1.49*SQRT(Reinforcements[[#This Row],[E, (ksi)]]/Reinforcements[[#This Row],[Fy, (ksi)]]),"N/A")</f>
        <v>N/A</v>
      </c>
      <c r="EK58" s="6">
        <f>VLOOKUP(Reinforcements[[#This Row],[Material]],Materials!$B$2:$C$30,2,FALSE)</f>
        <v>65</v>
      </c>
      <c r="EL58" s="6">
        <f>Reinforcements[[#This Row],[Lu (in)]]*Reinforcements[[#This Row],[Effective Length Factor Kx]]</f>
        <v>15.4</v>
      </c>
      <c r="EM58" s="6">
        <f>Reinforcements[[#This Row],[Lu (in)]]*Reinforcements[[#This Row],[Effective Length Factor Ky]]</f>
        <v>19.25</v>
      </c>
      <c r="EN58" s="6">
        <f>Reinforcements[[#This Row],[rx]]</f>
        <v>0.36084391824351608</v>
      </c>
      <c r="EO58" s="6">
        <f>Reinforcements[[#This Row],[ry]]</f>
        <v>1.8763883748662837</v>
      </c>
      <c r="EP58" s="6">
        <f>Reinforcements[[#This Row],[Lcx (in)]]/Reinforcements[[#This Row],[rx (in)]]</f>
        <v>42.677731898497143</v>
      </c>
      <c r="EQ58" s="6">
        <f>Reinforcements[[#This Row],[Lcy (in)]]/Reinforcements[[#This Row],[ry (in)]]</f>
        <v>10.259070167907966</v>
      </c>
      <c r="ER58" s="6">
        <f>((PI()^2)*Reinforcements[[#This Row],[E, (ksi)]])/(Reinforcements[[#This Row],[Lcx/rx]]^2)</f>
        <v>157.1430150616888</v>
      </c>
      <c r="ES58" s="6">
        <f>((PI()^2)*Reinforcements[[#This Row],[E, (ksi)]])/(Reinforcements[[#This Row],[Lcy/ry]]^2)</f>
        <v>2719.454161451562</v>
      </c>
      <c r="ET58" s="6">
        <f>4.71*(SQRT(Reinforcements[[#This Row],[E, (ksi)]]/Reinforcements[[#This Row],[Fy, (ksi)]]))</f>
        <v>99.486288193205496</v>
      </c>
      <c r="EU58" s="6">
        <f>IF(Reinforcements[[#This Row],[Lcx/rx]]&lt;=Reinforcements[[#This Row],[Fcr Limit]],(0.658^(Reinforcements[[#This Row],[Fy, (ksi)]]/Reinforcements[[#This Row],[Fex, FB (ksi)]]))*Reinforcements[[#This Row],[Fy, (ksi)]],0.877*Reinforcements[[#This Row],[Fex, FB (ksi)]])</f>
        <v>54.666976131083011</v>
      </c>
      <c r="EV58" s="6">
        <f>IF(Reinforcements[[#This Row],[Lcy/ry]]&lt;=Reinforcements[[#This Row],[Fcr Limit]],(0.658^(Reinforcements[[#This Row],[Fy, (ksi)]]/Reinforcements[[#This Row],[Fey, FB (ksi)]]))*Reinforcements[[#This Row],[Fy, (ksi)]],0.877*Reinforcements[[#This Row],[Fey, FB (ksi)]])</f>
        <v>64.352973423945272</v>
      </c>
      <c r="EW58" s="6">
        <f>Reinforcements[[#This Row],[Fcrx (ksi)]]*Reinforcements[[#This Row],[Gross Area (in2)]]</f>
        <v>444.16918106504949</v>
      </c>
      <c r="EX58" s="6">
        <f>Reinforcements[[#This Row],[Fcry (ksi)]]*Reinforcements[[#This Row],[Gross Area (in2)]]</f>
        <v>522.86790906955537</v>
      </c>
      <c r="EY58" s="6" t="str">
        <f>IF(Reinforcements[[#This Row],[Type]]="channel",0,"N/A")</f>
        <v>N/A</v>
      </c>
      <c r="EZ58" s="6" t="str">
        <f>IF(Reinforcements[[#This Row],[Type]]="channel",Reinforcements[[#This Row],[Channel Flange Width, b]]-(0.5*Reinforcements[[#This Row],[Channel web thickness, tw]]),"N/A")</f>
        <v>N/A</v>
      </c>
      <c r="FA58" s="6" t="str">
        <f>IF(Reinforcements[[#This Row],[Type]]="channel",Reinforcements[[#This Row],[Channel Height, h]]-Reinforcements[[#This Row],[Channel flange thickness, tf]],"N/A")</f>
        <v>N/A</v>
      </c>
      <c r="FB58" s="6" t="str">
        <f>IF(Reinforcements[[#This Row],[Type]]="channel",Reinforcements[[#This Row],[Channel web thickness, tw]],"N/A")</f>
        <v>N/A</v>
      </c>
      <c r="FC58" s="6" t="str">
        <f>IF(Reinforcements[[#This Row],[Type]]="channel",((3*Reinforcements[[#This Row],[b]]^2)/(Reinforcements[[#This Row],[h]]+(6*Reinforcements[[#This Row],[b]])))-Reinforcements[[#This Row],[t]]/2,"N/A")</f>
        <v>N/A</v>
      </c>
      <c r="FD58" s="6">
        <f>Reinforcements[[#This Row],[Pole Face to Centroid (in)]]</f>
        <v>0.625</v>
      </c>
      <c r="FE58" s="6" t="str">
        <f>IF(Reinforcements[[#This Row],[Type]]="channel",Reinforcements[[#This Row],[x(bar)]]+Reinforcements[[#This Row],['[Channel'] e0 (in)]],"N/A")</f>
        <v>N/A</v>
      </c>
      <c r="FF58" s="6" t="str">
        <f>IF(Reinforcements[[#This Row],[Type]]="channel",Reinforcements[[#This Row],[Ix]],"N/A")</f>
        <v>N/A</v>
      </c>
      <c r="FG58" s="6" t="str">
        <f>IF(Reinforcements[[#This Row],[Type]]="channel",Reinforcements[[#This Row],[Iy]],"N/A")</f>
        <v>N/A</v>
      </c>
      <c r="FH58" s="6" t="str">
        <f>IF(Reinforcements[[#This Row],[Type]]="channel",Reinforcements[[#This Row],[Gross Area (in2)]],"N/A")</f>
        <v>N/A</v>
      </c>
      <c r="FI58" s="6" t="str">
        <f>IF(Reinforcements[[#This Row],[Type]]="channel",(Reinforcements[[#This Row],[xo]]^2)+((Reinforcements[[#This Row],[Ix (FTB)]]+Reinforcements[[#This Row],[Iy (FTB)]])/Reinforcements[[#This Row],[Ag]]),"N/A")</f>
        <v>N/A</v>
      </c>
      <c r="FJ58" s="6" t="str">
        <f>IF(Reinforcements[[#This Row],[Type]]="channel",Reinforcements[[#This Row],[Lu (in)]],"N/A")</f>
        <v>N/A</v>
      </c>
      <c r="FK58" s="6" t="str">
        <f>IF(Reinforcements[[#This Row],[Type]]="channel",Reinforcements[[#This Row],[Effective Length Factor Kx]],"N/A")</f>
        <v>N/A</v>
      </c>
      <c r="FL58" s="6" t="str">
        <f>IF(Reinforcements[[#This Row],[Type]]="channel",Reinforcements[[#This Row],[Kz]]*Reinforcements[[#This Row],[Lz]],"N/A")</f>
        <v>N/A</v>
      </c>
      <c r="FM58" s="6" t="str">
        <f>IF(Reinforcements[[#This Row],[Type]]="channel",(((Reinforcements[[#This Row],[t]]^3)/3)*(Reinforcements[[#This Row],[h]]+(2*Reinforcements[[#This Row],[b]]))),"N/A")</f>
        <v>N/A</v>
      </c>
      <c r="FN58" s="6" t="str">
        <f>IF(Reinforcements[[#This Row],[Type]]="channel",(1-(((Reinforcements[[#This Row],[xo]]^2)+(Reinforcements[[#This Row],[yo]]^2))/Reinforcements[[#This Row],[ro^2(bar)]])),"N/A")</f>
        <v>N/A</v>
      </c>
      <c r="FO58" s="6">
        <v>11200</v>
      </c>
      <c r="FP58" s="6" t="str">
        <f>IF(Reinforcements[[#This Row],[Type]]="channel",(((Reinforcements[[#This Row],[h]]^2)*(Reinforcements[[#This Row],[b]]^3)*Reinforcements[[#This Row],[t]])/12)*(((2*Reinforcements[[#This Row],[h]])+(3*Reinforcements[[#This Row],[b]]))/(Reinforcements[[#This Row],[h]]+(6*Reinforcements[[#This Row],[b]]))),"N/A")</f>
        <v>N/A</v>
      </c>
      <c r="FQ58" s="6" t="str">
        <f>IF(Reinforcements[[#This Row],[Type]]="Channel",((((PI()^2)*Reinforcements[[#This Row],[E, (ksi)]]*Reinforcements[[#This Row],['[Channel'] CW (in6)]])/(Reinforcements[[#This Row],[Lcz]]^2))+(Reinforcements[[#This Row],[G]]*Reinforcements[[#This Row],['[Channel'] J (in4)]]))*(1/(Reinforcements[[#This Row],[Ag]]*Reinforcements[[#This Row],[ro^2(bar)]])),"N/A")</f>
        <v>N/A</v>
      </c>
      <c r="FR58" s="6" t="str">
        <f>IF(Reinforcements[[#This Row],[Type]]="channel",((PI()^2)*Reinforcements[[#This Row],[E, (ksi)]])/(Reinforcements[[#This Row],[Lcy/ry]]^2),"N/A")</f>
        <v>N/A</v>
      </c>
      <c r="FS58" s="6" t="str">
        <f>IF(Reinforcements[[#This Row],[Type]]="channel",((Reinforcements[[#This Row],[Fey]]+Reinforcements[[#This Row],[Fez]])/(2*Reinforcements[[#This Row],[H2]]))*(1-SQRT(1-((4*Reinforcements[[#This Row],[Fey]]*Reinforcements[[#This Row],[Fez]]*Reinforcements[[#This Row],[H2]])/(Reinforcements[[#This Row],[Fey]]+Reinforcements[[#This Row],[Fez]])^2))),"N/A")</f>
        <v>N/A</v>
      </c>
      <c r="FT58" s="6" t="str">
        <f>IF(Reinforcements[[#This Row],[Type]]="channel",IF(Reinforcements[[#This Row],[Lcx/rx]]&gt;(4.71*SQRT(Reinforcements[[#This Row],[E, (ksi)]]/Reinforcements[[#This Row],[Fy, (ksi)]])),0.877*Reinforcements[[#This Row],[Fe (FTB)]],0.658^(Reinforcements[[#This Row],[Fy, (ksi)]]/Reinforcements[[#This Row],[Fe (FTB)]])*Reinforcements[[#This Row],[Fy, (ksi)]]),"N/A")</f>
        <v>N/A</v>
      </c>
      <c r="FU58" s="6" t="str">
        <f>IF(Reinforcements[[#This Row],[Type]]="channel",MIN(Reinforcements[[#This Row],[Fcr(FTB)]],Reinforcements[[#This Row],[Fcry (ksi)]]),"N/A")</f>
        <v>N/A</v>
      </c>
      <c r="FV58" s="6">
        <v>0.22</v>
      </c>
      <c r="FW58" s="6">
        <v>1.49</v>
      </c>
      <c r="FX58" s="6" t="str">
        <f>IF(Reinforcements[[#This Row],[Type]]="channel",((Reinforcements[[#This Row],[c2]]*(Reinforcements[[#This Row],[λrf]]/Reinforcements[[#This Row],[λf]]))^2)*Reinforcements[[#This Row],[Fy, (ksi)]],"N/A")</f>
        <v>N/A</v>
      </c>
      <c r="FY58" s="6" t="str">
        <f>IF(Reinforcements[[#This Row],[Type]]="channel",((Reinforcements[[#This Row],[c2]]*(Reinforcements[[#This Row],[λrw]]/Reinforcements[[#This Row],[λw]]))^2)*Reinforcements[[#This Row],[Fy, (ksi)]],"N/A")</f>
        <v>N/A</v>
      </c>
      <c r="FZ5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6" t="str">
        <f>IF(Reinforcements[[#This Row],[Type]]="channel",Reinforcements[[#This Row],[Fcr]]*Reinforcements[[#This Row],[Ae]],"N/A")</f>
        <v>N/A</v>
      </c>
      <c r="GD58">
        <f>IF(Reinforcements[[#This Row],[Reinforcement]]="","",φ_c*Reinforcements[[#This Row],[Pnx, FB (kip)]])</f>
        <v>399.75226295854452</v>
      </c>
      <c r="GE58">
        <f>IF(Reinforcements[[#This Row],[Reinforcement]]="","",IF(Reinforcements[[#This Row],[Type]]="channel",φ_c*Reinforcements[[#This Row],[Pn]],φ_c*Reinforcements[[#This Row],[Pny, FB (kip)]]))</f>
        <v>470.58111816259986</v>
      </c>
      <c r="GF58">
        <f>Reinforcements[[#This Row],[Rev. G Tension Yield Capacity (kips)]]</f>
        <v>475.3125</v>
      </c>
      <c r="GG58">
        <f>Reinforcements[[#This Row],[Rev. G Tension Rupture Capacity (kips)]]</f>
        <v>389.0625</v>
      </c>
      <c r="GH58">
        <f>Reinforcements[[#This Row],[Rev. G Shear Capacity (kips)]]</f>
        <v>237.65625</v>
      </c>
      <c r="GI58">
        <f>IFERROR((Reinforcements[[#This Row],['# of End Connection Bolts          (Bottom)]]-1)*Reinforcements[[#This Row],[End Connection Bolt Spacing (in) (B)]],"-")</f>
        <v>30</v>
      </c>
      <c r="GJ58">
        <f>IFERROR(IF(VLOOKUP(Reinforcements[[#This Row],[Bottom End Connection Bolt Type]],Bolts[],COLUMN(Bolts[[#Headers],[Rev. H Apply Connection Length Reduction Factor (Rb)?]])-1,FALSE)="Yes",(IF(Reinforcements[[#This Row],[Lb(bottom)]]&lt;=16,1,IF(Reinforcements[[#This Row],[Lb(bottom)]]&gt;38,0.75,0.9))),1),"-")</f>
        <v>1</v>
      </c>
      <c r="GK58">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f>IFERROR(IF(Reinforcements[[#This Row],[Top End Connection Same?]]="Yes",Reinforcements[[#This Row],[Lb(bottom)]],(Reinforcements[[#This Row],['# of End Connection Bolts          (Top)]]-1)*Reinforcements[[#This Row],[End Connection Bolt Spacing (in) (T)]]),"-")</f>
        <v>30</v>
      </c>
      <c r="GM58">
        <f>IFERROR(IF(VLOOKUP(Reinforcements[[#This Row],[Top End Connection Bolt Type]],Bolts[],COLUMN(Bolts[[#Headers],[Rev. H Apply Connection Length Reduction Factor (Rb)?]])-1,FALSE)=TRUE,(IF(Reinforcements[[#This Row],[Lb(top)]]&lt;=16,1,IF(Reinforcements[[#This Row],[Lb(top)]]&gt;38,0.75,0.9))),1),"-")</f>
        <v>0.9</v>
      </c>
      <c r="GN5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f>Reinforcements[[#This Row],[Rev. G Bolt-Shaft Bearing Capacity (Bottom)                No Deformation          (*t*Fu kips)]]</f>
        <v>21.132283464566925</v>
      </c>
      <c r="GP58">
        <f>Reinforcements[[#This Row],[Rev. G Bolt-Shaft Bearing Capacity (Bottom)                   Deformation          (*t*Fu kips)]]</f>
        <v>26.415354330708666</v>
      </c>
      <c r="GQ58">
        <f>Reinforcements[[#This Row],[Rev. G Bolt-Shaft Bearing Capacity (Top)                    No Deformation          (*t*Fu kips)]]</f>
        <v>21.132283464566925</v>
      </c>
      <c r="GR58">
        <f>Reinforcements[[#This Row],[Rev. G Bolt-Shaft Bearing Capacity (Top)                        Deformation          (*t*Fu kips)]]</f>
        <v>26.415354330708666</v>
      </c>
      <c r="GS58">
        <f>Reinforcements[[#This Row],[Rev. G Bolt-Reinf. Bearing Capacity (Bottom)            No Deformation (kips)]]</f>
        <v>2113.2283464566926</v>
      </c>
      <c r="GT58">
        <f>Reinforcements[[#This Row],[Rev. G Bolt-Reinf. Bearing Capacity (Bottom)               Deformation (kips)]]</f>
        <v>2641.535433070866</v>
      </c>
      <c r="GU58">
        <f>Reinforcements[[#This Row],[Rev. G Bolt-Reinf. Bearing Capacity (Top)                  No Deformation (kips)]]</f>
        <v>2113.2283464566926</v>
      </c>
      <c r="GV58">
        <f>Reinforcements[[#This Row],[Rev. G Bolt-Reinf. Bearing Capacity (Top)               Deformation (kips)]]</f>
        <v>2641.535433070866</v>
      </c>
      <c r="GW58" t="str">
        <f>Reinforcements[[#This Row],[Rev. G Bottom Transverse Weld Strength]]</f>
        <v>-</v>
      </c>
      <c r="GX58" t="str">
        <f>Reinforcements[[#This Row],[Rev. G Bottom Longitudinal Weld Strength]]</f>
        <v>-</v>
      </c>
      <c r="GY58" t="str">
        <f>Reinforcements[[#This Row],[Rev. G Top Transverse Weld Strength]]</f>
        <v>-</v>
      </c>
      <c r="GZ58" t="str">
        <f>Reinforcements[[#This Row],[Rev. G Top Longitudinal Weld Strength]]</f>
        <v>-</v>
      </c>
      <c r="HA58">
        <v>56</v>
      </c>
      <c r="HB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49" t="s">
        <v>417</v>
      </c>
      <c r="C59" s="49" t="s">
        <v>352</v>
      </c>
      <c r="D59" s="6">
        <v>8.5</v>
      </c>
      <c r="E59" s="6">
        <v>1.25</v>
      </c>
      <c r="F59" s="6" t="str">
        <f>IF(Reinforcements[[#This Row],[Type]]="","",IF(Reinforcements[[#This Row],[Type]]="solid round","","n/a"))</f>
        <v>n/a</v>
      </c>
      <c r="G59" s="6" t="str">
        <f>IF(Reinforcements[[#This Row],[Type]]="","",IF(Reinforcements[[#This Row],[Type]]&lt;&gt;"channel","n/a",""))</f>
        <v>n/a</v>
      </c>
      <c r="H59" s="6" t="str">
        <f>IF(Reinforcements[[#This Row],[Type]]="","",IF(Reinforcements[[#This Row],[Type]]&lt;&gt;"channel","n/a",""))</f>
        <v>n/a</v>
      </c>
      <c r="I59" s="126" t="str">
        <f>IF(Reinforcements[[#This Row],[Type]]="","",IF(Reinforcements[[#This Row],[Type]]&lt;&gt;"channel","n/a",Reinforcements[[#This Row],[eo]]))</f>
        <v>n/a</v>
      </c>
      <c r="J59" s="126" t="str">
        <f>IF(Reinforcements[[#This Row],[Type]]="","",IF(Reinforcements[[#This Row],[Type]]&lt;&gt;"channel","n/a",Reinforcements[[#This Row],[J]]))</f>
        <v>n/a</v>
      </c>
      <c r="K59" s="126" t="str">
        <f>IF(Reinforcements[[#This Row],[Type]]="","",IF(Reinforcements[[#This Row],[Type]]&lt;&gt;"channel","n/a",Reinforcements[[#This Row],[Cw]]))</f>
        <v>n/a</v>
      </c>
      <c r="L59" s="6">
        <f>IFERROR(IF(Reinforcements[[#This Row],[Type]]="","",IF(Reinforcements[[#This Row],[Type]]="plate",Reinforcements[[#This Row],[B (in)]]*Reinforcements[[#This Row],[H (in)]],IF(Reinforcements[[#This Row],[Type]]="solid round",PI()/4*Reinforcements[[#This Row],[Diameter (in)]]^2,""))),"")</f>
        <v>10.625</v>
      </c>
      <c r="M59" s="6">
        <f>IFERROR(IF(Reinforcements[[#This Row],[Type]]="","",IF(Reinforcements[[#This Row],[Type]]="plate",Reinforcements[[#This Row],[H (in)]]/2,"")),"")</f>
        <v>0.625</v>
      </c>
      <c r="N59" s="16" t="s">
        <v>353</v>
      </c>
      <c r="O59" s="6" t="s">
        <v>138</v>
      </c>
      <c r="P59" s="123">
        <f>IFERROR(IF(Reinforcements[[#This Row],[Type]]="","",IF(Reinforcements[[#This Row],[Type]]="plate",Reinforcements[[#This Row],[B (in)]]*Reinforcements[[#This Row],[H (in)]]^3/12,IF(Reinforcements[[#This Row],[Type]]="solid round",PI()/64*Reinforcements[[#This Row],[Diameter (in)]]^4,""))),"")</f>
        <v>1.3834635416666667</v>
      </c>
      <c r="Q59" s="123">
        <f>IF(Reinforcements[[#This Row],[Reinforcement]]="","",SQRT(Reinforcements[[#This Row],[Ix]]/Reinforcements[[#This Row],[Gross Area (in2)]]))</f>
        <v>0.36084391824351614</v>
      </c>
      <c r="R59" s="123">
        <f>IFERROR(IF(Reinforcements[[#This Row],[Type]]="","",IF(Reinforcements[[#This Row],[Type]]="plate",Reinforcements[[#This Row],[B (in)]]^3*Reinforcements[[#This Row],[H (in)]]/12,IF(Reinforcements[[#This Row],[Type]]="solid round",PI()/64*Reinforcements[[#This Row],[Diameter (in)]]^4,""))),"")</f>
        <v>63.971354166666664</v>
      </c>
      <c r="S59" s="123">
        <f>IF(Reinforcements[[#This Row],[Reinforcement]]="","",SQRT(Reinforcements[[#This Row],[Iy]]/Reinforcements[[#This Row],[Gross Area (in2)]]))</f>
        <v>2.4537386440559095</v>
      </c>
      <c r="T59" s="6">
        <v>17.25</v>
      </c>
      <c r="U59" s="6">
        <v>0.8</v>
      </c>
      <c r="V59" s="6">
        <v>1</v>
      </c>
      <c r="W59" s="6">
        <v>1.1875</v>
      </c>
      <c r="X59" s="6">
        <f>IF(Reinforcements[[#This Row],[Bolt Hole Size (in)]]="","",IF(Reinforcements[[#This Row],[Bolt Hole Size (in)]]="n/a","n/a",Reinforcements[[#This Row],[Bolt Hole Size (in)]]*25.4))</f>
        <v>30.162499999999998</v>
      </c>
      <c r="Y5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6">
        <f>IFERROR(IF(Reinforcements[[#This Row],[Reinforcement]]="","",IF(OR(Reinforcements[[#This Row],[Type]]="plate",Reinforcements[[#This Row],[Type]]="solid round"),1,IF(Reinforcements[[#This Row],[Type]]="arbitrary","",1-Reinforcements[[#This Row],[Pole Face to Centroid (in)]]/Reinforcements[[#This Row],[Connection Length (in) '[Channels']]]))),"")</f>
        <v>1</v>
      </c>
      <c r="AA59" s="16" t="s">
        <v>354</v>
      </c>
      <c r="AB59" s="16" t="str">
        <f>IF(Reinforcements[[#This Row],[Reinforcement]]="","",IF(Reinforcements[[#This Row],[Bottom End Connection Type]]&lt;&gt;"Capacity Input","-",""))</f>
        <v>-</v>
      </c>
      <c r="AC59" s="16" t="str">
        <f>IF(Reinforcements[[#This Row],[Reinforcement]]="","",IF(Reinforcements[[#This Row],[Bottom End Connection Type]]&lt;&gt;"Capacity Input","-",""))</f>
        <v>-</v>
      </c>
      <c r="AD59" s="16" t="str">
        <f>IF(Reinforcements[[#This Row],[Reinforcement]]="","",IF(Reinforcements[[#This Row],[Bottom End Connection Type]]&lt;&gt;"Capacity Input","-",""))</f>
        <v>-</v>
      </c>
      <c r="AE59" s="74" t="s">
        <v>355</v>
      </c>
      <c r="AF59" s="6" t="s">
        <v>356</v>
      </c>
      <c r="AG59" s="6">
        <v>15</v>
      </c>
      <c r="AH59" s="6">
        <v>3</v>
      </c>
      <c r="AI59" s="6">
        <v>3</v>
      </c>
      <c r="AJ59" s="6">
        <f>Reinforcements[[#This Row],[End Connection Edge Distance (in) (B)]]-(Reinforcements[[#This Row],[Bolt Hole Size (in)]]+1/16)/2</f>
        <v>2.375</v>
      </c>
      <c r="AK59" s="6">
        <f>Reinforcements[[#This Row],[End Connection Bolt Spacing (in) (B)]]-(Reinforcements[[#This Row],[Bolt Hole Size (in)]]+1/16)</f>
        <v>1.75</v>
      </c>
      <c r="AL59" s="6">
        <f>Reinforcements[[#This Row],[End Connection Edge Distance (in) (B)]]</f>
        <v>3</v>
      </c>
      <c r="AM59" s="6">
        <f>Reinforcements[[#This Row],[End Connection Bolt Spacing (in) (B)]]</f>
        <v>3</v>
      </c>
      <c r="AN59" s="6" t="str">
        <f>IF(Reinforcements[[#This Row],[Reinforcement]]="","",IF(OR(Reinforcements[[#This Row],[Bottom End Connection Type]]="Bolted",Reinforcements[[#This Row],[Bottom End Connection Type]]=""),"-",""))</f>
        <v>-</v>
      </c>
      <c r="AO59" s="111" t="str">
        <f>IF(Reinforcements[[#This Row],[Reinforcement]]="","",IF(OR(Reinforcements[[#This Row],[Bottom End Connection Type]]="Bolted",Reinforcements[[#This Row],[Bottom End Connection Type]]=""),"-",""))</f>
        <v>-</v>
      </c>
      <c r="AP59" s="111" t="str">
        <f>IF(Reinforcements[[#This Row],[Reinforcement]]="","",IF(OR(Reinforcements[[#This Row],[Bottom End Connection Type]]="Bolted",Reinforcements[[#This Row],[Bottom End Connection Type]]=""),"-",""))</f>
        <v>-</v>
      </c>
      <c r="AQ59" s="111" t="str">
        <f>IF(OR(Reinforcements[[#This Row],[Bottom End Connection Type]]="Bolted",Reinforcements[[#This Row],[Bottom Transverse (Horizontal) Weld]]="none"),"-","")</f>
        <v>-</v>
      </c>
      <c r="AR5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11" t="str">
        <f>IF(OR(Reinforcements[[#This Row],[Bottom Transverse (Horizontal) Weld]]="none",Reinforcements[[#This Row],[Bottom End Connection Type]]="Bolted"),"-","")</f>
        <v>-</v>
      </c>
      <c r="AU5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11" t="str">
        <f>IF(Reinforcements[[#This Row],[Reinforcement]]="","",IF(OR(Reinforcements[[#This Row],[Bottom End Connection Type]]="Bolted",Reinforcements[[#This Row],[Bottom End Connection Type]]=""),"-",""))</f>
        <v>-</v>
      </c>
      <c r="AW59" s="111" t="str">
        <f>IF(Reinforcements[[#This Row],[Reinforcement]]="","",IF(OR(Reinforcements[[#This Row],[Bottom End Connection Type]]&lt;&gt;"Welded",Reinforcements[[#This Row],[Bottom Longitudinal (Vertical) Weld]]="None",Reinforcements[[#This Row],[Bottom Longitudinal (Vertical) Weld]]=""),"-",""))</f>
        <v>-</v>
      </c>
      <c r="AX59" s="111" t="str">
        <f>IF(Reinforcements[[#This Row],[Reinforcement]]="","",IF(OR(Reinforcements[[#This Row],[Bottom End Connection Type]]&lt;&gt;"Welded",Reinforcements[[#This Row],[Bottom Longitudinal (Vertical) Weld]]="None",Reinforcements[[#This Row],[Bottom Longitudinal (Vertical) Weld]]=""),"-",""))</f>
        <v>-</v>
      </c>
      <c r="AY59" s="6" t="str">
        <f>IF(Reinforcements[[#This Row],[Reinforcement]]="","",IF(OR(Reinforcements[[#This Row],[Bottom End Connection Type]]&lt;&gt;"Welded",Reinforcements[[#This Row],[Bottom Longitudinal (Vertical) Weld]]="None"),"-",SQRT(2)/2*Reinforcements[[#This Row],[Bottom Longitudinal Weld Fillet Size (in)]]))</f>
        <v>-</v>
      </c>
      <c r="AZ59" s="6" t="s">
        <v>357</v>
      </c>
      <c r="BA59" s="16" t="str">
        <f>IF(Reinforcements[[#This Row],[Top End Connection Same?]]="Yes",Reinforcements[[#This Row],[Bottom End Connection Type]],"")</f>
        <v>Bolted</v>
      </c>
      <c r="BB59" s="16" t="str">
        <f>IF(Reinforcements[[#This Row],[Reinforcement]]="","",IF(Reinforcements[[#This Row],[Top End Connection Same?]]="Yes",Reinforcements[[#This Row],[Rev. F Bottom Connection Capacity (kips)]],IF(Reinforcements[[#This Row],[Reinforcement]]="","",IF(Reinforcements[[#This Row],[Top End Connection Type]]&lt;&gt;"Capacity Input","-",""))))</f>
        <v>-</v>
      </c>
      <c r="BC59" s="16" t="str">
        <f>IF(Reinforcements[[#This Row],[Reinforcement]]="","",IF(Reinforcements[[#This Row],[Top End Connection Same?]]="Yes",Reinforcements[[#This Row],[Rev. G Bottom Connection Capacity (kips)]],IF(Reinforcements[[#This Row],[Reinforcement]]="","",IF(Reinforcements[[#This Row],[Top End Connection Type]]&lt;&gt;"Capacity Input","-",""))))</f>
        <v>-</v>
      </c>
      <c r="BD59" s="16" t="str">
        <f>IF(Reinforcements[[#This Row],[Reinforcement]]="","",IF(Reinforcements[[#This Row],[Top End Connection Same?]]="Yes",Reinforcements[[#This Row],[Rev. G Bottom Connection Capacity (kips)]],IF(Reinforcements[[#This Row],[Reinforcement]]="","",IF(Reinforcements[[#This Row],[Top End Connection Type]]&lt;&gt;"Capacity Input","-",""))))</f>
        <v>-</v>
      </c>
      <c r="BE59" s="74" t="str">
        <f>IF(Reinforcements[[#This Row],[Top End Connection Same?]]="Yes",Reinforcements[[#This Row],[Bottom End Connection Bolt Type]],IF(Reinforcements[[#This Row],[Top End Connection Type]]="Welded","-",""))</f>
        <v>PC 8.8 - M20 (100)</v>
      </c>
      <c r="BF59" s="6" t="str">
        <f>IF(Reinforcements[[#This Row],[Top End Connection Same?]]="Yes",Reinforcements[[#This Row],[Threads Included (N) or Excluded (X) (Bottom)]],IF(Reinforcements[[#This Row],[Top End Connection Type]]="Welded","-",""))</f>
        <v>N</v>
      </c>
      <c r="BG59" s="6">
        <f>IF(Reinforcements[[#This Row],[Top End Connection Same?]]="Yes",Reinforcements[[#This Row],['# of End Connection Bolts          (Bottom)]],IF(Reinforcements[[#This Row],[Top End Connection Type]]="Welded","-",""))</f>
        <v>15</v>
      </c>
      <c r="BH59" s="6">
        <f>IF(Reinforcements[[#This Row],[Top End Connection Same?]]="Yes",Reinforcements[[#This Row],[End Connection Bolt Spacing (in) (B)]],IF(Reinforcements[[#This Row],[Top End Connection Type]]="Welded","-",""))</f>
        <v>3</v>
      </c>
      <c r="BI59" s="6">
        <f>IF(Reinforcements[[#This Row],[Top End Connection Same?]]="Yes",Reinforcements[[#This Row],[End Connection Edge Distance (in) (B)]],IF(Reinforcements[[#This Row],[Top End Connection Type]]="Welded","-",""))</f>
        <v>3</v>
      </c>
      <c r="BJ59" s="6">
        <f>Reinforcements[[#This Row],[End Connection Edge Distance (in) (T)]]-(Reinforcements[[#This Row],[Bolt Hole Size (in)]]+1/16)/2</f>
        <v>2.375</v>
      </c>
      <c r="BK59" s="6">
        <f>Reinforcements[[#This Row],[End Connection Bolt Spacing (in) (T)]]-(Reinforcements[[#This Row],[Bolt Hole Size (in)]]+1/16)</f>
        <v>1.75</v>
      </c>
      <c r="BL59" s="6">
        <f>Reinforcements[[#This Row],[End Connection Edge Distance (in) (T)]]</f>
        <v>3</v>
      </c>
      <c r="BM59" s="6">
        <f>Reinforcements[[#This Row],[End Connection Bolt Spacing (in) (T)]]</f>
        <v>3</v>
      </c>
      <c r="BN59" s="6" t="str">
        <f>IF(Reinforcements[[#This Row],[Reinforcement]]="","",IF(Reinforcements[[#This Row],[Top End Connection Same?]]="Yes",Reinforcements[[#This Row],[Bottom Connected to Flange/Base Plate?]],IF(Reinforcements[[#This Row],[Top End Connection Type]]="Bolted","-","")))</f>
        <v>-</v>
      </c>
      <c r="BO59" s="6" t="str">
        <f>IF(Reinforcements[[#This Row],[Reinforcement]]="","",IF(Reinforcements[[#This Row],[Top End Connection Same?]]="Yes",Reinforcements[[#This Row],[Bottom Weld Grade (ksi)]],IF(OR(Reinforcements[[#This Row],[Top End Connection Type]]&lt;&gt;"Welded",Reinforcements[[#This Row],[Top End Connection Type]]=""),"-","")))</f>
        <v>-</v>
      </c>
      <c r="BP59" s="6" t="str">
        <f>IF($AZ59="Yes",AP59,IF(Reinforcements[[#This Row],[Reinforcement]]="","",IF(OR(Reinforcements[[#This Row],[Top End Connection Type]]&lt;&gt;"Welded",Reinforcements[[#This Row],[Top End Connection Type]]=""),"-","")))</f>
        <v>-</v>
      </c>
      <c r="BQ59" s="6" t="str">
        <f>IF(Reinforcements[[#This Row],[Reinforcement]]="","",IF($AZ59="Yes",AQ59,IF(OR(Reinforcements[[#This Row],[Top End Connection Type]]&lt;&gt;"Welded",Reinforcements[[#This Row],[Top Transverse (Horizontal) Weld]]="none",Reinforcements[[#This Row],[Top Transverse (Horizontal) Weld]]=""),"-","")))</f>
        <v>-</v>
      </c>
      <c r="BR59" s="6"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6"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6" t="str">
        <f>IF(Reinforcements[[#This Row],[Reinforcement]]="","",IF($AZ59="Yes",AT59,IF(OR(Reinforcements[[#This Row],[Top Transverse (Horizontal) Weld]]="none",Reinforcements[[#This Row],[Top End Connection Type]]&lt;&gt;"Welded",Reinforcements[[#This Row],[Top Transverse (Horizontal) Weld]]=""),"-","")))</f>
        <v>-</v>
      </c>
      <c r="BU59" s="6"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6" t="str">
        <f>IF($AZ59="Yes",AV59,IF(Reinforcements[[#This Row],[Reinforcement]]="","",IF(OR(Reinforcements[[#This Row],[Top End Connection Type]]&lt;&gt;"Welded",Reinforcements[[#This Row],[Top End Connection Type]]=""),"-","")))</f>
        <v>-</v>
      </c>
      <c r="BW59" s="6"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6"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6" t="str">
        <f>IF($AZ59="Yes",AY59,IF(Reinforcements[[#This Row],[Reinforcement]]="","",IF(OR(Reinforcements[[#This Row],[Top End Connection Type]]&lt;&gt;"Welded",Reinforcements[[#This Row],[Top Longitudinal (Vertical) Weld]]="none"),"-",SQRT(2)/2*Reinforcements[[#This Row],[Top Longitudinal Weld Fillet Size (in)]])))</f>
        <v>-</v>
      </c>
      <c r="BZ5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11">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11">
        <f>IF(Reinforcements[[#This Row],[Reinforcement]]="","",IF(Reinforcements[[#This Row],[Top End Connection Type]]&lt;&gt;"Bolted","n/a",(Reinforcements[[#This Row],['# of End Connection Bolts          (Top)]]-1)*Reinforcements[[#This Row],[End Connection Bolt Spacing (in) (T)]]+Reinforcements[[#This Row],[End Connection Edge Distance (in) (T)]]))</f>
        <v>45</v>
      </c>
      <c r="CC5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6">
        <f>IFERROR(IF(Reinforcements[[#This Row],[Type]]="","",Reinforcements[[#This Row],[Effective B (in)]]*Reinforcements[[#This Row],[Effective H (in)]]^3/12),"")</f>
        <v>1.3834635416666667</v>
      </c>
      <c r="CF59" s="6">
        <f>IFERROR(IF(Reinforcements[[#This Row],[Type]]="","",Reinforcements[[#This Row],[Effective B (in)]]^3*Reinforcements[[#This Row],[Effective H (in)]]/12),"")</f>
        <v>63.971354166666664</v>
      </c>
      <c r="CG59" s="126">
        <f>SQRT(2*PI()^2*29000/VLOOKUP(Reinforcements[[#This Row],[Material]],Materials[],2,FALSE))</f>
        <v>93.844147005158973</v>
      </c>
      <c r="CH5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123">
        <f>Reinforcements[[#This Row],[Effective Length Factor Kx]]*Reinforcements[[#This Row],[Lu (in)]]/(Reinforcements[[#This Row],[rx]]*PI())*SQRT(VLOOKUP(Reinforcements[[#This Row],[Material]],Materials[],2,FALSE)/29000)</f>
        <v>0.57632505858547911</v>
      </c>
      <c r="CK59" s="123">
        <f>Reinforcements[[#This Row],[Effective Length Factor Ky]]*Reinforcements[[#This Row],[Lu (in)]]/(Reinforcements[[#This Row],[ry]]*PI())*SQRT(VLOOKUP(Reinforcements[[#This Row],[Material]],Materials[],2,FALSE)/29000)</f>
        <v>0.10594210635762485</v>
      </c>
      <c r="CL59" s="123">
        <f>IF(Reinforcements[[#This Row],[λcx]]&lt;=1.5,0.658^(Reinforcements[[#This Row],[λcx]]^2)*Reinforcements[[#This Row],[F''y]],0.877/(Reinforcements[[#This Row],[λcx]]^2)*Reinforcements[[#This Row],[F''y]])</f>
        <v>56.563592264529326</v>
      </c>
      <c r="CM59" s="123">
        <f>IF(Reinforcements[[#This Row],[λcy]]&lt;=1.5,0.658^(Reinforcements[[#This Row],[λcy]]^2)*Reinforcements[[#This Row],[F''y]],0.877/(Reinforcements[[#This Row],[λcy]]^2)*Reinforcements[[#This Row],[F''y]])</f>
        <v>64.695365856194599</v>
      </c>
      <c r="CN59" s="6">
        <f>VLOOKUP(Reinforcements[[#This Row],[Material]],Materials[],2,FALSE)</f>
        <v>65</v>
      </c>
      <c r="CO59" s="126">
        <f>IF(Reinforcements[[#This Row],[Reinforcement]]="","",Reinforcements[[#This Row],[Fax]]*Reinforcements[[#This Row],[Gross Area (in2)]])</f>
        <v>349.67826799046884</v>
      </c>
      <c r="CP59" s="126">
        <f>IF(Reinforcements[[#This Row],[Reinforcement]]="","",Reinforcements[[#This Row],[Fay]]*Reinforcements[[#This Row],[Gross Area (in2)]])</f>
        <v>406.37552896811314</v>
      </c>
      <c r="CQ59" s="126">
        <f>IF(Reinforcements[[#This Row],[Reinforcement]]="","",0.6*VLOOKUP(Reinforcements[[#This Row],[Material]],Materials[],2,FALSE)*Reinforcements[[#This Row],[Gross Area (in2)]])</f>
        <v>414.375</v>
      </c>
      <c r="CR59" s="126">
        <f>IF(Reinforcements[[#This Row],[Reinforcement]]="","",0.5*VLOOKUP(Reinforcements[[#This Row],[Material]],Materials[],3,FALSE)*Reinforcements[[#This Row],[Net Area (in2)]]*Reinforcements[[#This Row],[Shear Lag (U)]])</f>
        <v>362.5</v>
      </c>
      <c r="CS59" s="126">
        <f>IF(Reinforcements[[#This Row],[Reinforcement]]="","",0.4*VLOOKUP(Reinforcements[[#This Row],[Material]],Materials[],2,FALSE)*Reinforcements[[#This Row],[Gross Area (in2)]])</f>
        <v>276.25</v>
      </c>
      <c r="CT59"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6"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6"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126">
        <f>IF(Reinforcements[[#This Row],[Reinforcement]]="","",φ_c*Reinforcements[[#This Row],[Fcr,x]]*Reinforcements[[#This Row],[Gross Area (in2)]])</f>
        <v>540.88935102956168</v>
      </c>
      <c r="DI59" s="126">
        <f>IF(Reinforcements[[#This Row],[Reinforcement]]="","",φ_c*Reinforcements[[#This Row],[Fcr,y]]*Reinforcements[[#This Row],[Gross Area (in2)]])</f>
        <v>618.64943599986088</v>
      </c>
      <c r="DJ59" s="126">
        <f>IF(Reinforcements[[#This Row],[Reinforcement]]="","",φ_t_y*VLOOKUP(Reinforcements[[#This Row],[Material]],Materials[],2,FALSE)*Reinforcements[[#This Row],[Gross Area (in2)]])</f>
        <v>621.5625</v>
      </c>
      <c r="DK59" s="126">
        <f>IF(Reinforcements[[#This Row],[Reinforcement]]="","",φ_t_r*VLOOKUP(Reinforcements[[#This Row],[Material]],Materials[],3,FALSE)*Reinforcements[[#This Row],[Net Area (in2)]]*Reinforcements[[#This Row],[Shear Lag (U)]])</f>
        <v>543.75</v>
      </c>
      <c r="DL59" s="126">
        <f>IF(Reinforcements[[#This Row],[Reinforcement]]="","",φ_v*0.5*Reinforcements[[#This Row],[F''y]]*Reinforcements[[#This Row],[Gross Area (in2)]])</f>
        <v>310.78125</v>
      </c>
      <c r="DM59"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6"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6"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111" t="str">
        <f>IF(OR(Reinforcements[[#This Row],[Type]]="plate",Reinforcements[[#This Row],[Type]]="solid round"),"N/A",Reinforcements[[#This Row],[B (in)]])</f>
        <v>N/A</v>
      </c>
      <c r="EB59" s="6" t="str">
        <f>IF(OR(Reinforcements[[#This Row],[Type]]="plate",Reinforcements[[#This Row],[Type]]="solid round"),"N/A",Reinforcements[[#This Row],[H (in)]])</f>
        <v>N/A</v>
      </c>
      <c r="EC59" s="6" t="str">
        <f>IF(OR(Reinforcements[[#This Row],[Type]]="plate",Reinforcements[[#This Row],[Type]]="solid round"),"N/A",Reinforcements[[#This Row],[B (in)]]-Reinforcements[[#This Row],['[Channel'] Flange Thickness (in)]])</f>
        <v>N/A</v>
      </c>
      <c r="ED59" s="6" t="str">
        <f>IF(OR(Reinforcements[[#This Row],[Type]]="plate",Reinforcements[[#This Row],[Type]]="solid round"),"N/A",Reinforcements[[#This Row],['[Channel']Web Thickness (in)]])</f>
        <v>N/A</v>
      </c>
      <c r="EE59" s="6" t="str">
        <f>IF(OR(Reinforcements[[#This Row],[Type]]="plate",Reinforcements[[#This Row],[Type]]="solid round"),"N/A",Reinforcements[[#This Row],['[Channel'] Flange Thickness (in)]])</f>
        <v>N/A</v>
      </c>
      <c r="EF59" s="6" t="str">
        <f>IF(Reinforcements[[#This Row],[Type]]="channel",Reinforcements[[#This Row],[Channel Flange Width, b]]/Reinforcements[[#This Row],[Channel flange thickness, tf]],"N/A")</f>
        <v>N/A</v>
      </c>
      <c r="EG59" s="6" t="str">
        <f>IF(Reinforcements[[#This Row],[Type]]="channel",Reinforcements[[#This Row],[Channel inside depth, T]]/Reinforcements[[#This Row],[Channel web thickness, tw]],"N/A")</f>
        <v>N/A</v>
      </c>
      <c r="EH59" s="6">
        <f>29000</f>
        <v>29000</v>
      </c>
      <c r="EI59" s="6" t="str">
        <f>IF(Reinforcements[[#This Row],[Type]]="channel",0.56*SQRT(Reinforcements[[#This Row],[E, (ksi)]]/Reinforcements[[#This Row],[Fy, (ksi)]]),"N/A")</f>
        <v>N/A</v>
      </c>
      <c r="EJ59" s="6" t="str">
        <f>IF(Reinforcements[[#This Row],[Type]]="channel",1.49*SQRT(Reinforcements[[#This Row],[E, (ksi)]]/Reinforcements[[#This Row],[Fy, (ksi)]]),"N/A")</f>
        <v>N/A</v>
      </c>
      <c r="EK59" s="6">
        <f>VLOOKUP(Reinforcements[[#This Row],[Material]],Materials!$B$2:$C$30,2,FALSE)</f>
        <v>65</v>
      </c>
      <c r="EL59" s="6">
        <f>Reinforcements[[#This Row],[Lu (in)]]*Reinforcements[[#This Row],[Effective Length Factor Kx]]</f>
        <v>13.8</v>
      </c>
      <c r="EM59" s="6">
        <f>Reinforcements[[#This Row],[Lu (in)]]*Reinforcements[[#This Row],[Effective Length Factor Ky]]</f>
        <v>17.25</v>
      </c>
      <c r="EN59" s="6">
        <f>Reinforcements[[#This Row],[rx]]</f>
        <v>0.36084391824351614</v>
      </c>
      <c r="EO59" s="6">
        <f>Reinforcements[[#This Row],[ry]]</f>
        <v>2.4537386440559095</v>
      </c>
      <c r="EP59" s="6">
        <f>Reinforcements[[#This Row],[Lcx (in)]]/Reinforcements[[#This Row],[rx (in)]]</f>
        <v>38.24368183112081</v>
      </c>
      <c r="EQ59" s="6">
        <f>Reinforcements[[#This Row],[Lcy (in)]]/Reinforcements[[#This Row],[ry (in)]]</f>
        <v>7.0300885718972079</v>
      </c>
      <c r="ER59" s="6">
        <f>((PI()^2)*Reinforcements[[#This Row],[E, (ksi)]])/(Reinforcements[[#This Row],[Lcx/rx]]^2)</f>
        <v>195.69437855508363</v>
      </c>
      <c r="ES59" s="6">
        <f>((PI()^2)*Reinforcements[[#This Row],[E, (ksi)]])/(Reinforcements[[#This Row],[Lcy/ry]]^2)</f>
        <v>5791.3011612077225</v>
      </c>
      <c r="ET59" s="6">
        <f>4.71*(SQRT(Reinforcements[[#This Row],[E, (ksi)]]/Reinforcements[[#This Row],[Fy, (ksi)]]))</f>
        <v>99.486288193205496</v>
      </c>
      <c r="EU59" s="6">
        <f>IF(Reinforcements[[#This Row],[Lcx/rx]]&lt;=Reinforcements[[#This Row],[Fcr Limit]],(0.658^(Reinforcements[[#This Row],[Fy, (ksi)]]/Reinforcements[[#This Row],[Fex, FB (ksi)]]))*Reinforcements[[#This Row],[Fy, (ksi)]],0.877*Reinforcements[[#This Row],[Fex, FB (ksi)]])</f>
        <v>56.563592264529319</v>
      </c>
      <c r="EV59" s="6">
        <f>IF(Reinforcements[[#This Row],[Lcy/ry]]&lt;=Reinforcements[[#This Row],[Fcr Limit]],(0.658^(Reinforcements[[#This Row],[Fy, (ksi)]]/Reinforcements[[#This Row],[Fey, FB (ksi)]]))*Reinforcements[[#This Row],[Fy, (ksi)]],0.877*Reinforcements[[#This Row],[Fey, FB (ksi)]])</f>
        <v>64.695365856194599</v>
      </c>
      <c r="EW59" s="6">
        <f>Reinforcements[[#This Row],[Fcrx (ksi)]]*Reinforcements[[#This Row],[Gross Area (in2)]]</f>
        <v>600.98816781062396</v>
      </c>
      <c r="EX59" s="6">
        <f>Reinforcements[[#This Row],[Fcry (ksi)]]*Reinforcements[[#This Row],[Gross Area (in2)]]</f>
        <v>687.38826222206762</v>
      </c>
      <c r="EY59" s="6" t="str">
        <f>IF(Reinforcements[[#This Row],[Type]]="channel",0,"N/A")</f>
        <v>N/A</v>
      </c>
      <c r="EZ59" s="6" t="str">
        <f>IF(Reinforcements[[#This Row],[Type]]="channel",Reinforcements[[#This Row],[Channel Flange Width, b]]-(0.5*Reinforcements[[#This Row],[Channel web thickness, tw]]),"N/A")</f>
        <v>N/A</v>
      </c>
      <c r="FA59" s="6" t="str">
        <f>IF(Reinforcements[[#This Row],[Type]]="channel",Reinforcements[[#This Row],[Channel Height, h]]-Reinforcements[[#This Row],[Channel flange thickness, tf]],"N/A")</f>
        <v>N/A</v>
      </c>
      <c r="FB59" s="6" t="str">
        <f>IF(Reinforcements[[#This Row],[Type]]="channel",Reinforcements[[#This Row],[Channel web thickness, tw]],"N/A")</f>
        <v>N/A</v>
      </c>
      <c r="FC59" s="6" t="str">
        <f>IF(Reinforcements[[#This Row],[Type]]="channel",((3*Reinforcements[[#This Row],[b]]^2)/(Reinforcements[[#This Row],[h]]+(6*Reinforcements[[#This Row],[b]])))-Reinforcements[[#This Row],[t]]/2,"N/A")</f>
        <v>N/A</v>
      </c>
      <c r="FD59" s="6">
        <f>Reinforcements[[#This Row],[Pole Face to Centroid (in)]]</f>
        <v>0.625</v>
      </c>
      <c r="FE59" s="6" t="str">
        <f>IF(Reinforcements[[#This Row],[Type]]="channel",Reinforcements[[#This Row],[x(bar)]]+Reinforcements[[#This Row],['[Channel'] e0 (in)]],"N/A")</f>
        <v>N/A</v>
      </c>
      <c r="FF59" s="6" t="str">
        <f>IF(Reinforcements[[#This Row],[Type]]="channel",Reinforcements[[#This Row],[Ix]],"N/A")</f>
        <v>N/A</v>
      </c>
      <c r="FG59" s="6" t="str">
        <f>IF(Reinforcements[[#This Row],[Type]]="channel",Reinforcements[[#This Row],[Iy]],"N/A")</f>
        <v>N/A</v>
      </c>
      <c r="FH59" s="6" t="str">
        <f>IF(Reinforcements[[#This Row],[Type]]="channel",Reinforcements[[#This Row],[Gross Area (in2)]],"N/A")</f>
        <v>N/A</v>
      </c>
      <c r="FI59" s="6" t="str">
        <f>IF(Reinforcements[[#This Row],[Type]]="channel",(Reinforcements[[#This Row],[xo]]^2)+((Reinforcements[[#This Row],[Ix (FTB)]]+Reinforcements[[#This Row],[Iy (FTB)]])/Reinforcements[[#This Row],[Ag]]),"N/A")</f>
        <v>N/A</v>
      </c>
      <c r="FJ59" s="6" t="str">
        <f>IF(Reinforcements[[#This Row],[Type]]="channel",Reinforcements[[#This Row],[Lu (in)]],"N/A")</f>
        <v>N/A</v>
      </c>
      <c r="FK59" s="6" t="str">
        <f>IF(Reinforcements[[#This Row],[Type]]="channel",Reinforcements[[#This Row],[Effective Length Factor Kx]],"N/A")</f>
        <v>N/A</v>
      </c>
      <c r="FL59" s="6" t="str">
        <f>IF(Reinforcements[[#This Row],[Type]]="channel",Reinforcements[[#This Row],[Kz]]*Reinforcements[[#This Row],[Lz]],"N/A")</f>
        <v>N/A</v>
      </c>
      <c r="FM59" s="6" t="str">
        <f>IF(Reinforcements[[#This Row],[Type]]="channel",(((Reinforcements[[#This Row],[t]]^3)/3)*(Reinforcements[[#This Row],[h]]+(2*Reinforcements[[#This Row],[b]]))),"N/A")</f>
        <v>N/A</v>
      </c>
      <c r="FN59" s="6" t="str">
        <f>IF(Reinforcements[[#This Row],[Type]]="channel",(1-(((Reinforcements[[#This Row],[xo]]^2)+(Reinforcements[[#This Row],[yo]]^2))/Reinforcements[[#This Row],[ro^2(bar)]])),"N/A")</f>
        <v>N/A</v>
      </c>
      <c r="FO59" s="6">
        <v>11200</v>
      </c>
      <c r="FP59" s="6" t="str">
        <f>IF(Reinforcements[[#This Row],[Type]]="channel",(((Reinforcements[[#This Row],[h]]^2)*(Reinforcements[[#This Row],[b]]^3)*Reinforcements[[#This Row],[t]])/12)*(((2*Reinforcements[[#This Row],[h]])+(3*Reinforcements[[#This Row],[b]]))/(Reinforcements[[#This Row],[h]]+(6*Reinforcements[[#This Row],[b]]))),"N/A")</f>
        <v>N/A</v>
      </c>
      <c r="FQ59" s="6" t="str">
        <f>IF(Reinforcements[[#This Row],[Type]]="Channel",((((PI()^2)*Reinforcements[[#This Row],[E, (ksi)]]*Reinforcements[[#This Row],['[Channel'] CW (in6)]])/(Reinforcements[[#This Row],[Lcz]]^2))+(Reinforcements[[#This Row],[G]]*Reinforcements[[#This Row],['[Channel'] J (in4)]]))*(1/(Reinforcements[[#This Row],[Ag]]*Reinforcements[[#This Row],[ro^2(bar)]])),"N/A")</f>
        <v>N/A</v>
      </c>
      <c r="FR59" s="6" t="str">
        <f>IF(Reinforcements[[#This Row],[Type]]="channel",((PI()^2)*Reinforcements[[#This Row],[E, (ksi)]])/(Reinforcements[[#This Row],[Lcy/ry]]^2),"N/A")</f>
        <v>N/A</v>
      </c>
      <c r="FS59" s="6" t="str">
        <f>IF(Reinforcements[[#This Row],[Type]]="channel",((Reinforcements[[#This Row],[Fey]]+Reinforcements[[#This Row],[Fez]])/(2*Reinforcements[[#This Row],[H2]]))*(1-SQRT(1-((4*Reinforcements[[#This Row],[Fey]]*Reinforcements[[#This Row],[Fez]]*Reinforcements[[#This Row],[H2]])/(Reinforcements[[#This Row],[Fey]]+Reinforcements[[#This Row],[Fez]])^2))),"N/A")</f>
        <v>N/A</v>
      </c>
      <c r="FT59" s="6" t="str">
        <f>IF(Reinforcements[[#This Row],[Type]]="channel",IF(Reinforcements[[#This Row],[Lcx/rx]]&gt;(4.71*SQRT(Reinforcements[[#This Row],[E, (ksi)]]/Reinforcements[[#This Row],[Fy, (ksi)]])),0.877*Reinforcements[[#This Row],[Fe (FTB)]],0.658^(Reinforcements[[#This Row],[Fy, (ksi)]]/Reinforcements[[#This Row],[Fe (FTB)]])*Reinforcements[[#This Row],[Fy, (ksi)]]),"N/A")</f>
        <v>N/A</v>
      </c>
      <c r="FU59" s="6" t="str">
        <f>IF(Reinforcements[[#This Row],[Type]]="channel",MIN(Reinforcements[[#This Row],[Fcr(FTB)]],Reinforcements[[#This Row],[Fcry (ksi)]]),"N/A")</f>
        <v>N/A</v>
      </c>
      <c r="FV59" s="6">
        <v>0.22</v>
      </c>
      <c r="FW59" s="6">
        <v>1.49</v>
      </c>
      <c r="FX59" s="6" t="str">
        <f>IF(Reinforcements[[#This Row],[Type]]="channel",((Reinforcements[[#This Row],[c2]]*(Reinforcements[[#This Row],[λrf]]/Reinforcements[[#This Row],[λf]]))^2)*Reinforcements[[#This Row],[Fy, (ksi)]],"N/A")</f>
        <v>N/A</v>
      </c>
      <c r="FY59" s="6" t="str">
        <f>IF(Reinforcements[[#This Row],[Type]]="channel",((Reinforcements[[#This Row],[c2]]*(Reinforcements[[#This Row],[λrw]]/Reinforcements[[#This Row],[λw]]))^2)*Reinforcements[[#This Row],[Fy, (ksi)]],"N/A")</f>
        <v>N/A</v>
      </c>
      <c r="FZ5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6" t="str">
        <f>IF(Reinforcements[[#This Row],[Type]]="channel",Reinforcements[[#This Row],[Fcr]]*Reinforcements[[#This Row],[Ae]],"N/A")</f>
        <v>N/A</v>
      </c>
      <c r="GD59">
        <f>IF(Reinforcements[[#This Row],[Reinforcement]]="","",φ_c*Reinforcements[[#This Row],[Pnx, FB (kip)]])</f>
        <v>540.88935102956157</v>
      </c>
      <c r="GE59">
        <f>IF(Reinforcements[[#This Row],[Reinforcement]]="","",IF(Reinforcements[[#This Row],[Type]]="channel",φ_c*Reinforcements[[#This Row],[Pn]],φ_c*Reinforcements[[#This Row],[Pny, FB (kip)]]))</f>
        <v>618.64943599986088</v>
      </c>
      <c r="GF59">
        <f>Reinforcements[[#This Row],[Rev. G Tension Yield Capacity (kips)]]</f>
        <v>621.5625</v>
      </c>
      <c r="GG59">
        <f>Reinforcements[[#This Row],[Rev. G Tension Rupture Capacity (kips)]]</f>
        <v>543.75</v>
      </c>
      <c r="GH59">
        <f>Reinforcements[[#This Row],[Rev. G Shear Capacity (kips)]]</f>
        <v>310.78125</v>
      </c>
      <c r="GI59">
        <f>IFERROR((Reinforcements[[#This Row],['# of End Connection Bolts          (Bottom)]]-1)*Reinforcements[[#This Row],[End Connection Bolt Spacing (in) (B)]],"-")</f>
        <v>42</v>
      </c>
      <c r="GJ59">
        <f>IFERROR(IF(VLOOKUP(Reinforcements[[#This Row],[Bottom End Connection Bolt Type]],Bolts[],COLUMN(Bolts[[#Headers],[Rev. H Apply Connection Length Reduction Factor (Rb)?]])-1,FALSE)="Yes",(IF(Reinforcements[[#This Row],[Lb(bottom)]]&lt;=16,1,IF(Reinforcements[[#This Row],[Lb(bottom)]]&gt;38,0.75,0.9))),1),"-")</f>
        <v>1</v>
      </c>
      <c r="GK5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f>IFERROR(IF(Reinforcements[[#This Row],[Top End Connection Same?]]="Yes",Reinforcements[[#This Row],[Lb(bottom)]],(Reinforcements[[#This Row],['# of End Connection Bolts          (Top)]]-1)*Reinforcements[[#This Row],[End Connection Bolt Spacing (in) (T)]]),"-")</f>
        <v>42</v>
      </c>
      <c r="GM59">
        <f>IFERROR(IF(VLOOKUP(Reinforcements[[#This Row],[Top End Connection Bolt Type]],Bolts[],COLUMN(Bolts[[#Headers],[Rev. H Apply Connection Length Reduction Factor (Rb)?]])-1,FALSE)=TRUE,(IF(Reinforcements[[#This Row],[Lb(top)]]&lt;=16,1,IF(Reinforcements[[#This Row],[Lb(top)]]&gt;38,0.75,0.9))),1),"-")</f>
        <v>0.75</v>
      </c>
      <c r="GN5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f>Reinforcements[[#This Row],[Rev. G Bolt-Shaft Bearing Capacity (Bottom)                No Deformation          (*t*Fu kips)]]</f>
        <v>29.548346456692911</v>
      </c>
      <c r="GP59">
        <f>Reinforcements[[#This Row],[Rev. G Bolt-Shaft Bearing Capacity (Bottom)                   Deformation          (*t*Fu kips)]]</f>
        <v>36.935433070866146</v>
      </c>
      <c r="GQ59">
        <f>Reinforcements[[#This Row],[Rev. G Bolt-Shaft Bearing Capacity (Top)                    No Deformation          (*t*Fu kips)]]</f>
        <v>29.548346456692911</v>
      </c>
      <c r="GR59">
        <f>Reinforcements[[#This Row],[Rev. G Bolt-Shaft Bearing Capacity (Top)                        Deformation          (*t*Fu kips)]]</f>
        <v>36.935433070866146</v>
      </c>
      <c r="GS59">
        <f>Reinforcements[[#This Row],[Rev. G Bolt-Reinf. Bearing Capacity (Bottom)            No Deformation (kips)]]</f>
        <v>2954.8346456692916</v>
      </c>
      <c r="GT59">
        <f>Reinforcements[[#This Row],[Rev. G Bolt-Reinf. Bearing Capacity (Bottom)               Deformation (kips)]]</f>
        <v>3693.5433070866147</v>
      </c>
      <c r="GU59">
        <f>Reinforcements[[#This Row],[Rev. G Bolt-Reinf. Bearing Capacity (Top)                  No Deformation (kips)]]</f>
        <v>2954.8346456692916</v>
      </c>
      <c r="GV59">
        <f>Reinforcements[[#This Row],[Rev. G Bolt-Reinf. Bearing Capacity (Top)               Deformation (kips)]]</f>
        <v>3693.5433070866147</v>
      </c>
      <c r="GW59" t="str">
        <f>Reinforcements[[#This Row],[Rev. G Bottom Transverse Weld Strength]]</f>
        <v>-</v>
      </c>
      <c r="GX59" t="str">
        <f>Reinforcements[[#This Row],[Rev. G Bottom Longitudinal Weld Strength]]</f>
        <v>-</v>
      </c>
      <c r="GY59" t="str">
        <f>Reinforcements[[#This Row],[Rev. G Top Transverse Weld Strength]]</f>
        <v>-</v>
      </c>
      <c r="GZ59" t="str">
        <f>Reinforcements[[#This Row],[Rev. G Top Longitudinal Weld Strength]]</f>
        <v>-</v>
      </c>
      <c r="HA59">
        <v>57</v>
      </c>
      <c r="HB5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49" t="s">
        <v>418</v>
      </c>
      <c r="C60" s="49" t="s">
        <v>352</v>
      </c>
      <c r="D60" s="6">
        <v>8.5</v>
      </c>
      <c r="E60" s="6">
        <v>1.25</v>
      </c>
      <c r="F60" s="6" t="str">
        <f>IF(Reinforcements[[#This Row],[Type]]="","",IF(Reinforcements[[#This Row],[Type]]="solid round","","n/a"))</f>
        <v>n/a</v>
      </c>
      <c r="G60" s="6" t="str">
        <f>IF(Reinforcements[[#This Row],[Type]]="","",IF(Reinforcements[[#This Row],[Type]]&lt;&gt;"channel","n/a",""))</f>
        <v>n/a</v>
      </c>
      <c r="H60" s="6" t="str">
        <f>IF(Reinforcements[[#This Row],[Type]]="","",IF(Reinforcements[[#This Row],[Type]]&lt;&gt;"channel","n/a",""))</f>
        <v>n/a</v>
      </c>
      <c r="I60" s="126" t="str">
        <f>IF(Reinforcements[[#This Row],[Type]]="","",IF(Reinforcements[[#This Row],[Type]]&lt;&gt;"channel","n/a",Reinforcements[[#This Row],[eo]]))</f>
        <v>n/a</v>
      </c>
      <c r="J60" s="126" t="str">
        <f>IF(Reinforcements[[#This Row],[Type]]="","",IF(Reinforcements[[#This Row],[Type]]&lt;&gt;"channel","n/a",Reinforcements[[#This Row],[J]]))</f>
        <v>n/a</v>
      </c>
      <c r="K60" s="126" t="str">
        <f>IF(Reinforcements[[#This Row],[Type]]="","",IF(Reinforcements[[#This Row],[Type]]&lt;&gt;"channel","n/a",Reinforcements[[#This Row],[Cw]]))</f>
        <v>n/a</v>
      </c>
      <c r="L60" s="6">
        <f>IFERROR(IF(Reinforcements[[#This Row],[Type]]="","",IF(Reinforcements[[#This Row],[Type]]="plate",Reinforcements[[#This Row],[B (in)]]*Reinforcements[[#This Row],[H (in)]],IF(Reinforcements[[#This Row],[Type]]="solid round",PI()/4*Reinforcements[[#This Row],[Diameter (in)]]^2,""))),"")</f>
        <v>10.625</v>
      </c>
      <c r="M60" s="6">
        <f>IFERROR(IF(Reinforcements[[#This Row],[Type]]="","",IF(Reinforcements[[#This Row],[Type]]="plate",Reinforcements[[#This Row],[H (in)]]/2,"")),"")</f>
        <v>0.625</v>
      </c>
      <c r="N60" s="16" t="s">
        <v>353</v>
      </c>
      <c r="O60" s="6" t="s">
        <v>138</v>
      </c>
      <c r="P60" s="123">
        <f>IFERROR(IF(Reinforcements[[#This Row],[Type]]="","",IF(Reinforcements[[#This Row],[Type]]="plate",Reinforcements[[#This Row],[B (in)]]*Reinforcements[[#This Row],[H (in)]]^3/12,IF(Reinforcements[[#This Row],[Type]]="solid round",PI()/64*Reinforcements[[#This Row],[Diameter (in)]]^4,""))),"")</f>
        <v>1.3834635416666667</v>
      </c>
      <c r="Q60" s="123">
        <f>IF(Reinforcements[[#This Row],[Reinforcement]]="","",SQRT(Reinforcements[[#This Row],[Ix]]/Reinforcements[[#This Row],[Gross Area (in2)]]))</f>
        <v>0.36084391824351614</v>
      </c>
      <c r="R60" s="123">
        <f>IFERROR(IF(Reinforcements[[#This Row],[Type]]="","",IF(Reinforcements[[#This Row],[Type]]="plate",Reinforcements[[#This Row],[B (in)]]^3*Reinforcements[[#This Row],[H (in)]]/12,IF(Reinforcements[[#This Row],[Type]]="solid round",PI()/64*Reinforcements[[#This Row],[Diameter (in)]]^4,""))),"")</f>
        <v>63.971354166666664</v>
      </c>
      <c r="S60" s="123">
        <f>IF(Reinforcements[[#This Row],[Reinforcement]]="","",SQRT(Reinforcements[[#This Row],[Iy]]/Reinforcements[[#This Row],[Gross Area (in2)]]))</f>
        <v>2.4537386440559095</v>
      </c>
      <c r="T60" s="6">
        <v>17.25</v>
      </c>
      <c r="U60" s="6">
        <v>0.8</v>
      </c>
      <c r="V60" s="6">
        <v>1</v>
      </c>
      <c r="W60" s="6">
        <v>1.25</v>
      </c>
      <c r="X60" s="6">
        <f>IF(Reinforcements[[#This Row],[Bolt Hole Size (in)]]="","",IF(Reinforcements[[#This Row],[Bolt Hole Size (in)]]="n/a","n/a",Reinforcements[[#This Row],[Bolt Hole Size (in)]]*25.4))</f>
        <v>31.75</v>
      </c>
      <c r="Y6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6">
        <f>IFERROR(IF(Reinforcements[[#This Row],[Reinforcement]]="","",IF(OR(Reinforcements[[#This Row],[Type]]="plate",Reinforcements[[#This Row],[Type]]="solid round"),1,IF(Reinforcements[[#This Row],[Type]]="arbitrary","",1-Reinforcements[[#This Row],[Pole Face to Centroid (in)]]/Reinforcements[[#This Row],[Connection Length (in) '[Channels']]]))),"")</f>
        <v>1</v>
      </c>
      <c r="AA60" s="16" t="s">
        <v>354</v>
      </c>
      <c r="AB60" s="16" t="str">
        <f>IF(Reinforcements[[#This Row],[Reinforcement]]="","",IF(Reinforcements[[#This Row],[Bottom End Connection Type]]&lt;&gt;"Capacity Input","-",""))</f>
        <v>-</v>
      </c>
      <c r="AC60" s="16" t="str">
        <f>IF(Reinforcements[[#This Row],[Reinforcement]]="","",IF(Reinforcements[[#This Row],[Bottom End Connection Type]]&lt;&gt;"Capacity Input","-",""))</f>
        <v>-</v>
      </c>
      <c r="AD60" s="16" t="str">
        <f>IF(Reinforcements[[#This Row],[Reinforcement]]="","",IF(Reinforcements[[#This Row],[Bottom End Connection Type]]&lt;&gt;"Capacity Input","-",""))</f>
        <v>-</v>
      </c>
      <c r="AE60" s="74" t="s">
        <v>355</v>
      </c>
      <c r="AF60" s="6" t="s">
        <v>356</v>
      </c>
      <c r="AG60" s="6">
        <v>15</v>
      </c>
      <c r="AH60" s="6">
        <v>3</v>
      </c>
      <c r="AI60" s="6">
        <v>3</v>
      </c>
      <c r="AJ60" s="6">
        <f>Reinforcements[[#This Row],[End Connection Edge Distance (in) (B)]]-(Reinforcements[[#This Row],[Bolt Hole Size (in)]]+1/16)/2</f>
        <v>2.34375</v>
      </c>
      <c r="AK60" s="6">
        <f>Reinforcements[[#This Row],[End Connection Bolt Spacing (in) (B)]]-(Reinforcements[[#This Row],[Bolt Hole Size (in)]]+1/16)</f>
        <v>1.6875</v>
      </c>
      <c r="AL60" s="6">
        <f>Reinforcements[[#This Row],[End Connection Edge Distance (in) (B)]]</f>
        <v>3</v>
      </c>
      <c r="AM60" s="6">
        <f>Reinforcements[[#This Row],[End Connection Bolt Spacing (in) (B)]]</f>
        <v>3</v>
      </c>
      <c r="AN60" s="6" t="str">
        <f>IF(Reinforcements[[#This Row],[Reinforcement]]="","",IF(OR(Reinforcements[[#This Row],[Bottom End Connection Type]]="Bolted",Reinforcements[[#This Row],[Bottom End Connection Type]]=""),"-",""))</f>
        <v>-</v>
      </c>
      <c r="AO60" s="111" t="str">
        <f>IF(Reinforcements[[#This Row],[Reinforcement]]="","",IF(OR(Reinforcements[[#This Row],[Bottom End Connection Type]]="Bolted",Reinforcements[[#This Row],[Bottom End Connection Type]]=""),"-",""))</f>
        <v>-</v>
      </c>
      <c r="AP60" s="111" t="str">
        <f>IF(Reinforcements[[#This Row],[Reinforcement]]="","",IF(OR(Reinforcements[[#This Row],[Bottom End Connection Type]]="Bolted",Reinforcements[[#This Row],[Bottom End Connection Type]]=""),"-",""))</f>
        <v>-</v>
      </c>
      <c r="AQ60" s="111" t="str">
        <f>IF(OR(Reinforcements[[#This Row],[Bottom End Connection Type]]="Bolted",Reinforcements[[#This Row],[Bottom Transverse (Horizontal) Weld]]="none"),"-","")</f>
        <v>-</v>
      </c>
      <c r="AR6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11" t="str">
        <f>IF(OR(Reinforcements[[#This Row],[Bottom Transverse (Horizontal) Weld]]="none",Reinforcements[[#This Row],[Bottom End Connection Type]]="Bolted"),"-","")</f>
        <v>-</v>
      </c>
      <c r="AU6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11" t="str">
        <f>IF(Reinforcements[[#This Row],[Reinforcement]]="","",IF(OR(Reinforcements[[#This Row],[Bottom End Connection Type]]="Bolted",Reinforcements[[#This Row],[Bottom End Connection Type]]=""),"-",""))</f>
        <v>-</v>
      </c>
      <c r="AW60" s="111" t="str">
        <f>IF(Reinforcements[[#This Row],[Reinforcement]]="","",IF(OR(Reinforcements[[#This Row],[Bottom End Connection Type]]&lt;&gt;"Welded",Reinforcements[[#This Row],[Bottom Longitudinal (Vertical) Weld]]="None",Reinforcements[[#This Row],[Bottom Longitudinal (Vertical) Weld]]=""),"-",""))</f>
        <v>-</v>
      </c>
      <c r="AX60" s="111" t="str">
        <f>IF(Reinforcements[[#This Row],[Reinforcement]]="","",IF(OR(Reinforcements[[#This Row],[Bottom End Connection Type]]&lt;&gt;"Welded",Reinforcements[[#This Row],[Bottom Longitudinal (Vertical) Weld]]="None",Reinforcements[[#This Row],[Bottom Longitudinal (Vertical) Weld]]=""),"-",""))</f>
        <v>-</v>
      </c>
      <c r="AY60" s="6" t="str">
        <f>IF(Reinforcements[[#This Row],[Reinforcement]]="","",IF(OR(Reinforcements[[#This Row],[Bottom End Connection Type]]&lt;&gt;"Welded",Reinforcements[[#This Row],[Bottom Longitudinal (Vertical) Weld]]="None"),"-",SQRT(2)/2*Reinforcements[[#This Row],[Bottom Longitudinal Weld Fillet Size (in)]]))</f>
        <v>-</v>
      </c>
      <c r="AZ60" s="6" t="s">
        <v>357</v>
      </c>
      <c r="BA60" s="16" t="str">
        <f>IF(Reinforcements[[#This Row],[Top End Connection Same?]]="Yes",Reinforcements[[#This Row],[Bottom End Connection Type]],"")</f>
        <v>Bolted</v>
      </c>
      <c r="BB60" s="16" t="str">
        <f>IF(Reinforcements[[#This Row],[Reinforcement]]="","",IF(Reinforcements[[#This Row],[Top End Connection Same?]]="Yes",Reinforcements[[#This Row],[Rev. F Bottom Connection Capacity (kips)]],IF(Reinforcements[[#This Row],[Reinforcement]]="","",IF(Reinforcements[[#This Row],[Top End Connection Type]]&lt;&gt;"Capacity Input","-",""))))</f>
        <v>-</v>
      </c>
      <c r="BC60" s="16" t="str">
        <f>IF(Reinforcements[[#This Row],[Reinforcement]]="","",IF(Reinforcements[[#This Row],[Top End Connection Same?]]="Yes",Reinforcements[[#This Row],[Rev. G Bottom Connection Capacity (kips)]],IF(Reinforcements[[#This Row],[Reinforcement]]="","",IF(Reinforcements[[#This Row],[Top End Connection Type]]&lt;&gt;"Capacity Input","-",""))))</f>
        <v>-</v>
      </c>
      <c r="BD60" s="16" t="str">
        <f>IF(Reinforcements[[#This Row],[Reinforcement]]="","",IF(Reinforcements[[#This Row],[Top End Connection Same?]]="Yes",Reinforcements[[#This Row],[Rev. G Bottom Connection Capacity (kips)]],IF(Reinforcements[[#This Row],[Reinforcement]]="","",IF(Reinforcements[[#This Row],[Top End Connection Type]]&lt;&gt;"Capacity Input","-",""))))</f>
        <v>-</v>
      </c>
      <c r="BE60" s="74" t="str">
        <f>IF(Reinforcements[[#This Row],[Top End Connection Same?]]="Yes",Reinforcements[[#This Row],[Bottom End Connection Bolt Type]],IF(Reinforcements[[#This Row],[Top End Connection Type]]="Welded","-",""))</f>
        <v>PC 8.8 - M20 (100)</v>
      </c>
      <c r="BF60" s="6" t="str">
        <f>IF(Reinforcements[[#This Row],[Top End Connection Same?]]="Yes",Reinforcements[[#This Row],[Threads Included (N) or Excluded (X) (Bottom)]],IF(Reinforcements[[#This Row],[Top End Connection Type]]="Welded","-",""))</f>
        <v>N</v>
      </c>
      <c r="BG60" s="6">
        <f>IF(Reinforcements[[#This Row],[Top End Connection Same?]]="Yes",Reinforcements[[#This Row],['# of End Connection Bolts          (Bottom)]],IF(Reinforcements[[#This Row],[Top End Connection Type]]="Welded","-",""))</f>
        <v>15</v>
      </c>
      <c r="BH60" s="6">
        <f>IF(Reinforcements[[#This Row],[Top End Connection Same?]]="Yes",Reinforcements[[#This Row],[End Connection Bolt Spacing (in) (B)]],IF(Reinforcements[[#This Row],[Top End Connection Type]]="Welded","-",""))</f>
        <v>3</v>
      </c>
      <c r="BI60" s="6">
        <f>IF(Reinforcements[[#This Row],[Top End Connection Same?]]="Yes",Reinforcements[[#This Row],[End Connection Edge Distance (in) (B)]],IF(Reinforcements[[#This Row],[Top End Connection Type]]="Welded","-",""))</f>
        <v>3</v>
      </c>
      <c r="BJ60" s="6">
        <f>Reinforcements[[#This Row],[End Connection Edge Distance (in) (T)]]-(Reinforcements[[#This Row],[Bolt Hole Size (in)]]+1/16)/2</f>
        <v>2.34375</v>
      </c>
      <c r="BK60" s="6">
        <f>Reinforcements[[#This Row],[End Connection Bolt Spacing (in) (T)]]-(Reinforcements[[#This Row],[Bolt Hole Size (in)]]+1/16)</f>
        <v>1.6875</v>
      </c>
      <c r="BL60" s="6">
        <f>Reinforcements[[#This Row],[End Connection Edge Distance (in) (T)]]</f>
        <v>3</v>
      </c>
      <c r="BM60" s="6">
        <f>Reinforcements[[#This Row],[End Connection Bolt Spacing (in) (T)]]</f>
        <v>3</v>
      </c>
      <c r="BN60" s="6" t="str">
        <f>IF(Reinforcements[[#This Row],[Reinforcement]]="","",IF(Reinforcements[[#This Row],[Top End Connection Same?]]="Yes",Reinforcements[[#This Row],[Bottom Connected to Flange/Base Plate?]],IF(Reinforcements[[#This Row],[Top End Connection Type]]="Bolted","-","")))</f>
        <v>-</v>
      </c>
      <c r="BO60" s="6" t="str">
        <f>IF(Reinforcements[[#This Row],[Reinforcement]]="","",IF(Reinforcements[[#This Row],[Top End Connection Same?]]="Yes",Reinforcements[[#This Row],[Bottom Weld Grade (ksi)]],IF(OR(Reinforcements[[#This Row],[Top End Connection Type]]&lt;&gt;"Welded",Reinforcements[[#This Row],[Top End Connection Type]]=""),"-","")))</f>
        <v>-</v>
      </c>
      <c r="BP60" s="6" t="str">
        <f>IF($AZ60="Yes",AP60,IF(Reinforcements[[#This Row],[Reinforcement]]="","",IF(OR(Reinforcements[[#This Row],[Top End Connection Type]]&lt;&gt;"Welded",Reinforcements[[#This Row],[Top End Connection Type]]=""),"-","")))</f>
        <v>-</v>
      </c>
      <c r="BQ60" s="6" t="str">
        <f>IF(Reinforcements[[#This Row],[Reinforcement]]="","",IF($AZ60="Yes",AQ60,IF(OR(Reinforcements[[#This Row],[Top End Connection Type]]&lt;&gt;"Welded",Reinforcements[[#This Row],[Top Transverse (Horizontal) Weld]]="none",Reinforcements[[#This Row],[Top Transverse (Horizontal) Weld]]=""),"-","")))</f>
        <v>-</v>
      </c>
      <c r="BR60" s="6"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6"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6" t="str">
        <f>IF(Reinforcements[[#This Row],[Reinforcement]]="","",IF($AZ60="Yes",AT60,IF(OR(Reinforcements[[#This Row],[Top Transverse (Horizontal) Weld]]="none",Reinforcements[[#This Row],[Top End Connection Type]]&lt;&gt;"Welded",Reinforcements[[#This Row],[Top Transverse (Horizontal) Weld]]=""),"-","")))</f>
        <v>-</v>
      </c>
      <c r="BU60" s="6"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6" t="str">
        <f>IF($AZ60="Yes",AV60,IF(Reinforcements[[#This Row],[Reinforcement]]="","",IF(OR(Reinforcements[[#This Row],[Top End Connection Type]]&lt;&gt;"Welded",Reinforcements[[#This Row],[Top End Connection Type]]=""),"-","")))</f>
        <v>-</v>
      </c>
      <c r="BW60" s="6"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6"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6" t="str">
        <f>IF($AZ60="Yes",AY60,IF(Reinforcements[[#This Row],[Reinforcement]]="","",IF(OR(Reinforcements[[#This Row],[Top End Connection Type]]&lt;&gt;"Welded",Reinforcements[[#This Row],[Top Longitudinal (Vertical) Weld]]="none"),"-",SQRT(2)/2*Reinforcements[[#This Row],[Top Longitudinal Weld Fillet Size (in)]])))</f>
        <v>-</v>
      </c>
      <c r="BZ6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11">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11">
        <f>IF(Reinforcements[[#This Row],[Reinforcement]]="","",IF(Reinforcements[[#This Row],[Top End Connection Type]]&lt;&gt;"Bolted","n/a",(Reinforcements[[#This Row],['# of End Connection Bolts          (Top)]]-1)*Reinforcements[[#This Row],[End Connection Bolt Spacing (in) (T)]]+Reinforcements[[#This Row],[End Connection Edge Distance (in) (T)]]))</f>
        <v>45</v>
      </c>
      <c r="CC6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6">
        <f>IFERROR(IF(Reinforcements[[#This Row],[Type]]="","",Reinforcements[[#This Row],[Effective B (in)]]*Reinforcements[[#This Row],[Effective H (in)]]^3/12),"")</f>
        <v>1.3834635416666667</v>
      </c>
      <c r="CF60" s="6">
        <f>IFERROR(IF(Reinforcements[[#This Row],[Type]]="","",Reinforcements[[#This Row],[Effective B (in)]]^3*Reinforcements[[#This Row],[Effective H (in)]]/12),"")</f>
        <v>63.971354166666664</v>
      </c>
      <c r="CG60" s="126">
        <f>SQRT(2*PI()^2*29000/VLOOKUP(Reinforcements[[#This Row],[Material]],Materials[],2,FALSE))</f>
        <v>93.844147005158973</v>
      </c>
      <c r="CH6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123">
        <f>Reinforcements[[#This Row],[Effective Length Factor Kx]]*Reinforcements[[#This Row],[Lu (in)]]/(Reinforcements[[#This Row],[rx]]*PI())*SQRT(VLOOKUP(Reinforcements[[#This Row],[Material]],Materials[],2,FALSE)/29000)</f>
        <v>0.57632505858547911</v>
      </c>
      <c r="CK60" s="123">
        <f>Reinforcements[[#This Row],[Effective Length Factor Ky]]*Reinforcements[[#This Row],[Lu (in)]]/(Reinforcements[[#This Row],[ry]]*PI())*SQRT(VLOOKUP(Reinforcements[[#This Row],[Material]],Materials[],2,FALSE)/29000)</f>
        <v>0.10594210635762485</v>
      </c>
      <c r="CL60" s="123">
        <f>IF(Reinforcements[[#This Row],[λcx]]&lt;=1.5,0.658^(Reinforcements[[#This Row],[λcx]]^2)*Reinforcements[[#This Row],[F''y]],0.877/(Reinforcements[[#This Row],[λcx]]^2)*Reinforcements[[#This Row],[F''y]])</f>
        <v>56.563592264529326</v>
      </c>
      <c r="CM60" s="123">
        <f>IF(Reinforcements[[#This Row],[λcy]]&lt;=1.5,0.658^(Reinforcements[[#This Row],[λcy]]^2)*Reinforcements[[#This Row],[F''y]],0.877/(Reinforcements[[#This Row],[λcy]]^2)*Reinforcements[[#This Row],[F''y]])</f>
        <v>64.695365856194599</v>
      </c>
      <c r="CN60" s="6">
        <f>VLOOKUP(Reinforcements[[#This Row],[Material]],Materials[],2,FALSE)</f>
        <v>65</v>
      </c>
      <c r="CO60" s="126">
        <f>IF(Reinforcements[[#This Row],[Reinforcement]]="","",Reinforcements[[#This Row],[Fax]]*Reinforcements[[#This Row],[Gross Area (in2)]])</f>
        <v>349.67826799046884</v>
      </c>
      <c r="CP60" s="126">
        <f>IF(Reinforcements[[#This Row],[Reinforcement]]="","",Reinforcements[[#This Row],[Fay]]*Reinforcements[[#This Row],[Gross Area (in2)]])</f>
        <v>406.37552896811314</v>
      </c>
      <c r="CQ60" s="126">
        <f>IF(Reinforcements[[#This Row],[Reinforcement]]="","",0.6*VLOOKUP(Reinforcements[[#This Row],[Material]],Materials[],2,FALSE)*Reinforcements[[#This Row],[Gross Area (in2)]])</f>
        <v>414.375</v>
      </c>
      <c r="CR60" s="126">
        <f>IF(Reinforcements[[#This Row],[Reinforcement]]="","",0.5*VLOOKUP(Reinforcements[[#This Row],[Material]],Materials[],3,FALSE)*Reinforcements[[#This Row],[Net Area (in2)]]*Reinforcements[[#This Row],[Shear Lag (U)]])</f>
        <v>359.375</v>
      </c>
      <c r="CS60" s="126">
        <f>IF(Reinforcements[[#This Row],[Reinforcement]]="","",0.4*VLOOKUP(Reinforcements[[#This Row],[Material]],Materials[],2,FALSE)*Reinforcements[[#This Row],[Gross Area (in2)]])</f>
        <v>276.25</v>
      </c>
      <c r="CT60"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6"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6"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126">
        <f>IF(Reinforcements[[#This Row],[Reinforcement]]="","",φ_c*Reinforcements[[#This Row],[Fcr,x]]*Reinforcements[[#This Row],[Gross Area (in2)]])</f>
        <v>540.88935102956168</v>
      </c>
      <c r="DI60" s="126">
        <f>IF(Reinforcements[[#This Row],[Reinforcement]]="","",φ_c*Reinforcements[[#This Row],[Fcr,y]]*Reinforcements[[#This Row],[Gross Area (in2)]])</f>
        <v>618.64943599986088</v>
      </c>
      <c r="DJ60" s="126">
        <f>IF(Reinforcements[[#This Row],[Reinforcement]]="","",φ_t_y*VLOOKUP(Reinforcements[[#This Row],[Material]],Materials[],2,FALSE)*Reinforcements[[#This Row],[Gross Area (in2)]])</f>
        <v>621.5625</v>
      </c>
      <c r="DK60" s="126">
        <f>IF(Reinforcements[[#This Row],[Reinforcement]]="","",φ_t_r*VLOOKUP(Reinforcements[[#This Row],[Material]],Materials[],3,FALSE)*Reinforcements[[#This Row],[Net Area (in2)]]*Reinforcements[[#This Row],[Shear Lag (U)]])</f>
        <v>539.0625</v>
      </c>
      <c r="DL60" s="126">
        <f>IF(Reinforcements[[#This Row],[Reinforcement]]="","",φ_v*0.5*Reinforcements[[#This Row],[F''y]]*Reinforcements[[#This Row],[Gross Area (in2)]])</f>
        <v>310.78125</v>
      </c>
      <c r="DM60"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6"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6"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111" t="str">
        <f>IF(OR(Reinforcements[[#This Row],[Type]]="plate",Reinforcements[[#This Row],[Type]]="solid round"),"N/A",Reinforcements[[#This Row],[B (in)]])</f>
        <v>N/A</v>
      </c>
      <c r="EB60" s="6" t="str">
        <f>IF(OR(Reinforcements[[#This Row],[Type]]="plate",Reinforcements[[#This Row],[Type]]="solid round"),"N/A",Reinforcements[[#This Row],[H (in)]])</f>
        <v>N/A</v>
      </c>
      <c r="EC60" s="6" t="str">
        <f>IF(OR(Reinforcements[[#This Row],[Type]]="plate",Reinforcements[[#This Row],[Type]]="solid round"),"N/A",Reinforcements[[#This Row],[B (in)]]-Reinforcements[[#This Row],['[Channel'] Flange Thickness (in)]])</f>
        <v>N/A</v>
      </c>
      <c r="ED60" s="6" t="str">
        <f>IF(OR(Reinforcements[[#This Row],[Type]]="plate",Reinforcements[[#This Row],[Type]]="solid round"),"N/A",Reinforcements[[#This Row],['[Channel']Web Thickness (in)]])</f>
        <v>N/A</v>
      </c>
      <c r="EE60" s="6" t="str">
        <f>IF(OR(Reinforcements[[#This Row],[Type]]="plate",Reinforcements[[#This Row],[Type]]="solid round"),"N/A",Reinforcements[[#This Row],['[Channel'] Flange Thickness (in)]])</f>
        <v>N/A</v>
      </c>
      <c r="EF60" s="6" t="str">
        <f>IF(Reinforcements[[#This Row],[Type]]="channel",Reinforcements[[#This Row],[Channel Flange Width, b]]/Reinforcements[[#This Row],[Channel flange thickness, tf]],"N/A")</f>
        <v>N/A</v>
      </c>
      <c r="EG60" s="6" t="str">
        <f>IF(Reinforcements[[#This Row],[Type]]="channel",Reinforcements[[#This Row],[Channel inside depth, T]]/Reinforcements[[#This Row],[Channel web thickness, tw]],"N/A")</f>
        <v>N/A</v>
      </c>
      <c r="EH60" s="6">
        <f>29000</f>
        <v>29000</v>
      </c>
      <c r="EI60" s="6" t="str">
        <f>IF(Reinforcements[[#This Row],[Type]]="channel",0.56*SQRT(Reinforcements[[#This Row],[E, (ksi)]]/Reinforcements[[#This Row],[Fy, (ksi)]]),"N/A")</f>
        <v>N/A</v>
      </c>
      <c r="EJ60" s="6" t="str">
        <f>IF(Reinforcements[[#This Row],[Type]]="channel",1.49*SQRT(Reinforcements[[#This Row],[E, (ksi)]]/Reinforcements[[#This Row],[Fy, (ksi)]]),"N/A")</f>
        <v>N/A</v>
      </c>
      <c r="EK60" s="6">
        <f>VLOOKUP(Reinforcements[[#This Row],[Material]],Materials!$B$2:$C$30,2,FALSE)</f>
        <v>65</v>
      </c>
      <c r="EL60" s="6">
        <f>Reinforcements[[#This Row],[Lu (in)]]*Reinforcements[[#This Row],[Effective Length Factor Kx]]</f>
        <v>13.8</v>
      </c>
      <c r="EM60" s="6">
        <f>Reinforcements[[#This Row],[Lu (in)]]*Reinforcements[[#This Row],[Effective Length Factor Ky]]</f>
        <v>17.25</v>
      </c>
      <c r="EN60" s="6">
        <f>Reinforcements[[#This Row],[rx]]</f>
        <v>0.36084391824351614</v>
      </c>
      <c r="EO60" s="6">
        <f>Reinforcements[[#This Row],[ry]]</f>
        <v>2.4537386440559095</v>
      </c>
      <c r="EP60" s="6">
        <f>Reinforcements[[#This Row],[Lcx (in)]]/Reinforcements[[#This Row],[rx (in)]]</f>
        <v>38.24368183112081</v>
      </c>
      <c r="EQ60" s="6">
        <f>Reinforcements[[#This Row],[Lcy (in)]]/Reinforcements[[#This Row],[ry (in)]]</f>
        <v>7.0300885718972079</v>
      </c>
      <c r="ER60" s="6">
        <f>((PI()^2)*Reinforcements[[#This Row],[E, (ksi)]])/(Reinforcements[[#This Row],[Lcx/rx]]^2)</f>
        <v>195.69437855508363</v>
      </c>
      <c r="ES60" s="6">
        <f>((PI()^2)*Reinforcements[[#This Row],[E, (ksi)]])/(Reinforcements[[#This Row],[Lcy/ry]]^2)</f>
        <v>5791.3011612077225</v>
      </c>
      <c r="ET60" s="6">
        <f>4.71*(SQRT(Reinforcements[[#This Row],[E, (ksi)]]/Reinforcements[[#This Row],[Fy, (ksi)]]))</f>
        <v>99.486288193205496</v>
      </c>
      <c r="EU60" s="6">
        <f>IF(Reinforcements[[#This Row],[Lcx/rx]]&lt;=Reinforcements[[#This Row],[Fcr Limit]],(0.658^(Reinforcements[[#This Row],[Fy, (ksi)]]/Reinforcements[[#This Row],[Fex, FB (ksi)]]))*Reinforcements[[#This Row],[Fy, (ksi)]],0.877*Reinforcements[[#This Row],[Fex, FB (ksi)]])</f>
        <v>56.563592264529319</v>
      </c>
      <c r="EV60" s="6">
        <f>IF(Reinforcements[[#This Row],[Lcy/ry]]&lt;=Reinforcements[[#This Row],[Fcr Limit]],(0.658^(Reinforcements[[#This Row],[Fy, (ksi)]]/Reinforcements[[#This Row],[Fey, FB (ksi)]]))*Reinforcements[[#This Row],[Fy, (ksi)]],0.877*Reinforcements[[#This Row],[Fey, FB (ksi)]])</f>
        <v>64.695365856194599</v>
      </c>
      <c r="EW60" s="6">
        <f>Reinforcements[[#This Row],[Fcrx (ksi)]]*Reinforcements[[#This Row],[Gross Area (in2)]]</f>
        <v>600.98816781062396</v>
      </c>
      <c r="EX60" s="6">
        <f>Reinforcements[[#This Row],[Fcry (ksi)]]*Reinforcements[[#This Row],[Gross Area (in2)]]</f>
        <v>687.38826222206762</v>
      </c>
      <c r="EY60" s="6" t="str">
        <f>IF(Reinforcements[[#This Row],[Type]]="channel",0,"N/A")</f>
        <v>N/A</v>
      </c>
      <c r="EZ60" s="6" t="str">
        <f>IF(Reinforcements[[#This Row],[Type]]="channel",Reinforcements[[#This Row],[Channel Flange Width, b]]-(0.5*Reinforcements[[#This Row],[Channel web thickness, tw]]),"N/A")</f>
        <v>N/A</v>
      </c>
      <c r="FA60" s="6" t="str">
        <f>IF(Reinforcements[[#This Row],[Type]]="channel",Reinforcements[[#This Row],[Channel Height, h]]-Reinforcements[[#This Row],[Channel flange thickness, tf]],"N/A")</f>
        <v>N/A</v>
      </c>
      <c r="FB60" s="6" t="str">
        <f>IF(Reinforcements[[#This Row],[Type]]="channel",Reinforcements[[#This Row],[Channel web thickness, tw]],"N/A")</f>
        <v>N/A</v>
      </c>
      <c r="FC60" s="6" t="str">
        <f>IF(Reinforcements[[#This Row],[Type]]="channel",((3*Reinforcements[[#This Row],[b]]^2)/(Reinforcements[[#This Row],[h]]+(6*Reinforcements[[#This Row],[b]])))-Reinforcements[[#This Row],[t]]/2,"N/A")</f>
        <v>N/A</v>
      </c>
      <c r="FD60" s="6">
        <f>Reinforcements[[#This Row],[Pole Face to Centroid (in)]]</f>
        <v>0.625</v>
      </c>
      <c r="FE60" s="6" t="str">
        <f>IF(Reinforcements[[#This Row],[Type]]="channel",Reinforcements[[#This Row],[x(bar)]]+Reinforcements[[#This Row],['[Channel'] e0 (in)]],"N/A")</f>
        <v>N/A</v>
      </c>
      <c r="FF60" s="6" t="str">
        <f>IF(Reinforcements[[#This Row],[Type]]="channel",Reinforcements[[#This Row],[Ix]],"N/A")</f>
        <v>N/A</v>
      </c>
      <c r="FG60" s="6" t="str">
        <f>IF(Reinforcements[[#This Row],[Type]]="channel",Reinforcements[[#This Row],[Iy]],"N/A")</f>
        <v>N/A</v>
      </c>
      <c r="FH60" s="6" t="str">
        <f>IF(Reinforcements[[#This Row],[Type]]="channel",Reinforcements[[#This Row],[Gross Area (in2)]],"N/A")</f>
        <v>N/A</v>
      </c>
      <c r="FI60" s="6" t="str">
        <f>IF(Reinforcements[[#This Row],[Type]]="channel",(Reinforcements[[#This Row],[xo]]^2)+((Reinforcements[[#This Row],[Ix (FTB)]]+Reinforcements[[#This Row],[Iy (FTB)]])/Reinforcements[[#This Row],[Ag]]),"N/A")</f>
        <v>N/A</v>
      </c>
      <c r="FJ60" s="6" t="str">
        <f>IF(Reinforcements[[#This Row],[Type]]="channel",Reinforcements[[#This Row],[Lu (in)]],"N/A")</f>
        <v>N/A</v>
      </c>
      <c r="FK60" s="6" t="str">
        <f>IF(Reinforcements[[#This Row],[Type]]="channel",Reinforcements[[#This Row],[Effective Length Factor Kx]],"N/A")</f>
        <v>N/A</v>
      </c>
      <c r="FL60" s="6" t="str">
        <f>IF(Reinforcements[[#This Row],[Type]]="channel",Reinforcements[[#This Row],[Kz]]*Reinforcements[[#This Row],[Lz]],"N/A")</f>
        <v>N/A</v>
      </c>
      <c r="FM60" s="6" t="str">
        <f>IF(Reinforcements[[#This Row],[Type]]="channel",(((Reinforcements[[#This Row],[t]]^3)/3)*(Reinforcements[[#This Row],[h]]+(2*Reinforcements[[#This Row],[b]]))),"N/A")</f>
        <v>N/A</v>
      </c>
      <c r="FN60" s="6" t="str">
        <f>IF(Reinforcements[[#This Row],[Type]]="channel",(1-(((Reinforcements[[#This Row],[xo]]^2)+(Reinforcements[[#This Row],[yo]]^2))/Reinforcements[[#This Row],[ro^2(bar)]])),"N/A")</f>
        <v>N/A</v>
      </c>
      <c r="FO60" s="6">
        <v>11200</v>
      </c>
      <c r="FP60" s="6" t="str">
        <f>IF(Reinforcements[[#This Row],[Type]]="channel",(((Reinforcements[[#This Row],[h]]^2)*(Reinforcements[[#This Row],[b]]^3)*Reinforcements[[#This Row],[t]])/12)*(((2*Reinforcements[[#This Row],[h]])+(3*Reinforcements[[#This Row],[b]]))/(Reinforcements[[#This Row],[h]]+(6*Reinforcements[[#This Row],[b]]))),"N/A")</f>
        <v>N/A</v>
      </c>
      <c r="FQ60" s="6" t="str">
        <f>IF(Reinforcements[[#This Row],[Type]]="Channel",((((PI()^2)*Reinforcements[[#This Row],[E, (ksi)]]*Reinforcements[[#This Row],['[Channel'] CW (in6)]])/(Reinforcements[[#This Row],[Lcz]]^2))+(Reinforcements[[#This Row],[G]]*Reinforcements[[#This Row],['[Channel'] J (in4)]]))*(1/(Reinforcements[[#This Row],[Ag]]*Reinforcements[[#This Row],[ro^2(bar)]])),"N/A")</f>
        <v>N/A</v>
      </c>
      <c r="FR60" s="6" t="str">
        <f>IF(Reinforcements[[#This Row],[Type]]="channel",((PI()^2)*Reinforcements[[#This Row],[E, (ksi)]])/(Reinforcements[[#This Row],[Lcy/ry]]^2),"N/A")</f>
        <v>N/A</v>
      </c>
      <c r="FS60" s="6" t="str">
        <f>IF(Reinforcements[[#This Row],[Type]]="channel",((Reinforcements[[#This Row],[Fey]]+Reinforcements[[#This Row],[Fez]])/(2*Reinforcements[[#This Row],[H2]]))*(1-SQRT(1-((4*Reinforcements[[#This Row],[Fey]]*Reinforcements[[#This Row],[Fez]]*Reinforcements[[#This Row],[H2]])/(Reinforcements[[#This Row],[Fey]]+Reinforcements[[#This Row],[Fez]])^2))),"N/A")</f>
        <v>N/A</v>
      </c>
      <c r="FT60" s="6" t="str">
        <f>IF(Reinforcements[[#This Row],[Type]]="channel",IF(Reinforcements[[#This Row],[Lcx/rx]]&gt;(4.71*SQRT(Reinforcements[[#This Row],[E, (ksi)]]/Reinforcements[[#This Row],[Fy, (ksi)]])),0.877*Reinforcements[[#This Row],[Fe (FTB)]],0.658^(Reinforcements[[#This Row],[Fy, (ksi)]]/Reinforcements[[#This Row],[Fe (FTB)]])*Reinforcements[[#This Row],[Fy, (ksi)]]),"N/A")</f>
        <v>N/A</v>
      </c>
      <c r="FU60" s="6" t="str">
        <f>IF(Reinforcements[[#This Row],[Type]]="channel",MIN(Reinforcements[[#This Row],[Fcr(FTB)]],Reinforcements[[#This Row],[Fcry (ksi)]]),"N/A")</f>
        <v>N/A</v>
      </c>
      <c r="FV60" s="6">
        <v>0.22</v>
      </c>
      <c r="FW60" s="6">
        <v>1.49</v>
      </c>
      <c r="FX60" s="6" t="str">
        <f>IF(Reinforcements[[#This Row],[Type]]="channel",((Reinforcements[[#This Row],[c2]]*(Reinforcements[[#This Row],[λrf]]/Reinforcements[[#This Row],[λf]]))^2)*Reinforcements[[#This Row],[Fy, (ksi)]],"N/A")</f>
        <v>N/A</v>
      </c>
      <c r="FY60" s="6" t="str">
        <f>IF(Reinforcements[[#This Row],[Type]]="channel",((Reinforcements[[#This Row],[c2]]*(Reinforcements[[#This Row],[λrw]]/Reinforcements[[#This Row],[λw]]))^2)*Reinforcements[[#This Row],[Fy, (ksi)]],"N/A")</f>
        <v>N/A</v>
      </c>
      <c r="FZ6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6" t="str">
        <f>IF(Reinforcements[[#This Row],[Type]]="channel",Reinforcements[[#This Row],[Fcr]]*Reinforcements[[#This Row],[Ae]],"N/A")</f>
        <v>N/A</v>
      </c>
      <c r="GD60">
        <f>IF(Reinforcements[[#This Row],[Reinforcement]]="","",φ_c*Reinforcements[[#This Row],[Pnx, FB (kip)]])</f>
        <v>540.88935102956157</v>
      </c>
      <c r="GE60">
        <f>IF(Reinforcements[[#This Row],[Reinforcement]]="","",IF(Reinforcements[[#This Row],[Type]]="channel",φ_c*Reinforcements[[#This Row],[Pn]],φ_c*Reinforcements[[#This Row],[Pny, FB (kip)]]))</f>
        <v>618.64943599986088</v>
      </c>
      <c r="GF60">
        <f>Reinforcements[[#This Row],[Rev. G Tension Yield Capacity (kips)]]</f>
        <v>621.5625</v>
      </c>
      <c r="GG60">
        <f>Reinforcements[[#This Row],[Rev. G Tension Rupture Capacity (kips)]]</f>
        <v>539.0625</v>
      </c>
      <c r="GH60">
        <f>Reinforcements[[#This Row],[Rev. G Shear Capacity (kips)]]</f>
        <v>310.78125</v>
      </c>
      <c r="GI60">
        <f>IFERROR((Reinforcements[[#This Row],['# of End Connection Bolts          (Bottom)]]-1)*Reinforcements[[#This Row],[End Connection Bolt Spacing (in) (B)]],"-")</f>
        <v>42</v>
      </c>
      <c r="GJ60">
        <f>IFERROR(IF(VLOOKUP(Reinforcements[[#This Row],[Bottom End Connection Bolt Type]],Bolts[],COLUMN(Bolts[[#Headers],[Rev. H Apply Connection Length Reduction Factor (Rb)?]])-1,FALSE)="Yes",(IF(Reinforcements[[#This Row],[Lb(bottom)]]&lt;=16,1,IF(Reinforcements[[#This Row],[Lb(bottom)]]&gt;38,0.75,0.9))),1),"-")</f>
        <v>1</v>
      </c>
      <c r="GK6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f>IFERROR(IF(Reinforcements[[#This Row],[Top End Connection Same?]]="Yes",Reinforcements[[#This Row],[Lb(bottom)]],(Reinforcements[[#This Row],['# of End Connection Bolts          (Top)]]-1)*Reinforcements[[#This Row],[End Connection Bolt Spacing (in) (T)]]),"-")</f>
        <v>42</v>
      </c>
      <c r="GM60">
        <f>IFERROR(IF(VLOOKUP(Reinforcements[[#This Row],[Top End Connection Bolt Type]],Bolts[],COLUMN(Bolts[[#Headers],[Rev. H Apply Connection Length Reduction Factor (Rb)?]])-1,FALSE)=TRUE,(IF(Reinforcements[[#This Row],[Lb(top)]]&lt;=16,1,IF(Reinforcements[[#This Row],[Lb(top)]]&gt;38,0.75,0.9))),1),"-")</f>
        <v>0.75</v>
      </c>
      <c r="GN6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f>Reinforcements[[#This Row],[Rev. G Bolt-Shaft Bearing Capacity (Bottom)                No Deformation          (*t*Fu kips)]]</f>
        <v>28.708346456692915</v>
      </c>
      <c r="GP60">
        <f>Reinforcements[[#This Row],[Rev. G Bolt-Shaft Bearing Capacity (Bottom)                   Deformation          (*t*Fu kips)]]</f>
        <v>35.885433070866149</v>
      </c>
      <c r="GQ60">
        <f>Reinforcements[[#This Row],[Rev. G Bolt-Shaft Bearing Capacity (Top)                    No Deformation          (*t*Fu kips)]]</f>
        <v>28.708346456692915</v>
      </c>
      <c r="GR60">
        <f>Reinforcements[[#This Row],[Rev. G Bolt-Shaft Bearing Capacity (Top)                        Deformation          (*t*Fu kips)]]</f>
        <v>35.885433070866149</v>
      </c>
      <c r="GS60">
        <f>Reinforcements[[#This Row],[Rev. G Bolt-Reinf. Bearing Capacity (Bottom)            No Deformation (kips)]]</f>
        <v>2870.8346456692907</v>
      </c>
      <c r="GT60">
        <f>Reinforcements[[#This Row],[Rev. G Bolt-Reinf. Bearing Capacity (Bottom)               Deformation (kips)]]</f>
        <v>3588.5433070866147</v>
      </c>
      <c r="GU60">
        <f>Reinforcements[[#This Row],[Rev. G Bolt-Reinf. Bearing Capacity (Top)                  No Deformation (kips)]]</f>
        <v>2870.8346456692907</v>
      </c>
      <c r="GV60">
        <f>Reinforcements[[#This Row],[Rev. G Bolt-Reinf. Bearing Capacity (Top)               Deformation (kips)]]</f>
        <v>3588.5433070866147</v>
      </c>
      <c r="GW60" t="str">
        <f>Reinforcements[[#This Row],[Rev. G Bottom Transverse Weld Strength]]</f>
        <v>-</v>
      </c>
      <c r="GX60" t="str">
        <f>Reinforcements[[#This Row],[Rev. G Bottom Longitudinal Weld Strength]]</f>
        <v>-</v>
      </c>
      <c r="GY60" t="str">
        <f>Reinforcements[[#This Row],[Rev. G Top Transverse Weld Strength]]</f>
        <v>-</v>
      </c>
      <c r="GZ60" t="str">
        <f>Reinforcements[[#This Row],[Rev. G Top Longitudinal Weld Strength]]</f>
        <v>-</v>
      </c>
      <c r="HA60">
        <v>58</v>
      </c>
      <c r="HB6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695" t="s">
        <v>2597</v>
      </c>
      <c r="C61" s="695" t="s">
        <v>399</v>
      </c>
      <c r="D61" s="695">
        <v>5.33</v>
      </c>
      <c r="E61" s="695">
        <v>2.09</v>
      </c>
      <c r="F61" s="695" t="s">
        <v>2605</v>
      </c>
      <c r="G61" s="695">
        <v>0.5</v>
      </c>
      <c r="H61" s="695">
        <v>0.91</v>
      </c>
      <c r="I61" s="695">
        <v>0.41</v>
      </c>
      <c r="J61" s="695">
        <v>0.34</v>
      </c>
      <c r="K61" s="695">
        <v>4.71</v>
      </c>
      <c r="L61" s="695">
        <v>5.65</v>
      </c>
      <c r="M61" s="695">
        <v>0.79</v>
      </c>
      <c r="N61" s="695" t="s">
        <v>353</v>
      </c>
      <c r="O61" s="695" t="s">
        <v>138</v>
      </c>
      <c r="P61" s="695">
        <v>2.15</v>
      </c>
      <c r="Q61" s="695">
        <v>0.61687192629534326</v>
      </c>
      <c r="R61" s="695">
        <v>20.79</v>
      </c>
      <c r="S61" s="695">
        <v>1.9182403440911973</v>
      </c>
      <c r="T61" s="695">
        <v>18</v>
      </c>
      <c r="U61" s="695">
        <v>0.8</v>
      </c>
      <c r="V61" s="695">
        <v>1</v>
      </c>
      <c r="W61" s="695">
        <v>1.25</v>
      </c>
      <c r="X61" s="695">
        <v>31.75</v>
      </c>
      <c r="Y61" s="695">
        <v>4.9937500000000004</v>
      </c>
      <c r="Z61" s="695">
        <v>0.97074099999999997</v>
      </c>
      <c r="AA61" s="695" t="s">
        <v>382</v>
      </c>
      <c r="AB61" s="695" t="s">
        <v>457</v>
      </c>
      <c r="AC61" s="695" t="s">
        <v>457</v>
      </c>
      <c r="AD61" s="695" t="s">
        <v>457</v>
      </c>
      <c r="AE61" s="695" t="s">
        <v>457</v>
      </c>
      <c r="AF61" s="695" t="s">
        <v>457</v>
      </c>
      <c r="AG61" s="695" t="s">
        <v>457</v>
      </c>
      <c r="AH61" s="695" t="s">
        <v>457</v>
      </c>
      <c r="AI61" s="695" t="s">
        <v>457</v>
      </c>
      <c r="AJ61" s="695" t="s">
        <v>2615</v>
      </c>
      <c r="AK61" s="695" t="s">
        <v>2615</v>
      </c>
      <c r="AL61" s="695" t="s">
        <v>457</v>
      </c>
      <c r="AM61" s="695" t="s">
        <v>457</v>
      </c>
      <c r="AN61" s="695" t="s">
        <v>353</v>
      </c>
      <c r="AO61" s="695">
        <v>80</v>
      </c>
      <c r="AP61" s="695" t="s">
        <v>384</v>
      </c>
      <c r="AQ61" s="695"/>
      <c r="AR61" s="695"/>
      <c r="AS61" s="695"/>
      <c r="AT61" s="695"/>
      <c r="AU61" s="695"/>
      <c r="AV61" s="695" t="s">
        <v>2616</v>
      </c>
      <c r="AW61" s="695">
        <v>20</v>
      </c>
      <c r="AX61" s="695">
        <v>0.375</v>
      </c>
      <c r="AY61" s="695">
        <v>0.26516504293999998</v>
      </c>
      <c r="AZ61" s="695" t="s">
        <v>353</v>
      </c>
      <c r="BA61" s="695" t="s">
        <v>354</v>
      </c>
      <c r="BB61" s="695" t="s">
        <v>457</v>
      </c>
      <c r="BC61" s="695" t="s">
        <v>457</v>
      </c>
      <c r="BD61" s="695" t="s">
        <v>457</v>
      </c>
      <c r="BE61" s="695" t="s">
        <v>355</v>
      </c>
      <c r="BF61" s="695" t="s">
        <v>356</v>
      </c>
      <c r="BG61" s="695">
        <v>10</v>
      </c>
      <c r="BH61" s="695">
        <v>3</v>
      </c>
      <c r="BI61" s="695">
        <v>2</v>
      </c>
      <c r="BJ61" s="695">
        <v>1.34375</v>
      </c>
      <c r="BK61" s="695">
        <v>1.6875</v>
      </c>
      <c r="BL61" s="695">
        <v>2</v>
      </c>
      <c r="BM61" s="695">
        <v>3</v>
      </c>
      <c r="BN61" s="695" t="s">
        <v>457</v>
      </c>
      <c r="BO61" s="695"/>
      <c r="BP61" s="695" t="s">
        <v>457</v>
      </c>
      <c r="BQ61" s="695" t="s">
        <v>457</v>
      </c>
      <c r="BR61" s="695" t="s">
        <v>457</v>
      </c>
      <c r="BS61" s="695" t="s">
        <v>457</v>
      </c>
      <c r="BT61" s="695" t="s">
        <v>457</v>
      </c>
      <c r="BU61" s="695" t="s">
        <v>457</v>
      </c>
      <c r="BV61" s="695" t="s">
        <v>457</v>
      </c>
      <c r="BW61" s="695"/>
      <c r="BX61" s="695"/>
      <c r="BY61" s="695"/>
      <c r="BZ61" s="695" t="s">
        <v>2605</v>
      </c>
      <c r="CA61" s="695" t="s">
        <v>2605</v>
      </c>
      <c r="CB61" s="695">
        <v>29</v>
      </c>
      <c r="CC61" s="12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61" s="12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61" s="127">
        <f>IFERROR(IF(Reinforcements[[#This Row],[Type]]="","",Reinforcements[[#This Row],[Effective B (in)]]*Reinforcements[[#This Row],[Effective H (in)]]^3/12),"")</f>
        <v>1.1753883333333335</v>
      </c>
      <c r="CF61" s="127">
        <f>IFERROR(IF(Reinforcements[[#This Row],[Type]]="","",Reinforcements[[#This Row],[Effective B (in)]]^3*Reinforcements[[#This Row],[Effective H (in)]]/12),"")</f>
        <v>6.0207406999412489</v>
      </c>
      <c r="CG61" s="140">
        <f>SQRT(2*PI()^2*29000/VLOOKUP(Reinforcements[[#This Row],[Material]],Materials[],2,FALSE))</f>
        <v>93.844147005158973</v>
      </c>
      <c r="CH61" s="13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61" s="13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61" s="135">
        <f>Reinforcements[[#This Row],[Effective Length Factor Kx]]*Reinforcements[[#This Row],[Lu (in)]]/(Reinforcements[[#This Row],[rx]]*PI())*SQRT(VLOOKUP(Reinforcements[[#This Row],[Material]],Materials[],2,FALSE)/29000)</f>
        <v>0.35178336003688249</v>
      </c>
      <c r="CK61" s="135">
        <f>Reinforcements[[#This Row],[Effective Length Factor Ky]]*Reinforcements[[#This Row],[Lu (in)]]/(Reinforcements[[#This Row],[ry]]*PI())*SQRT(VLOOKUP(Reinforcements[[#This Row],[Material]],Materials[],2,FALSE)/29000)</f>
        <v>0.14140907812532891</v>
      </c>
      <c r="CL61" s="135">
        <f>IF(Reinforcements[[#This Row],[λcx]]&lt;=1.5,0.658^(Reinforcements[[#This Row],[λcx]]^2)*Reinforcements[[#This Row],[F''y]],0.877/(Reinforcements[[#This Row],[λcx]]^2)*Reinforcements[[#This Row],[F''y]])</f>
        <v>61.718950490694326</v>
      </c>
      <c r="CM61" s="135">
        <f>IF(Reinforcements[[#This Row],[λcy]]&lt;=1.5,0.658^(Reinforcements[[#This Row],[λcy]]^2)*Reinforcements[[#This Row],[F''y]],0.877/(Reinforcements[[#This Row],[λcy]]^2)*Reinforcements[[#This Row],[F''y]])</f>
        <v>64.458249291662739</v>
      </c>
      <c r="CN61" s="127">
        <f>VLOOKUP(Reinforcements[[#This Row],[Material]],Materials[],2,FALSE)</f>
        <v>65</v>
      </c>
      <c r="CO61" s="140">
        <f>IF(Reinforcements[[#This Row],[Reinforcement]]="","",Reinforcements[[#This Row],[Fax]]*Reinforcements[[#This Row],[Gross Area (in2)]])</f>
        <v>202.43647874068412</v>
      </c>
      <c r="CP61" s="140">
        <f>IF(Reinforcements[[#This Row],[Reinforcement]]="","",Reinforcements[[#This Row],[Fay]]*Reinforcements[[#This Row],[Gross Area (in2)]])</f>
        <v>214.44003814890314</v>
      </c>
      <c r="CQ61" s="140">
        <f>IF(Reinforcements[[#This Row],[Reinforcement]]="","",0.6*VLOOKUP(Reinforcements[[#This Row],[Material]],Materials[],2,FALSE)*Reinforcements[[#This Row],[Gross Area (in2)]])</f>
        <v>220.35000000000002</v>
      </c>
      <c r="CR61" s="140">
        <f>IF(Reinforcements[[#This Row],[Reinforcement]]="","",0.5*VLOOKUP(Reinforcements[[#This Row],[Material]],Materials[],3,FALSE)*Reinforcements[[#This Row],[Net Area (in2)]]*Reinforcements[[#This Row],[Shear Lag (U)]])</f>
        <v>193.90551474999998</v>
      </c>
      <c r="CS61" s="140">
        <f>IF(Reinforcements[[#This Row],[Reinforcement]]="","",0.4*VLOOKUP(Reinforcements[[#This Row],[Material]],Materials[],2,FALSE)*Reinforcements[[#This Row],[Gross Area (in2)]])</f>
        <v>146.9</v>
      </c>
      <c r="CT61"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1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61"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1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61" s="1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61"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1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61" s="1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61" s="129">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0</v>
      </c>
      <c r="DE61" s="127">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254.55844122239995</v>
      </c>
      <c r="DF61" s="127"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1" s="127"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1" s="140">
        <f>IF(Reinforcements[[#This Row],[Reinforcement]]="","",φ_c*Reinforcements[[#This Row],[Fcr,x]]*Reinforcements[[#This Row],[Gross Area (in2)]])</f>
        <v>313.84086324518069</v>
      </c>
      <c r="DI61" s="140">
        <f>IF(Reinforcements[[#This Row],[Reinforcement]]="","",φ_c*Reinforcements[[#This Row],[Fcr,y]]*Reinforcements[[#This Row],[Gross Area (in2)]])</f>
        <v>327.77019764810507</v>
      </c>
      <c r="DJ61" s="140">
        <f>IF(Reinforcements[[#This Row],[Reinforcement]]="","",φ_t_y*VLOOKUP(Reinforcements[[#This Row],[Material]],Materials[],2,FALSE)*Reinforcements[[#This Row],[Gross Area (in2)]])</f>
        <v>330.52500000000003</v>
      </c>
      <c r="DK61" s="140">
        <f>IF(Reinforcements[[#This Row],[Reinforcement]]="","",φ_t_r*VLOOKUP(Reinforcements[[#This Row],[Material]],Materials[],3,FALSE)*Reinforcements[[#This Row],[Net Area (in2)]]*Reinforcements[[#This Row],[Shear Lag (U)]])</f>
        <v>290.85827212499998</v>
      </c>
      <c r="DL61" s="140">
        <f>IF(Reinforcements[[#This Row],[Reinforcement]]="","",φ_v*0.5*Reinforcements[[#This Row],[F''y]]*Reinforcements[[#This Row],[Gross Area (in2)]])</f>
        <v>165.26250000000002</v>
      </c>
      <c r="DM61"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1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61"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1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61" s="1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61"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14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61" s="14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61" s="127">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0</v>
      </c>
      <c r="DX61" s="127">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381.8376618335999</v>
      </c>
      <c r="DY61" s="127"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1" s="127"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1" s="129">
        <f>IF(OR(Reinforcements[[#This Row],[Type]]="plate",Reinforcements[[#This Row],[Type]]="solid round"),"N/A",Reinforcements[[#This Row],[B (in)]])</f>
        <v>5.33</v>
      </c>
      <c r="EB61" s="127">
        <f>IF(OR(Reinforcements[[#This Row],[Type]]="plate",Reinforcements[[#This Row],[Type]]="solid round"),"N/A",Reinforcements[[#This Row],[H (in)]])</f>
        <v>2.09</v>
      </c>
      <c r="EC61" s="127">
        <f>IF(OR(Reinforcements[[#This Row],[Type]]="plate",Reinforcements[[#This Row],[Type]]="solid round"),"N/A",Reinforcements[[#This Row],[B (in)]]-Reinforcements[[#This Row],['[Channel'] Flange Thickness (in)]])</f>
        <v>4.42</v>
      </c>
      <c r="ED61" s="127">
        <f>IF(OR(Reinforcements[[#This Row],[Type]]="plate",Reinforcements[[#This Row],[Type]]="solid round"),"N/A",Reinforcements[[#This Row],['[Channel']Web Thickness (in)]])</f>
        <v>0.5</v>
      </c>
      <c r="EE61" s="127">
        <f>IF(OR(Reinforcements[[#This Row],[Type]]="plate",Reinforcements[[#This Row],[Type]]="solid round"),"N/A",Reinforcements[[#This Row],['[Channel'] Flange Thickness (in)]])</f>
        <v>0.91</v>
      </c>
      <c r="EF61" s="127">
        <f>IF(Reinforcements[[#This Row],[Type]]="channel",Reinforcements[[#This Row],[Channel Flange Width, b]]/Reinforcements[[#This Row],[Channel flange thickness, tf]],"N/A")</f>
        <v>2.2967032967032965</v>
      </c>
      <c r="EG61" s="127">
        <f>IF(Reinforcements[[#This Row],[Type]]="channel",Reinforcements[[#This Row],[Channel inside depth, T]]/Reinforcements[[#This Row],[Channel web thickness, tw]],"N/A")</f>
        <v>8.84</v>
      </c>
      <c r="EH61" s="6">
        <f>29000</f>
        <v>29000</v>
      </c>
      <c r="EI61" s="127">
        <f>IF(Reinforcements[[#This Row],[Type]]="channel",0.56*SQRT(Reinforcements[[#This Row],[E, (ksi)]]/Reinforcements[[#This Row],[Fy, (ksi)]]),"N/A")</f>
        <v>11.828518341442694</v>
      </c>
      <c r="EJ61" s="127">
        <f>IF(Reinforcements[[#This Row],[Type]]="channel",1.49*SQRT(Reinforcements[[#This Row],[E, (ksi)]]/Reinforcements[[#This Row],[Fy, (ksi)]]),"N/A")</f>
        <v>31.472307729910018</v>
      </c>
      <c r="EK61" s="127">
        <f>VLOOKUP(Reinforcements[[#This Row],[Material]],Materials!$B$2:$C$30,2,FALSE)</f>
        <v>65</v>
      </c>
      <c r="EL61" s="127">
        <f>Reinforcements[[#This Row],[Lu (in)]]*Reinforcements[[#This Row],[Effective Length Factor Kx]]</f>
        <v>14.4</v>
      </c>
      <c r="EM61" s="127">
        <f>Reinforcements[[#This Row],[Lu (in)]]*Reinforcements[[#This Row],[Effective Length Factor Ky]]</f>
        <v>18</v>
      </c>
      <c r="EN61" s="127">
        <f>Reinforcements[[#This Row],[rx]]</f>
        <v>0.61687192629534326</v>
      </c>
      <c r="EO61" s="127">
        <f>Reinforcements[[#This Row],[ry]]</f>
        <v>1.9182403440911973</v>
      </c>
      <c r="EP61" s="127">
        <f>Reinforcements[[#This Row],[Lcx (in)]]/Reinforcements[[#This Row],[rx (in)]]</f>
        <v>23.343581359715877</v>
      </c>
      <c r="EQ61" s="127">
        <f>Reinforcements[[#This Row],[Lcy (in)]]/Reinforcements[[#This Row],[ry (in)]]</f>
        <v>9.3835999516149489</v>
      </c>
      <c r="ER61" s="127">
        <f>((PI()^2)*Reinforcements[[#This Row],[E, (ksi)]])/(Reinforcements[[#This Row],[Lcx/rx]]^2)</f>
        <v>525.24602112005732</v>
      </c>
      <c r="ES61" s="127">
        <f>((PI()^2)*Reinforcements[[#This Row],[E, (ksi)]])/(Reinforcements[[#This Row],[Lcy/ry]]^2)</f>
        <v>3250.5643993558301</v>
      </c>
      <c r="ET61" s="127">
        <f>4.71*(SQRT(Reinforcements[[#This Row],[E, (ksi)]]/Reinforcements[[#This Row],[Fy, (ksi)]]))</f>
        <v>99.486288193205496</v>
      </c>
      <c r="EU61" s="127">
        <f>IF(Reinforcements[[#This Row],[Lcx/rx]]&lt;=Reinforcements[[#This Row],[Fcr Limit]],(0.658^(Reinforcements[[#This Row],[Fy, (ksi)]]/Reinforcements[[#This Row],[Fex, FB (ksi)]]))*Reinforcements[[#This Row],[Fy, (ksi)]],0.877*Reinforcements[[#This Row],[Fex, FB (ksi)]])</f>
        <v>61.718950490694326</v>
      </c>
      <c r="EV61" s="127">
        <f>IF(Reinforcements[[#This Row],[Lcy/ry]]&lt;=Reinforcements[[#This Row],[Fcr Limit]],(0.658^(Reinforcements[[#This Row],[Fy, (ksi)]]/Reinforcements[[#This Row],[Fey, FB (ksi)]]))*Reinforcements[[#This Row],[Fy, (ksi)]],0.877*Reinforcements[[#This Row],[Fey, FB (ksi)]])</f>
        <v>64.458249291662739</v>
      </c>
      <c r="EW61" s="127">
        <f>Reinforcements[[#This Row],[Fcrx (ksi)]]*Reinforcements[[#This Row],[Gross Area (in2)]]</f>
        <v>348.71207027242298</v>
      </c>
      <c r="EX61" s="127">
        <f>Reinforcements[[#This Row],[Fcry (ksi)]]*Reinforcements[[#This Row],[Gross Area (in2)]]</f>
        <v>364.18910849789449</v>
      </c>
      <c r="EY61" s="127">
        <f>IF(Reinforcements[[#This Row],[Type]]="channel",0,"N/A")</f>
        <v>0</v>
      </c>
      <c r="EZ61" s="127">
        <f>IF(Reinforcements[[#This Row],[Type]]="channel",Reinforcements[[#This Row],[Channel Flange Width, b]]-(0.5*Reinforcements[[#This Row],[Channel web thickness, tw]]),"N/A")</f>
        <v>1.8399999999999999</v>
      </c>
      <c r="FA61" s="127">
        <f>IF(Reinforcements[[#This Row],[Type]]="channel",Reinforcements[[#This Row],[Channel Height, h]]-Reinforcements[[#This Row],[Channel flange thickness, tf]],"N/A")</f>
        <v>4.42</v>
      </c>
      <c r="FB61" s="127">
        <f>IF(Reinforcements[[#This Row],[Type]]="channel",Reinforcements[[#This Row],[Channel web thickness, tw]],"N/A")</f>
        <v>0.5</v>
      </c>
      <c r="FC61" s="127">
        <f>IF(Reinforcements[[#This Row],[Type]]="channel",((3*Reinforcements[[#This Row],[b]]^2)/(Reinforcements[[#This Row],[h]]+(6*Reinforcements[[#This Row],[b]])))-Reinforcements[[#This Row],[t]]/2,"N/A")</f>
        <v>0.40697283311772303</v>
      </c>
      <c r="FD61" s="127">
        <f>Reinforcements[[#This Row],[Pole Face to Centroid (in)]]</f>
        <v>0.79</v>
      </c>
      <c r="FE61" s="127">
        <f>IF(Reinforcements[[#This Row],[Type]]="channel",Reinforcements[[#This Row],[x(bar)]]+Reinforcements[[#This Row],['[Channel'] e0 (in)]],"N/A")</f>
        <v>1.2</v>
      </c>
      <c r="FF61" s="127">
        <f>IF(Reinforcements[[#This Row],[Type]]="channel",Reinforcements[[#This Row],[Ix]],"N/A")</f>
        <v>2.15</v>
      </c>
      <c r="FG61" s="127">
        <f>IF(Reinforcements[[#This Row],[Type]]="channel",Reinforcements[[#This Row],[Iy]],"N/A")</f>
        <v>20.79</v>
      </c>
      <c r="FH61" s="127">
        <f>IF(Reinforcements[[#This Row],[Type]]="channel",Reinforcements[[#This Row],[Gross Area (in2)]],"N/A")</f>
        <v>5.65</v>
      </c>
      <c r="FI61" s="127">
        <f>IF(Reinforcements[[#This Row],[Type]]="channel",(Reinforcements[[#This Row],[xo]]^2)+((Reinforcements[[#This Row],[Ix (FTB)]]+Reinforcements[[#This Row],[Iy (FTB)]])/Reinforcements[[#This Row],[Ag]]),"N/A")</f>
        <v>5.5001769911504415</v>
      </c>
      <c r="FJ61" s="127">
        <f>IF(Reinforcements[[#This Row],[Type]]="channel",Reinforcements[[#This Row],[Lu (in)]],"N/A")</f>
        <v>18</v>
      </c>
      <c r="FK61" s="127">
        <f>IF(Reinforcements[[#This Row],[Type]]="channel",Reinforcements[[#This Row],[Effective Length Factor Kx]],"N/A")</f>
        <v>0.8</v>
      </c>
      <c r="FL61" s="127">
        <f>IF(Reinforcements[[#This Row],[Type]]="channel",Reinforcements[[#This Row],[Kz]]*Reinforcements[[#This Row],[Lz]],"N/A")</f>
        <v>14.4</v>
      </c>
      <c r="FM61" s="127">
        <f>IF(Reinforcements[[#This Row],[Type]]="channel",(((Reinforcements[[#This Row],[t]]^3)/3)*(Reinforcements[[#This Row],[h]]+(2*Reinforcements[[#This Row],[b]]))),"N/A")</f>
        <v>0.33749999999999997</v>
      </c>
      <c r="FN61" s="127">
        <f>IF(Reinforcements[[#This Row],[Type]]="channel",(1-(((Reinforcements[[#This Row],[xo]]^2)+(Reinforcements[[#This Row],[yo]]^2))/Reinforcements[[#This Row],[ro^2(bar)]])),"N/A")</f>
        <v>0.73819024327455263</v>
      </c>
      <c r="FO61" s="127">
        <v>11188</v>
      </c>
      <c r="FP61" s="127">
        <f>IF(Reinforcements[[#This Row],[Type]]="channel",(((Reinforcements[[#This Row],[h]]^2)*(Reinforcements[[#This Row],[b]]^3)*Reinforcements[[#This Row],[t]])/12)*(((2*Reinforcements[[#This Row],[h]])+(3*Reinforcements[[#This Row],[b]]))/(Reinforcements[[#This Row],[h]]+(6*Reinforcements[[#This Row],[b]]))),"N/A")</f>
        <v>4.7101172292443287</v>
      </c>
      <c r="FQ61" s="127">
        <f>IF(Reinforcements[[#This Row],[Type]]="Channel",((((PI()^2)*Reinforcements[[#This Row],[E, (ksi)]]*Reinforcements[[#This Row],['[Channel'] CW (in6)]])/(Reinforcements[[#This Row],[Lcz]]^2))+(Reinforcements[[#This Row],[G]]*Reinforcements[[#This Row],['[Channel'] J (in4)]]))*(1/(Reinforcements[[#This Row],[Ag]]*Reinforcements[[#This Row],[ro^2(bar)]])),"N/A")</f>
        <v>331.61031306648681</v>
      </c>
      <c r="FR61" s="127">
        <f>IF(Reinforcements[[#This Row],[Type]]="channel",((PI()^2)*Reinforcements[[#This Row],[E, (ksi)]])/(Reinforcements[[#This Row],[Lcy/ry]]^2),"N/A")</f>
        <v>3250.5643993558301</v>
      </c>
      <c r="FS61" s="127">
        <f>IF(Reinforcements[[#This Row],[Type]]="channel",((Reinforcements[[#This Row],[Fey]]+Reinforcements[[#This Row],[Fez]])/(2*Reinforcements[[#This Row],[H2]]))*(1-SQRT(1-((4*Reinforcements[[#This Row],[Fey]]*Reinforcements[[#This Row],[Fez]]*Reinforcements[[#This Row],[H2]])/(Reinforcements[[#This Row],[Fey]]+Reinforcements[[#This Row],[Fez]])^2))),"N/A")</f>
        <v>322.32155935183334</v>
      </c>
      <c r="FT61" s="127">
        <f>IF(Reinforcements[[#This Row],[Type]]="channel",IF(Reinforcements[[#This Row],[Lcx/rx]]&gt;(4.71*SQRT(Reinforcements[[#This Row],[E, (ksi)]]/Reinforcements[[#This Row],[Fy, (ksi)]])),0.877*Reinforcements[[#This Row],[Fe (FTB)]],0.658^(Reinforcements[[#This Row],[Fy, (ksi)]]/Reinforcements[[#This Row],[Fe (FTB)]])*Reinforcements[[#This Row],[Fy, (ksi)]]),"N/A")</f>
        <v>59.738791488522246</v>
      </c>
      <c r="FU61" s="127">
        <f>IF(Reinforcements[[#This Row],[Type]]="channel",MIN(Reinforcements[[#This Row],[Fcr(FTB)]],Reinforcements[[#This Row],[Fcry (ksi)]]),"N/A")</f>
        <v>59.738791488522246</v>
      </c>
      <c r="FV61" s="127">
        <v>0.22</v>
      </c>
      <c r="FW61" s="127">
        <v>1.49</v>
      </c>
      <c r="FX61" s="127">
        <f>IF(Reinforcements[[#This Row],[Type]]="channel",((Reinforcements[[#This Row],[c2]]*(Reinforcements[[#This Row],[λrf]]/Reinforcements[[#This Row],[λf]]))^2)*Reinforcements[[#This Row],[Fy, (ksi)]],"N/A")</f>
        <v>3827.6903843923005</v>
      </c>
      <c r="FY61" s="127">
        <f>IF(Reinforcements[[#This Row],[Type]]="channel",((Reinforcements[[#This Row],[c2]]*(Reinforcements[[#This Row],[λrw]]/Reinforcements[[#This Row],[λw]]))^2)*Reinforcements[[#This Row],[Fy, (ksi)]],"N/A")</f>
        <v>1829.1045982115434</v>
      </c>
      <c r="FZ61" s="127">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61" s="127">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61" s="127">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61" s="127">
        <f>IF(Reinforcements[[#This Row],[Type]]="channel",Reinforcements[[#This Row],[Fcr]]*Reinforcements[[#This Row],[Ae]],"N/A")</f>
        <v>337.5241719101507</v>
      </c>
      <c r="GD61" s="50">
        <f>IF(Reinforcements[[#This Row],[Reinforcement]]="","",φ_c*Reinforcements[[#This Row],[Pnx, FB (kip)]])</f>
        <v>313.84086324518069</v>
      </c>
      <c r="GE61" s="50">
        <f>IF(Reinforcements[[#This Row],[Reinforcement]]="","",IF(Reinforcements[[#This Row],[Type]]="channel",φ_c*Reinforcements[[#This Row],[Pn]],φ_c*Reinforcements[[#This Row],[Pny, FB (kip)]]))</f>
        <v>303.77175471913563</v>
      </c>
      <c r="GF61" s="50">
        <f>Reinforcements[[#This Row],[Rev. G Tension Yield Capacity (kips)]]</f>
        <v>330.52500000000003</v>
      </c>
      <c r="GG61" s="50">
        <f>Reinforcements[[#This Row],[Rev. G Tension Rupture Capacity (kips)]]</f>
        <v>290.85827212499998</v>
      </c>
      <c r="GH61" s="50">
        <f>Reinforcements[[#This Row],[Rev. G Shear Capacity (kips)]]</f>
        <v>165.26250000000002</v>
      </c>
      <c r="GI61" s="50" t="str">
        <f>IFERROR((Reinforcements[[#This Row],['# of End Connection Bolts          (Bottom)]]-1)*Reinforcements[[#This Row],[End Connection Bolt Spacing (in) (B)]],"-")</f>
        <v>-</v>
      </c>
      <c r="GJ61" s="50">
        <f>IFERROR(IF(VLOOKUP(Reinforcements[[#This Row],[Bottom End Connection Bolt Type]],Bolts[],COLUMN(Bolts[[#Headers],[Rev. H Apply Connection Length Reduction Factor (Rb)?]])-1,FALSE)="Yes",(IF(Reinforcements[[#This Row],[Lb(bottom)]]&lt;=16,1,IF(Reinforcements[[#This Row],[Lb(bottom)]]&gt;38,0.75,0.9))),1),"-")</f>
        <v>1</v>
      </c>
      <c r="GK61"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50">
        <f>IFERROR(IF(Reinforcements[[#This Row],[Top End Connection Same?]]="Yes",Reinforcements[[#This Row],[Lb(bottom)]],(Reinforcements[[#This Row],['# of End Connection Bolts          (Top)]]-1)*Reinforcements[[#This Row],[End Connection Bolt Spacing (in) (T)]]),"-")</f>
        <v>27</v>
      </c>
      <c r="GM61" s="50">
        <f>IFERROR(IF(VLOOKUP(Reinforcements[[#This Row],[Top End Connection Bolt Type]],Bolts[],COLUMN(Bolts[[#Headers],[Rev. H Apply Connection Length Reduction Factor (Rb)?]])-1,FALSE)=TRUE,(IF(Reinforcements[[#This Row],[Lb(top)]]&lt;=16,1,IF(Reinforcements[[#This Row],[Lb(top)]]&gt;38,0.75,0.9))),1),"-")</f>
        <v>0.9</v>
      </c>
      <c r="GN61" s="94">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61" s="50" t="str">
        <f>Reinforcements[[#This Row],[Rev. G Bolt-Shaft Bearing Capacity (Bottom)                No Deformation          (*t*Fu kips)]]</f>
        <v>-</v>
      </c>
      <c r="GP61" s="50" t="str">
        <f>Reinforcements[[#This Row],[Rev. G Bolt-Shaft Bearing Capacity (Bottom)                   Deformation          (*t*Fu kips)]]</f>
        <v>-</v>
      </c>
      <c r="GQ61" s="50">
        <f>Reinforcements[[#This Row],[Rev. G Bolt-Shaft Bearing Capacity (Top)                    No Deformation          (*t*Fu kips)]]</f>
        <v>19.238267716535432</v>
      </c>
      <c r="GR61" s="50">
        <f>Reinforcements[[#This Row],[Rev. G Bolt-Shaft Bearing Capacity (Top)                        Deformation          (*t*Fu kips)]]</f>
        <v>24.04783464566929</v>
      </c>
      <c r="GS61" s="50" t="str">
        <f>Reinforcements[[#This Row],[Rev. G Bolt-Reinf. Bearing Capacity (Bottom)            No Deformation (kips)]]</f>
        <v>-</v>
      </c>
      <c r="GT61" s="50" t="str">
        <f>Reinforcements[[#This Row],[Rev. G Bolt-Reinf. Bearing Capacity (Bottom)               Deformation (kips)]]</f>
        <v>-</v>
      </c>
      <c r="GU61" s="50">
        <f>Reinforcements[[#This Row],[Rev. G Bolt-Reinf. Bearing Capacity (Top)                  No Deformation (kips)]]</f>
        <v>744.40629921259824</v>
      </c>
      <c r="GV61" s="50">
        <f>Reinforcements[[#This Row],[Rev. G Bolt-Reinf. Bearing Capacity (Top)               Deformation (kips)]]</f>
        <v>930.50787401574803</v>
      </c>
      <c r="GW61" s="50">
        <f>Reinforcements[[#This Row],[Rev. G Bottom Transverse Weld Strength]]</f>
        <v>0</v>
      </c>
      <c r="GX61" s="50">
        <f>Reinforcements[[#This Row],[Rev. G Bottom Longitudinal Weld Strength]]</f>
        <v>381.8376618335999</v>
      </c>
      <c r="GY61" s="50" t="str">
        <f>Reinforcements[[#This Row],[Rev. G Top Transverse Weld Strength]]</f>
        <v>-</v>
      </c>
      <c r="GZ61" s="50" t="str">
        <f>Reinforcements[[#This Row],[Rev. G Top Longitudinal Weld Strength]]</f>
        <v>-</v>
      </c>
      <c r="HA61">
        <v>59</v>
      </c>
      <c r="HB61"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0</v>
      </c>
    </row>
    <row r="62" spans="2:210" x14ac:dyDescent="0.2">
      <c r="B62" s="695" t="s">
        <v>2599</v>
      </c>
      <c r="C62" s="695" t="s">
        <v>352</v>
      </c>
      <c r="D62" s="695">
        <v>1.25</v>
      </c>
      <c r="E62" s="695">
        <v>4</v>
      </c>
      <c r="F62" s="695" t="s">
        <v>2605</v>
      </c>
      <c r="G62" s="695" t="s">
        <v>2605</v>
      </c>
      <c r="H62" s="695" t="s">
        <v>2605</v>
      </c>
      <c r="I62" s="695" t="s">
        <v>2605</v>
      </c>
      <c r="J62" s="695" t="s">
        <v>2605</v>
      </c>
      <c r="K62" s="695" t="s">
        <v>2605</v>
      </c>
      <c r="L62" s="695">
        <v>5</v>
      </c>
      <c r="M62" s="695">
        <v>2.75</v>
      </c>
      <c r="N62" s="695" t="s">
        <v>353</v>
      </c>
      <c r="O62" s="695" t="s">
        <v>138</v>
      </c>
      <c r="P62" s="695">
        <v>6.666666666666667</v>
      </c>
      <c r="Q62" s="695">
        <v>1.1547005383792517</v>
      </c>
      <c r="R62" s="695">
        <v>0.65104166666666663</v>
      </c>
      <c r="S62" s="695">
        <v>0.36084391824351608</v>
      </c>
      <c r="T62" s="695">
        <v>0.75</v>
      </c>
      <c r="U62" s="695">
        <v>0.8</v>
      </c>
      <c r="V62" s="695">
        <v>1</v>
      </c>
      <c r="W62" s="695">
        <v>0</v>
      </c>
      <c r="X62" s="695">
        <v>0</v>
      </c>
      <c r="Y62" s="695">
        <v>5</v>
      </c>
      <c r="Z62" s="695">
        <v>1</v>
      </c>
      <c r="AA62" s="695" t="s">
        <v>382</v>
      </c>
      <c r="AB62" s="695" t="s">
        <v>457</v>
      </c>
      <c r="AC62" s="695" t="s">
        <v>457</v>
      </c>
      <c r="AD62" s="695" t="s">
        <v>457</v>
      </c>
      <c r="AE62" s="695" t="s">
        <v>457</v>
      </c>
      <c r="AF62" s="695" t="s">
        <v>457</v>
      </c>
      <c r="AG62" s="695" t="s">
        <v>457</v>
      </c>
      <c r="AH62" s="695" t="s">
        <v>457</v>
      </c>
      <c r="AI62" s="695" t="s">
        <v>457</v>
      </c>
      <c r="AJ62" s="695" t="s">
        <v>2615</v>
      </c>
      <c r="AK62" s="695" t="s">
        <v>2615</v>
      </c>
      <c r="AL62" s="695" t="s">
        <v>457</v>
      </c>
      <c r="AM62" s="695" t="s">
        <v>457</v>
      </c>
      <c r="AN62" s="695" t="s">
        <v>357</v>
      </c>
      <c r="AO62" s="695">
        <v>80</v>
      </c>
      <c r="AP62" s="695" t="s">
        <v>383</v>
      </c>
      <c r="AQ62" s="695">
        <v>4.5</v>
      </c>
      <c r="AR62" s="695">
        <v>1.25</v>
      </c>
      <c r="AS62" s="695">
        <v>45</v>
      </c>
      <c r="AT62" s="695">
        <v>1</v>
      </c>
      <c r="AU62" s="695"/>
      <c r="AV62" s="695" t="s">
        <v>384</v>
      </c>
      <c r="AW62" s="695" t="s">
        <v>457</v>
      </c>
      <c r="AX62" s="695" t="s">
        <v>457</v>
      </c>
      <c r="AY62" s="695" t="s">
        <v>457</v>
      </c>
      <c r="AZ62" s="695" t="s">
        <v>353</v>
      </c>
      <c r="BA62" s="695" t="s">
        <v>382</v>
      </c>
      <c r="BB62" s="695" t="s">
        <v>457</v>
      </c>
      <c r="BC62" s="695" t="s">
        <v>457</v>
      </c>
      <c r="BD62" s="695" t="s">
        <v>457</v>
      </c>
      <c r="BE62" s="695" t="s">
        <v>457</v>
      </c>
      <c r="BF62" s="695" t="s">
        <v>457</v>
      </c>
      <c r="BG62" s="695" t="s">
        <v>457</v>
      </c>
      <c r="BH62" s="695" t="s">
        <v>457</v>
      </c>
      <c r="BI62" s="695" t="s">
        <v>457</v>
      </c>
      <c r="BJ62" s="695" t="s">
        <v>2615</v>
      </c>
      <c r="BK62" s="695" t="s">
        <v>2615</v>
      </c>
      <c r="BL62" s="695" t="s">
        <v>457</v>
      </c>
      <c r="BM62" s="695" t="s">
        <v>457</v>
      </c>
      <c r="BN62" s="695" t="s">
        <v>353</v>
      </c>
      <c r="BO62" s="695">
        <v>80</v>
      </c>
      <c r="BP62" s="695" t="s">
        <v>384</v>
      </c>
      <c r="BQ62" s="695" t="s">
        <v>457</v>
      </c>
      <c r="BR62" s="695" t="s">
        <v>457</v>
      </c>
      <c r="BS62" s="695" t="s">
        <v>457</v>
      </c>
      <c r="BT62" s="695" t="s">
        <v>457</v>
      </c>
      <c r="BU62" s="695" t="s">
        <v>457</v>
      </c>
      <c r="BV62" s="695" t="s">
        <v>2616</v>
      </c>
      <c r="BW62" s="695">
        <v>90</v>
      </c>
      <c r="BX62" s="695">
        <v>0.3125</v>
      </c>
      <c r="BY62" s="695">
        <v>0.22097086912079611</v>
      </c>
      <c r="BZ62" s="695" t="s">
        <v>2605</v>
      </c>
      <c r="CA62" s="695" t="s">
        <v>2605</v>
      </c>
      <c r="CB62" s="695" t="s">
        <v>2605</v>
      </c>
      <c r="CC62" s="12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1.25</v>
      </c>
      <c r="CD62" s="12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4</v>
      </c>
      <c r="CE62" s="127">
        <f>IFERROR(IF(Reinforcements[[#This Row],[Type]]="","",Reinforcements[[#This Row],[Effective B (in)]]*Reinforcements[[#This Row],[Effective H (in)]]^3/12),"")</f>
        <v>6.666666666666667</v>
      </c>
      <c r="CF62" s="127">
        <f>IFERROR(IF(Reinforcements[[#This Row],[Type]]="","",Reinforcements[[#This Row],[Effective B (in)]]^3*Reinforcements[[#This Row],[Effective H (in)]]/12),"")</f>
        <v>0.65104166666666663</v>
      </c>
      <c r="CG62" s="140">
        <f>SQRT(2*PI()^2*29000/VLOOKUP(Reinforcements[[#This Row],[Material]],Materials[],2,FALSE))</f>
        <v>93.844147005158973</v>
      </c>
      <c r="CH62" s="13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38.950876662629064</v>
      </c>
      <c r="CI62" s="13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38.797128390003316</v>
      </c>
      <c r="CJ62" s="135">
        <f>Reinforcements[[#This Row],[Effective Length Factor Kx]]*Reinforcements[[#This Row],[Lu (in)]]/(Reinforcements[[#This Row],[rx]]*PI())*SQRT(VLOOKUP(Reinforcements[[#This Row],[Material]],Materials[],2,FALSE)/29000)</f>
        <v>7.8305035133896632E-3</v>
      </c>
      <c r="CK62" s="135">
        <f>Reinforcements[[#This Row],[Effective Length Factor Ky]]*Reinforcements[[#This Row],[Lu (in)]]/(Reinforcements[[#This Row],[ry]]*PI())*SQRT(VLOOKUP(Reinforcements[[#This Row],[Material]],Materials[],2,FALSE)/29000)</f>
        <v>3.1322014053558653E-2</v>
      </c>
      <c r="CL62" s="135">
        <f>IF(Reinforcements[[#This Row],[λcx]]&lt;=1.5,0.658^(Reinforcements[[#This Row],[λcx]]^2)*Reinforcements[[#This Row],[F''y]],0.877/(Reinforcements[[#This Row],[λcx]]^2)*Reinforcements[[#This Row],[F''y]])</f>
        <v>64.998331850889357</v>
      </c>
      <c r="CM62" s="135">
        <f>IF(Reinforcements[[#This Row],[λcy]]&lt;=1.5,0.658^(Reinforcements[[#This Row],[λcy]]^2)*Reinforcements[[#This Row],[F''y]],0.877/(Reinforcements[[#This Row],[λcy]]^2)*Reinforcements[[#This Row],[F''y]])</f>
        <v>64.973314750946315</v>
      </c>
      <c r="CN62" s="127">
        <f>VLOOKUP(Reinforcements[[#This Row],[Material]],Materials[],2,FALSE)</f>
        <v>65</v>
      </c>
      <c r="CO62" s="140">
        <f>IF(Reinforcements[[#This Row],[Reinforcement]]="","",Reinforcements[[#This Row],[Fax]]*Reinforcements[[#This Row],[Gross Area (in2)]])</f>
        <v>194.75438331314533</v>
      </c>
      <c r="CP62" s="140">
        <f>IF(Reinforcements[[#This Row],[Reinforcement]]="","",Reinforcements[[#This Row],[Fay]]*Reinforcements[[#This Row],[Gross Area (in2)]])</f>
        <v>193.98564195001657</v>
      </c>
      <c r="CQ62" s="140">
        <f>IF(Reinforcements[[#This Row],[Reinforcement]]="","",0.6*VLOOKUP(Reinforcements[[#This Row],[Material]],Materials[],2,FALSE)*Reinforcements[[#This Row],[Gross Area (in2)]])</f>
        <v>195</v>
      </c>
      <c r="CR62" s="140">
        <f>IF(Reinforcements[[#This Row],[Reinforcement]]="","",0.5*VLOOKUP(Reinforcements[[#This Row],[Material]],Materials[],3,FALSE)*Reinforcements[[#This Row],[Net Area (in2)]]*Reinforcements[[#This Row],[Shear Lag (U)]])</f>
        <v>200</v>
      </c>
      <c r="CS62" s="140">
        <f>IF(Reinforcements[[#This Row],[Reinforcement]]="","",0.4*VLOOKUP(Reinforcements[[#This Row],[Material]],Materials[],2,FALSE)*Reinforcements[[#This Row],[Gross Area (in2)]])</f>
        <v>130</v>
      </c>
      <c r="CT62"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129">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0</v>
      </c>
      <c r="DE62"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2" s="127"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2" s="127">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954.59415460183902</v>
      </c>
      <c r="DH62" s="140">
        <f>IF(Reinforcements[[#This Row],[Reinforcement]]="","",φ_c*Reinforcements[[#This Row],[Fcr,x]]*Reinforcements[[#This Row],[Gross Area (in2)]])</f>
        <v>292.49249332900212</v>
      </c>
      <c r="DI62" s="140">
        <f>IF(Reinforcements[[#This Row],[Reinforcement]]="","",φ_c*Reinforcements[[#This Row],[Fcr,y]]*Reinforcements[[#This Row],[Gross Area (in2)]])</f>
        <v>292.37991637925842</v>
      </c>
      <c r="DJ62" s="140">
        <f>IF(Reinforcements[[#This Row],[Reinforcement]]="","",φ_t_y*VLOOKUP(Reinforcements[[#This Row],[Material]],Materials[],2,FALSE)*Reinforcements[[#This Row],[Gross Area (in2)]])</f>
        <v>292.5</v>
      </c>
      <c r="DK62" s="140">
        <f>IF(Reinforcements[[#This Row],[Reinforcement]]="","",φ_t_r*VLOOKUP(Reinforcements[[#This Row],[Material]],Materials[],3,FALSE)*Reinforcements[[#This Row],[Net Area (in2)]]*Reinforcements[[#This Row],[Shear Lag (U)]])</f>
        <v>300</v>
      </c>
      <c r="DL62" s="140">
        <f>IF(Reinforcements[[#This Row],[Reinforcement]]="","",φ_v*0.5*Reinforcements[[#This Row],[F''y]]*Reinforcements[[#This Row],[Gross Area (in2)]])</f>
        <v>146.25</v>
      </c>
      <c r="DM62"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127">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0</v>
      </c>
      <c r="DX62"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2" s="127"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2" s="127">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1431.8912319027588</v>
      </c>
      <c r="EA62" s="129" t="str">
        <f>IF(OR(Reinforcements[[#This Row],[Type]]="plate",Reinforcements[[#This Row],[Type]]="solid round"),"N/A",Reinforcements[[#This Row],[B (in)]])</f>
        <v>N/A</v>
      </c>
      <c r="EB62" s="127" t="str">
        <f>IF(OR(Reinforcements[[#This Row],[Type]]="plate",Reinforcements[[#This Row],[Type]]="solid round"),"N/A",Reinforcements[[#This Row],[H (in)]])</f>
        <v>N/A</v>
      </c>
      <c r="EC62" s="127" t="str">
        <f>IF(OR(Reinforcements[[#This Row],[Type]]="plate",Reinforcements[[#This Row],[Type]]="solid round"),"N/A",Reinforcements[[#This Row],[B (in)]]-Reinforcements[[#This Row],['[Channel'] Flange Thickness (in)]])</f>
        <v>N/A</v>
      </c>
      <c r="ED62" s="127" t="str">
        <f>IF(OR(Reinforcements[[#This Row],[Type]]="plate",Reinforcements[[#This Row],[Type]]="solid round"),"N/A",Reinforcements[[#This Row],['[Channel']Web Thickness (in)]])</f>
        <v>N/A</v>
      </c>
      <c r="EE62" s="127" t="str">
        <f>IF(OR(Reinforcements[[#This Row],[Type]]="plate",Reinforcements[[#This Row],[Type]]="solid round"),"N/A",Reinforcements[[#This Row],['[Channel'] Flange Thickness (in)]])</f>
        <v>N/A</v>
      </c>
      <c r="EF62" s="127" t="str">
        <f>IF(Reinforcements[[#This Row],[Type]]="channel",Reinforcements[[#This Row],[Channel Flange Width, b]]/Reinforcements[[#This Row],[Channel flange thickness, tf]],"N/A")</f>
        <v>N/A</v>
      </c>
      <c r="EG62" s="127" t="str">
        <f>IF(Reinforcements[[#This Row],[Type]]="channel",Reinforcements[[#This Row],[Channel inside depth, T]]/Reinforcements[[#This Row],[Channel web thickness, tw]],"N/A")</f>
        <v>N/A</v>
      </c>
      <c r="EH62" s="6">
        <f>29000</f>
        <v>29000</v>
      </c>
      <c r="EI62" s="127" t="str">
        <f>IF(Reinforcements[[#This Row],[Type]]="channel",0.56*SQRT(Reinforcements[[#This Row],[E, (ksi)]]/Reinforcements[[#This Row],[Fy, (ksi)]]),"N/A")</f>
        <v>N/A</v>
      </c>
      <c r="EJ62" s="127" t="str">
        <f>IF(Reinforcements[[#This Row],[Type]]="channel",1.49*SQRT(Reinforcements[[#This Row],[E, (ksi)]]/Reinforcements[[#This Row],[Fy, (ksi)]]),"N/A")</f>
        <v>N/A</v>
      </c>
      <c r="EK62" s="127">
        <f>VLOOKUP(Reinforcements[[#This Row],[Material]],Materials!$B$2:$C$30,2,FALSE)</f>
        <v>65</v>
      </c>
      <c r="EL62" s="127">
        <f>Reinforcements[[#This Row],[Lu (in)]]*Reinforcements[[#This Row],[Effective Length Factor Kx]]</f>
        <v>0.60000000000000009</v>
      </c>
      <c r="EM62" s="127">
        <f>Reinforcements[[#This Row],[Lu (in)]]*Reinforcements[[#This Row],[Effective Length Factor Ky]]</f>
        <v>0.75</v>
      </c>
      <c r="EN62" s="127">
        <f>Reinforcements[[#This Row],[rx]]</f>
        <v>1.1547005383792517</v>
      </c>
      <c r="EO62" s="127">
        <f>Reinforcements[[#This Row],[ry]]</f>
        <v>0.36084391824351608</v>
      </c>
      <c r="EP62" s="127">
        <f>Reinforcements[[#This Row],[Lcx (in)]]/Reinforcements[[#This Row],[rx (in)]]</f>
        <v>0.51961524227066325</v>
      </c>
      <c r="EQ62" s="127">
        <f>Reinforcements[[#This Row],[Lcy (in)]]/Reinforcements[[#This Row],[ry (in)]]</f>
        <v>2.078460969082653</v>
      </c>
      <c r="ER62" s="127">
        <f>((PI()^2)*Reinforcements[[#This Row],[E, (ksi)]])/(Reinforcements[[#This Row],[Lcx/rx]]^2)</f>
        <v>1060068.6208577454</v>
      </c>
      <c r="ES62" s="127">
        <f>((PI()^2)*Reinforcements[[#This Row],[E, (ksi)]])/(Reinforcements[[#This Row],[Lcy/ry]]^2)</f>
        <v>66254.288803609088</v>
      </c>
      <c r="ET62" s="127">
        <f>4.71*(SQRT(Reinforcements[[#This Row],[E, (ksi)]]/Reinforcements[[#This Row],[Fy, (ksi)]]))</f>
        <v>99.486288193205496</v>
      </c>
      <c r="EU62" s="127">
        <f>IF(Reinforcements[[#This Row],[Lcx/rx]]&lt;=Reinforcements[[#This Row],[Fcr Limit]],(0.658^(Reinforcements[[#This Row],[Fy, (ksi)]]/Reinforcements[[#This Row],[Fex, FB (ksi)]]))*Reinforcements[[#This Row],[Fy, (ksi)]],0.877*Reinforcements[[#This Row],[Fex, FB (ksi)]])</f>
        <v>64.998331850889357</v>
      </c>
      <c r="EV62" s="127">
        <f>IF(Reinforcements[[#This Row],[Lcy/ry]]&lt;=Reinforcements[[#This Row],[Fcr Limit]],(0.658^(Reinforcements[[#This Row],[Fy, (ksi)]]/Reinforcements[[#This Row],[Fey, FB (ksi)]]))*Reinforcements[[#This Row],[Fy, (ksi)]],0.877*Reinforcements[[#This Row],[Fey, FB (ksi)]])</f>
        <v>64.973314750946315</v>
      </c>
      <c r="EW62" s="127">
        <f>Reinforcements[[#This Row],[Fcrx (ksi)]]*Reinforcements[[#This Row],[Gross Area (in2)]]</f>
        <v>324.9916592544468</v>
      </c>
      <c r="EX62" s="127">
        <f>Reinforcements[[#This Row],[Fcry (ksi)]]*Reinforcements[[#This Row],[Gross Area (in2)]]</f>
        <v>324.86657375473158</v>
      </c>
      <c r="EY62" s="127" t="str">
        <f>IF(Reinforcements[[#This Row],[Type]]="channel",0,"N/A")</f>
        <v>N/A</v>
      </c>
      <c r="EZ62" s="127" t="str">
        <f>IF(Reinforcements[[#This Row],[Type]]="channel",Reinforcements[[#This Row],[Channel Flange Width, b]]-(0.5*Reinforcements[[#This Row],[Channel web thickness, tw]]),"N/A")</f>
        <v>N/A</v>
      </c>
      <c r="FA62" s="127" t="str">
        <f>IF(Reinforcements[[#This Row],[Type]]="channel",Reinforcements[[#This Row],[Channel Height, h]]-Reinforcements[[#This Row],[Channel flange thickness, tf]],"N/A")</f>
        <v>N/A</v>
      </c>
      <c r="FB62" s="127" t="str">
        <f>IF(Reinforcements[[#This Row],[Type]]="channel",Reinforcements[[#This Row],[Channel web thickness, tw]],"N/A")</f>
        <v>N/A</v>
      </c>
      <c r="FC62" s="127" t="str">
        <f>IF(Reinforcements[[#This Row],[Type]]="channel",((3*Reinforcements[[#This Row],[b]]^2)/(Reinforcements[[#This Row],[h]]+(6*Reinforcements[[#This Row],[b]])))-Reinforcements[[#This Row],[t]]/2,"N/A")</f>
        <v>N/A</v>
      </c>
      <c r="FD62" s="127">
        <f>Reinforcements[[#This Row],[Pole Face to Centroid (in)]]</f>
        <v>2.75</v>
      </c>
      <c r="FE62" s="127" t="str">
        <f>IF(Reinforcements[[#This Row],[Type]]="channel",Reinforcements[[#This Row],[x(bar)]]+Reinforcements[[#This Row],['[Channel'] e0 (in)]],"N/A")</f>
        <v>N/A</v>
      </c>
      <c r="FF62" s="127" t="str">
        <f>IF(Reinforcements[[#This Row],[Type]]="channel",Reinforcements[[#This Row],[Ix]],"N/A")</f>
        <v>N/A</v>
      </c>
      <c r="FG62" s="127" t="str">
        <f>IF(Reinforcements[[#This Row],[Type]]="channel",Reinforcements[[#This Row],[Iy]],"N/A")</f>
        <v>N/A</v>
      </c>
      <c r="FH62" s="127" t="str">
        <f>IF(Reinforcements[[#This Row],[Type]]="channel",Reinforcements[[#This Row],[Gross Area (in2)]],"N/A")</f>
        <v>N/A</v>
      </c>
      <c r="FI62" s="127" t="str">
        <f>IF(Reinforcements[[#This Row],[Type]]="channel",(Reinforcements[[#This Row],[xo]]^2)+((Reinforcements[[#This Row],[Ix (FTB)]]+Reinforcements[[#This Row],[Iy (FTB)]])/Reinforcements[[#This Row],[Ag]]),"N/A")</f>
        <v>N/A</v>
      </c>
      <c r="FJ62" s="127" t="str">
        <f>IF(Reinforcements[[#This Row],[Type]]="channel",Reinforcements[[#This Row],[Lu (in)]],"N/A")</f>
        <v>N/A</v>
      </c>
      <c r="FK62" s="127" t="str">
        <f>IF(Reinforcements[[#This Row],[Type]]="channel",Reinforcements[[#This Row],[Effective Length Factor Kx]],"N/A")</f>
        <v>N/A</v>
      </c>
      <c r="FL62" s="127" t="str">
        <f>IF(Reinforcements[[#This Row],[Type]]="channel",Reinforcements[[#This Row],[Kz]]*Reinforcements[[#This Row],[Lz]],"N/A")</f>
        <v>N/A</v>
      </c>
      <c r="FM62" s="127" t="str">
        <f>IF(Reinforcements[[#This Row],[Type]]="channel",(((Reinforcements[[#This Row],[t]]^3)/3)*(Reinforcements[[#This Row],[h]]+(2*Reinforcements[[#This Row],[b]]))),"N/A")</f>
        <v>N/A</v>
      </c>
      <c r="FN62" s="127" t="str">
        <f>IF(Reinforcements[[#This Row],[Type]]="channel",(1-(((Reinforcements[[#This Row],[xo]]^2)+(Reinforcements[[#This Row],[yo]]^2))/Reinforcements[[#This Row],[ro^2(bar)]])),"N/A")</f>
        <v>N/A</v>
      </c>
      <c r="FO62" s="127">
        <v>11189</v>
      </c>
      <c r="FP62" s="127" t="str">
        <f>IF(Reinforcements[[#This Row],[Type]]="channel",(((Reinforcements[[#This Row],[h]]^2)*(Reinforcements[[#This Row],[b]]^3)*Reinforcements[[#This Row],[t]])/12)*(((2*Reinforcements[[#This Row],[h]])+(3*Reinforcements[[#This Row],[b]]))/(Reinforcements[[#This Row],[h]]+(6*Reinforcements[[#This Row],[b]]))),"N/A")</f>
        <v>N/A</v>
      </c>
      <c r="FQ62" s="127" t="str">
        <f>IF(Reinforcements[[#This Row],[Type]]="Channel",((((PI()^2)*Reinforcements[[#This Row],[E, (ksi)]]*Reinforcements[[#This Row],['[Channel'] CW (in6)]])/(Reinforcements[[#This Row],[Lcz]]^2))+(Reinforcements[[#This Row],[G]]*Reinforcements[[#This Row],['[Channel'] J (in4)]]))*(1/(Reinforcements[[#This Row],[Ag]]*Reinforcements[[#This Row],[ro^2(bar)]])),"N/A")</f>
        <v>N/A</v>
      </c>
      <c r="FR62" s="127" t="str">
        <f>IF(Reinforcements[[#This Row],[Type]]="channel",((PI()^2)*Reinforcements[[#This Row],[E, (ksi)]])/(Reinforcements[[#This Row],[Lcy/ry]]^2),"N/A")</f>
        <v>N/A</v>
      </c>
      <c r="FS62" s="127" t="str">
        <f>IF(Reinforcements[[#This Row],[Type]]="channel",((Reinforcements[[#This Row],[Fey]]+Reinforcements[[#This Row],[Fez]])/(2*Reinforcements[[#This Row],[H2]]))*(1-SQRT(1-((4*Reinforcements[[#This Row],[Fey]]*Reinforcements[[#This Row],[Fez]]*Reinforcements[[#This Row],[H2]])/(Reinforcements[[#This Row],[Fey]]+Reinforcements[[#This Row],[Fez]])^2))),"N/A")</f>
        <v>N/A</v>
      </c>
      <c r="FT62" s="127" t="str">
        <f>IF(Reinforcements[[#This Row],[Type]]="channel",IF(Reinforcements[[#This Row],[Lcx/rx]]&gt;(4.71*SQRT(Reinforcements[[#This Row],[E, (ksi)]]/Reinforcements[[#This Row],[Fy, (ksi)]])),0.877*Reinforcements[[#This Row],[Fe (FTB)]],0.658^(Reinforcements[[#This Row],[Fy, (ksi)]]/Reinforcements[[#This Row],[Fe (FTB)]])*Reinforcements[[#This Row],[Fy, (ksi)]]),"N/A")</f>
        <v>N/A</v>
      </c>
      <c r="FU62" s="127" t="str">
        <f>IF(Reinforcements[[#This Row],[Type]]="channel",MIN(Reinforcements[[#This Row],[Fcr(FTB)]],Reinforcements[[#This Row],[Fcry (ksi)]]),"N/A")</f>
        <v>N/A</v>
      </c>
      <c r="FV62" s="127">
        <v>0.22</v>
      </c>
      <c r="FW62" s="127">
        <v>1.49</v>
      </c>
      <c r="FX62" s="127" t="str">
        <f>IF(Reinforcements[[#This Row],[Type]]="channel",((Reinforcements[[#This Row],[c2]]*(Reinforcements[[#This Row],[λrf]]/Reinforcements[[#This Row],[λf]]))^2)*Reinforcements[[#This Row],[Fy, (ksi)]],"N/A")</f>
        <v>N/A</v>
      </c>
      <c r="FY62" s="127" t="str">
        <f>IF(Reinforcements[[#This Row],[Type]]="channel",((Reinforcements[[#This Row],[c2]]*(Reinforcements[[#This Row],[λrw]]/Reinforcements[[#This Row],[λw]]))^2)*Reinforcements[[#This Row],[Fy, (ksi)]],"N/A")</f>
        <v>N/A</v>
      </c>
      <c r="FZ62"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127" t="str">
        <f>IF(Reinforcements[[#This Row],[Type]]="channel",Reinforcements[[#This Row],[Fcr]]*Reinforcements[[#This Row],[Ae]],"N/A")</f>
        <v>N/A</v>
      </c>
      <c r="GD62" s="50">
        <f>IF(Reinforcements[[#This Row],[Reinforcement]]="","",φ_c*Reinforcements[[#This Row],[Pnx, FB (kip)]])</f>
        <v>292.49249332900212</v>
      </c>
      <c r="GE62" s="50">
        <f>IF(Reinforcements[[#This Row],[Reinforcement]]="","",IF(Reinforcements[[#This Row],[Type]]="channel",φ_c*Reinforcements[[#This Row],[Pn]],φ_c*Reinforcements[[#This Row],[Pny, FB (kip)]]))</f>
        <v>292.37991637925842</v>
      </c>
      <c r="GF62" s="50">
        <f>Reinforcements[[#This Row],[Rev. G Tension Yield Capacity (kips)]]</f>
        <v>292.5</v>
      </c>
      <c r="GG62" s="50">
        <f>Reinforcements[[#This Row],[Rev. G Tension Rupture Capacity (kips)]]</f>
        <v>300</v>
      </c>
      <c r="GH62" s="50">
        <f>Reinforcements[[#This Row],[Rev. G Shear Capacity (kips)]]</f>
        <v>146.25</v>
      </c>
      <c r="GI62" s="50" t="str">
        <f>IFERROR((Reinforcements[[#This Row],['# of End Connection Bolts          (Bottom)]]-1)*Reinforcements[[#This Row],[End Connection Bolt Spacing (in) (B)]],"-")</f>
        <v>-</v>
      </c>
      <c r="GJ62" s="50">
        <f>IFERROR(IF(VLOOKUP(Reinforcements[[#This Row],[Bottom End Connection Bolt Type]],Bolts[],COLUMN(Bolts[[#Headers],[Rev. H Apply Connection Length Reduction Factor (Rb)?]])-1,FALSE)="Yes",(IF(Reinforcements[[#This Row],[Lb(bottom)]]&lt;=16,1,IF(Reinforcements[[#This Row],[Lb(bottom)]]&gt;38,0.75,0.9))),1),"-")</f>
        <v>1</v>
      </c>
      <c r="GK62"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50" t="str">
        <f>IFERROR(IF(Reinforcements[[#This Row],[Top End Connection Same?]]="Yes",Reinforcements[[#This Row],[Lb(bottom)]],(Reinforcements[[#This Row],['# of End Connection Bolts          (Top)]]-1)*Reinforcements[[#This Row],[End Connection Bolt Spacing (in) (T)]]),"-")</f>
        <v>-</v>
      </c>
      <c r="GM62" s="50">
        <f>IFERROR(IF(VLOOKUP(Reinforcements[[#This Row],[Top End Connection Bolt Type]],Bolts[],COLUMN(Bolts[[#Headers],[Rev. H Apply Connection Length Reduction Factor (Rb)?]])-1,FALSE)=TRUE,(IF(Reinforcements[[#This Row],[Lb(top)]]&lt;=16,1,IF(Reinforcements[[#This Row],[Lb(top)]]&gt;38,0.75,0.9))),1),"-")</f>
        <v>1</v>
      </c>
      <c r="GN62"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50" t="str">
        <f>Reinforcements[[#This Row],[Rev. G Bolt-Shaft Bearing Capacity (Bottom)                No Deformation          (*t*Fu kips)]]</f>
        <v>-</v>
      </c>
      <c r="GP62" s="50" t="str">
        <f>Reinforcements[[#This Row],[Rev. G Bolt-Shaft Bearing Capacity (Bottom)                   Deformation          (*t*Fu kips)]]</f>
        <v>-</v>
      </c>
      <c r="GQ62" s="50" t="str">
        <f>Reinforcements[[#This Row],[Rev. G Bolt-Shaft Bearing Capacity (Top)                    No Deformation          (*t*Fu kips)]]</f>
        <v>-</v>
      </c>
      <c r="GR62" s="50" t="str">
        <f>Reinforcements[[#This Row],[Rev. G Bolt-Shaft Bearing Capacity (Top)                        Deformation          (*t*Fu kips)]]</f>
        <v>-</v>
      </c>
      <c r="GS62" s="50" t="str">
        <f>Reinforcements[[#This Row],[Rev. G Bolt-Reinf. Bearing Capacity (Bottom)            No Deformation (kips)]]</f>
        <v>-</v>
      </c>
      <c r="GT62" s="50" t="str">
        <f>Reinforcements[[#This Row],[Rev. G Bolt-Reinf. Bearing Capacity (Bottom)               Deformation (kips)]]</f>
        <v>-</v>
      </c>
      <c r="GU62" s="50" t="str">
        <f>Reinforcements[[#This Row],[Rev. G Bolt-Reinf. Bearing Capacity (Top)                  No Deformation (kips)]]</f>
        <v>-</v>
      </c>
      <c r="GV62" s="50" t="str">
        <f>Reinforcements[[#This Row],[Rev. G Bolt-Reinf. Bearing Capacity (Top)               Deformation (kips)]]</f>
        <v>-</v>
      </c>
      <c r="GW62" s="50">
        <f>Reinforcements[[#This Row],[Rev. G Bottom Transverse Weld Strength]]</f>
        <v>0</v>
      </c>
      <c r="GX62" s="50" t="str">
        <f>Reinforcements[[#This Row],[Rev. G Bottom Longitudinal Weld Strength]]</f>
        <v>-</v>
      </c>
      <c r="GY62" s="50" t="str">
        <f>Reinforcements[[#This Row],[Rev. G Top Transverse Weld Strength]]</f>
        <v>-</v>
      </c>
      <c r="GZ62" s="50">
        <f>Reinforcements[[#This Row],[Rev. G Top Longitudinal Weld Strength]]</f>
        <v>1431.8912319027588</v>
      </c>
      <c r="HA62">
        <v>60</v>
      </c>
      <c r="HB6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0</v>
      </c>
    </row>
    <row r="63" spans="2:210" x14ac:dyDescent="0.2">
      <c r="B63" s="695" t="s">
        <v>2595</v>
      </c>
      <c r="C63" s="695" t="s">
        <v>352</v>
      </c>
      <c r="D63" s="695">
        <v>1.25</v>
      </c>
      <c r="E63" s="695">
        <v>3.75</v>
      </c>
      <c r="F63" s="695" t="s">
        <v>2605</v>
      </c>
      <c r="G63" s="695" t="s">
        <v>2605</v>
      </c>
      <c r="H63" s="695" t="s">
        <v>2605</v>
      </c>
      <c r="I63" s="695" t="s">
        <v>2605</v>
      </c>
      <c r="J63" s="695" t="s">
        <v>2605</v>
      </c>
      <c r="K63" s="695" t="s">
        <v>2605</v>
      </c>
      <c r="L63" s="695">
        <v>4.6875</v>
      </c>
      <c r="M63" s="695">
        <v>2.625</v>
      </c>
      <c r="N63" s="695" t="s">
        <v>353</v>
      </c>
      <c r="O63" s="695" t="s">
        <v>138</v>
      </c>
      <c r="P63" s="695">
        <v>5.4931640625</v>
      </c>
      <c r="Q63" s="695">
        <v>1.0825317547305484</v>
      </c>
      <c r="R63" s="695">
        <v>0.6103515625</v>
      </c>
      <c r="S63" s="695">
        <v>0.36084391824351614</v>
      </c>
      <c r="T63" s="695">
        <v>0.75</v>
      </c>
      <c r="U63" s="695">
        <v>0.8</v>
      </c>
      <c r="V63" s="695">
        <v>1</v>
      </c>
      <c r="W63" s="695">
        <v>0</v>
      </c>
      <c r="X63" s="695">
        <v>0</v>
      </c>
      <c r="Y63" s="695">
        <v>4.6875</v>
      </c>
      <c r="Z63" s="695">
        <v>1</v>
      </c>
      <c r="AA63" s="695" t="s">
        <v>382</v>
      </c>
      <c r="AB63" s="695" t="s">
        <v>457</v>
      </c>
      <c r="AC63" s="695" t="s">
        <v>457</v>
      </c>
      <c r="AD63" s="695" t="s">
        <v>457</v>
      </c>
      <c r="AE63" s="695" t="s">
        <v>457</v>
      </c>
      <c r="AF63" s="695" t="s">
        <v>457</v>
      </c>
      <c r="AG63" s="695" t="s">
        <v>457</v>
      </c>
      <c r="AH63" s="695" t="s">
        <v>457</v>
      </c>
      <c r="AI63" s="695" t="s">
        <v>457</v>
      </c>
      <c r="AJ63" s="695" t="s">
        <v>2615</v>
      </c>
      <c r="AK63" s="695" t="s">
        <v>2615</v>
      </c>
      <c r="AL63" s="695" t="s">
        <v>457</v>
      </c>
      <c r="AM63" s="695" t="s">
        <v>457</v>
      </c>
      <c r="AN63" s="695" t="s">
        <v>357</v>
      </c>
      <c r="AO63" s="695">
        <v>80</v>
      </c>
      <c r="AP63" s="695" t="s">
        <v>2622</v>
      </c>
      <c r="AQ63" s="695">
        <v>7.5</v>
      </c>
      <c r="AR63" s="695">
        <v>0.5</v>
      </c>
      <c r="AS63" s="695">
        <v>45</v>
      </c>
      <c r="AT63" s="695">
        <v>0.5</v>
      </c>
      <c r="AU63" s="695">
        <v>0.61871843353822908</v>
      </c>
      <c r="AV63" s="695" t="s">
        <v>384</v>
      </c>
      <c r="AW63" s="695" t="s">
        <v>457</v>
      </c>
      <c r="AX63" s="695" t="s">
        <v>457</v>
      </c>
      <c r="AY63" s="695" t="s">
        <v>457</v>
      </c>
      <c r="AZ63" s="695" t="s">
        <v>353</v>
      </c>
      <c r="BA63" s="695" t="s">
        <v>382</v>
      </c>
      <c r="BB63" s="695" t="s">
        <v>457</v>
      </c>
      <c r="BC63" s="695" t="s">
        <v>457</v>
      </c>
      <c r="BD63" s="695" t="s">
        <v>457</v>
      </c>
      <c r="BE63" s="695" t="s">
        <v>457</v>
      </c>
      <c r="BF63" s="695" t="s">
        <v>457</v>
      </c>
      <c r="BG63" s="695" t="s">
        <v>457</v>
      </c>
      <c r="BH63" s="695" t="s">
        <v>457</v>
      </c>
      <c r="BI63" s="695" t="s">
        <v>457</v>
      </c>
      <c r="BJ63" s="695" t="s">
        <v>2615</v>
      </c>
      <c r="BK63" s="695" t="s">
        <v>2615</v>
      </c>
      <c r="BL63" s="695" t="s">
        <v>457</v>
      </c>
      <c r="BM63" s="695" t="s">
        <v>457</v>
      </c>
      <c r="BN63" s="695" t="s">
        <v>353</v>
      </c>
      <c r="BO63" s="695">
        <v>80</v>
      </c>
      <c r="BP63" s="695" t="s">
        <v>384</v>
      </c>
      <c r="BQ63" s="695" t="s">
        <v>457</v>
      </c>
      <c r="BR63" s="695" t="s">
        <v>457</v>
      </c>
      <c r="BS63" s="695" t="s">
        <v>457</v>
      </c>
      <c r="BT63" s="695" t="s">
        <v>457</v>
      </c>
      <c r="BU63" s="695" t="s">
        <v>457</v>
      </c>
      <c r="BV63" s="695" t="s">
        <v>2616</v>
      </c>
      <c r="BW63" s="695">
        <v>24</v>
      </c>
      <c r="BX63" s="695">
        <v>0.3125</v>
      </c>
      <c r="BY63" s="695">
        <v>0.22097086912079611</v>
      </c>
      <c r="BZ63" s="695" t="s">
        <v>2605</v>
      </c>
      <c r="CA63" s="695" t="s">
        <v>2605</v>
      </c>
      <c r="CB63" s="695" t="s">
        <v>2605</v>
      </c>
      <c r="CC63" s="12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1.25</v>
      </c>
      <c r="CD63" s="12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3.75</v>
      </c>
      <c r="CE63" s="127">
        <f>IFERROR(IF(Reinforcements[[#This Row],[Type]]="","",Reinforcements[[#This Row],[Effective B (in)]]*Reinforcements[[#This Row],[Effective H (in)]]^3/12),"")</f>
        <v>5.4931640625</v>
      </c>
      <c r="CF63" s="127">
        <f>IFERROR(IF(Reinforcements[[#This Row],[Type]]="","",Reinforcements[[#This Row],[Effective B (in)]]^3*Reinforcements[[#This Row],[Effective H (in)]]/12),"")</f>
        <v>0.6103515625</v>
      </c>
      <c r="CG63" s="140">
        <f>SQRT(2*PI()^2*29000/VLOOKUP(Reinforcements[[#This Row],[Material]],Materials[],2,FALSE))</f>
        <v>93.844147005158973</v>
      </c>
      <c r="CH63" s="13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38.947563735812921</v>
      </c>
      <c r="CI63" s="13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38.797128390003316</v>
      </c>
      <c r="CJ63" s="135">
        <f>Reinforcements[[#This Row],[Effective Length Factor Kx]]*Reinforcements[[#This Row],[Lu (in)]]/(Reinforcements[[#This Row],[rx]]*PI())*SQRT(VLOOKUP(Reinforcements[[#This Row],[Material]],Materials[],2,FALSE)/29000)</f>
        <v>8.3525370809489751E-3</v>
      </c>
      <c r="CK63" s="135">
        <f>Reinforcements[[#This Row],[Effective Length Factor Ky]]*Reinforcements[[#This Row],[Lu (in)]]/(Reinforcements[[#This Row],[ry]]*PI())*SQRT(VLOOKUP(Reinforcements[[#This Row],[Material]],Materials[],2,FALSE)/29000)</f>
        <v>3.1322014053558646E-2</v>
      </c>
      <c r="CL63" s="135">
        <f>IF(Reinforcements[[#This Row],[λcx]]&lt;=1.5,0.658^(Reinforcements[[#This Row],[λcx]]^2)*Reinforcements[[#This Row],[F''y]],0.877/(Reinforcements[[#This Row],[λcx]]^2)*Reinforcements[[#This Row],[F''y]])</f>
        <v>64.998102020367455</v>
      </c>
      <c r="CM63" s="135">
        <f>IF(Reinforcements[[#This Row],[λcy]]&lt;=1.5,0.658^(Reinforcements[[#This Row],[λcy]]^2)*Reinforcements[[#This Row],[F''y]],0.877/(Reinforcements[[#This Row],[λcy]]^2)*Reinforcements[[#This Row],[F''y]])</f>
        <v>64.973314750946315</v>
      </c>
      <c r="CN63" s="127">
        <f>VLOOKUP(Reinforcements[[#This Row],[Material]],Materials[],2,FALSE)</f>
        <v>65</v>
      </c>
      <c r="CO63" s="140">
        <f>IF(Reinforcements[[#This Row],[Reinforcement]]="","",Reinforcements[[#This Row],[Fax]]*Reinforcements[[#This Row],[Gross Area (in2)]])</f>
        <v>182.56670501162307</v>
      </c>
      <c r="CP63" s="140">
        <f>IF(Reinforcements[[#This Row],[Reinforcement]]="","",Reinforcements[[#This Row],[Fay]]*Reinforcements[[#This Row],[Gross Area (in2)]])</f>
        <v>181.86153932814054</v>
      </c>
      <c r="CQ63" s="140">
        <f>IF(Reinforcements[[#This Row],[Reinforcement]]="","",0.6*VLOOKUP(Reinforcements[[#This Row],[Material]],Materials[],2,FALSE)*Reinforcements[[#This Row],[Gross Area (in2)]])</f>
        <v>182.8125</v>
      </c>
      <c r="CR63" s="140">
        <f>IF(Reinforcements[[#This Row],[Reinforcement]]="","",0.5*VLOOKUP(Reinforcements[[#This Row],[Material]],Materials[],3,FALSE)*Reinforcements[[#This Row],[Net Area (in2)]]*Reinforcements[[#This Row],[Shear Lag (U)]])</f>
        <v>187.5</v>
      </c>
      <c r="CS63" s="140">
        <f>IF(Reinforcements[[#This Row],[Reinforcement]]="","",0.4*VLOOKUP(Reinforcements[[#This Row],[Material]],Materials[],2,FALSE)*Reinforcements[[#This Row],[Gross Area (in2)]])</f>
        <v>121.875</v>
      </c>
      <c r="CT63"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129">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111.36931803688122</v>
      </c>
      <c r="DE63"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3" s="127"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3" s="127">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254.55844122715706</v>
      </c>
      <c r="DH63" s="140">
        <f>IF(Reinforcements[[#This Row],[Reinforcement]]="","",φ_c*Reinforcements[[#This Row],[Fcr,x]]*Reinforcements[[#This Row],[Gross Area (in2)]])</f>
        <v>274.21074289842522</v>
      </c>
      <c r="DI63" s="140">
        <f>IF(Reinforcements[[#This Row],[Reinforcement]]="","",φ_c*Reinforcements[[#This Row],[Fcr,y]]*Reinforcements[[#This Row],[Gross Area (in2)]])</f>
        <v>274.10617160555478</v>
      </c>
      <c r="DJ63" s="140">
        <f>IF(Reinforcements[[#This Row],[Reinforcement]]="","",φ_t_y*VLOOKUP(Reinforcements[[#This Row],[Material]],Materials[],2,FALSE)*Reinforcements[[#This Row],[Gross Area (in2)]])</f>
        <v>274.21875</v>
      </c>
      <c r="DK63" s="140">
        <f>IF(Reinforcements[[#This Row],[Reinforcement]]="","",φ_t_r*VLOOKUP(Reinforcements[[#This Row],[Material]],Materials[],3,FALSE)*Reinforcements[[#This Row],[Net Area (in2)]]*Reinforcements[[#This Row],[Shear Lag (U)]])</f>
        <v>281.25</v>
      </c>
      <c r="DL63" s="140">
        <f>IF(Reinforcements[[#This Row],[Reinforcement]]="","",φ_v*0.5*Reinforcements[[#This Row],[F''y]]*Reinforcements[[#This Row],[Gross Area (in2)]])</f>
        <v>137.109375</v>
      </c>
      <c r="DM63"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127">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178.19090885900997</v>
      </c>
      <c r="DX63"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3" s="127"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3" s="127">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381.83766184073568</v>
      </c>
      <c r="EA63" s="129" t="str">
        <f>IF(OR(Reinforcements[[#This Row],[Type]]="plate",Reinforcements[[#This Row],[Type]]="solid round"),"N/A",Reinforcements[[#This Row],[B (in)]])</f>
        <v>N/A</v>
      </c>
      <c r="EB63" s="127" t="str">
        <f>IF(OR(Reinforcements[[#This Row],[Type]]="plate",Reinforcements[[#This Row],[Type]]="solid round"),"N/A",Reinforcements[[#This Row],[H (in)]])</f>
        <v>N/A</v>
      </c>
      <c r="EC63" s="127" t="str">
        <f>IF(OR(Reinforcements[[#This Row],[Type]]="plate",Reinforcements[[#This Row],[Type]]="solid round"),"N/A",Reinforcements[[#This Row],[B (in)]]-Reinforcements[[#This Row],['[Channel'] Flange Thickness (in)]])</f>
        <v>N/A</v>
      </c>
      <c r="ED63" s="127" t="str">
        <f>IF(OR(Reinforcements[[#This Row],[Type]]="plate",Reinforcements[[#This Row],[Type]]="solid round"),"N/A",Reinforcements[[#This Row],['[Channel']Web Thickness (in)]])</f>
        <v>N/A</v>
      </c>
      <c r="EE63" s="127" t="str">
        <f>IF(OR(Reinforcements[[#This Row],[Type]]="plate",Reinforcements[[#This Row],[Type]]="solid round"),"N/A",Reinforcements[[#This Row],['[Channel'] Flange Thickness (in)]])</f>
        <v>N/A</v>
      </c>
      <c r="EF63" s="127" t="str">
        <f>IF(Reinforcements[[#This Row],[Type]]="channel",Reinforcements[[#This Row],[Channel Flange Width, b]]/Reinforcements[[#This Row],[Channel flange thickness, tf]],"N/A")</f>
        <v>N/A</v>
      </c>
      <c r="EG63" s="127" t="str">
        <f>IF(Reinforcements[[#This Row],[Type]]="channel",Reinforcements[[#This Row],[Channel inside depth, T]]/Reinforcements[[#This Row],[Channel web thickness, tw]],"N/A")</f>
        <v>N/A</v>
      </c>
      <c r="EH63" s="6">
        <f>29000</f>
        <v>29000</v>
      </c>
      <c r="EI63" s="127" t="str">
        <f>IF(Reinforcements[[#This Row],[Type]]="channel",0.56*SQRT(Reinforcements[[#This Row],[E, (ksi)]]/Reinforcements[[#This Row],[Fy, (ksi)]]),"N/A")</f>
        <v>N/A</v>
      </c>
      <c r="EJ63" s="127" t="str">
        <f>IF(Reinforcements[[#This Row],[Type]]="channel",1.49*SQRT(Reinforcements[[#This Row],[E, (ksi)]]/Reinforcements[[#This Row],[Fy, (ksi)]]),"N/A")</f>
        <v>N/A</v>
      </c>
      <c r="EK63" s="127">
        <f>VLOOKUP(Reinforcements[[#This Row],[Material]],Materials!$B$2:$C$30,2,FALSE)</f>
        <v>65</v>
      </c>
      <c r="EL63" s="127">
        <f>Reinforcements[[#This Row],[Lu (in)]]*Reinforcements[[#This Row],[Effective Length Factor Kx]]</f>
        <v>0.60000000000000009</v>
      </c>
      <c r="EM63" s="127">
        <f>Reinforcements[[#This Row],[Lu (in)]]*Reinforcements[[#This Row],[Effective Length Factor Ky]]</f>
        <v>0.75</v>
      </c>
      <c r="EN63" s="127">
        <f>Reinforcements[[#This Row],[rx]]</f>
        <v>1.0825317547305484</v>
      </c>
      <c r="EO63" s="127">
        <f>Reinforcements[[#This Row],[ry]]</f>
        <v>0.36084391824351614</v>
      </c>
      <c r="EP63" s="127">
        <f>Reinforcements[[#This Row],[Lcx (in)]]/Reinforcements[[#This Row],[rx (in)]]</f>
        <v>0.55425625842204074</v>
      </c>
      <c r="EQ63" s="127">
        <f>Reinforcements[[#This Row],[Lcy (in)]]/Reinforcements[[#This Row],[ry (in)]]</f>
        <v>2.0784609690826525</v>
      </c>
      <c r="ER63" s="127">
        <f>((PI()^2)*Reinforcements[[#This Row],[E, (ksi)]])/(Reinforcements[[#This Row],[Lcx/rx]]^2)</f>
        <v>931700.93630075303</v>
      </c>
      <c r="ES63" s="127">
        <f>((PI()^2)*Reinforcements[[#This Row],[E, (ksi)]])/(Reinforcements[[#This Row],[Lcy/ry]]^2)</f>
        <v>66254.288803609117</v>
      </c>
      <c r="ET63" s="127">
        <f>4.71*(SQRT(Reinforcements[[#This Row],[E, (ksi)]]/Reinforcements[[#This Row],[Fy, (ksi)]]))</f>
        <v>99.486288193205496</v>
      </c>
      <c r="EU63" s="127">
        <f>IF(Reinforcements[[#This Row],[Lcx/rx]]&lt;=Reinforcements[[#This Row],[Fcr Limit]],(0.658^(Reinforcements[[#This Row],[Fy, (ksi)]]/Reinforcements[[#This Row],[Fex, FB (ksi)]]))*Reinforcements[[#This Row],[Fy, (ksi)]],0.877*Reinforcements[[#This Row],[Fex, FB (ksi)]])</f>
        <v>64.998102020367455</v>
      </c>
      <c r="EV63" s="127">
        <f>IF(Reinforcements[[#This Row],[Lcy/ry]]&lt;=Reinforcements[[#This Row],[Fcr Limit]],(0.658^(Reinforcements[[#This Row],[Fy, (ksi)]]/Reinforcements[[#This Row],[Fey, FB (ksi)]]))*Reinforcements[[#This Row],[Fy, (ksi)]],0.877*Reinforcements[[#This Row],[Fey, FB (ksi)]])</f>
        <v>64.973314750946315</v>
      </c>
      <c r="EW63" s="127">
        <f>Reinforcements[[#This Row],[Fcrx (ksi)]]*Reinforcements[[#This Row],[Gross Area (in2)]]</f>
        <v>304.67860322047244</v>
      </c>
      <c r="EX63" s="127">
        <f>Reinforcements[[#This Row],[Fcry (ksi)]]*Reinforcements[[#This Row],[Gross Area (in2)]]</f>
        <v>304.56241289506085</v>
      </c>
      <c r="EY63" s="127" t="str">
        <f>IF(Reinforcements[[#This Row],[Type]]="channel",0,"N/A")</f>
        <v>N/A</v>
      </c>
      <c r="EZ63" s="127" t="str">
        <f>IF(Reinforcements[[#This Row],[Type]]="channel",Reinforcements[[#This Row],[Channel Flange Width, b]]-(0.5*Reinforcements[[#This Row],[Channel web thickness, tw]]),"N/A")</f>
        <v>N/A</v>
      </c>
      <c r="FA63" s="127" t="str">
        <f>IF(Reinforcements[[#This Row],[Type]]="channel",Reinforcements[[#This Row],[Channel Height, h]]-Reinforcements[[#This Row],[Channel flange thickness, tf]],"N/A")</f>
        <v>N/A</v>
      </c>
      <c r="FB63" s="127" t="str">
        <f>IF(Reinforcements[[#This Row],[Type]]="channel",Reinforcements[[#This Row],[Channel web thickness, tw]],"N/A")</f>
        <v>N/A</v>
      </c>
      <c r="FC63" s="127" t="str">
        <f>IF(Reinforcements[[#This Row],[Type]]="channel",((3*Reinforcements[[#This Row],[b]]^2)/(Reinforcements[[#This Row],[h]]+(6*Reinforcements[[#This Row],[b]])))-Reinforcements[[#This Row],[t]]/2,"N/A")</f>
        <v>N/A</v>
      </c>
      <c r="FD63" s="127">
        <f>Reinforcements[[#This Row],[Pole Face to Centroid (in)]]</f>
        <v>2.625</v>
      </c>
      <c r="FE63" s="127" t="str">
        <f>IF(Reinforcements[[#This Row],[Type]]="channel",Reinforcements[[#This Row],[x(bar)]]+Reinforcements[[#This Row],['[Channel'] e0 (in)]],"N/A")</f>
        <v>N/A</v>
      </c>
      <c r="FF63" s="127" t="str">
        <f>IF(Reinforcements[[#This Row],[Type]]="channel",Reinforcements[[#This Row],[Ix]],"N/A")</f>
        <v>N/A</v>
      </c>
      <c r="FG63" s="127" t="str">
        <f>IF(Reinforcements[[#This Row],[Type]]="channel",Reinforcements[[#This Row],[Iy]],"N/A")</f>
        <v>N/A</v>
      </c>
      <c r="FH63" s="127" t="str">
        <f>IF(Reinforcements[[#This Row],[Type]]="channel",Reinforcements[[#This Row],[Gross Area (in2)]],"N/A")</f>
        <v>N/A</v>
      </c>
      <c r="FI63" s="127" t="str">
        <f>IF(Reinforcements[[#This Row],[Type]]="channel",(Reinforcements[[#This Row],[xo]]^2)+((Reinforcements[[#This Row],[Ix (FTB)]]+Reinforcements[[#This Row],[Iy (FTB)]])/Reinforcements[[#This Row],[Ag]]),"N/A")</f>
        <v>N/A</v>
      </c>
      <c r="FJ63" s="127" t="str">
        <f>IF(Reinforcements[[#This Row],[Type]]="channel",Reinforcements[[#This Row],[Lu (in)]],"N/A")</f>
        <v>N/A</v>
      </c>
      <c r="FK63" s="127" t="str">
        <f>IF(Reinforcements[[#This Row],[Type]]="channel",Reinforcements[[#This Row],[Effective Length Factor Kx]],"N/A")</f>
        <v>N/A</v>
      </c>
      <c r="FL63" s="127" t="str">
        <f>IF(Reinforcements[[#This Row],[Type]]="channel",Reinforcements[[#This Row],[Kz]]*Reinforcements[[#This Row],[Lz]],"N/A")</f>
        <v>N/A</v>
      </c>
      <c r="FM63" s="127" t="str">
        <f>IF(Reinforcements[[#This Row],[Type]]="channel",(((Reinforcements[[#This Row],[t]]^3)/3)*(Reinforcements[[#This Row],[h]]+(2*Reinforcements[[#This Row],[b]]))),"N/A")</f>
        <v>N/A</v>
      </c>
      <c r="FN63" s="127" t="str">
        <f>IF(Reinforcements[[#This Row],[Type]]="channel",(1-(((Reinforcements[[#This Row],[xo]]^2)+(Reinforcements[[#This Row],[yo]]^2))/Reinforcements[[#This Row],[ro^2(bar)]])),"N/A")</f>
        <v>N/A</v>
      </c>
      <c r="FO63" s="127">
        <v>11190</v>
      </c>
      <c r="FP63" s="127" t="str">
        <f>IF(Reinforcements[[#This Row],[Type]]="channel",(((Reinforcements[[#This Row],[h]]^2)*(Reinforcements[[#This Row],[b]]^3)*Reinforcements[[#This Row],[t]])/12)*(((2*Reinforcements[[#This Row],[h]])+(3*Reinforcements[[#This Row],[b]]))/(Reinforcements[[#This Row],[h]]+(6*Reinforcements[[#This Row],[b]]))),"N/A")</f>
        <v>N/A</v>
      </c>
      <c r="FQ63" s="127" t="str">
        <f>IF(Reinforcements[[#This Row],[Type]]="Channel",((((PI()^2)*Reinforcements[[#This Row],[E, (ksi)]]*Reinforcements[[#This Row],['[Channel'] CW (in6)]])/(Reinforcements[[#This Row],[Lcz]]^2))+(Reinforcements[[#This Row],[G]]*Reinforcements[[#This Row],['[Channel'] J (in4)]]))*(1/(Reinforcements[[#This Row],[Ag]]*Reinforcements[[#This Row],[ro^2(bar)]])),"N/A")</f>
        <v>N/A</v>
      </c>
      <c r="FR63" s="127" t="str">
        <f>IF(Reinforcements[[#This Row],[Type]]="channel",((PI()^2)*Reinforcements[[#This Row],[E, (ksi)]])/(Reinforcements[[#This Row],[Lcy/ry]]^2),"N/A")</f>
        <v>N/A</v>
      </c>
      <c r="FS63" s="127" t="str">
        <f>IF(Reinforcements[[#This Row],[Type]]="channel",((Reinforcements[[#This Row],[Fey]]+Reinforcements[[#This Row],[Fez]])/(2*Reinforcements[[#This Row],[H2]]))*(1-SQRT(1-((4*Reinforcements[[#This Row],[Fey]]*Reinforcements[[#This Row],[Fez]]*Reinforcements[[#This Row],[H2]])/(Reinforcements[[#This Row],[Fey]]+Reinforcements[[#This Row],[Fez]])^2))),"N/A")</f>
        <v>N/A</v>
      </c>
      <c r="FT63" s="127" t="str">
        <f>IF(Reinforcements[[#This Row],[Type]]="channel",IF(Reinforcements[[#This Row],[Lcx/rx]]&gt;(4.71*SQRT(Reinforcements[[#This Row],[E, (ksi)]]/Reinforcements[[#This Row],[Fy, (ksi)]])),0.877*Reinforcements[[#This Row],[Fe (FTB)]],0.658^(Reinforcements[[#This Row],[Fy, (ksi)]]/Reinforcements[[#This Row],[Fe (FTB)]])*Reinforcements[[#This Row],[Fy, (ksi)]]),"N/A")</f>
        <v>N/A</v>
      </c>
      <c r="FU63" s="127" t="str">
        <f>IF(Reinforcements[[#This Row],[Type]]="channel",MIN(Reinforcements[[#This Row],[Fcr(FTB)]],Reinforcements[[#This Row],[Fcry (ksi)]]),"N/A")</f>
        <v>N/A</v>
      </c>
      <c r="FV63" s="127">
        <v>0.22</v>
      </c>
      <c r="FW63" s="127">
        <v>1.49</v>
      </c>
      <c r="FX63" s="127" t="str">
        <f>IF(Reinforcements[[#This Row],[Type]]="channel",((Reinforcements[[#This Row],[c2]]*(Reinforcements[[#This Row],[λrf]]/Reinforcements[[#This Row],[λf]]))^2)*Reinforcements[[#This Row],[Fy, (ksi)]],"N/A")</f>
        <v>N/A</v>
      </c>
      <c r="FY63" s="127" t="str">
        <f>IF(Reinforcements[[#This Row],[Type]]="channel",((Reinforcements[[#This Row],[c2]]*(Reinforcements[[#This Row],[λrw]]/Reinforcements[[#This Row],[λw]]))^2)*Reinforcements[[#This Row],[Fy, (ksi)]],"N/A")</f>
        <v>N/A</v>
      </c>
      <c r="FZ63"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127" t="str">
        <f>IF(Reinforcements[[#This Row],[Type]]="channel",Reinforcements[[#This Row],[Fcr]]*Reinforcements[[#This Row],[Ae]],"N/A")</f>
        <v>N/A</v>
      </c>
      <c r="GD63" s="50">
        <f>IF(Reinforcements[[#This Row],[Reinforcement]]="","",φ_c*Reinforcements[[#This Row],[Pnx, FB (kip)]])</f>
        <v>274.21074289842522</v>
      </c>
      <c r="GE63" s="50">
        <f>IF(Reinforcements[[#This Row],[Reinforcement]]="","",IF(Reinforcements[[#This Row],[Type]]="channel",φ_c*Reinforcements[[#This Row],[Pn]],φ_c*Reinforcements[[#This Row],[Pny, FB (kip)]]))</f>
        <v>274.10617160555478</v>
      </c>
      <c r="GF63" s="50">
        <f>Reinforcements[[#This Row],[Rev. G Tension Yield Capacity (kips)]]</f>
        <v>274.21875</v>
      </c>
      <c r="GG63" s="50">
        <f>Reinforcements[[#This Row],[Rev. G Tension Rupture Capacity (kips)]]</f>
        <v>281.25</v>
      </c>
      <c r="GH63" s="50">
        <f>Reinforcements[[#This Row],[Rev. G Shear Capacity (kips)]]</f>
        <v>137.109375</v>
      </c>
      <c r="GI63" s="50" t="str">
        <f>IFERROR((Reinforcements[[#This Row],['# of End Connection Bolts          (Bottom)]]-1)*Reinforcements[[#This Row],[End Connection Bolt Spacing (in) (B)]],"-")</f>
        <v>-</v>
      </c>
      <c r="GJ63" s="50">
        <f>IFERROR(IF(VLOOKUP(Reinforcements[[#This Row],[Bottom End Connection Bolt Type]],Bolts[],COLUMN(Bolts[[#Headers],[Rev. H Apply Connection Length Reduction Factor (Rb)?]])-1,FALSE)="Yes",(IF(Reinforcements[[#This Row],[Lb(bottom)]]&lt;=16,1,IF(Reinforcements[[#This Row],[Lb(bottom)]]&gt;38,0.75,0.9))),1),"-")</f>
        <v>1</v>
      </c>
      <c r="GK63"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50" t="str">
        <f>IFERROR(IF(Reinforcements[[#This Row],[Top End Connection Same?]]="Yes",Reinforcements[[#This Row],[Lb(bottom)]],(Reinforcements[[#This Row],['# of End Connection Bolts          (Top)]]-1)*Reinforcements[[#This Row],[End Connection Bolt Spacing (in) (T)]]),"-")</f>
        <v>-</v>
      </c>
      <c r="GM63" s="50">
        <f>IFERROR(IF(VLOOKUP(Reinforcements[[#This Row],[Top End Connection Bolt Type]],Bolts[],COLUMN(Bolts[[#Headers],[Rev. H Apply Connection Length Reduction Factor (Rb)?]])-1,FALSE)=TRUE,(IF(Reinforcements[[#This Row],[Lb(top)]]&lt;=16,1,IF(Reinforcements[[#This Row],[Lb(top)]]&gt;38,0.75,0.9))),1),"-")</f>
        <v>1</v>
      </c>
      <c r="GN63"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50" t="str">
        <f>Reinforcements[[#This Row],[Rev. G Bolt-Shaft Bearing Capacity (Bottom)                No Deformation          (*t*Fu kips)]]</f>
        <v>-</v>
      </c>
      <c r="GP63" s="50" t="str">
        <f>Reinforcements[[#This Row],[Rev. G Bolt-Shaft Bearing Capacity (Bottom)                   Deformation          (*t*Fu kips)]]</f>
        <v>-</v>
      </c>
      <c r="GQ63" s="50" t="str">
        <f>Reinforcements[[#This Row],[Rev. G Bolt-Shaft Bearing Capacity (Top)                    No Deformation          (*t*Fu kips)]]</f>
        <v>-</v>
      </c>
      <c r="GR63" s="50" t="str">
        <f>Reinforcements[[#This Row],[Rev. G Bolt-Shaft Bearing Capacity (Top)                        Deformation          (*t*Fu kips)]]</f>
        <v>-</v>
      </c>
      <c r="GS63" s="50" t="str">
        <f>Reinforcements[[#This Row],[Rev. G Bolt-Reinf. Bearing Capacity (Bottom)            No Deformation (kips)]]</f>
        <v>-</v>
      </c>
      <c r="GT63" s="50" t="str">
        <f>Reinforcements[[#This Row],[Rev. G Bolt-Reinf. Bearing Capacity (Bottom)               Deformation (kips)]]</f>
        <v>-</v>
      </c>
      <c r="GU63" s="50" t="str">
        <f>Reinforcements[[#This Row],[Rev. G Bolt-Reinf. Bearing Capacity (Top)                  No Deformation (kips)]]</f>
        <v>-</v>
      </c>
      <c r="GV63" s="50" t="str">
        <f>Reinforcements[[#This Row],[Rev. G Bolt-Reinf. Bearing Capacity (Top)               Deformation (kips)]]</f>
        <v>-</v>
      </c>
      <c r="GW63" s="50">
        <f>Reinforcements[[#This Row],[Rev. G Bottom Transverse Weld Strength]]</f>
        <v>178.19090885900997</v>
      </c>
      <c r="GX63" s="50" t="str">
        <f>Reinforcements[[#This Row],[Rev. G Bottom Longitudinal Weld Strength]]</f>
        <v>-</v>
      </c>
      <c r="GY63" s="50" t="str">
        <f>Reinforcements[[#This Row],[Rev. G Top Transverse Weld Strength]]</f>
        <v>-</v>
      </c>
      <c r="GZ63" s="50">
        <f>Reinforcements[[#This Row],[Rev. G Top Longitudinal Weld Strength]]</f>
        <v>381.83766184073568</v>
      </c>
      <c r="HA63">
        <v>61</v>
      </c>
      <c r="HB6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0</v>
      </c>
    </row>
    <row r="64" spans="2:210" x14ac:dyDescent="0.2">
      <c r="B64" s="695" t="s">
        <v>2594</v>
      </c>
      <c r="C64" s="695" t="s">
        <v>352</v>
      </c>
      <c r="D64" s="695">
        <v>1.25</v>
      </c>
      <c r="E64" s="695">
        <v>3</v>
      </c>
      <c r="F64" s="695" t="s">
        <v>2605</v>
      </c>
      <c r="G64" s="695" t="s">
        <v>2605</v>
      </c>
      <c r="H64" s="695" t="s">
        <v>2605</v>
      </c>
      <c r="I64" s="695" t="s">
        <v>2605</v>
      </c>
      <c r="J64" s="695" t="s">
        <v>2605</v>
      </c>
      <c r="K64" s="695" t="s">
        <v>2605</v>
      </c>
      <c r="L64" s="695">
        <v>3.75</v>
      </c>
      <c r="M64" s="695">
        <v>2.25</v>
      </c>
      <c r="N64" s="695" t="s">
        <v>353</v>
      </c>
      <c r="O64" s="695" t="s">
        <v>138</v>
      </c>
      <c r="P64" s="695">
        <v>2.8125</v>
      </c>
      <c r="Q64" s="695">
        <v>0.8660254037844386</v>
      </c>
      <c r="R64" s="695">
        <v>0.48828125</v>
      </c>
      <c r="S64" s="695">
        <v>0.36084391824351614</v>
      </c>
      <c r="T64" s="695">
        <v>0.75</v>
      </c>
      <c r="U64" s="695">
        <v>0.8</v>
      </c>
      <c r="V64" s="695">
        <v>1</v>
      </c>
      <c r="W64" s="695">
        <v>0</v>
      </c>
      <c r="X64" s="695">
        <v>0</v>
      </c>
      <c r="Y64" s="695">
        <v>3.75</v>
      </c>
      <c r="Z64" s="695">
        <v>1</v>
      </c>
      <c r="AA64" s="695" t="s">
        <v>382</v>
      </c>
      <c r="AB64" s="695" t="s">
        <v>457</v>
      </c>
      <c r="AC64" s="695" t="s">
        <v>457</v>
      </c>
      <c r="AD64" s="695" t="s">
        <v>457</v>
      </c>
      <c r="AE64" s="695" t="s">
        <v>457</v>
      </c>
      <c r="AF64" s="695" t="s">
        <v>457</v>
      </c>
      <c r="AG64" s="695" t="s">
        <v>457</v>
      </c>
      <c r="AH64" s="695" t="s">
        <v>457</v>
      </c>
      <c r="AI64" s="695" t="s">
        <v>457</v>
      </c>
      <c r="AJ64" s="695" t="s">
        <v>2615</v>
      </c>
      <c r="AK64" s="695" t="s">
        <v>2615</v>
      </c>
      <c r="AL64" s="695" t="s">
        <v>457</v>
      </c>
      <c r="AM64" s="695" t="s">
        <v>457</v>
      </c>
      <c r="AN64" s="695" t="s">
        <v>357</v>
      </c>
      <c r="AO64" s="695">
        <v>80</v>
      </c>
      <c r="AP64" s="695" t="s">
        <v>2622</v>
      </c>
      <c r="AQ64" s="695">
        <v>6</v>
      </c>
      <c r="AR64" s="695">
        <v>0.5</v>
      </c>
      <c r="AS64" s="695">
        <v>45</v>
      </c>
      <c r="AT64" s="695">
        <v>0.5</v>
      </c>
      <c r="AU64" s="695">
        <v>0.61871843353822908</v>
      </c>
      <c r="AV64" s="695" t="s">
        <v>384</v>
      </c>
      <c r="AW64" s="695" t="s">
        <v>457</v>
      </c>
      <c r="AX64" s="695" t="s">
        <v>457</v>
      </c>
      <c r="AY64" s="695" t="s">
        <v>457</v>
      </c>
      <c r="AZ64" s="695" t="s">
        <v>353</v>
      </c>
      <c r="BA64" s="695" t="s">
        <v>382</v>
      </c>
      <c r="BB64" s="695" t="s">
        <v>457</v>
      </c>
      <c r="BC64" s="695" t="s">
        <v>457</v>
      </c>
      <c r="BD64" s="695" t="s">
        <v>457</v>
      </c>
      <c r="BE64" s="695" t="s">
        <v>457</v>
      </c>
      <c r="BF64" s="695" t="s">
        <v>457</v>
      </c>
      <c r="BG64" s="695" t="s">
        <v>457</v>
      </c>
      <c r="BH64" s="695" t="s">
        <v>457</v>
      </c>
      <c r="BI64" s="695" t="s">
        <v>457</v>
      </c>
      <c r="BJ64" s="695" t="s">
        <v>2615</v>
      </c>
      <c r="BK64" s="695" t="s">
        <v>2615</v>
      </c>
      <c r="BL64" s="695" t="s">
        <v>457</v>
      </c>
      <c r="BM64" s="695" t="s">
        <v>457</v>
      </c>
      <c r="BN64" s="695" t="s">
        <v>353</v>
      </c>
      <c r="BO64" s="695">
        <v>80</v>
      </c>
      <c r="BP64" s="695" t="s">
        <v>384</v>
      </c>
      <c r="BQ64" s="695" t="s">
        <v>457</v>
      </c>
      <c r="BR64" s="695" t="s">
        <v>457</v>
      </c>
      <c r="BS64" s="695" t="s">
        <v>457</v>
      </c>
      <c r="BT64" s="695" t="s">
        <v>457</v>
      </c>
      <c r="BU64" s="695" t="s">
        <v>457</v>
      </c>
      <c r="BV64" s="695" t="s">
        <v>2616</v>
      </c>
      <c r="BW64" s="695">
        <v>36</v>
      </c>
      <c r="BX64" s="695">
        <v>0.3125</v>
      </c>
      <c r="BY64" s="695">
        <v>0.22097086912079611</v>
      </c>
      <c r="BZ64" s="695" t="s">
        <v>2605</v>
      </c>
      <c r="CA64" s="695" t="s">
        <v>2605</v>
      </c>
      <c r="CB64" s="695" t="s">
        <v>2605</v>
      </c>
      <c r="CC64" s="12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1.25</v>
      </c>
      <c r="CD64" s="12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3</v>
      </c>
      <c r="CE64" s="127">
        <f>IFERROR(IF(Reinforcements[[#This Row],[Type]]="","",Reinforcements[[#This Row],[Effective B (in)]]*Reinforcements[[#This Row],[Effective H (in)]]^3/12),"")</f>
        <v>2.8125</v>
      </c>
      <c r="CF64" s="127">
        <f>IFERROR(IF(Reinforcements[[#This Row],[Type]]="","",Reinforcements[[#This Row],[Effective B (in)]]^3*Reinforcements[[#This Row],[Effective H (in)]]/12),"")</f>
        <v>0.48828125</v>
      </c>
      <c r="CG64" s="140">
        <f>SQRT(2*PI()^2*29000/VLOOKUP(Reinforcements[[#This Row],[Material]],Materials[],2,FALSE))</f>
        <v>93.844147005158973</v>
      </c>
      <c r="CH64" s="13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38.934264618821196</v>
      </c>
      <c r="CI64" s="13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38.797128390003316</v>
      </c>
      <c r="CJ64" s="135">
        <f>Reinforcements[[#This Row],[Effective Length Factor Kx]]*Reinforcements[[#This Row],[Lu (in)]]/(Reinforcements[[#This Row],[rx]]*PI())*SQRT(VLOOKUP(Reinforcements[[#This Row],[Material]],Materials[],2,FALSE)/29000)</f>
        <v>1.0440671351186219E-2</v>
      </c>
      <c r="CK64" s="135">
        <f>Reinforcements[[#This Row],[Effective Length Factor Ky]]*Reinforcements[[#This Row],[Lu (in)]]/(Reinforcements[[#This Row],[ry]]*PI())*SQRT(VLOOKUP(Reinforcements[[#This Row],[Material]],Materials[],2,FALSE)/29000)</f>
        <v>3.1322014053558646E-2</v>
      </c>
      <c r="CL64" s="135">
        <f>IF(Reinforcements[[#This Row],[λcx]]&lt;=1.5,0.658^(Reinforcements[[#This Row],[λcx]]^2)*Reinforcements[[#This Row],[F''y]],0.877/(Reinforcements[[#This Row],[λcx]]^2)*Reinforcements[[#This Row],[F''y]])</f>
        <v>64.997034431178918</v>
      </c>
      <c r="CM64" s="135">
        <f>IF(Reinforcements[[#This Row],[λcy]]&lt;=1.5,0.658^(Reinforcements[[#This Row],[λcy]]^2)*Reinforcements[[#This Row],[F''y]],0.877/(Reinforcements[[#This Row],[λcy]]^2)*Reinforcements[[#This Row],[F''y]])</f>
        <v>64.973314750946315</v>
      </c>
      <c r="CN64" s="127">
        <f>VLOOKUP(Reinforcements[[#This Row],[Material]],Materials[],2,FALSE)</f>
        <v>65</v>
      </c>
      <c r="CO64" s="140">
        <f>IF(Reinforcements[[#This Row],[Reinforcement]]="","",Reinforcements[[#This Row],[Fax]]*Reinforcements[[#This Row],[Gross Area (in2)]])</f>
        <v>146.00349232057948</v>
      </c>
      <c r="CP64" s="140">
        <f>IF(Reinforcements[[#This Row],[Reinforcement]]="","",Reinforcements[[#This Row],[Fay]]*Reinforcements[[#This Row],[Gross Area (in2)]])</f>
        <v>145.48923146251244</v>
      </c>
      <c r="CQ64" s="140">
        <f>IF(Reinforcements[[#This Row],[Reinforcement]]="","",0.6*VLOOKUP(Reinforcements[[#This Row],[Material]],Materials[],2,FALSE)*Reinforcements[[#This Row],[Gross Area (in2)]])</f>
        <v>146.25</v>
      </c>
      <c r="CR64" s="140">
        <f>IF(Reinforcements[[#This Row],[Reinforcement]]="","",0.5*VLOOKUP(Reinforcements[[#This Row],[Material]],Materials[],3,FALSE)*Reinforcements[[#This Row],[Net Area (in2)]]*Reinforcements[[#This Row],[Shear Lag (U)]])</f>
        <v>150</v>
      </c>
      <c r="CS64" s="140">
        <f>IF(Reinforcements[[#This Row],[Reinforcement]]="","",0.4*VLOOKUP(Reinforcements[[#This Row],[Material]],Materials[],2,FALSE)*Reinforcements[[#This Row],[Gross Area (in2)]])</f>
        <v>97.5</v>
      </c>
      <c r="CT64"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129">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89.095454429504983</v>
      </c>
      <c r="DE64"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4" s="127"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4" s="127">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381.83766184073562</v>
      </c>
      <c r="DH64" s="140">
        <f>IF(Reinforcements[[#This Row],[Reinforcement]]="","",φ_c*Reinforcements[[#This Row],[Fcr,x]]*Reinforcements[[#This Row],[Gross Area (in2)]])</f>
        <v>219.36499120522888</v>
      </c>
      <c r="DI64" s="140">
        <f>IF(Reinforcements[[#This Row],[Reinforcement]]="","",φ_c*Reinforcements[[#This Row],[Fcr,y]]*Reinforcements[[#This Row],[Gross Area (in2)]])</f>
        <v>219.2849372844438</v>
      </c>
      <c r="DJ64" s="140">
        <f>IF(Reinforcements[[#This Row],[Reinforcement]]="","",φ_t_y*VLOOKUP(Reinforcements[[#This Row],[Material]],Materials[],2,FALSE)*Reinforcements[[#This Row],[Gross Area (in2)]])</f>
        <v>219.375</v>
      </c>
      <c r="DK64" s="140">
        <f>IF(Reinforcements[[#This Row],[Reinforcement]]="","",φ_t_r*VLOOKUP(Reinforcements[[#This Row],[Material]],Materials[],3,FALSE)*Reinforcements[[#This Row],[Net Area (in2)]]*Reinforcements[[#This Row],[Shear Lag (U)]])</f>
        <v>225</v>
      </c>
      <c r="DL64" s="140">
        <f>IF(Reinforcements[[#This Row],[Reinforcement]]="","",φ_v*0.5*Reinforcements[[#This Row],[F''y]]*Reinforcements[[#This Row],[Gross Area (in2)]])</f>
        <v>109.6875</v>
      </c>
      <c r="DM64"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127">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142.55272708720798</v>
      </c>
      <c r="DX64"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4" s="127"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4" s="127">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572.75649276110357</v>
      </c>
      <c r="EA64" s="129" t="str">
        <f>IF(OR(Reinforcements[[#This Row],[Type]]="plate",Reinforcements[[#This Row],[Type]]="solid round"),"N/A",Reinforcements[[#This Row],[B (in)]])</f>
        <v>N/A</v>
      </c>
      <c r="EB64" s="127" t="str">
        <f>IF(OR(Reinforcements[[#This Row],[Type]]="plate",Reinforcements[[#This Row],[Type]]="solid round"),"N/A",Reinforcements[[#This Row],[H (in)]])</f>
        <v>N/A</v>
      </c>
      <c r="EC64" s="127" t="str">
        <f>IF(OR(Reinforcements[[#This Row],[Type]]="plate",Reinforcements[[#This Row],[Type]]="solid round"),"N/A",Reinforcements[[#This Row],[B (in)]]-Reinforcements[[#This Row],['[Channel'] Flange Thickness (in)]])</f>
        <v>N/A</v>
      </c>
      <c r="ED64" s="127" t="str">
        <f>IF(OR(Reinforcements[[#This Row],[Type]]="plate",Reinforcements[[#This Row],[Type]]="solid round"),"N/A",Reinforcements[[#This Row],['[Channel']Web Thickness (in)]])</f>
        <v>N/A</v>
      </c>
      <c r="EE64" s="127" t="str">
        <f>IF(OR(Reinforcements[[#This Row],[Type]]="plate",Reinforcements[[#This Row],[Type]]="solid round"),"N/A",Reinforcements[[#This Row],['[Channel'] Flange Thickness (in)]])</f>
        <v>N/A</v>
      </c>
      <c r="EF64" s="127" t="str">
        <f>IF(Reinforcements[[#This Row],[Type]]="channel",Reinforcements[[#This Row],[Channel Flange Width, b]]/Reinforcements[[#This Row],[Channel flange thickness, tf]],"N/A")</f>
        <v>N/A</v>
      </c>
      <c r="EG64" s="127" t="str">
        <f>IF(Reinforcements[[#This Row],[Type]]="channel",Reinforcements[[#This Row],[Channel inside depth, T]]/Reinforcements[[#This Row],[Channel web thickness, tw]],"N/A")</f>
        <v>N/A</v>
      </c>
      <c r="EH64" s="6">
        <f>29000</f>
        <v>29000</v>
      </c>
      <c r="EI64" s="127" t="str">
        <f>IF(Reinforcements[[#This Row],[Type]]="channel",0.56*SQRT(Reinforcements[[#This Row],[E, (ksi)]]/Reinforcements[[#This Row],[Fy, (ksi)]]),"N/A")</f>
        <v>N/A</v>
      </c>
      <c r="EJ64" s="127" t="str">
        <f>IF(Reinforcements[[#This Row],[Type]]="channel",1.49*SQRT(Reinforcements[[#This Row],[E, (ksi)]]/Reinforcements[[#This Row],[Fy, (ksi)]]),"N/A")</f>
        <v>N/A</v>
      </c>
      <c r="EK64" s="127">
        <f>VLOOKUP(Reinforcements[[#This Row],[Material]],Materials!$B$2:$C$30,2,FALSE)</f>
        <v>65</v>
      </c>
      <c r="EL64" s="127">
        <f>Reinforcements[[#This Row],[Lu (in)]]*Reinforcements[[#This Row],[Effective Length Factor Kx]]</f>
        <v>0.60000000000000009</v>
      </c>
      <c r="EM64" s="127">
        <f>Reinforcements[[#This Row],[Lu (in)]]*Reinforcements[[#This Row],[Effective Length Factor Ky]]</f>
        <v>0.75</v>
      </c>
      <c r="EN64" s="127">
        <f>Reinforcements[[#This Row],[rx]]</f>
        <v>0.8660254037844386</v>
      </c>
      <c r="EO64" s="127">
        <f>Reinforcements[[#This Row],[ry]]</f>
        <v>0.36084391824351614</v>
      </c>
      <c r="EP64" s="127">
        <f>Reinforcements[[#This Row],[Lcx (in)]]/Reinforcements[[#This Row],[rx (in)]]</f>
        <v>0.69282032302755103</v>
      </c>
      <c r="EQ64" s="127">
        <f>Reinforcements[[#This Row],[Lcy (in)]]/Reinforcements[[#This Row],[ry (in)]]</f>
        <v>2.0784609690826525</v>
      </c>
      <c r="ER64" s="127">
        <f>((PI()^2)*Reinforcements[[#This Row],[E, (ksi)]])/(Reinforcements[[#This Row],[Lcx/rx]]^2)</f>
        <v>596288.59923248179</v>
      </c>
      <c r="ES64" s="127">
        <f>((PI()^2)*Reinforcements[[#This Row],[E, (ksi)]])/(Reinforcements[[#This Row],[Lcy/ry]]^2)</f>
        <v>66254.288803609117</v>
      </c>
      <c r="ET64" s="127">
        <f>4.71*(SQRT(Reinforcements[[#This Row],[E, (ksi)]]/Reinforcements[[#This Row],[Fy, (ksi)]]))</f>
        <v>99.486288193205496</v>
      </c>
      <c r="EU64" s="127">
        <f>IF(Reinforcements[[#This Row],[Lcx/rx]]&lt;=Reinforcements[[#This Row],[Fcr Limit]],(0.658^(Reinforcements[[#This Row],[Fy, (ksi)]]/Reinforcements[[#This Row],[Fex, FB (ksi)]]))*Reinforcements[[#This Row],[Fy, (ksi)]],0.877*Reinforcements[[#This Row],[Fex, FB (ksi)]])</f>
        <v>64.997034431178918</v>
      </c>
      <c r="EV64" s="127">
        <f>IF(Reinforcements[[#This Row],[Lcy/ry]]&lt;=Reinforcements[[#This Row],[Fcr Limit]],(0.658^(Reinforcements[[#This Row],[Fy, (ksi)]]/Reinforcements[[#This Row],[Fey, FB (ksi)]]))*Reinforcements[[#This Row],[Fy, (ksi)]],0.877*Reinforcements[[#This Row],[Fey, FB (ksi)]])</f>
        <v>64.973314750946315</v>
      </c>
      <c r="EW64" s="127">
        <f>Reinforcements[[#This Row],[Fcrx (ksi)]]*Reinforcements[[#This Row],[Gross Area (in2)]]</f>
        <v>243.73887911692094</v>
      </c>
      <c r="EX64" s="127">
        <f>Reinforcements[[#This Row],[Fcry (ksi)]]*Reinforcements[[#This Row],[Gross Area (in2)]]</f>
        <v>243.64993031604868</v>
      </c>
      <c r="EY64" s="127" t="str">
        <f>IF(Reinforcements[[#This Row],[Type]]="channel",0,"N/A")</f>
        <v>N/A</v>
      </c>
      <c r="EZ64" s="127" t="str">
        <f>IF(Reinforcements[[#This Row],[Type]]="channel",Reinforcements[[#This Row],[Channel Flange Width, b]]-(0.5*Reinforcements[[#This Row],[Channel web thickness, tw]]),"N/A")</f>
        <v>N/A</v>
      </c>
      <c r="FA64" s="127" t="str">
        <f>IF(Reinforcements[[#This Row],[Type]]="channel",Reinforcements[[#This Row],[Channel Height, h]]-Reinforcements[[#This Row],[Channel flange thickness, tf]],"N/A")</f>
        <v>N/A</v>
      </c>
      <c r="FB64" s="127" t="str">
        <f>IF(Reinforcements[[#This Row],[Type]]="channel",Reinforcements[[#This Row],[Channel web thickness, tw]],"N/A")</f>
        <v>N/A</v>
      </c>
      <c r="FC64" s="127" t="str">
        <f>IF(Reinforcements[[#This Row],[Type]]="channel",((3*Reinforcements[[#This Row],[b]]^2)/(Reinforcements[[#This Row],[h]]+(6*Reinforcements[[#This Row],[b]])))-Reinforcements[[#This Row],[t]]/2,"N/A")</f>
        <v>N/A</v>
      </c>
      <c r="FD64" s="127">
        <f>Reinforcements[[#This Row],[Pole Face to Centroid (in)]]</f>
        <v>2.25</v>
      </c>
      <c r="FE64" s="127" t="str">
        <f>IF(Reinforcements[[#This Row],[Type]]="channel",Reinforcements[[#This Row],[x(bar)]]+Reinforcements[[#This Row],['[Channel'] e0 (in)]],"N/A")</f>
        <v>N/A</v>
      </c>
      <c r="FF64" s="127" t="str">
        <f>IF(Reinforcements[[#This Row],[Type]]="channel",Reinforcements[[#This Row],[Ix]],"N/A")</f>
        <v>N/A</v>
      </c>
      <c r="FG64" s="127" t="str">
        <f>IF(Reinforcements[[#This Row],[Type]]="channel",Reinforcements[[#This Row],[Iy]],"N/A")</f>
        <v>N/A</v>
      </c>
      <c r="FH64" s="127" t="str">
        <f>IF(Reinforcements[[#This Row],[Type]]="channel",Reinforcements[[#This Row],[Gross Area (in2)]],"N/A")</f>
        <v>N/A</v>
      </c>
      <c r="FI64" s="127" t="str">
        <f>IF(Reinforcements[[#This Row],[Type]]="channel",(Reinforcements[[#This Row],[xo]]^2)+((Reinforcements[[#This Row],[Ix (FTB)]]+Reinforcements[[#This Row],[Iy (FTB)]])/Reinforcements[[#This Row],[Ag]]),"N/A")</f>
        <v>N/A</v>
      </c>
      <c r="FJ64" s="127" t="str">
        <f>IF(Reinforcements[[#This Row],[Type]]="channel",Reinforcements[[#This Row],[Lu (in)]],"N/A")</f>
        <v>N/A</v>
      </c>
      <c r="FK64" s="127" t="str">
        <f>IF(Reinforcements[[#This Row],[Type]]="channel",Reinforcements[[#This Row],[Effective Length Factor Kx]],"N/A")</f>
        <v>N/A</v>
      </c>
      <c r="FL64" s="127" t="str">
        <f>IF(Reinforcements[[#This Row],[Type]]="channel",Reinforcements[[#This Row],[Kz]]*Reinforcements[[#This Row],[Lz]],"N/A")</f>
        <v>N/A</v>
      </c>
      <c r="FM64" s="127" t="str">
        <f>IF(Reinforcements[[#This Row],[Type]]="channel",(((Reinforcements[[#This Row],[t]]^3)/3)*(Reinforcements[[#This Row],[h]]+(2*Reinforcements[[#This Row],[b]]))),"N/A")</f>
        <v>N/A</v>
      </c>
      <c r="FN64" s="127" t="str">
        <f>IF(Reinforcements[[#This Row],[Type]]="channel",(1-(((Reinforcements[[#This Row],[xo]]^2)+(Reinforcements[[#This Row],[yo]]^2))/Reinforcements[[#This Row],[ro^2(bar)]])),"N/A")</f>
        <v>N/A</v>
      </c>
      <c r="FO64" s="127">
        <v>11191</v>
      </c>
      <c r="FP64" s="127" t="str">
        <f>IF(Reinforcements[[#This Row],[Type]]="channel",(((Reinforcements[[#This Row],[h]]^2)*(Reinforcements[[#This Row],[b]]^3)*Reinforcements[[#This Row],[t]])/12)*(((2*Reinforcements[[#This Row],[h]])+(3*Reinforcements[[#This Row],[b]]))/(Reinforcements[[#This Row],[h]]+(6*Reinforcements[[#This Row],[b]]))),"N/A")</f>
        <v>N/A</v>
      </c>
      <c r="FQ64" s="127" t="str">
        <f>IF(Reinforcements[[#This Row],[Type]]="Channel",((((PI()^2)*Reinforcements[[#This Row],[E, (ksi)]]*Reinforcements[[#This Row],['[Channel'] CW (in6)]])/(Reinforcements[[#This Row],[Lcz]]^2))+(Reinforcements[[#This Row],[G]]*Reinforcements[[#This Row],['[Channel'] J (in4)]]))*(1/(Reinforcements[[#This Row],[Ag]]*Reinforcements[[#This Row],[ro^2(bar)]])),"N/A")</f>
        <v>N/A</v>
      </c>
      <c r="FR64" s="127" t="str">
        <f>IF(Reinforcements[[#This Row],[Type]]="channel",((PI()^2)*Reinforcements[[#This Row],[E, (ksi)]])/(Reinforcements[[#This Row],[Lcy/ry]]^2),"N/A")</f>
        <v>N/A</v>
      </c>
      <c r="FS64" s="127" t="str">
        <f>IF(Reinforcements[[#This Row],[Type]]="channel",((Reinforcements[[#This Row],[Fey]]+Reinforcements[[#This Row],[Fez]])/(2*Reinforcements[[#This Row],[H2]]))*(1-SQRT(1-((4*Reinforcements[[#This Row],[Fey]]*Reinforcements[[#This Row],[Fez]]*Reinforcements[[#This Row],[H2]])/(Reinforcements[[#This Row],[Fey]]+Reinforcements[[#This Row],[Fez]])^2))),"N/A")</f>
        <v>N/A</v>
      </c>
      <c r="FT64" s="127" t="str">
        <f>IF(Reinforcements[[#This Row],[Type]]="channel",IF(Reinforcements[[#This Row],[Lcx/rx]]&gt;(4.71*SQRT(Reinforcements[[#This Row],[E, (ksi)]]/Reinforcements[[#This Row],[Fy, (ksi)]])),0.877*Reinforcements[[#This Row],[Fe (FTB)]],0.658^(Reinforcements[[#This Row],[Fy, (ksi)]]/Reinforcements[[#This Row],[Fe (FTB)]])*Reinforcements[[#This Row],[Fy, (ksi)]]),"N/A")</f>
        <v>N/A</v>
      </c>
      <c r="FU64" s="127" t="str">
        <f>IF(Reinforcements[[#This Row],[Type]]="channel",MIN(Reinforcements[[#This Row],[Fcr(FTB)]],Reinforcements[[#This Row],[Fcry (ksi)]]),"N/A")</f>
        <v>N/A</v>
      </c>
      <c r="FV64" s="127">
        <v>0.22</v>
      </c>
      <c r="FW64" s="127">
        <v>1.49</v>
      </c>
      <c r="FX64" s="127" t="str">
        <f>IF(Reinforcements[[#This Row],[Type]]="channel",((Reinforcements[[#This Row],[c2]]*(Reinforcements[[#This Row],[λrf]]/Reinforcements[[#This Row],[λf]]))^2)*Reinforcements[[#This Row],[Fy, (ksi)]],"N/A")</f>
        <v>N/A</v>
      </c>
      <c r="FY64" s="127" t="str">
        <f>IF(Reinforcements[[#This Row],[Type]]="channel",((Reinforcements[[#This Row],[c2]]*(Reinforcements[[#This Row],[λrw]]/Reinforcements[[#This Row],[λw]]))^2)*Reinforcements[[#This Row],[Fy, (ksi)]],"N/A")</f>
        <v>N/A</v>
      </c>
      <c r="FZ64"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127" t="str">
        <f>IF(Reinforcements[[#This Row],[Type]]="channel",Reinforcements[[#This Row],[Fcr]]*Reinforcements[[#This Row],[Ae]],"N/A")</f>
        <v>N/A</v>
      </c>
      <c r="GD64" s="50">
        <f>IF(Reinforcements[[#This Row],[Reinforcement]]="","",φ_c*Reinforcements[[#This Row],[Pnx, FB (kip)]])</f>
        <v>219.36499120522885</v>
      </c>
      <c r="GE64" s="50">
        <f>IF(Reinforcements[[#This Row],[Reinforcement]]="","",IF(Reinforcements[[#This Row],[Type]]="channel",φ_c*Reinforcements[[#This Row],[Pn]],φ_c*Reinforcements[[#This Row],[Pny, FB (kip)]]))</f>
        <v>219.28493728444383</v>
      </c>
      <c r="GF64" s="50">
        <f>Reinforcements[[#This Row],[Rev. G Tension Yield Capacity (kips)]]</f>
        <v>219.375</v>
      </c>
      <c r="GG64" s="50">
        <f>Reinforcements[[#This Row],[Rev. G Tension Rupture Capacity (kips)]]</f>
        <v>225</v>
      </c>
      <c r="GH64" s="50">
        <f>Reinforcements[[#This Row],[Rev. G Shear Capacity (kips)]]</f>
        <v>109.6875</v>
      </c>
      <c r="GI64" s="50" t="str">
        <f>IFERROR((Reinforcements[[#This Row],['# of End Connection Bolts          (Bottom)]]-1)*Reinforcements[[#This Row],[End Connection Bolt Spacing (in) (B)]],"-")</f>
        <v>-</v>
      </c>
      <c r="GJ64" s="50">
        <f>IFERROR(IF(VLOOKUP(Reinforcements[[#This Row],[Bottom End Connection Bolt Type]],Bolts[],COLUMN(Bolts[[#Headers],[Rev. H Apply Connection Length Reduction Factor (Rb)?]])-1,FALSE)="Yes",(IF(Reinforcements[[#This Row],[Lb(bottom)]]&lt;=16,1,IF(Reinforcements[[#This Row],[Lb(bottom)]]&gt;38,0.75,0.9))),1),"-")</f>
        <v>1</v>
      </c>
      <c r="GK64"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50" t="str">
        <f>IFERROR(IF(Reinforcements[[#This Row],[Top End Connection Same?]]="Yes",Reinforcements[[#This Row],[Lb(bottom)]],(Reinforcements[[#This Row],['# of End Connection Bolts          (Top)]]-1)*Reinforcements[[#This Row],[End Connection Bolt Spacing (in) (T)]]),"-")</f>
        <v>-</v>
      </c>
      <c r="GM64" s="50">
        <f>IFERROR(IF(VLOOKUP(Reinforcements[[#This Row],[Top End Connection Bolt Type]],Bolts[],COLUMN(Bolts[[#Headers],[Rev. H Apply Connection Length Reduction Factor (Rb)?]])-1,FALSE)=TRUE,(IF(Reinforcements[[#This Row],[Lb(top)]]&lt;=16,1,IF(Reinforcements[[#This Row],[Lb(top)]]&gt;38,0.75,0.9))),1),"-")</f>
        <v>1</v>
      </c>
      <c r="GN64"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50" t="str">
        <f>Reinforcements[[#This Row],[Rev. G Bolt-Shaft Bearing Capacity (Bottom)                No Deformation          (*t*Fu kips)]]</f>
        <v>-</v>
      </c>
      <c r="GP64" s="50" t="str">
        <f>Reinforcements[[#This Row],[Rev. G Bolt-Shaft Bearing Capacity (Bottom)                   Deformation          (*t*Fu kips)]]</f>
        <v>-</v>
      </c>
      <c r="GQ64" s="50" t="str">
        <f>Reinforcements[[#This Row],[Rev. G Bolt-Shaft Bearing Capacity (Top)                    No Deformation          (*t*Fu kips)]]</f>
        <v>-</v>
      </c>
      <c r="GR64" s="50" t="str">
        <f>Reinforcements[[#This Row],[Rev. G Bolt-Shaft Bearing Capacity (Top)                        Deformation          (*t*Fu kips)]]</f>
        <v>-</v>
      </c>
      <c r="GS64" s="50" t="str">
        <f>Reinforcements[[#This Row],[Rev. G Bolt-Reinf. Bearing Capacity (Bottom)            No Deformation (kips)]]</f>
        <v>-</v>
      </c>
      <c r="GT64" s="50" t="str">
        <f>Reinforcements[[#This Row],[Rev. G Bolt-Reinf. Bearing Capacity (Bottom)               Deformation (kips)]]</f>
        <v>-</v>
      </c>
      <c r="GU64" s="50" t="str">
        <f>Reinforcements[[#This Row],[Rev. G Bolt-Reinf. Bearing Capacity (Top)                  No Deformation (kips)]]</f>
        <v>-</v>
      </c>
      <c r="GV64" s="50" t="str">
        <f>Reinforcements[[#This Row],[Rev. G Bolt-Reinf. Bearing Capacity (Top)               Deformation (kips)]]</f>
        <v>-</v>
      </c>
      <c r="GW64" s="50">
        <f>Reinforcements[[#This Row],[Rev. G Bottom Transverse Weld Strength]]</f>
        <v>142.55272708720798</v>
      </c>
      <c r="GX64" s="50" t="str">
        <f>Reinforcements[[#This Row],[Rev. G Bottom Longitudinal Weld Strength]]</f>
        <v>-</v>
      </c>
      <c r="GY64" s="50" t="str">
        <f>Reinforcements[[#This Row],[Rev. G Top Transverse Weld Strength]]</f>
        <v>-</v>
      </c>
      <c r="GZ64" s="50">
        <f>Reinforcements[[#This Row],[Rev. G Top Longitudinal Weld Strength]]</f>
        <v>572.75649276110357</v>
      </c>
      <c r="HA64">
        <v>62</v>
      </c>
      <c r="HB6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0</v>
      </c>
    </row>
    <row r="65" spans="2:210" x14ac:dyDescent="0.2">
      <c r="B65" s="695" t="s">
        <v>2593</v>
      </c>
      <c r="C65" s="695" t="s">
        <v>352</v>
      </c>
      <c r="D65" s="695">
        <v>1.25</v>
      </c>
      <c r="E65" s="695">
        <v>5.25</v>
      </c>
      <c r="F65" s="695" t="s">
        <v>2605</v>
      </c>
      <c r="G65" s="695" t="s">
        <v>2605</v>
      </c>
      <c r="H65" s="695" t="s">
        <v>2605</v>
      </c>
      <c r="I65" s="695" t="s">
        <v>2605</v>
      </c>
      <c r="J65" s="695" t="s">
        <v>2605</v>
      </c>
      <c r="K65" s="695" t="s">
        <v>2605</v>
      </c>
      <c r="L65" s="695">
        <v>6.5625</v>
      </c>
      <c r="M65" s="695">
        <v>3.375</v>
      </c>
      <c r="N65" s="695" t="s">
        <v>353</v>
      </c>
      <c r="O65" s="695" t="s">
        <v>138</v>
      </c>
      <c r="P65" s="695">
        <v>15.0732421875</v>
      </c>
      <c r="Q65" s="695">
        <v>1.5155444566227676</v>
      </c>
      <c r="R65" s="695">
        <v>0.8544921875</v>
      </c>
      <c r="S65" s="695">
        <v>0.36084391824351614</v>
      </c>
      <c r="T65" s="695">
        <v>0.75</v>
      </c>
      <c r="U65" s="695">
        <v>0.8</v>
      </c>
      <c r="V65" s="695">
        <v>1</v>
      </c>
      <c r="W65" s="695">
        <v>0</v>
      </c>
      <c r="X65" s="695">
        <v>0</v>
      </c>
      <c r="Y65" s="695">
        <v>6.5625</v>
      </c>
      <c r="Z65" s="695">
        <v>1</v>
      </c>
      <c r="AA65" s="695" t="s">
        <v>382</v>
      </c>
      <c r="AB65" s="695" t="s">
        <v>457</v>
      </c>
      <c r="AC65" s="695" t="s">
        <v>457</v>
      </c>
      <c r="AD65" s="695" t="s">
        <v>457</v>
      </c>
      <c r="AE65" s="695" t="s">
        <v>457</v>
      </c>
      <c r="AF65" s="695" t="s">
        <v>457</v>
      </c>
      <c r="AG65" s="695" t="s">
        <v>457</v>
      </c>
      <c r="AH65" s="695" t="s">
        <v>457</v>
      </c>
      <c r="AI65" s="695" t="s">
        <v>457</v>
      </c>
      <c r="AJ65" s="695" t="s">
        <v>2615</v>
      </c>
      <c r="AK65" s="695" t="s">
        <v>2615</v>
      </c>
      <c r="AL65" s="695" t="s">
        <v>457</v>
      </c>
      <c r="AM65" s="695" t="s">
        <v>457</v>
      </c>
      <c r="AN65" s="695" t="s">
        <v>357</v>
      </c>
      <c r="AO65" s="695">
        <v>80</v>
      </c>
      <c r="AP65" s="695" t="s">
        <v>2622</v>
      </c>
      <c r="AQ65" s="695">
        <v>10.5</v>
      </c>
      <c r="AR65" s="695">
        <v>0.5</v>
      </c>
      <c r="AS65" s="695">
        <v>45</v>
      </c>
      <c r="AT65" s="695">
        <v>0.5</v>
      </c>
      <c r="AU65" s="695">
        <v>0.61871843353822908</v>
      </c>
      <c r="AV65" s="695" t="s">
        <v>384</v>
      </c>
      <c r="AW65" s="695" t="s">
        <v>457</v>
      </c>
      <c r="AX65" s="695" t="s">
        <v>457</v>
      </c>
      <c r="AY65" s="695" t="s">
        <v>457</v>
      </c>
      <c r="AZ65" s="695" t="s">
        <v>353</v>
      </c>
      <c r="BA65" s="695" t="s">
        <v>382</v>
      </c>
      <c r="BB65" s="695" t="s">
        <v>457</v>
      </c>
      <c r="BC65" s="695" t="s">
        <v>457</v>
      </c>
      <c r="BD65" s="695" t="s">
        <v>457</v>
      </c>
      <c r="BE65" s="695" t="s">
        <v>457</v>
      </c>
      <c r="BF65" s="695" t="s">
        <v>457</v>
      </c>
      <c r="BG65" s="695" t="s">
        <v>457</v>
      </c>
      <c r="BH65" s="695" t="s">
        <v>457</v>
      </c>
      <c r="BI65" s="695" t="s">
        <v>457</v>
      </c>
      <c r="BJ65" s="695" t="s">
        <v>2615</v>
      </c>
      <c r="BK65" s="695" t="s">
        <v>2615</v>
      </c>
      <c r="BL65" s="695" t="s">
        <v>457</v>
      </c>
      <c r="BM65" s="695" t="s">
        <v>457</v>
      </c>
      <c r="BN65" s="695" t="s">
        <v>353</v>
      </c>
      <c r="BO65" s="695">
        <v>80</v>
      </c>
      <c r="BP65" s="695" t="s">
        <v>384</v>
      </c>
      <c r="BQ65" s="695" t="s">
        <v>457</v>
      </c>
      <c r="BR65" s="695" t="s">
        <v>457</v>
      </c>
      <c r="BS65" s="695" t="s">
        <v>457</v>
      </c>
      <c r="BT65" s="695" t="s">
        <v>457</v>
      </c>
      <c r="BU65" s="695" t="s">
        <v>457</v>
      </c>
      <c r="BV65" s="695" t="s">
        <v>2616</v>
      </c>
      <c r="BW65" s="695">
        <v>36</v>
      </c>
      <c r="BX65" s="695">
        <v>0.3125</v>
      </c>
      <c r="BY65" s="695">
        <v>0.22097086912079611</v>
      </c>
      <c r="BZ65" s="695" t="s">
        <v>2605</v>
      </c>
      <c r="CA65" s="695" t="s">
        <v>2605</v>
      </c>
      <c r="CB65" s="695" t="s">
        <v>2605</v>
      </c>
      <c r="CC65" s="12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1.25</v>
      </c>
      <c r="CD65" s="12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5.25</v>
      </c>
      <c r="CE65" s="127">
        <f>IFERROR(IF(Reinforcements[[#This Row],[Type]]="","",Reinforcements[[#This Row],[Effective B (in)]]*Reinforcements[[#This Row],[Effective H (in)]]^3/12),"")</f>
        <v>15.0732421875</v>
      </c>
      <c r="CF65" s="127">
        <f>IFERROR(IF(Reinforcements[[#This Row],[Type]]="","",Reinforcements[[#This Row],[Effective B (in)]]^3*Reinforcements[[#This Row],[Effective H (in)]]/12),"")</f>
        <v>0.8544921875</v>
      </c>
      <c r="CG65" s="140">
        <f>SQRT(2*PI()^2*29000/VLOOKUP(Reinforcements[[#This Row],[Material]],Materials[],2,FALSE))</f>
        <v>93.844147005158973</v>
      </c>
      <c r="CH65" s="13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38.962669794312269</v>
      </c>
      <c r="CI65" s="13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38.797128390003316</v>
      </c>
      <c r="CJ65" s="135">
        <f>Reinforcements[[#This Row],[Effective Length Factor Kx]]*Reinforcements[[#This Row],[Lu (in)]]/(Reinforcements[[#This Row],[rx]]*PI())*SQRT(VLOOKUP(Reinforcements[[#This Row],[Material]],Materials[],2,FALSE)/29000)</f>
        <v>5.9660979149635538E-3</v>
      </c>
      <c r="CK65" s="135">
        <f>Reinforcements[[#This Row],[Effective Length Factor Ky]]*Reinforcements[[#This Row],[Lu (in)]]/(Reinforcements[[#This Row],[ry]]*PI())*SQRT(VLOOKUP(Reinforcements[[#This Row],[Material]],Materials[],2,FALSE)/29000)</f>
        <v>3.1322014053558646E-2</v>
      </c>
      <c r="CL65" s="135">
        <f>IF(Reinforcements[[#This Row],[λcx]]&lt;=1.5,0.658^(Reinforcements[[#This Row],[λcx]]^2)*Reinforcements[[#This Row],[F''y]],0.877/(Reinforcements[[#This Row],[λcx]]^2)*Reinforcements[[#This Row],[F''y]])</f>
        <v>64.999031636119852</v>
      </c>
      <c r="CM65" s="135">
        <f>IF(Reinforcements[[#This Row],[λcy]]&lt;=1.5,0.658^(Reinforcements[[#This Row],[λcy]]^2)*Reinforcements[[#This Row],[F''y]],0.877/(Reinforcements[[#This Row],[λcy]]^2)*Reinforcements[[#This Row],[F''y]])</f>
        <v>64.973314750946315</v>
      </c>
      <c r="CN65" s="127">
        <f>VLOOKUP(Reinforcements[[#This Row],[Material]],Materials[],2,FALSE)</f>
        <v>65</v>
      </c>
      <c r="CO65" s="140">
        <f>IF(Reinforcements[[#This Row],[Reinforcement]]="","",Reinforcements[[#This Row],[Fax]]*Reinforcements[[#This Row],[Gross Area (in2)]])</f>
        <v>255.69252052517427</v>
      </c>
      <c r="CP65" s="140">
        <f>IF(Reinforcements[[#This Row],[Reinforcement]]="","",Reinforcements[[#This Row],[Fay]]*Reinforcements[[#This Row],[Gross Area (in2)]])</f>
        <v>254.60615505939677</v>
      </c>
      <c r="CQ65" s="140">
        <f>IF(Reinforcements[[#This Row],[Reinforcement]]="","",0.6*VLOOKUP(Reinforcements[[#This Row],[Material]],Materials[],2,FALSE)*Reinforcements[[#This Row],[Gross Area (in2)]])</f>
        <v>255.9375</v>
      </c>
      <c r="CR65" s="140">
        <f>IF(Reinforcements[[#This Row],[Reinforcement]]="","",0.5*VLOOKUP(Reinforcements[[#This Row],[Material]],Materials[],3,FALSE)*Reinforcements[[#This Row],[Net Area (in2)]]*Reinforcements[[#This Row],[Shear Lag (U)]])</f>
        <v>262.5</v>
      </c>
      <c r="CS65" s="140">
        <f>IF(Reinforcements[[#This Row],[Reinforcement]]="","",0.4*VLOOKUP(Reinforcements[[#This Row],[Material]],Materials[],2,FALSE)*Reinforcements[[#This Row],[Gross Area (in2)]])</f>
        <v>170.625</v>
      </c>
      <c r="CT65"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129">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155.91704525163371</v>
      </c>
      <c r="DE65"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5" s="127"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5" s="127">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381.83766184073562</v>
      </c>
      <c r="DH65" s="140">
        <f>IF(Reinforcements[[#This Row],[Reinforcement]]="","",φ_c*Reinforcements[[#This Row],[Fcr,x]]*Reinforcements[[#This Row],[Gross Area (in2)]])</f>
        <v>383.90053060083289</v>
      </c>
      <c r="DI65" s="140">
        <f>IF(Reinforcements[[#This Row],[Reinforcement]]="","",φ_c*Reinforcements[[#This Row],[Fcr,y]]*Reinforcements[[#This Row],[Gross Area (in2)]])</f>
        <v>383.74864024777668</v>
      </c>
      <c r="DJ65" s="140">
        <f>IF(Reinforcements[[#This Row],[Reinforcement]]="","",φ_t_y*VLOOKUP(Reinforcements[[#This Row],[Material]],Materials[],2,FALSE)*Reinforcements[[#This Row],[Gross Area (in2)]])</f>
        <v>383.90625</v>
      </c>
      <c r="DK65" s="140">
        <f>IF(Reinforcements[[#This Row],[Reinforcement]]="","",φ_t_r*VLOOKUP(Reinforcements[[#This Row],[Material]],Materials[],3,FALSE)*Reinforcements[[#This Row],[Net Area (in2)]]*Reinforcements[[#This Row],[Shear Lag (U)]])</f>
        <v>393.75</v>
      </c>
      <c r="DL65" s="140">
        <f>IF(Reinforcements[[#This Row],[Reinforcement]]="","",φ_v*0.5*Reinforcements[[#This Row],[F''y]]*Reinforcements[[#This Row],[Gross Area (in2)]])</f>
        <v>191.953125</v>
      </c>
      <c r="DM65"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127">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249.46727240261396</v>
      </c>
      <c r="DX65"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5" s="127"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5" s="127">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572.75649276110357</v>
      </c>
      <c r="EA65" s="129" t="str">
        <f>IF(OR(Reinforcements[[#This Row],[Type]]="plate",Reinforcements[[#This Row],[Type]]="solid round"),"N/A",Reinforcements[[#This Row],[B (in)]])</f>
        <v>N/A</v>
      </c>
      <c r="EB65" s="127" t="str">
        <f>IF(OR(Reinforcements[[#This Row],[Type]]="plate",Reinforcements[[#This Row],[Type]]="solid round"),"N/A",Reinforcements[[#This Row],[H (in)]])</f>
        <v>N/A</v>
      </c>
      <c r="EC65" s="127" t="str">
        <f>IF(OR(Reinforcements[[#This Row],[Type]]="plate",Reinforcements[[#This Row],[Type]]="solid round"),"N/A",Reinforcements[[#This Row],[B (in)]]-Reinforcements[[#This Row],['[Channel'] Flange Thickness (in)]])</f>
        <v>N/A</v>
      </c>
      <c r="ED65" s="127" t="str">
        <f>IF(OR(Reinforcements[[#This Row],[Type]]="plate",Reinforcements[[#This Row],[Type]]="solid round"),"N/A",Reinforcements[[#This Row],['[Channel']Web Thickness (in)]])</f>
        <v>N/A</v>
      </c>
      <c r="EE65" s="127" t="str">
        <f>IF(OR(Reinforcements[[#This Row],[Type]]="plate",Reinforcements[[#This Row],[Type]]="solid round"),"N/A",Reinforcements[[#This Row],['[Channel'] Flange Thickness (in)]])</f>
        <v>N/A</v>
      </c>
      <c r="EF65" s="127" t="str">
        <f>IF(Reinforcements[[#This Row],[Type]]="channel",Reinforcements[[#This Row],[Channel Flange Width, b]]/Reinforcements[[#This Row],[Channel flange thickness, tf]],"N/A")</f>
        <v>N/A</v>
      </c>
      <c r="EG65" s="127" t="str">
        <f>IF(Reinforcements[[#This Row],[Type]]="channel",Reinforcements[[#This Row],[Channel inside depth, T]]/Reinforcements[[#This Row],[Channel web thickness, tw]],"N/A")</f>
        <v>N/A</v>
      </c>
      <c r="EH65" s="6">
        <f>29000</f>
        <v>29000</v>
      </c>
      <c r="EI65" s="127" t="str">
        <f>IF(Reinforcements[[#This Row],[Type]]="channel",0.56*SQRT(Reinforcements[[#This Row],[E, (ksi)]]/Reinforcements[[#This Row],[Fy, (ksi)]]),"N/A")</f>
        <v>N/A</v>
      </c>
      <c r="EJ65" s="127" t="str">
        <f>IF(Reinforcements[[#This Row],[Type]]="channel",1.49*SQRT(Reinforcements[[#This Row],[E, (ksi)]]/Reinforcements[[#This Row],[Fy, (ksi)]]),"N/A")</f>
        <v>N/A</v>
      </c>
      <c r="EK65" s="127">
        <f>VLOOKUP(Reinforcements[[#This Row],[Material]],Materials!$B$2:$C$30,2,FALSE)</f>
        <v>65</v>
      </c>
      <c r="EL65" s="127">
        <f>Reinforcements[[#This Row],[Lu (in)]]*Reinforcements[[#This Row],[Effective Length Factor Kx]]</f>
        <v>0.60000000000000009</v>
      </c>
      <c r="EM65" s="127">
        <f>Reinforcements[[#This Row],[Lu (in)]]*Reinforcements[[#This Row],[Effective Length Factor Ky]]</f>
        <v>0.75</v>
      </c>
      <c r="EN65" s="127">
        <f>Reinforcements[[#This Row],[rx]]</f>
        <v>1.5155444566227676</v>
      </c>
      <c r="EO65" s="127">
        <f>Reinforcements[[#This Row],[ry]]</f>
        <v>0.36084391824351614</v>
      </c>
      <c r="EP65" s="127">
        <f>Reinforcements[[#This Row],[Lcx (in)]]/Reinforcements[[#This Row],[rx (in)]]</f>
        <v>0.39589732744431488</v>
      </c>
      <c r="EQ65" s="127">
        <f>Reinforcements[[#This Row],[Lcy (in)]]/Reinforcements[[#This Row],[ry (in)]]</f>
        <v>2.0784609690826525</v>
      </c>
      <c r="ER65" s="127">
        <f>((PI()^2)*Reinforcements[[#This Row],[E, (ksi)]])/(Reinforcements[[#This Row],[Lcx/rx]]^2)</f>
        <v>1826133.8351494756</v>
      </c>
      <c r="ES65" s="127">
        <f>((PI()^2)*Reinforcements[[#This Row],[E, (ksi)]])/(Reinforcements[[#This Row],[Lcy/ry]]^2)</f>
        <v>66254.288803609117</v>
      </c>
      <c r="ET65" s="127">
        <f>4.71*(SQRT(Reinforcements[[#This Row],[E, (ksi)]]/Reinforcements[[#This Row],[Fy, (ksi)]]))</f>
        <v>99.486288193205496</v>
      </c>
      <c r="EU65" s="127">
        <f>IF(Reinforcements[[#This Row],[Lcx/rx]]&lt;=Reinforcements[[#This Row],[Fcr Limit]],(0.658^(Reinforcements[[#This Row],[Fy, (ksi)]]/Reinforcements[[#This Row],[Fex, FB (ksi)]]))*Reinforcements[[#This Row],[Fy, (ksi)]],0.877*Reinforcements[[#This Row],[Fex, FB (ksi)]])</f>
        <v>64.999031636119852</v>
      </c>
      <c r="EV65" s="127">
        <f>IF(Reinforcements[[#This Row],[Lcy/ry]]&lt;=Reinforcements[[#This Row],[Fcr Limit]],(0.658^(Reinforcements[[#This Row],[Fy, (ksi)]]/Reinforcements[[#This Row],[Fey, FB (ksi)]]))*Reinforcements[[#This Row],[Fy, (ksi)]],0.877*Reinforcements[[#This Row],[Fey, FB (ksi)]])</f>
        <v>64.973314750946315</v>
      </c>
      <c r="EW65" s="127">
        <f>Reinforcements[[#This Row],[Fcrx (ksi)]]*Reinforcements[[#This Row],[Gross Area (in2)]]</f>
        <v>426.55614511203652</v>
      </c>
      <c r="EX65" s="127">
        <f>Reinforcements[[#This Row],[Fcry (ksi)]]*Reinforcements[[#This Row],[Gross Area (in2)]]</f>
        <v>426.38737805308517</v>
      </c>
      <c r="EY65" s="127" t="str">
        <f>IF(Reinforcements[[#This Row],[Type]]="channel",0,"N/A")</f>
        <v>N/A</v>
      </c>
      <c r="EZ65" s="127" t="str">
        <f>IF(Reinforcements[[#This Row],[Type]]="channel",Reinforcements[[#This Row],[Channel Flange Width, b]]-(0.5*Reinforcements[[#This Row],[Channel web thickness, tw]]),"N/A")</f>
        <v>N/A</v>
      </c>
      <c r="FA65" s="127" t="str">
        <f>IF(Reinforcements[[#This Row],[Type]]="channel",Reinforcements[[#This Row],[Channel Height, h]]-Reinforcements[[#This Row],[Channel flange thickness, tf]],"N/A")</f>
        <v>N/A</v>
      </c>
      <c r="FB65" s="127" t="str">
        <f>IF(Reinforcements[[#This Row],[Type]]="channel",Reinforcements[[#This Row],[Channel web thickness, tw]],"N/A")</f>
        <v>N/A</v>
      </c>
      <c r="FC65" s="127" t="str">
        <f>IF(Reinforcements[[#This Row],[Type]]="channel",((3*Reinforcements[[#This Row],[b]]^2)/(Reinforcements[[#This Row],[h]]+(6*Reinforcements[[#This Row],[b]])))-Reinforcements[[#This Row],[t]]/2,"N/A")</f>
        <v>N/A</v>
      </c>
      <c r="FD65" s="127">
        <f>Reinforcements[[#This Row],[Pole Face to Centroid (in)]]</f>
        <v>3.375</v>
      </c>
      <c r="FE65" s="127" t="str">
        <f>IF(Reinforcements[[#This Row],[Type]]="channel",Reinforcements[[#This Row],[x(bar)]]+Reinforcements[[#This Row],['[Channel'] e0 (in)]],"N/A")</f>
        <v>N/A</v>
      </c>
      <c r="FF65" s="127" t="str">
        <f>IF(Reinforcements[[#This Row],[Type]]="channel",Reinforcements[[#This Row],[Ix]],"N/A")</f>
        <v>N/A</v>
      </c>
      <c r="FG65" s="127" t="str">
        <f>IF(Reinforcements[[#This Row],[Type]]="channel",Reinforcements[[#This Row],[Iy]],"N/A")</f>
        <v>N/A</v>
      </c>
      <c r="FH65" s="127" t="str">
        <f>IF(Reinforcements[[#This Row],[Type]]="channel",Reinforcements[[#This Row],[Gross Area (in2)]],"N/A")</f>
        <v>N/A</v>
      </c>
      <c r="FI65" s="127" t="str">
        <f>IF(Reinforcements[[#This Row],[Type]]="channel",(Reinforcements[[#This Row],[xo]]^2)+((Reinforcements[[#This Row],[Ix (FTB)]]+Reinforcements[[#This Row],[Iy (FTB)]])/Reinforcements[[#This Row],[Ag]]),"N/A")</f>
        <v>N/A</v>
      </c>
      <c r="FJ65" s="127" t="str">
        <f>IF(Reinforcements[[#This Row],[Type]]="channel",Reinforcements[[#This Row],[Lu (in)]],"N/A")</f>
        <v>N/A</v>
      </c>
      <c r="FK65" s="127" t="str">
        <f>IF(Reinforcements[[#This Row],[Type]]="channel",Reinforcements[[#This Row],[Effective Length Factor Kx]],"N/A")</f>
        <v>N/A</v>
      </c>
      <c r="FL65" s="127" t="str">
        <f>IF(Reinforcements[[#This Row],[Type]]="channel",Reinforcements[[#This Row],[Kz]]*Reinforcements[[#This Row],[Lz]],"N/A")</f>
        <v>N/A</v>
      </c>
      <c r="FM65" s="127" t="str">
        <f>IF(Reinforcements[[#This Row],[Type]]="channel",(((Reinforcements[[#This Row],[t]]^3)/3)*(Reinforcements[[#This Row],[h]]+(2*Reinforcements[[#This Row],[b]]))),"N/A")</f>
        <v>N/A</v>
      </c>
      <c r="FN65" s="127" t="str">
        <f>IF(Reinforcements[[#This Row],[Type]]="channel",(1-(((Reinforcements[[#This Row],[xo]]^2)+(Reinforcements[[#This Row],[yo]]^2))/Reinforcements[[#This Row],[ro^2(bar)]])),"N/A")</f>
        <v>N/A</v>
      </c>
      <c r="FO65" s="127">
        <v>11192</v>
      </c>
      <c r="FP65" s="127" t="str">
        <f>IF(Reinforcements[[#This Row],[Type]]="channel",(((Reinforcements[[#This Row],[h]]^2)*(Reinforcements[[#This Row],[b]]^3)*Reinforcements[[#This Row],[t]])/12)*(((2*Reinforcements[[#This Row],[h]])+(3*Reinforcements[[#This Row],[b]]))/(Reinforcements[[#This Row],[h]]+(6*Reinforcements[[#This Row],[b]]))),"N/A")</f>
        <v>N/A</v>
      </c>
      <c r="FQ65" s="127" t="str">
        <f>IF(Reinforcements[[#This Row],[Type]]="Channel",((((PI()^2)*Reinforcements[[#This Row],[E, (ksi)]]*Reinforcements[[#This Row],['[Channel'] CW (in6)]])/(Reinforcements[[#This Row],[Lcz]]^2))+(Reinforcements[[#This Row],[G]]*Reinforcements[[#This Row],['[Channel'] J (in4)]]))*(1/(Reinforcements[[#This Row],[Ag]]*Reinforcements[[#This Row],[ro^2(bar)]])),"N/A")</f>
        <v>N/A</v>
      </c>
      <c r="FR65" s="127" t="str">
        <f>IF(Reinforcements[[#This Row],[Type]]="channel",((PI()^2)*Reinforcements[[#This Row],[E, (ksi)]])/(Reinforcements[[#This Row],[Lcy/ry]]^2),"N/A")</f>
        <v>N/A</v>
      </c>
      <c r="FS65" s="127" t="str">
        <f>IF(Reinforcements[[#This Row],[Type]]="channel",((Reinforcements[[#This Row],[Fey]]+Reinforcements[[#This Row],[Fez]])/(2*Reinforcements[[#This Row],[H2]]))*(1-SQRT(1-((4*Reinforcements[[#This Row],[Fey]]*Reinforcements[[#This Row],[Fez]]*Reinforcements[[#This Row],[H2]])/(Reinforcements[[#This Row],[Fey]]+Reinforcements[[#This Row],[Fez]])^2))),"N/A")</f>
        <v>N/A</v>
      </c>
      <c r="FT65" s="127" t="str">
        <f>IF(Reinforcements[[#This Row],[Type]]="channel",IF(Reinforcements[[#This Row],[Lcx/rx]]&gt;(4.71*SQRT(Reinforcements[[#This Row],[E, (ksi)]]/Reinforcements[[#This Row],[Fy, (ksi)]])),0.877*Reinforcements[[#This Row],[Fe (FTB)]],0.658^(Reinforcements[[#This Row],[Fy, (ksi)]]/Reinforcements[[#This Row],[Fe (FTB)]])*Reinforcements[[#This Row],[Fy, (ksi)]]),"N/A")</f>
        <v>N/A</v>
      </c>
      <c r="FU65" s="127" t="str">
        <f>IF(Reinforcements[[#This Row],[Type]]="channel",MIN(Reinforcements[[#This Row],[Fcr(FTB)]],Reinforcements[[#This Row],[Fcry (ksi)]]),"N/A")</f>
        <v>N/A</v>
      </c>
      <c r="FV65" s="127">
        <v>0.22</v>
      </c>
      <c r="FW65" s="127">
        <v>1.49</v>
      </c>
      <c r="FX65" s="127" t="str">
        <f>IF(Reinforcements[[#This Row],[Type]]="channel",((Reinforcements[[#This Row],[c2]]*(Reinforcements[[#This Row],[λrf]]/Reinforcements[[#This Row],[λf]]))^2)*Reinforcements[[#This Row],[Fy, (ksi)]],"N/A")</f>
        <v>N/A</v>
      </c>
      <c r="FY65" s="127" t="str">
        <f>IF(Reinforcements[[#This Row],[Type]]="channel",((Reinforcements[[#This Row],[c2]]*(Reinforcements[[#This Row],[λrw]]/Reinforcements[[#This Row],[λw]]))^2)*Reinforcements[[#This Row],[Fy, (ksi)]],"N/A")</f>
        <v>N/A</v>
      </c>
      <c r="FZ65"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127" t="str">
        <f>IF(Reinforcements[[#This Row],[Type]]="channel",Reinforcements[[#This Row],[Fcr]]*Reinforcements[[#This Row],[Ae]],"N/A")</f>
        <v>N/A</v>
      </c>
      <c r="GD65" s="50">
        <f>IF(Reinforcements[[#This Row],[Reinforcement]]="","",φ_c*Reinforcements[[#This Row],[Pnx, FB (kip)]])</f>
        <v>383.90053060083289</v>
      </c>
      <c r="GE65" s="50">
        <f>IF(Reinforcements[[#This Row],[Reinforcement]]="","",IF(Reinforcements[[#This Row],[Type]]="channel",φ_c*Reinforcements[[#This Row],[Pn]],φ_c*Reinforcements[[#This Row],[Pny, FB (kip)]]))</f>
        <v>383.74864024777668</v>
      </c>
      <c r="GF65" s="50">
        <f>Reinforcements[[#This Row],[Rev. G Tension Yield Capacity (kips)]]</f>
        <v>383.90625</v>
      </c>
      <c r="GG65" s="50">
        <f>Reinforcements[[#This Row],[Rev. G Tension Rupture Capacity (kips)]]</f>
        <v>393.75</v>
      </c>
      <c r="GH65" s="50">
        <f>Reinforcements[[#This Row],[Rev. G Shear Capacity (kips)]]</f>
        <v>191.953125</v>
      </c>
      <c r="GI65" s="50" t="str">
        <f>IFERROR((Reinforcements[[#This Row],['# of End Connection Bolts          (Bottom)]]-1)*Reinforcements[[#This Row],[End Connection Bolt Spacing (in) (B)]],"-")</f>
        <v>-</v>
      </c>
      <c r="GJ65" s="50">
        <f>IFERROR(IF(VLOOKUP(Reinforcements[[#This Row],[Bottom End Connection Bolt Type]],Bolts[],COLUMN(Bolts[[#Headers],[Rev. H Apply Connection Length Reduction Factor (Rb)?]])-1,FALSE)="Yes",(IF(Reinforcements[[#This Row],[Lb(bottom)]]&lt;=16,1,IF(Reinforcements[[#This Row],[Lb(bottom)]]&gt;38,0.75,0.9))),1),"-")</f>
        <v>1</v>
      </c>
      <c r="GK65"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50" t="str">
        <f>IFERROR(IF(Reinforcements[[#This Row],[Top End Connection Same?]]="Yes",Reinforcements[[#This Row],[Lb(bottom)]],(Reinforcements[[#This Row],['# of End Connection Bolts          (Top)]]-1)*Reinforcements[[#This Row],[End Connection Bolt Spacing (in) (T)]]),"-")</f>
        <v>-</v>
      </c>
      <c r="GM65" s="50">
        <f>IFERROR(IF(VLOOKUP(Reinforcements[[#This Row],[Top End Connection Bolt Type]],Bolts[],COLUMN(Bolts[[#Headers],[Rev. H Apply Connection Length Reduction Factor (Rb)?]])-1,FALSE)=TRUE,(IF(Reinforcements[[#This Row],[Lb(top)]]&lt;=16,1,IF(Reinforcements[[#This Row],[Lb(top)]]&gt;38,0.75,0.9))),1),"-")</f>
        <v>1</v>
      </c>
      <c r="GN65"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50" t="str">
        <f>Reinforcements[[#This Row],[Rev. G Bolt-Shaft Bearing Capacity (Bottom)                No Deformation          (*t*Fu kips)]]</f>
        <v>-</v>
      </c>
      <c r="GP65" s="50" t="str">
        <f>Reinforcements[[#This Row],[Rev. G Bolt-Shaft Bearing Capacity (Bottom)                   Deformation          (*t*Fu kips)]]</f>
        <v>-</v>
      </c>
      <c r="GQ65" s="50" t="str">
        <f>Reinforcements[[#This Row],[Rev. G Bolt-Shaft Bearing Capacity (Top)                    No Deformation          (*t*Fu kips)]]</f>
        <v>-</v>
      </c>
      <c r="GR65" s="50" t="str">
        <f>Reinforcements[[#This Row],[Rev. G Bolt-Shaft Bearing Capacity (Top)                        Deformation          (*t*Fu kips)]]</f>
        <v>-</v>
      </c>
      <c r="GS65" s="50" t="str">
        <f>Reinforcements[[#This Row],[Rev. G Bolt-Reinf. Bearing Capacity (Bottom)            No Deformation (kips)]]</f>
        <v>-</v>
      </c>
      <c r="GT65" s="50" t="str">
        <f>Reinforcements[[#This Row],[Rev. G Bolt-Reinf. Bearing Capacity (Bottom)               Deformation (kips)]]</f>
        <v>-</v>
      </c>
      <c r="GU65" s="50" t="str">
        <f>Reinforcements[[#This Row],[Rev. G Bolt-Reinf. Bearing Capacity (Top)                  No Deformation (kips)]]</f>
        <v>-</v>
      </c>
      <c r="GV65" s="50" t="str">
        <f>Reinforcements[[#This Row],[Rev. G Bolt-Reinf. Bearing Capacity (Top)               Deformation (kips)]]</f>
        <v>-</v>
      </c>
      <c r="GW65" s="50">
        <f>Reinforcements[[#This Row],[Rev. G Bottom Transverse Weld Strength]]</f>
        <v>249.46727240261396</v>
      </c>
      <c r="GX65" s="50" t="str">
        <f>Reinforcements[[#This Row],[Rev. G Bottom Longitudinal Weld Strength]]</f>
        <v>-</v>
      </c>
      <c r="GY65" s="50" t="str">
        <f>Reinforcements[[#This Row],[Rev. G Top Transverse Weld Strength]]</f>
        <v>-</v>
      </c>
      <c r="GZ65" s="50">
        <f>Reinforcements[[#This Row],[Rev. G Top Longitudinal Weld Strength]]</f>
        <v>572.75649276110357</v>
      </c>
      <c r="HA65">
        <v>63</v>
      </c>
      <c r="HB6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0</v>
      </c>
    </row>
    <row r="66" spans="2:210" x14ac:dyDescent="0.2">
      <c r="B66" s="695" t="s">
        <v>2596</v>
      </c>
      <c r="C66" s="695" t="s">
        <v>352</v>
      </c>
      <c r="D66" s="695">
        <v>1.25</v>
      </c>
      <c r="E66" s="695">
        <v>2.25</v>
      </c>
      <c r="F66" s="695" t="s">
        <v>2605</v>
      </c>
      <c r="G66" s="695" t="s">
        <v>2605</v>
      </c>
      <c r="H66" s="695" t="s">
        <v>2605</v>
      </c>
      <c r="I66" s="695" t="s">
        <v>2605</v>
      </c>
      <c r="J66" s="695" t="s">
        <v>2605</v>
      </c>
      <c r="K66" s="695" t="s">
        <v>2605</v>
      </c>
      <c r="L66" s="695">
        <v>2.8125</v>
      </c>
      <c r="M66" s="695">
        <v>1.875</v>
      </c>
      <c r="N66" s="695" t="s">
        <v>353</v>
      </c>
      <c r="O66" s="695" t="s">
        <v>138</v>
      </c>
      <c r="P66" s="695">
        <v>1.1865234375</v>
      </c>
      <c r="Q66" s="695">
        <v>0.649519052838329</v>
      </c>
      <c r="R66" s="695">
        <v>0.3662109375</v>
      </c>
      <c r="S66" s="695">
        <v>0.36084391824351614</v>
      </c>
      <c r="T66" s="695">
        <v>0.75</v>
      </c>
      <c r="U66" s="695">
        <v>0.8</v>
      </c>
      <c r="V66" s="695">
        <v>1</v>
      </c>
      <c r="W66" s="695">
        <v>0</v>
      </c>
      <c r="X66" s="695">
        <v>0</v>
      </c>
      <c r="Y66" s="695">
        <v>2.8125</v>
      </c>
      <c r="Z66" s="695">
        <v>1</v>
      </c>
      <c r="AA66" s="695" t="s">
        <v>382</v>
      </c>
      <c r="AB66" s="695" t="s">
        <v>457</v>
      </c>
      <c r="AC66" s="695" t="s">
        <v>457</v>
      </c>
      <c r="AD66" s="695" t="s">
        <v>457</v>
      </c>
      <c r="AE66" s="695" t="s">
        <v>457</v>
      </c>
      <c r="AF66" s="695" t="s">
        <v>457</v>
      </c>
      <c r="AG66" s="695" t="s">
        <v>457</v>
      </c>
      <c r="AH66" s="695" t="s">
        <v>457</v>
      </c>
      <c r="AI66" s="695" t="s">
        <v>457</v>
      </c>
      <c r="AJ66" s="695" t="s">
        <v>2615</v>
      </c>
      <c r="AK66" s="695" t="s">
        <v>2615</v>
      </c>
      <c r="AL66" s="695" t="s">
        <v>457</v>
      </c>
      <c r="AM66" s="695" t="s">
        <v>457</v>
      </c>
      <c r="AN66" s="695" t="s">
        <v>357</v>
      </c>
      <c r="AO66" s="695">
        <v>80</v>
      </c>
      <c r="AP66" s="695" t="s">
        <v>2622</v>
      </c>
      <c r="AQ66" s="695">
        <v>4.5</v>
      </c>
      <c r="AR66" s="695">
        <v>0.5</v>
      </c>
      <c r="AS66" s="695">
        <v>45</v>
      </c>
      <c r="AT66" s="695">
        <v>0.5</v>
      </c>
      <c r="AU66" s="695">
        <v>0.61871843353822908</v>
      </c>
      <c r="AV66" s="695" t="s">
        <v>384</v>
      </c>
      <c r="AW66" s="695" t="s">
        <v>457</v>
      </c>
      <c r="AX66" s="695" t="s">
        <v>457</v>
      </c>
      <c r="AY66" s="695" t="s">
        <v>457</v>
      </c>
      <c r="AZ66" s="695" t="s">
        <v>353</v>
      </c>
      <c r="BA66" s="695" t="s">
        <v>382</v>
      </c>
      <c r="BB66" s="695" t="s">
        <v>457</v>
      </c>
      <c r="BC66" s="695" t="s">
        <v>457</v>
      </c>
      <c r="BD66" s="695" t="s">
        <v>457</v>
      </c>
      <c r="BE66" s="695" t="s">
        <v>457</v>
      </c>
      <c r="BF66" s="695" t="s">
        <v>457</v>
      </c>
      <c r="BG66" s="695" t="s">
        <v>457</v>
      </c>
      <c r="BH66" s="695" t="s">
        <v>457</v>
      </c>
      <c r="BI66" s="695" t="s">
        <v>457</v>
      </c>
      <c r="BJ66" s="695" t="s">
        <v>2615</v>
      </c>
      <c r="BK66" s="695" t="s">
        <v>2615</v>
      </c>
      <c r="BL66" s="695" t="s">
        <v>457</v>
      </c>
      <c r="BM66" s="695" t="s">
        <v>457</v>
      </c>
      <c r="BN66" s="695" t="s">
        <v>353</v>
      </c>
      <c r="BO66" s="695">
        <v>80</v>
      </c>
      <c r="BP66" s="695" t="s">
        <v>384</v>
      </c>
      <c r="BQ66" s="695" t="s">
        <v>457</v>
      </c>
      <c r="BR66" s="695" t="s">
        <v>457</v>
      </c>
      <c r="BS66" s="695" t="s">
        <v>457</v>
      </c>
      <c r="BT66" s="695" t="s">
        <v>457</v>
      </c>
      <c r="BU66" s="695" t="s">
        <v>457</v>
      </c>
      <c r="BV66" s="695" t="s">
        <v>2616</v>
      </c>
      <c r="BW66" s="695">
        <v>15</v>
      </c>
      <c r="BX66" s="695">
        <v>0.375</v>
      </c>
      <c r="BY66" s="695">
        <v>0.26516504294495535</v>
      </c>
      <c r="BZ66" s="695" t="s">
        <v>2605</v>
      </c>
      <c r="CA66" s="695" t="s">
        <v>2605</v>
      </c>
      <c r="CB66" s="695" t="s">
        <v>2605</v>
      </c>
      <c r="CC66" s="12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1.25</v>
      </c>
      <c r="CD66" s="12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2.25</v>
      </c>
      <c r="CE66" s="127">
        <f>IFERROR(IF(Reinforcements[[#This Row],[Type]]="","",Reinforcements[[#This Row],[Effective B (in)]]*Reinforcements[[#This Row],[Effective H (in)]]^3/12),"")</f>
        <v>1.1865234375</v>
      </c>
      <c r="CF66" s="127">
        <f>IFERROR(IF(Reinforcements[[#This Row],[Type]]="","",Reinforcements[[#This Row],[Effective B (in)]]^3*Reinforcements[[#This Row],[Effective H (in)]]/12),"")</f>
        <v>0.3662109375</v>
      </c>
      <c r="CG66" s="140">
        <f>SQRT(2*PI()^2*29000/VLOOKUP(Reinforcements[[#This Row],[Material]],Materials[],2,FALSE))</f>
        <v>93.844147005158973</v>
      </c>
      <c r="CH66" s="13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38.911931139866091</v>
      </c>
      <c r="CI66" s="13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38.797128390003316</v>
      </c>
      <c r="CJ66" s="135">
        <f>Reinforcements[[#This Row],[Effective Length Factor Kx]]*Reinforcements[[#This Row],[Lu (in)]]/(Reinforcements[[#This Row],[rx]]*PI())*SQRT(VLOOKUP(Reinforcements[[#This Row],[Material]],Materials[],2,FALSE)/29000)</f>
        <v>1.3920895134914959E-2</v>
      </c>
      <c r="CK66" s="135">
        <f>Reinforcements[[#This Row],[Effective Length Factor Ky]]*Reinforcements[[#This Row],[Lu (in)]]/(Reinforcements[[#This Row],[ry]]*PI())*SQRT(VLOOKUP(Reinforcements[[#This Row],[Material]],Materials[],2,FALSE)/29000)</f>
        <v>3.1322014053558646E-2</v>
      </c>
      <c r="CL66" s="135">
        <f>IF(Reinforcements[[#This Row],[λcx]]&lt;=1.5,0.658^(Reinforcements[[#This Row],[λcx]]^2)*Reinforcements[[#This Row],[F''y]],0.877/(Reinforcements[[#This Row],[λcx]]^2)*Reinforcements[[#This Row],[F''y]])</f>
        <v>64.994727971193527</v>
      </c>
      <c r="CM66" s="135">
        <f>IF(Reinforcements[[#This Row],[λcy]]&lt;=1.5,0.658^(Reinforcements[[#This Row],[λcy]]^2)*Reinforcements[[#This Row],[F''y]],0.877/(Reinforcements[[#This Row],[λcy]]^2)*Reinforcements[[#This Row],[F''y]])</f>
        <v>64.973314750946315</v>
      </c>
      <c r="CN66" s="127">
        <f>VLOOKUP(Reinforcements[[#This Row],[Material]],Materials[],2,FALSE)</f>
        <v>65</v>
      </c>
      <c r="CO66" s="140">
        <f>IF(Reinforcements[[#This Row],[Reinforcement]]="","",Reinforcements[[#This Row],[Fax]]*Reinforcements[[#This Row],[Gross Area (in2)]])</f>
        <v>109.43980633087338</v>
      </c>
      <c r="CP66" s="140">
        <f>IF(Reinforcements[[#This Row],[Reinforcement]]="","",Reinforcements[[#This Row],[Fay]]*Reinforcements[[#This Row],[Gross Area (in2)]])</f>
        <v>109.11692359688432</v>
      </c>
      <c r="CQ66" s="140">
        <f>IF(Reinforcements[[#This Row],[Reinforcement]]="","",0.6*VLOOKUP(Reinforcements[[#This Row],[Material]],Materials[],2,FALSE)*Reinforcements[[#This Row],[Gross Area (in2)]])</f>
        <v>109.6875</v>
      </c>
      <c r="CR66" s="140">
        <f>IF(Reinforcements[[#This Row],[Reinforcement]]="","",0.5*VLOOKUP(Reinforcements[[#This Row],[Material]],Materials[],3,FALSE)*Reinforcements[[#This Row],[Net Area (in2)]]*Reinforcements[[#This Row],[Shear Lag (U)]])</f>
        <v>112.5</v>
      </c>
      <c r="CS66" s="140">
        <f>IF(Reinforcements[[#This Row],[Reinforcement]]="","",0.4*VLOOKUP(Reinforcements[[#This Row],[Material]],Materials[],2,FALSE)*Reinforcements[[#This Row],[Gross Area (in2)]])</f>
        <v>73.125</v>
      </c>
      <c r="CT66"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129">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66.821590822128741</v>
      </c>
      <c r="DE66"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6" s="127"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6" s="127">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190.91883092036787</v>
      </c>
      <c r="DH66" s="140">
        <f>IF(Reinforcements[[#This Row],[Reinforcement]]="","",φ_c*Reinforcements[[#This Row],[Fcr,x]]*Reinforcements[[#This Row],[Gross Area (in2)]])</f>
        <v>164.51790517708361</v>
      </c>
      <c r="DI66" s="140">
        <f>IF(Reinforcements[[#This Row],[Reinforcement]]="","",φ_c*Reinforcements[[#This Row],[Fcr,y]]*Reinforcements[[#This Row],[Gross Area (in2)]])</f>
        <v>164.46370296333285</v>
      </c>
      <c r="DJ66" s="140">
        <f>IF(Reinforcements[[#This Row],[Reinforcement]]="","",φ_t_y*VLOOKUP(Reinforcements[[#This Row],[Material]],Materials[],2,FALSE)*Reinforcements[[#This Row],[Gross Area (in2)]])</f>
        <v>164.53125</v>
      </c>
      <c r="DK66" s="140">
        <f>IF(Reinforcements[[#This Row],[Reinforcement]]="","",φ_t_r*VLOOKUP(Reinforcements[[#This Row],[Material]],Materials[],3,FALSE)*Reinforcements[[#This Row],[Net Area (in2)]]*Reinforcements[[#This Row],[Shear Lag (U)]])</f>
        <v>168.75</v>
      </c>
      <c r="DL66" s="140">
        <f>IF(Reinforcements[[#This Row],[Reinforcement]]="","",φ_v*0.5*Reinforcements[[#This Row],[F''y]]*Reinforcements[[#This Row],[Gross Area (in2)]])</f>
        <v>82.265625</v>
      </c>
      <c r="DM66"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127">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106.91454531540599</v>
      </c>
      <c r="DX66"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6" s="127"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6" s="127">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286.37824638055179</v>
      </c>
      <c r="EA66" s="129" t="str">
        <f>IF(OR(Reinforcements[[#This Row],[Type]]="plate",Reinforcements[[#This Row],[Type]]="solid round"),"N/A",Reinforcements[[#This Row],[B (in)]])</f>
        <v>N/A</v>
      </c>
      <c r="EB66" s="127" t="str">
        <f>IF(OR(Reinforcements[[#This Row],[Type]]="plate",Reinforcements[[#This Row],[Type]]="solid round"),"N/A",Reinforcements[[#This Row],[H (in)]])</f>
        <v>N/A</v>
      </c>
      <c r="EC66" s="127" t="str">
        <f>IF(OR(Reinforcements[[#This Row],[Type]]="plate",Reinforcements[[#This Row],[Type]]="solid round"),"N/A",Reinforcements[[#This Row],[B (in)]]-Reinforcements[[#This Row],['[Channel'] Flange Thickness (in)]])</f>
        <v>N/A</v>
      </c>
      <c r="ED66" s="127" t="str">
        <f>IF(OR(Reinforcements[[#This Row],[Type]]="plate",Reinforcements[[#This Row],[Type]]="solid round"),"N/A",Reinforcements[[#This Row],['[Channel']Web Thickness (in)]])</f>
        <v>N/A</v>
      </c>
      <c r="EE66" s="127" t="str">
        <f>IF(OR(Reinforcements[[#This Row],[Type]]="plate",Reinforcements[[#This Row],[Type]]="solid round"),"N/A",Reinforcements[[#This Row],['[Channel'] Flange Thickness (in)]])</f>
        <v>N/A</v>
      </c>
      <c r="EF66" s="127" t="str">
        <f>IF(Reinforcements[[#This Row],[Type]]="channel",Reinforcements[[#This Row],[Channel Flange Width, b]]/Reinforcements[[#This Row],[Channel flange thickness, tf]],"N/A")</f>
        <v>N/A</v>
      </c>
      <c r="EG66" s="127" t="str">
        <f>IF(Reinforcements[[#This Row],[Type]]="channel",Reinforcements[[#This Row],[Channel inside depth, T]]/Reinforcements[[#This Row],[Channel web thickness, tw]],"N/A")</f>
        <v>N/A</v>
      </c>
      <c r="EH66" s="6">
        <f>29000</f>
        <v>29000</v>
      </c>
      <c r="EI66" s="127" t="str">
        <f>IF(Reinforcements[[#This Row],[Type]]="channel",0.56*SQRT(Reinforcements[[#This Row],[E, (ksi)]]/Reinforcements[[#This Row],[Fy, (ksi)]]),"N/A")</f>
        <v>N/A</v>
      </c>
      <c r="EJ66" s="127" t="str">
        <f>IF(Reinforcements[[#This Row],[Type]]="channel",1.49*SQRT(Reinforcements[[#This Row],[E, (ksi)]]/Reinforcements[[#This Row],[Fy, (ksi)]]),"N/A")</f>
        <v>N/A</v>
      </c>
      <c r="EK66" s="127">
        <f>VLOOKUP(Reinforcements[[#This Row],[Material]],Materials!$B$2:$C$30,2,FALSE)</f>
        <v>65</v>
      </c>
      <c r="EL66" s="127">
        <f>Reinforcements[[#This Row],[Lu (in)]]*Reinforcements[[#This Row],[Effective Length Factor Kx]]</f>
        <v>0.60000000000000009</v>
      </c>
      <c r="EM66" s="127">
        <f>Reinforcements[[#This Row],[Lu (in)]]*Reinforcements[[#This Row],[Effective Length Factor Ky]]</f>
        <v>0.75</v>
      </c>
      <c r="EN66" s="127">
        <f>Reinforcements[[#This Row],[rx]]</f>
        <v>0.649519052838329</v>
      </c>
      <c r="EO66" s="127">
        <f>Reinforcements[[#This Row],[ry]]</f>
        <v>0.36084391824351614</v>
      </c>
      <c r="EP66" s="127">
        <f>Reinforcements[[#This Row],[Lcx (in)]]/Reinforcements[[#This Row],[rx (in)]]</f>
        <v>0.9237604307034013</v>
      </c>
      <c r="EQ66" s="127">
        <f>Reinforcements[[#This Row],[Lcy (in)]]/Reinforcements[[#This Row],[ry (in)]]</f>
        <v>2.0784609690826525</v>
      </c>
      <c r="ER66" s="127">
        <f>((PI()^2)*Reinforcements[[#This Row],[E, (ksi)]])/(Reinforcements[[#This Row],[Lcx/rx]]^2)</f>
        <v>335412.33706827107</v>
      </c>
      <c r="ES66" s="127">
        <f>((PI()^2)*Reinforcements[[#This Row],[E, (ksi)]])/(Reinforcements[[#This Row],[Lcy/ry]]^2)</f>
        <v>66254.288803609117</v>
      </c>
      <c r="ET66" s="127">
        <f>4.71*(SQRT(Reinforcements[[#This Row],[E, (ksi)]]/Reinforcements[[#This Row],[Fy, (ksi)]]))</f>
        <v>99.486288193205496</v>
      </c>
      <c r="EU66" s="127">
        <f>IF(Reinforcements[[#This Row],[Lcx/rx]]&lt;=Reinforcements[[#This Row],[Fcr Limit]],(0.658^(Reinforcements[[#This Row],[Fy, (ksi)]]/Reinforcements[[#This Row],[Fex, FB (ksi)]]))*Reinforcements[[#This Row],[Fy, (ksi)]],0.877*Reinforcements[[#This Row],[Fex, FB (ksi)]])</f>
        <v>64.994727971193527</v>
      </c>
      <c r="EV66" s="127">
        <f>IF(Reinforcements[[#This Row],[Lcy/ry]]&lt;=Reinforcements[[#This Row],[Fcr Limit]],(0.658^(Reinforcements[[#This Row],[Fy, (ksi)]]/Reinforcements[[#This Row],[Fey, FB (ksi)]]))*Reinforcements[[#This Row],[Fy, (ksi)]],0.877*Reinforcements[[#This Row],[Fey, FB (ksi)]])</f>
        <v>64.973314750946315</v>
      </c>
      <c r="EW66" s="127">
        <f>Reinforcements[[#This Row],[Fcrx (ksi)]]*Reinforcements[[#This Row],[Gross Area (in2)]]</f>
        <v>182.79767241898179</v>
      </c>
      <c r="EX66" s="127">
        <f>Reinforcements[[#This Row],[Fcry (ksi)]]*Reinforcements[[#This Row],[Gross Area (in2)]]</f>
        <v>182.73744773703652</v>
      </c>
      <c r="EY66" s="127" t="str">
        <f>IF(Reinforcements[[#This Row],[Type]]="channel",0,"N/A")</f>
        <v>N/A</v>
      </c>
      <c r="EZ66" s="127" t="str">
        <f>IF(Reinforcements[[#This Row],[Type]]="channel",Reinforcements[[#This Row],[Channel Flange Width, b]]-(0.5*Reinforcements[[#This Row],[Channel web thickness, tw]]),"N/A")</f>
        <v>N/A</v>
      </c>
      <c r="FA66" s="127" t="str">
        <f>IF(Reinforcements[[#This Row],[Type]]="channel",Reinforcements[[#This Row],[Channel Height, h]]-Reinforcements[[#This Row],[Channel flange thickness, tf]],"N/A")</f>
        <v>N/A</v>
      </c>
      <c r="FB66" s="127" t="str">
        <f>IF(Reinforcements[[#This Row],[Type]]="channel",Reinforcements[[#This Row],[Channel web thickness, tw]],"N/A")</f>
        <v>N/A</v>
      </c>
      <c r="FC66" s="127" t="str">
        <f>IF(Reinforcements[[#This Row],[Type]]="channel",((3*Reinforcements[[#This Row],[b]]^2)/(Reinforcements[[#This Row],[h]]+(6*Reinforcements[[#This Row],[b]])))-Reinforcements[[#This Row],[t]]/2,"N/A")</f>
        <v>N/A</v>
      </c>
      <c r="FD66" s="127">
        <f>Reinforcements[[#This Row],[Pole Face to Centroid (in)]]</f>
        <v>1.875</v>
      </c>
      <c r="FE66" s="127" t="str">
        <f>IF(Reinforcements[[#This Row],[Type]]="channel",Reinforcements[[#This Row],[x(bar)]]+Reinforcements[[#This Row],['[Channel'] e0 (in)]],"N/A")</f>
        <v>N/A</v>
      </c>
      <c r="FF66" s="127" t="str">
        <f>IF(Reinforcements[[#This Row],[Type]]="channel",Reinforcements[[#This Row],[Ix]],"N/A")</f>
        <v>N/A</v>
      </c>
      <c r="FG66" s="127" t="str">
        <f>IF(Reinforcements[[#This Row],[Type]]="channel",Reinforcements[[#This Row],[Iy]],"N/A")</f>
        <v>N/A</v>
      </c>
      <c r="FH66" s="127" t="str">
        <f>IF(Reinforcements[[#This Row],[Type]]="channel",Reinforcements[[#This Row],[Gross Area (in2)]],"N/A")</f>
        <v>N/A</v>
      </c>
      <c r="FI66" s="127" t="str">
        <f>IF(Reinforcements[[#This Row],[Type]]="channel",(Reinforcements[[#This Row],[xo]]^2)+((Reinforcements[[#This Row],[Ix (FTB)]]+Reinforcements[[#This Row],[Iy (FTB)]])/Reinforcements[[#This Row],[Ag]]),"N/A")</f>
        <v>N/A</v>
      </c>
      <c r="FJ66" s="127" t="str">
        <f>IF(Reinforcements[[#This Row],[Type]]="channel",Reinforcements[[#This Row],[Lu (in)]],"N/A")</f>
        <v>N/A</v>
      </c>
      <c r="FK66" s="127" t="str">
        <f>IF(Reinforcements[[#This Row],[Type]]="channel",Reinforcements[[#This Row],[Effective Length Factor Kx]],"N/A")</f>
        <v>N/A</v>
      </c>
      <c r="FL66" s="127" t="str">
        <f>IF(Reinforcements[[#This Row],[Type]]="channel",Reinforcements[[#This Row],[Kz]]*Reinforcements[[#This Row],[Lz]],"N/A")</f>
        <v>N/A</v>
      </c>
      <c r="FM66" s="127" t="str">
        <f>IF(Reinforcements[[#This Row],[Type]]="channel",(((Reinforcements[[#This Row],[t]]^3)/3)*(Reinforcements[[#This Row],[h]]+(2*Reinforcements[[#This Row],[b]]))),"N/A")</f>
        <v>N/A</v>
      </c>
      <c r="FN66" s="127" t="str">
        <f>IF(Reinforcements[[#This Row],[Type]]="channel",(1-(((Reinforcements[[#This Row],[xo]]^2)+(Reinforcements[[#This Row],[yo]]^2))/Reinforcements[[#This Row],[ro^2(bar)]])),"N/A")</f>
        <v>N/A</v>
      </c>
      <c r="FO66" s="127">
        <v>11193</v>
      </c>
      <c r="FP66" s="127" t="str">
        <f>IF(Reinforcements[[#This Row],[Type]]="channel",(((Reinforcements[[#This Row],[h]]^2)*(Reinforcements[[#This Row],[b]]^3)*Reinforcements[[#This Row],[t]])/12)*(((2*Reinforcements[[#This Row],[h]])+(3*Reinforcements[[#This Row],[b]]))/(Reinforcements[[#This Row],[h]]+(6*Reinforcements[[#This Row],[b]]))),"N/A")</f>
        <v>N/A</v>
      </c>
      <c r="FQ66" s="127" t="str">
        <f>IF(Reinforcements[[#This Row],[Type]]="Channel",((((PI()^2)*Reinforcements[[#This Row],[E, (ksi)]]*Reinforcements[[#This Row],['[Channel'] CW (in6)]])/(Reinforcements[[#This Row],[Lcz]]^2))+(Reinforcements[[#This Row],[G]]*Reinforcements[[#This Row],['[Channel'] J (in4)]]))*(1/(Reinforcements[[#This Row],[Ag]]*Reinforcements[[#This Row],[ro^2(bar)]])),"N/A")</f>
        <v>N/A</v>
      </c>
      <c r="FR66" s="127" t="str">
        <f>IF(Reinforcements[[#This Row],[Type]]="channel",((PI()^2)*Reinforcements[[#This Row],[E, (ksi)]])/(Reinforcements[[#This Row],[Lcy/ry]]^2),"N/A")</f>
        <v>N/A</v>
      </c>
      <c r="FS66" s="127" t="str">
        <f>IF(Reinforcements[[#This Row],[Type]]="channel",((Reinforcements[[#This Row],[Fey]]+Reinforcements[[#This Row],[Fez]])/(2*Reinforcements[[#This Row],[H2]]))*(1-SQRT(1-((4*Reinforcements[[#This Row],[Fey]]*Reinforcements[[#This Row],[Fez]]*Reinforcements[[#This Row],[H2]])/(Reinforcements[[#This Row],[Fey]]+Reinforcements[[#This Row],[Fez]])^2))),"N/A")</f>
        <v>N/A</v>
      </c>
      <c r="FT66" s="127" t="str">
        <f>IF(Reinforcements[[#This Row],[Type]]="channel",IF(Reinforcements[[#This Row],[Lcx/rx]]&gt;(4.71*SQRT(Reinforcements[[#This Row],[E, (ksi)]]/Reinforcements[[#This Row],[Fy, (ksi)]])),0.877*Reinforcements[[#This Row],[Fe (FTB)]],0.658^(Reinforcements[[#This Row],[Fy, (ksi)]]/Reinforcements[[#This Row],[Fe (FTB)]])*Reinforcements[[#This Row],[Fy, (ksi)]]),"N/A")</f>
        <v>N/A</v>
      </c>
      <c r="FU66" s="127" t="str">
        <f>IF(Reinforcements[[#This Row],[Type]]="channel",MIN(Reinforcements[[#This Row],[Fcr(FTB)]],Reinforcements[[#This Row],[Fcry (ksi)]]),"N/A")</f>
        <v>N/A</v>
      </c>
      <c r="FV66" s="127">
        <v>0.22</v>
      </c>
      <c r="FW66" s="127">
        <v>1.49</v>
      </c>
      <c r="FX66" s="127" t="str">
        <f>IF(Reinforcements[[#This Row],[Type]]="channel",((Reinforcements[[#This Row],[c2]]*(Reinforcements[[#This Row],[λrf]]/Reinforcements[[#This Row],[λf]]))^2)*Reinforcements[[#This Row],[Fy, (ksi)]],"N/A")</f>
        <v>N/A</v>
      </c>
      <c r="FY66" s="127" t="str">
        <f>IF(Reinforcements[[#This Row],[Type]]="channel",((Reinforcements[[#This Row],[c2]]*(Reinforcements[[#This Row],[λrw]]/Reinforcements[[#This Row],[λw]]))^2)*Reinforcements[[#This Row],[Fy, (ksi)]],"N/A")</f>
        <v>N/A</v>
      </c>
      <c r="FZ66"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127" t="str">
        <f>IF(Reinforcements[[#This Row],[Type]]="channel",Reinforcements[[#This Row],[Fcr]]*Reinforcements[[#This Row],[Ae]],"N/A")</f>
        <v>N/A</v>
      </c>
      <c r="GD66" s="50">
        <f>IF(Reinforcements[[#This Row],[Reinforcement]]="","",φ_c*Reinforcements[[#This Row],[Pnx, FB (kip)]])</f>
        <v>164.51790517708361</v>
      </c>
      <c r="GE66" s="50">
        <f>IF(Reinforcements[[#This Row],[Reinforcement]]="","",IF(Reinforcements[[#This Row],[Type]]="channel",φ_c*Reinforcements[[#This Row],[Pn]],φ_c*Reinforcements[[#This Row],[Pny, FB (kip)]]))</f>
        <v>164.46370296333288</v>
      </c>
      <c r="GF66" s="50">
        <f>Reinforcements[[#This Row],[Rev. G Tension Yield Capacity (kips)]]</f>
        <v>164.53125</v>
      </c>
      <c r="GG66" s="50">
        <f>Reinforcements[[#This Row],[Rev. G Tension Rupture Capacity (kips)]]</f>
        <v>168.75</v>
      </c>
      <c r="GH66" s="50">
        <f>Reinforcements[[#This Row],[Rev. G Shear Capacity (kips)]]</f>
        <v>82.265625</v>
      </c>
      <c r="GI66" s="50" t="str">
        <f>IFERROR((Reinforcements[[#This Row],['# of End Connection Bolts          (Bottom)]]-1)*Reinforcements[[#This Row],[End Connection Bolt Spacing (in) (B)]],"-")</f>
        <v>-</v>
      </c>
      <c r="GJ66" s="50">
        <f>IFERROR(IF(VLOOKUP(Reinforcements[[#This Row],[Bottom End Connection Bolt Type]],Bolts[],COLUMN(Bolts[[#Headers],[Rev. H Apply Connection Length Reduction Factor (Rb)?]])-1,FALSE)="Yes",(IF(Reinforcements[[#This Row],[Lb(bottom)]]&lt;=16,1,IF(Reinforcements[[#This Row],[Lb(bottom)]]&gt;38,0.75,0.9))),1),"-")</f>
        <v>1</v>
      </c>
      <c r="GK66"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50" t="str">
        <f>IFERROR(IF(Reinforcements[[#This Row],[Top End Connection Same?]]="Yes",Reinforcements[[#This Row],[Lb(bottom)]],(Reinforcements[[#This Row],['# of End Connection Bolts          (Top)]]-1)*Reinforcements[[#This Row],[End Connection Bolt Spacing (in) (T)]]),"-")</f>
        <v>-</v>
      </c>
      <c r="GM66" s="50">
        <f>IFERROR(IF(VLOOKUP(Reinforcements[[#This Row],[Top End Connection Bolt Type]],Bolts[],COLUMN(Bolts[[#Headers],[Rev. H Apply Connection Length Reduction Factor (Rb)?]])-1,FALSE)=TRUE,(IF(Reinforcements[[#This Row],[Lb(top)]]&lt;=16,1,IF(Reinforcements[[#This Row],[Lb(top)]]&gt;38,0.75,0.9))),1),"-")</f>
        <v>1</v>
      </c>
      <c r="GN66"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50" t="str">
        <f>Reinforcements[[#This Row],[Rev. G Bolt-Shaft Bearing Capacity (Bottom)                No Deformation          (*t*Fu kips)]]</f>
        <v>-</v>
      </c>
      <c r="GP66" s="50" t="str">
        <f>Reinforcements[[#This Row],[Rev. G Bolt-Shaft Bearing Capacity (Bottom)                   Deformation          (*t*Fu kips)]]</f>
        <v>-</v>
      </c>
      <c r="GQ66" s="50" t="str">
        <f>Reinforcements[[#This Row],[Rev. G Bolt-Shaft Bearing Capacity (Top)                    No Deformation          (*t*Fu kips)]]</f>
        <v>-</v>
      </c>
      <c r="GR66" s="50" t="str">
        <f>Reinforcements[[#This Row],[Rev. G Bolt-Shaft Bearing Capacity (Top)                        Deformation          (*t*Fu kips)]]</f>
        <v>-</v>
      </c>
      <c r="GS66" s="50" t="str">
        <f>Reinforcements[[#This Row],[Rev. G Bolt-Reinf. Bearing Capacity (Bottom)            No Deformation (kips)]]</f>
        <v>-</v>
      </c>
      <c r="GT66" s="50" t="str">
        <f>Reinforcements[[#This Row],[Rev. G Bolt-Reinf. Bearing Capacity (Bottom)               Deformation (kips)]]</f>
        <v>-</v>
      </c>
      <c r="GU66" s="50" t="str">
        <f>Reinforcements[[#This Row],[Rev. G Bolt-Reinf. Bearing Capacity (Top)                  No Deformation (kips)]]</f>
        <v>-</v>
      </c>
      <c r="GV66" s="50" t="str">
        <f>Reinforcements[[#This Row],[Rev. G Bolt-Reinf. Bearing Capacity (Top)               Deformation (kips)]]</f>
        <v>-</v>
      </c>
      <c r="GW66" s="50">
        <f>Reinforcements[[#This Row],[Rev. G Bottom Transverse Weld Strength]]</f>
        <v>106.91454531540599</v>
      </c>
      <c r="GX66" s="50" t="str">
        <f>Reinforcements[[#This Row],[Rev. G Bottom Longitudinal Weld Strength]]</f>
        <v>-</v>
      </c>
      <c r="GY66" s="50" t="str">
        <f>Reinforcements[[#This Row],[Rev. G Top Transverse Weld Strength]]</f>
        <v>-</v>
      </c>
      <c r="GZ66" s="50">
        <f>Reinforcements[[#This Row],[Rev. G Top Longitudinal Weld Strength]]</f>
        <v>286.37824638055179</v>
      </c>
      <c r="HA66">
        <v>64</v>
      </c>
      <c r="HB6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0</v>
      </c>
    </row>
    <row r="67" spans="2:210" x14ac:dyDescent="0.2">
      <c r="B67" s="695" t="s">
        <v>2600</v>
      </c>
      <c r="C67" s="695" t="s">
        <v>352</v>
      </c>
      <c r="D67" s="695">
        <v>1.25</v>
      </c>
      <c r="E67" s="695">
        <v>3</v>
      </c>
      <c r="F67" s="695" t="s">
        <v>2605</v>
      </c>
      <c r="G67" s="695" t="s">
        <v>2605</v>
      </c>
      <c r="H67" s="695" t="s">
        <v>2605</v>
      </c>
      <c r="I67" s="695" t="s">
        <v>2605</v>
      </c>
      <c r="J67" s="695" t="s">
        <v>2605</v>
      </c>
      <c r="K67" s="695" t="s">
        <v>2605</v>
      </c>
      <c r="L67" s="695">
        <v>3.75</v>
      </c>
      <c r="M67" s="695">
        <v>2.25</v>
      </c>
      <c r="N67" s="695" t="s">
        <v>353</v>
      </c>
      <c r="O67" s="695" t="s">
        <v>138</v>
      </c>
      <c r="P67" s="695">
        <v>2.8125</v>
      </c>
      <c r="Q67" s="695">
        <v>0.8660254037844386</v>
      </c>
      <c r="R67" s="695">
        <v>0.48828125</v>
      </c>
      <c r="S67" s="695">
        <v>0.36084391824351614</v>
      </c>
      <c r="T67" s="695">
        <v>0.75</v>
      </c>
      <c r="U67" s="695">
        <v>0.8</v>
      </c>
      <c r="V67" s="695">
        <v>1</v>
      </c>
      <c r="W67" s="695">
        <v>0</v>
      </c>
      <c r="X67" s="695">
        <v>0</v>
      </c>
      <c r="Y67" s="695">
        <v>3.75</v>
      </c>
      <c r="Z67" s="695">
        <v>1</v>
      </c>
      <c r="AA67" s="695" t="s">
        <v>382</v>
      </c>
      <c r="AB67" s="695" t="s">
        <v>457</v>
      </c>
      <c r="AC67" s="695" t="s">
        <v>457</v>
      </c>
      <c r="AD67" s="695" t="s">
        <v>457</v>
      </c>
      <c r="AE67" s="695" t="s">
        <v>457</v>
      </c>
      <c r="AF67" s="695" t="s">
        <v>457</v>
      </c>
      <c r="AG67" s="695" t="s">
        <v>457</v>
      </c>
      <c r="AH67" s="695" t="s">
        <v>457</v>
      </c>
      <c r="AI67" s="695" t="s">
        <v>457</v>
      </c>
      <c r="AJ67" s="695" t="s">
        <v>2615</v>
      </c>
      <c r="AK67" s="695" t="s">
        <v>2615</v>
      </c>
      <c r="AL67" s="695" t="s">
        <v>457</v>
      </c>
      <c r="AM67" s="695" t="s">
        <v>457</v>
      </c>
      <c r="AN67" s="695" t="s">
        <v>357</v>
      </c>
      <c r="AO67" s="695">
        <v>80</v>
      </c>
      <c r="AP67" s="695" t="s">
        <v>383</v>
      </c>
      <c r="AQ67" s="695">
        <v>3</v>
      </c>
      <c r="AR67" s="695">
        <v>1.25</v>
      </c>
      <c r="AS67" s="695">
        <v>45</v>
      </c>
      <c r="AT67" s="695">
        <v>1</v>
      </c>
      <c r="AU67" s="695"/>
      <c r="AV67" s="695" t="s">
        <v>384</v>
      </c>
      <c r="AW67" s="695" t="s">
        <v>457</v>
      </c>
      <c r="AX67" s="695" t="s">
        <v>457</v>
      </c>
      <c r="AY67" s="695" t="s">
        <v>457</v>
      </c>
      <c r="AZ67" s="695" t="s">
        <v>353</v>
      </c>
      <c r="BA67" s="695" t="s">
        <v>382</v>
      </c>
      <c r="BB67" s="695" t="s">
        <v>457</v>
      </c>
      <c r="BC67" s="695" t="s">
        <v>457</v>
      </c>
      <c r="BD67" s="695" t="s">
        <v>457</v>
      </c>
      <c r="BE67" s="695" t="s">
        <v>457</v>
      </c>
      <c r="BF67" s="695" t="s">
        <v>457</v>
      </c>
      <c r="BG67" s="695" t="s">
        <v>457</v>
      </c>
      <c r="BH67" s="695" t="s">
        <v>457</v>
      </c>
      <c r="BI67" s="695" t="s">
        <v>457</v>
      </c>
      <c r="BJ67" s="695" t="s">
        <v>2615</v>
      </c>
      <c r="BK67" s="695" t="s">
        <v>2615</v>
      </c>
      <c r="BL67" s="695" t="s">
        <v>457</v>
      </c>
      <c r="BM67" s="695" t="s">
        <v>457</v>
      </c>
      <c r="BN67" s="695" t="s">
        <v>353</v>
      </c>
      <c r="BO67" s="695">
        <v>80</v>
      </c>
      <c r="BP67" s="695" t="s">
        <v>384</v>
      </c>
      <c r="BQ67" s="695" t="s">
        <v>457</v>
      </c>
      <c r="BR67" s="695" t="s">
        <v>457</v>
      </c>
      <c r="BS67" s="695" t="s">
        <v>457</v>
      </c>
      <c r="BT67" s="695" t="s">
        <v>457</v>
      </c>
      <c r="BU67" s="695" t="s">
        <v>457</v>
      </c>
      <c r="BV67" s="695" t="s">
        <v>2616</v>
      </c>
      <c r="BW67" s="695">
        <v>90</v>
      </c>
      <c r="BX67" s="695">
        <v>0.375</v>
      </c>
      <c r="BY67" s="695">
        <v>0.26516504294495535</v>
      </c>
      <c r="BZ67" s="695" t="s">
        <v>2605</v>
      </c>
      <c r="CA67" s="695" t="s">
        <v>2605</v>
      </c>
      <c r="CB67" s="695" t="s">
        <v>2605</v>
      </c>
      <c r="CC67" s="12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1.25</v>
      </c>
      <c r="CD67" s="12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3</v>
      </c>
      <c r="CE67" s="127">
        <f>IFERROR(IF(Reinforcements[[#This Row],[Type]]="","",Reinforcements[[#This Row],[Effective B (in)]]*Reinforcements[[#This Row],[Effective H (in)]]^3/12),"")</f>
        <v>2.8125</v>
      </c>
      <c r="CF67" s="127">
        <f>IFERROR(IF(Reinforcements[[#This Row],[Type]]="","",Reinforcements[[#This Row],[Effective B (in)]]^3*Reinforcements[[#This Row],[Effective H (in)]]/12),"")</f>
        <v>0.48828125</v>
      </c>
      <c r="CG67" s="140">
        <f>SQRT(2*PI()^2*29000/VLOOKUP(Reinforcements[[#This Row],[Material]],Materials[],2,FALSE))</f>
        <v>93.844147005158973</v>
      </c>
      <c r="CH67" s="13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38.934264618821196</v>
      </c>
      <c r="CI67" s="13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38.797128390003316</v>
      </c>
      <c r="CJ67" s="135">
        <f>Reinforcements[[#This Row],[Effective Length Factor Kx]]*Reinforcements[[#This Row],[Lu (in)]]/(Reinforcements[[#This Row],[rx]]*PI())*SQRT(VLOOKUP(Reinforcements[[#This Row],[Material]],Materials[],2,FALSE)/29000)</f>
        <v>1.0440671351186219E-2</v>
      </c>
      <c r="CK67" s="135">
        <f>Reinforcements[[#This Row],[Effective Length Factor Ky]]*Reinforcements[[#This Row],[Lu (in)]]/(Reinforcements[[#This Row],[ry]]*PI())*SQRT(VLOOKUP(Reinforcements[[#This Row],[Material]],Materials[],2,FALSE)/29000)</f>
        <v>3.1322014053558646E-2</v>
      </c>
      <c r="CL67" s="135">
        <f>IF(Reinforcements[[#This Row],[λcx]]&lt;=1.5,0.658^(Reinforcements[[#This Row],[λcx]]^2)*Reinforcements[[#This Row],[F''y]],0.877/(Reinforcements[[#This Row],[λcx]]^2)*Reinforcements[[#This Row],[F''y]])</f>
        <v>64.997034431178918</v>
      </c>
      <c r="CM67" s="135">
        <f>IF(Reinforcements[[#This Row],[λcy]]&lt;=1.5,0.658^(Reinforcements[[#This Row],[λcy]]^2)*Reinforcements[[#This Row],[F''y]],0.877/(Reinforcements[[#This Row],[λcy]]^2)*Reinforcements[[#This Row],[F''y]])</f>
        <v>64.973314750946315</v>
      </c>
      <c r="CN67" s="127">
        <f>VLOOKUP(Reinforcements[[#This Row],[Material]],Materials[],2,FALSE)</f>
        <v>65</v>
      </c>
      <c r="CO67" s="140">
        <f>IF(Reinforcements[[#This Row],[Reinforcement]]="","",Reinforcements[[#This Row],[Fax]]*Reinforcements[[#This Row],[Gross Area (in2)]])</f>
        <v>146.00349232057948</v>
      </c>
      <c r="CP67" s="140">
        <f>IF(Reinforcements[[#This Row],[Reinforcement]]="","",Reinforcements[[#This Row],[Fay]]*Reinforcements[[#This Row],[Gross Area (in2)]])</f>
        <v>145.48923146251244</v>
      </c>
      <c r="CQ67" s="140">
        <f>IF(Reinforcements[[#This Row],[Reinforcement]]="","",0.6*VLOOKUP(Reinforcements[[#This Row],[Material]],Materials[],2,FALSE)*Reinforcements[[#This Row],[Gross Area (in2)]])</f>
        <v>146.25</v>
      </c>
      <c r="CR67" s="140">
        <f>IF(Reinforcements[[#This Row],[Reinforcement]]="","",0.5*VLOOKUP(Reinforcements[[#This Row],[Material]],Materials[],3,FALSE)*Reinforcements[[#This Row],[Net Area (in2)]]*Reinforcements[[#This Row],[Shear Lag (U)]])</f>
        <v>150</v>
      </c>
      <c r="CS67" s="140">
        <f>IF(Reinforcements[[#This Row],[Reinforcement]]="","",0.4*VLOOKUP(Reinforcements[[#This Row],[Material]],Materials[],2,FALSE)*Reinforcements[[#This Row],[Gross Area (in2)]])</f>
        <v>97.5</v>
      </c>
      <c r="CT67"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129">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0</v>
      </c>
      <c r="DE67"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7" s="127"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7" s="127">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1145.5129855222071</v>
      </c>
      <c r="DH67" s="140">
        <f>IF(Reinforcements[[#This Row],[Reinforcement]]="","",φ_c*Reinforcements[[#This Row],[Fcr,x]]*Reinforcements[[#This Row],[Gross Area (in2)]])</f>
        <v>219.36499120522888</v>
      </c>
      <c r="DI67" s="140">
        <f>IF(Reinforcements[[#This Row],[Reinforcement]]="","",φ_c*Reinforcements[[#This Row],[Fcr,y]]*Reinforcements[[#This Row],[Gross Area (in2)]])</f>
        <v>219.2849372844438</v>
      </c>
      <c r="DJ67" s="140">
        <f>IF(Reinforcements[[#This Row],[Reinforcement]]="","",φ_t_y*VLOOKUP(Reinforcements[[#This Row],[Material]],Materials[],2,FALSE)*Reinforcements[[#This Row],[Gross Area (in2)]])</f>
        <v>219.375</v>
      </c>
      <c r="DK67" s="140">
        <f>IF(Reinforcements[[#This Row],[Reinforcement]]="","",φ_t_r*VLOOKUP(Reinforcements[[#This Row],[Material]],Materials[],3,FALSE)*Reinforcements[[#This Row],[Net Area (in2)]]*Reinforcements[[#This Row],[Shear Lag (U)]])</f>
        <v>225</v>
      </c>
      <c r="DL67" s="140">
        <f>IF(Reinforcements[[#This Row],[Reinforcement]]="","",φ_v*0.5*Reinforcements[[#This Row],[F''y]]*Reinforcements[[#This Row],[Gross Area (in2)]])</f>
        <v>109.6875</v>
      </c>
      <c r="DM67"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127">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0</v>
      </c>
      <c r="DX67"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7" s="127"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7" s="127">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1718.2694782833107</v>
      </c>
      <c r="EA67" s="129" t="str">
        <f>IF(OR(Reinforcements[[#This Row],[Type]]="plate",Reinforcements[[#This Row],[Type]]="solid round"),"N/A",Reinforcements[[#This Row],[B (in)]])</f>
        <v>N/A</v>
      </c>
      <c r="EB67" s="127" t="str">
        <f>IF(OR(Reinforcements[[#This Row],[Type]]="plate",Reinforcements[[#This Row],[Type]]="solid round"),"N/A",Reinforcements[[#This Row],[H (in)]])</f>
        <v>N/A</v>
      </c>
      <c r="EC67" s="127" t="str">
        <f>IF(OR(Reinforcements[[#This Row],[Type]]="plate",Reinforcements[[#This Row],[Type]]="solid round"),"N/A",Reinforcements[[#This Row],[B (in)]]-Reinforcements[[#This Row],['[Channel'] Flange Thickness (in)]])</f>
        <v>N/A</v>
      </c>
      <c r="ED67" s="127" t="str">
        <f>IF(OR(Reinforcements[[#This Row],[Type]]="plate",Reinforcements[[#This Row],[Type]]="solid round"),"N/A",Reinforcements[[#This Row],['[Channel']Web Thickness (in)]])</f>
        <v>N/A</v>
      </c>
      <c r="EE67" s="127" t="str">
        <f>IF(OR(Reinforcements[[#This Row],[Type]]="plate",Reinforcements[[#This Row],[Type]]="solid round"),"N/A",Reinforcements[[#This Row],['[Channel'] Flange Thickness (in)]])</f>
        <v>N/A</v>
      </c>
      <c r="EF67" s="127" t="str">
        <f>IF(Reinforcements[[#This Row],[Type]]="channel",Reinforcements[[#This Row],[Channel Flange Width, b]]/Reinforcements[[#This Row],[Channel flange thickness, tf]],"N/A")</f>
        <v>N/A</v>
      </c>
      <c r="EG67" s="127" t="str">
        <f>IF(Reinforcements[[#This Row],[Type]]="channel",Reinforcements[[#This Row],[Channel inside depth, T]]/Reinforcements[[#This Row],[Channel web thickness, tw]],"N/A")</f>
        <v>N/A</v>
      </c>
      <c r="EH67" s="6">
        <f>29000</f>
        <v>29000</v>
      </c>
      <c r="EI67" s="127" t="str">
        <f>IF(Reinforcements[[#This Row],[Type]]="channel",0.56*SQRT(Reinforcements[[#This Row],[E, (ksi)]]/Reinforcements[[#This Row],[Fy, (ksi)]]),"N/A")</f>
        <v>N/A</v>
      </c>
      <c r="EJ67" s="127" t="str">
        <f>IF(Reinforcements[[#This Row],[Type]]="channel",1.49*SQRT(Reinforcements[[#This Row],[E, (ksi)]]/Reinforcements[[#This Row],[Fy, (ksi)]]),"N/A")</f>
        <v>N/A</v>
      </c>
      <c r="EK67" s="127">
        <f>VLOOKUP(Reinforcements[[#This Row],[Material]],Materials!$B$2:$C$30,2,FALSE)</f>
        <v>65</v>
      </c>
      <c r="EL67" s="127">
        <f>Reinforcements[[#This Row],[Lu (in)]]*Reinforcements[[#This Row],[Effective Length Factor Kx]]</f>
        <v>0.60000000000000009</v>
      </c>
      <c r="EM67" s="127">
        <f>Reinforcements[[#This Row],[Lu (in)]]*Reinforcements[[#This Row],[Effective Length Factor Ky]]</f>
        <v>0.75</v>
      </c>
      <c r="EN67" s="127">
        <f>Reinforcements[[#This Row],[rx]]</f>
        <v>0.8660254037844386</v>
      </c>
      <c r="EO67" s="127">
        <f>Reinforcements[[#This Row],[ry]]</f>
        <v>0.36084391824351614</v>
      </c>
      <c r="EP67" s="127">
        <f>Reinforcements[[#This Row],[Lcx (in)]]/Reinforcements[[#This Row],[rx (in)]]</f>
        <v>0.69282032302755103</v>
      </c>
      <c r="EQ67" s="127">
        <f>Reinforcements[[#This Row],[Lcy (in)]]/Reinforcements[[#This Row],[ry (in)]]</f>
        <v>2.0784609690826525</v>
      </c>
      <c r="ER67" s="127">
        <f>((PI()^2)*Reinforcements[[#This Row],[E, (ksi)]])/(Reinforcements[[#This Row],[Lcx/rx]]^2)</f>
        <v>596288.59923248179</v>
      </c>
      <c r="ES67" s="127">
        <f>((PI()^2)*Reinforcements[[#This Row],[E, (ksi)]])/(Reinforcements[[#This Row],[Lcy/ry]]^2)</f>
        <v>66254.288803609117</v>
      </c>
      <c r="ET67" s="127">
        <f>4.71*(SQRT(Reinforcements[[#This Row],[E, (ksi)]]/Reinforcements[[#This Row],[Fy, (ksi)]]))</f>
        <v>99.486288193205496</v>
      </c>
      <c r="EU67" s="127">
        <f>IF(Reinforcements[[#This Row],[Lcx/rx]]&lt;=Reinforcements[[#This Row],[Fcr Limit]],(0.658^(Reinforcements[[#This Row],[Fy, (ksi)]]/Reinforcements[[#This Row],[Fex, FB (ksi)]]))*Reinforcements[[#This Row],[Fy, (ksi)]],0.877*Reinforcements[[#This Row],[Fex, FB (ksi)]])</f>
        <v>64.997034431178918</v>
      </c>
      <c r="EV67" s="127">
        <f>IF(Reinforcements[[#This Row],[Lcy/ry]]&lt;=Reinforcements[[#This Row],[Fcr Limit]],(0.658^(Reinforcements[[#This Row],[Fy, (ksi)]]/Reinforcements[[#This Row],[Fey, FB (ksi)]]))*Reinforcements[[#This Row],[Fy, (ksi)]],0.877*Reinforcements[[#This Row],[Fey, FB (ksi)]])</f>
        <v>64.973314750946315</v>
      </c>
      <c r="EW67" s="127">
        <f>Reinforcements[[#This Row],[Fcrx (ksi)]]*Reinforcements[[#This Row],[Gross Area (in2)]]</f>
        <v>243.73887911692094</v>
      </c>
      <c r="EX67" s="127">
        <f>Reinforcements[[#This Row],[Fcry (ksi)]]*Reinforcements[[#This Row],[Gross Area (in2)]]</f>
        <v>243.64993031604868</v>
      </c>
      <c r="EY67" s="127" t="str">
        <f>IF(Reinforcements[[#This Row],[Type]]="channel",0,"N/A")</f>
        <v>N/A</v>
      </c>
      <c r="EZ67" s="127" t="str">
        <f>IF(Reinforcements[[#This Row],[Type]]="channel",Reinforcements[[#This Row],[Channel Flange Width, b]]-(0.5*Reinforcements[[#This Row],[Channel web thickness, tw]]),"N/A")</f>
        <v>N/A</v>
      </c>
      <c r="FA67" s="127" t="str">
        <f>IF(Reinforcements[[#This Row],[Type]]="channel",Reinforcements[[#This Row],[Channel Height, h]]-Reinforcements[[#This Row],[Channel flange thickness, tf]],"N/A")</f>
        <v>N/A</v>
      </c>
      <c r="FB67" s="127" t="str">
        <f>IF(Reinforcements[[#This Row],[Type]]="channel",Reinforcements[[#This Row],[Channel web thickness, tw]],"N/A")</f>
        <v>N/A</v>
      </c>
      <c r="FC67" s="127" t="str">
        <f>IF(Reinforcements[[#This Row],[Type]]="channel",((3*Reinforcements[[#This Row],[b]]^2)/(Reinforcements[[#This Row],[h]]+(6*Reinforcements[[#This Row],[b]])))-Reinforcements[[#This Row],[t]]/2,"N/A")</f>
        <v>N/A</v>
      </c>
      <c r="FD67" s="127">
        <f>Reinforcements[[#This Row],[Pole Face to Centroid (in)]]</f>
        <v>2.25</v>
      </c>
      <c r="FE67" s="127" t="str">
        <f>IF(Reinforcements[[#This Row],[Type]]="channel",Reinforcements[[#This Row],[x(bar)]]+Reinforcements[[#This Row],['[Channel'] e0 (in)]],"N/A")</f>
        <v>N/A</v>
      </c>
      <c r="FF67" s="127" t="str">
        <f>IF(Reinforcements[[#This Row],[Type]]="channel",Reinforcements[[#This Row],[Ix]],"N/A")</f>
        <v>N/A</v>
      </c>
      <c r="FG67" s="127" t="str">
        <f>IF(Reinforcements[[#This Row],[Type]]="channel",Reinforcements[[#This Row],[Iy]],"N/A")</f>
        <v>N/A</v>
      </c>
      <c r="FH67" s="127" t="str">
        <f>IF(Reinforcements[[#This Row],[Type]]="channel",Reinforcements[[#This Row],[Gross Area (in2)]],"N/A")</f>
        <v>N/A</v>
      </c>
      <c r="FI67" s="127" t="str">
        <f>IF(Reinforcements[[#This Row],[Type]]="channel",(Reinforcements[[#This Row],[xo]]^2)+((Reinforcements[[#This Row],[Ix (FTB)]]+Reinforcements[[#This Row],[Iy (FTB)]])/Reinforcements[[#This Row],[Ag]]),"N/A")</f>
        <v>N/A</v>
      </c>
      <c r="FJ67" s="127" t="str">
        <f>IF(Reinforcements[[#This Row],[Type]]="channel",Reinforcements[[#This Row],[Lu (in)]],"N/A")</f>
        <v>N/A</v>
      </c>
      <c r="FK67" s="127" t="str">
        <f>IF(Reinforcements[[#This Row],[Type]]="channel",Reinforcements[[#This Row],[Effective Length Factor Kx]],"N/A")</f>
        <v>N/A</v>
      </c>
      <c r="FL67" s="127" t="str">
        <f>IF(Reinforcements[[#This Row],[Type]]="channel",Reinforcements[[#This Row],[Kz]]*Reinforcements[[#This Row],[Lz]],"N/A")</f>
        <v>N/A</v>
      </c>
      <c r="FM67" s="127" t="str">
        <f>IF(Reinforcements[[#This Row],[Type]]="channel",(((Reinforcements[[#This Row],[t]]^3)/3)*(Reinforcements[[#This Row],[h]]+(2*Reinforcements[[#This Row],[b]]))),"N/A")</f>
        <v>N/A</v>
      </c>
      <c r="FN67" s="127" t="str">
        <f>IF(Reinforcements[[#This Row],[Type]]="channel",(1-(((Reinforcements[[#This Row],[xo]]^2)+(Reinforcements[[#This Row],[yo]]^2))/Reinforcements[[#This Row],[ro^2(bar)]])),"N/A")</f>
        <v>N/A</v>
      </c>
      <c r="FO67" s="127">
        <v>11194</v>
      </c>
      <c r="FP67" s="127" t="str">
        <f>IF(Reinforcements[[#This Row],[Type]]="channel",(((Reinforcements[[#This Row],[h]]^2)*(Reinforcements[[#This Row],[b]]^3)*Reinforcements[[#This Row],[t]])/12)*(((2*Reinforcements[[#This Row],[h]])+(3*Reinforcements[[#This Row],[b]]))/(Reinforcements[[#This Row],[h]]+(6*Reinforcements[[#This Row],[b]]))),"N/A")</f>
        <v>N/A</v>
      </c>
      <c r="FQ67" s="127" t="str">
        <f>IF(Reinforcements[[#This Row],[Type]]="Channel",((((PI()^2)*Reinforcements[[#This Row],[E, (ksi)]]*Reinforcements[[#This Row],['[Channel'] CW (in6)]])/(Reinforcements[[#This Row],[Lcz]]^2))+(Reinforcements[[#This Row],[G]]*Reinforcements[[#This Row],['[Channel'] J (in4)]]))*(1/(Reinforcements[[#This Row],[Ag]]*Reinforcements[[#This Row],[ro^2(bar)]])),"N/A")</f>
        <v>N/A</v>
      </c>
      <c r="FR67" s="127" t="str">
        <f>IF(Reinforcements[[#This Row],[Type]]="channel",((PI()^2)*Reinforcements[[#This Row],[E, (ksi)]])/(Reinforcements[[#This Row],[Lcy/ry]]^2),"N/A")</f>
        <v>N/A</v>
      </c>
      <c r="FS67" s="127" t="str">
        <f>IF(Reinforcements[[#This Row],[Type]]="channel",((Reinforcements[[#This Row],[Fey]]+Reinforcements[[#This Row],[Fez]])/(2*Reinforcements[[#This Row],[H2]]))*(1-SQRT(1-((4*Reinforcements[[#This Row],[Fey]]*Reinforcements[[#This Row],[Fez]]*Reinforcements[[#This Row],[H2]])/(Reinforcements[[#This Row],[Fey]]+Reinforcements[[#This Row],[Fez]])^2))),"N/A")</f>
        <v>N/A</v>
      </c>
      <c r="FT67" s="127" t="str">
        <f>IF(Reinforcements[[#This Row],[Type]]="channel",IF(Reinforcements[[#This Row],[Lcx/rx]]&gt;(4.71*SQRT(Reinforcements[[#This Row],[E, (ksi)]]/Reinforcements[[#This Row],[Fy, (ksi)]])),0.877*Reinforcements[[#This Row],[Fe (FTB)]],0.658^(Reinforcements[[#This Row],[Fy, (ksi)]]/Reinforcements[[#This Row],[Fe (FTB)]])*Reinforcements[[#This Row],[Fy, (ksi)]]),"N/A")</f>
        <v>N/A</v>
      </c>
      <c r="FU67" s="127" t="str">
        <f>IF(Reinforcements[[#This Row],[Type]]="channel",MIN(Reinforcements[[#This Row],[Fcr(FTB)]],Reinforcements[[#This Row],[Fcry (ksi)]]),"N/A")</f>
        <v>N/A</v>
      </c>
      <c r="FV67" s="127">
        <v>0.22</v>
      </c>
      <c r="FW67" s="127">
        <v>1.49</v>
      </c>
      <c r="FX67" s="127" t="str">
        <f>IF(Reinforcements[[#This Row],[Type]]="channel",((Reinforcements[[#This Row],[c2]]*(Reinforcements[[#This Row],[λrf]]/Reinforcements[[#This Row],[λf]]))^2)*Reinforcements[[#This Row],[Fy, (ksi)]],"N/A")</f>
        <v>N/A</v>
      </c>
      <c r="FY67" s="127" t="str">
        <f>IF(Reinforcements[[#This Row],[Type]]="channel",((Reinforcements[[#This Row],[c2]]*(Reinforcements[[#This Row],[λrw]]/Reinforcements[[#This Row],[λw]]))^2)*Reinforcements[[#This Row],[Fy, (ksi)]],"N/A")</f>
        <v>N/A</v>
      </c>
      <c r="FZ67"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127" t="str">
        <f>IF(Reinforcements[[#This Row],[Type]]="channel",Reinforcements[[#This Row],[Fcr]]*Reinforcements[[#This Row],[Ae]],"N/A")</f>
        <v>N/A</v>
      </c>
      <c r="GD67" s="50">
        <f>IF(Reinforcements[[#This Row],[Reinforcement]]="","",φ_c*Reinforcements[[#This Row],[Pnx, FB (kip)]])</f>
        <v>219.36499120522885</v>
      </c>
      <c r="GE67" s="50">
        <f>IF(Reinforcements[[#This Row],[Reinforcement]]="","",IF(Reinforcements[[#This Row],[Type]]="channel",φ_c*Reinforcements[[#This Row],[Pn]],φ_c*Reinforcements[[#This Row],[Pny, FB (kip)]]))</f>
        <v>219.28493728444383</v>
      </c>
      <c r="GF67" s="50">
        <f>Reinforcements[[#This Row],[Rev. G Tension Yield Capacity (kips)]]</f>
        <v>219.375</v>
      </c>
      <c r="GG67" s="50">
        <f>Reinforcements[[#This Row],[Rev. G Tension Rupture Capacity (kips)]]</f>
        <v>225</v>
      </c>
      <c r="GH67" s="50">
        <f>Reinforcements[[#This Row],[Rev. G Shear Capacity (kips)]]</f>
        <v>109.6875</v>
      </c>
      <c r="GI67" s="50" t="str">
        <f>IFERROR((Reinforcements[[#This Row],['# of End Connection Bolts          (Bottom)]]-1)*Reinforcements[[#This Row],[End Connection Bolt Spacing (in) (B)]],"-")</f>
        <v>-</v>
      </c>
      <c r="GJ67" s="50">
        <f>IFERROR(IF(VLOOKUP(Reinforcements[[#This Row],[Bottom End Connection Bolt Type]],Bolts[],COLUMN(Bolts[[#Headers],[Rev. H Apply Connection Length Reduction Factor (Rb)?]])-1,FALSE)="Yes",(IF(Reinforcements[[#This Row],[Lb(bottom)]]&lt;=16,1,IF(Reinforcements[[#This Row],[Lb(bottom)]]&gt;38,0.75,0.9))),1),"-")</f>
        <v>1</v>
      </c>
      <c r="GK67"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50" t="str">
        <f>IFERROR(IF(Reinforcements[[#This Row],[Top End Connection Same?]]="Yes",Reinforcements[[#This Row],[Lb(bottom)]],(Reinforcements[[#This Row],['# of End Connection Bolts          (Top)]]-1)*Reinforcements[[#This Row],[End Connection Bolt Spacing (in) (T)]]),"-")</f>
        <v>-</v>
      </c>
      <c r="GM67" s="50">
        <f>IFERROR(IF(VLOOKUP(Reinforcements[[#This Row],[Top End Connection Bolt Type]],Bolts[],COLUMN(Bolts[[#Headers],[Rev. H Apply Connection Length Reduction Factor (Rb)?]])-1,FALSE)=TRUE,(IF(Reinforcements[[#This Row],[Lb(top)]]&lt;=16,1,IF(Reinforcements[[#This Row],[Lb(top)]]&gt;38,0.75,0.9))),1),"-")</f>
        <v>1</v>
      </c>
      <c r="GN67"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50" t="str">
        <f>Reinforcements[[#This Row],[Rev. G Bolt-Shaft Bearing Capacity (Bottom)                No Deformation          (*t*Fu kips)]]</f>
        <v>-</v>
      </c>
      <c r="GP67" s="50" t="str">
        <f>Reinforcements[[#This Row],[Rev. G Bolt-Shaft Bearing Capacity (Bottom)                   Deformation          (*t*Fu kips)]]</f>
        <v>-</v>
      </c>
      <c r="GQ67" s="50" t="str">
        <f>Reinforcements[[#This Row],[Rev. G Bolt-Shaft Bearing Capacity (Top)                    No Deformation          (*t*Fu kips)]]</f>
        <v>-</v>
      </c>
      <c r="GR67" s="50" t="str">
        <f>Reinforcements[[#This Row],[Rev. G Bolt-Shaft Bearing Capacity (Top)                        Deformation          (*t*Fu kips)]]</f>
        <v>-</v>
      </c>
      <c r="GS67" s="50" t="str">
        <f>Reinforcements[[#This Row],[Rev. G Bolt-Reinf. Bearing Capacity (Bottom)            No Deformation (kips)]]</f>
        <v>-</v>
      </c>
      <c r="GT67" s="50" t="str">
        <f>Reinforcements[[#This Row],[Rev. G Bolt-Reinf. Bearing Capacity (Bottom)               Deformation (kips)]]</f>
        <v>-</v>
      </c>
      <c r="GU67" s="50" t="str">
        <f>Reinforcements[[#This Row],[Rev. G Bolt-Reinf. Bearing Capacity (Top)                  No Deformation (kips)]]</f>
        <v>-</v>
      </c>
      <c r="GV67" s="50" t="str">
        <f>Reinforcements[[#This Row],[Rev. G Bolt-Reinf. Bearing Capacity (Top)               Deformation (kips)]]</f>
        <v>-</v>
      </c>
      <c r="GW67" s="50">
        <f>Reinforcements[[#This Row],[Rev. G Bottom Transverse Weld Strength]]</f>
        <v>0</v>
      </c>
      <c r="GX67" s="50" t="str">
        <f>Reinforcements[[#This Row],[Rev. G Bottom Longitudinal Weld Strength]]</f>
        <v>-</v>
      </c>
      <c r="GY67" s="50" t="str">
        <f>Reinforcements[[#This Row],[Rev. G Top Transverse Weld Strength]]</f>
        <v>-</v>
      </c>
      <c r="GZ67" s="50">
        <f>Reinforcements[[#This Row],[Rev. G Top Longitudinal Weld Strength]]</f>
        <v>1718.2694782833107</v>
      </c>
      <c r="HA67">
        <v>65</v>
      </c>
      <c r="HB6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0</v>
      </c>
    </row>
    <row r="68" spans="2:210" x14ac:dyDescent="0.2">
      <c r="B68" s="695" t="s">
        <v>2598</v>
      </c>
      <c r="C68" s="695" t="s">
        <v>352</v>
      </c>
      <c r="D68" s="695">
        <v>1.25</v>
      </c>
      <c r="E68" s="695">
        <v>2.25</v>
      </c>
      <c r="F68" s="695" t="s">
        <v>2605</v>
      </c>
      <c r="G68" s="695" t="s">
        <v>2605</v>
      </c>
      <c r="H68" s="695" t="s">
        <v>2605</v>
      </c>
      <c r="I68" s="695" t="s">
        <v>2605</v>
      </c>
      <c r="J68" s="695" t="s">
        <v>2605</v>
      </c>
      <c r="K68" s="695" t="s">
        <v>2605</v>
      </c>
      <c r="L68" s="695">
        <v>2.8125</v>
      </c>
      <c r="M68" s="695">
        <v>1.875</v>
      </c>
      <c r="N68" s="695" t="s">
        <v>353</v>
      </c>
      <c r="O68" s="695" t="s">
        <v>138</v>
      </c>
      <c r="P68" s="695">
        <v>1.1865234375</v>
      </c>
      <c r="Q68" s="695">
        <v>0.649519052838329</v>
      </c>
      <c r="R68" s="695">
        <v>0.3662109375</v>
      </c>
      <c r="S68" s="695">
        <v>0.36084391824351614</v>
      </c>
      <c r="T68" s="695">
        <v>0.75</v>
      </c>
      <c r="U68" s="695">
        <v>0.8</v>
      </c>
      <c r="V68" s="695">
        <v>1</v>
      </c>
      <c r="W68" s="695">
        <v>0</v>
      </c>
      <c r="X68" s="695">
        <v>0</v>
      </c>
      <c r="Y68" s="695">
        <v>2.8125</v>
      </c>
      <c r="Z68" s="695">
        <v>1</v>
      </c>
      <c r="AA68" s="695" t="s">
        <v>382</v>
      </c>
      <c r="AB68" s="695" t="s">
        <v>457</v>
      </c>
      <c r="AC68" s="695" t="s">
        <v>457</v>
      </c>
      <c r="AD68" s="695" t="s">
        <v>457</v>
      </c>
      <c r="AE68" s="695" t="s">
        <v>457</v>
      </c>
      <c r="AF68" s="695" t="s">
        <v>457</v>
      </c>
      <c r="AG68" s="695" t="s">
        <v>457</v>
      </c>
      <c r="AH68" s="695" t="s">
        <v>457</v>
      </c>
      <c r="AI68" s="695" t="s">
        <v>457</v>
      </c>
      <c r="AJ68" s="695" t="s">
        <v>2615</v>
      </c>
      <c r="AK68" s="695" t="s">
        <v>2615</v>
      </c>
      <c r="AL68" s="695" t="s">
        <v>457</v>
      </c>
      <c r="AM68" s="695" t="s">
        <v>457</v>
      </c>
      <c r="AN68" s="695" t="s">
        <v>357</v>
      </c>
      <c r="AO68" s="695">
        <v>80</v>
      </c>
      <c r="AP68" s="695" t="s">
        <v>2622</v>
      </c>
      <c r="AQ68" s="695">
        <v>4.5</v>
      </c>
      <c r="AR68" s="695">
        <v>0.625</v>
      </c>
      <c r="AS68" s="695">
        <v>45</v>
      </c>
      <c r="AT68" s="695">
        <v>0.625</v>
      </c>
      <c r="AU68" s="695">
        <v>0.79549512883486606</v>
      </c>
      <c r="AV68" s="695" t="s">
        <v>384</v>
      </c>
      <c r="AW68" s="695" t="s">
        <v>457</v>
      </c>
      <c r="AX68" s="695" t="s">
        <v>457</v>
      </c>
      <c r="AY68" s="695" t="s">
        <v>457</v>
      </c>
      <c r="AZ68" s="695" t="s">
        <v>353</v>
      </c>
      <c r="BA68" s="695" t="s">
        <v>382</v>
      </c>
      <c r="BB68" s="695" t="s">
        <v>457</v>
      </c>
      <c r="BC68" s="695" t="s">
        <v>457</v>
      </c>
      <c r="BD68" s="695" t="s">
        <v>457</v>
      </c>
      <c r="BE68" s="695" t="s">
        <v>457</v>
      </c>
      <c r="BF68" s="695" t="s">
        <v>457</v>
      </c>
      <c r="BG68" s="695" t="s">
        <v>457</v>
      </c>
      <c r="BH68" s="695" t="s">
        <v>457</v>
      </c>
      <c r="BI68" s="695" t="s">
        <v>457</v>
      </c>
      <c r="BJ68" s="695" t="s">
        <v>2615</v>
      </c>
      <c r="BK68" s="695" t="s">
        <v>2615</v>
      </c>
      <c r="BL68" s="695" t="s">
        <v>457</v>
      </c>
      <c r="BM68" s="695" t="s">
        <v>457</v>
      </c>
      <c r="BN68" s="695" t="s">
        <v>353</v>
      </c>
      <c r="BO68" s="695">
        <v>80</v>
      </c>
      <c r="BP68" s="695" t="s">
        <v>384</v>
      </c>
      <c r="BQ68" s="695" t="s">
        <v>457</v>
      </c>
      <c r="BR68" s="695" t="s">
        <v>457</v>
      </c>
      <c r="BS68" s="695" t="s">
        <v>457</v>
      </c>
      <c r="BT68" s="695" t="s">
        <v>457</v>
      </c>
      <c r="BU68" s="695" t="s">
        <v>457</v>
      </c>
      <c r="BV68" s="695" t="s">
        <v>2616</v>
      </c>
      <c r="BW68" s="695">
        <v>90</v>
      </c>
      <c r="BX68" s="695">
        <v>0.375</v>
      </c>
      <c r="BY68" s="695">
        <v>0.26516504294495535</v>
      </c>
      <c r="BZ68" s="695" t="s">
        <v>2605</v>
      </c>
      <c r="CA68" s="695" t="s">
        <v>2605</v>
      </c>
      <c r="CB68" s="695" t="s">
        <v>2605</v>
      </c>
      <c r="CC68" s="12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1.25</v>
      </c>
      <c r="CD68" s="12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2.25</v>
      </c>
      <c r="CE68" s="127">
        <f>IFERROR(IF(Reinforcements[[#This Row],[Type]]="","",Reinforcements[[#This Row],[Effective B (in)]]*Reinforcements[[#This Row],[Effective H (in)]]^3/12),"")</f>
        <v>1.1865234375</v>
      </c>
      <c r="CF68" s="127">
        <f>IFERROR(IF(Reinforcements[[#This Row],[Type]]="","",Reinforcements[[#This Row],[Effective B (in)]]^3*Reinforcements[[#This Row],[Effective H (in)]]/12),"")</f>
        <v>0.3662109375</v>
      </c>
      <c r="CG68" s="140">
        <f>SQRT(2*PI()^2*29000/VLOOKUP(Reinforcements[[#This Row],[Material]],Materials[],2,FALSE))</f>
        <v>93.844147005158973</v>
      </c>
      <c r="CH68" s="13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38.911931139866091</v>
      </c>
      <c r="CI68" s="13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38.797128390003316</v>
      </c>
      <c r="CJ68" s="135">
        <f>Reinforcements[[#This Row],[Effective Length Factor Kx]]*Reinforcements[[#This Row],[Lu (in)]]/(Reinforcements[[#This Row],[rx]]*PI())*SQRT(VLOOKUP(Reinforcements[[#This Row],[Material]],Materials[],2,FALSE)/29000)</f>
        <v>1.3920895134914959E-2</v>
      </c>
      <c r="CK68" s="135">
        <f>Reinforcements[[#This Row],[Effective Length Factor Ky]]*Reinforcements[[#This Row],[Lu (in)]]/(Reinforcements[[#This Row],[ry]]*PI())*SQRT(VLOOKUP(Reinforcements[[#This Row],[Material]],Materials[],2,FALSE)/29000)</f>
        <v>3.1322014053558646E-2</v>
      </c>
      <c r="CL68" s="135">
        <f>IF(Reinforcements[[#This Row],[λcx]]&lt;=1.5,0.658^(Reinforcements[[#This Row],[λcx]]^2)*Reinforcements[[#This Row],[F''y]],0.877/(Reinforcements[[#This Row],[λcx]]^2)*Reinforcements[[#This Row],[F''y]])</f>
        <v>64.994727971193527</v>
      </c>
      <c r="CM68" s="135">
        <f>IF(Reinforcements[[#This Row],[λcy]]&lt;=1.5,0.658^(Reinforcements[[#This Row],[λcy]]^2)*Reinforcements[[#This Row],[F''y]],0.877/(Reinforcements[[#This Row],[λcy]]^2)*Reinforcements[[#This Row],[F''y]])</f>
        <v>64.973314750946315</v>
      </c>
      <c r="CN68" s="127">
        <f>VLOOKUP(Reinforcements[[#This Row],[Material]],Materials[],2,FALSE)</f>
        <v>65</v>
      </c>
      <c r="CO68" s="140">
        <f>IF(Reinforcements[[#This Row],[Reinforcement]]="","",Reinforcements[[#This Row],[Fax]]*Reinforcements[[#This Row],[Gross Area (in2)]])</f>
        <v>109.43980633087338</v>
      </c>
      <c r="CP68" s="140">
        <f>IF(Reinforcements[[#This Row],[Reinforcement]]="","",Reinforcements[[#This Row],[Fay]]*Reinforcements[[#This Row],[Gross Area (in2)]])</f>
        <v>109.11692359688432</v>
      </c>
      <c r="CQ68" s="140">
        <f>IF(Reinforcements[[#This Row],[Reinforcement]]="","",0.6*VLOOKUP(Reinforcements[[#This Row],[Material]],Materials[],2,FALSE)*Reinforcements[[#This Row],[Gross Area (in2)]])</f>
        <v>109.6875</v>
      </c>
      <c r="CR68" s="140">
        <f>IF(Reinforcements[[#This Row],[Reinforcement]]="","",0.5*VLOOKUP(Reinforcements[[#This Row],[Material]],Materials[],3,FALSE)*Reinforcements[[#This Row],[Net Area (in2)]]*Reinforcements[[#This Row],[Shear Lag (U)]])</f>
        <v>112.5</v>
      </c>
      <c r="CS68" s="140">
        <f>IF(Reinforcements[[#This Row],[Reinforcement]]="","",0.4*VLOOKUP(Reinforcements[[#This Row],[Material]],Materials[],2,FALSE)*Reinforcements[[#This Row],[Gross Area (in2)]])</f>
        <v>73.125</v>
      </c>
      <c r="CT68"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129">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85.913473914165536</v>
      </c>
      <c r="DE68"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8" s="127"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8" s="127">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1145.5129855222071</v>
      </c>
      <c r="DH68" s="140">
        <f>IF(Reinforcements[[#This Row],[Reinforcement]]="","",φ_c*Reinforcements[[#This Row],[Fcr,x]]*Reinforcements[[#This Row],[Gross Area (in2)]])</f>
        <v>164.51790517708361</v>
      </c>
      <c r="DI68" s="140">
        <f>IF(Reinforcements[[#This Row],[Reinforcement]]="","",φ_c*Reinforcements[[#This Row],[Fcr,y]]*Reinforcements[[#This Row],[Gross Area (in2)]])</f>
        <v>164.46370296333285</v>
      </c>
      <c r="DJ68" s="140">
        <f>IF(Reinforcements[[#This Row],[Reinforcement]]="","",φ_t_y*VLOOKUP(Reinforcements[[#This Row],[Material]],Materials[],2,FALSE)*Reinforcements[[#This Row],[Gross Area (in2)]])</f>
        <v>164.53125</v>
      </c>
      <c r="DK68" s="140">
        <f>IF(Reinforcements[[#This Row],[Reinforcement]]="","",φ_t_r*VLOOKUP(Reinforcements[[#This Row],[Material]],Materials[],3,FALSE)*Reinforcements[[#This Row],[Net Area (in2)]]*Reinforcements[[#This Row],[Shear Lag (U)]])</f>
        <v>168.75</v>
      </c>
      <c r="DL68" s="140">
        <f>IF(Reinforcements[[#This Row],[Reinforcement]]="","",φ_v*0.5*Reinforcements[[#This Row],[F''y]]*Reinforcements[[#This Row],[Gross Area (in2)]])</f>
        <v>82.265625</v>
      </c>
      <c r="DM68"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127">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137.46155826266485</v>
      </c>
      <c r="DX68"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8" s="127"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8" s="127">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1718.2694782833107</v>
      </c>
      <c r="EA68" s="129" t="str">
        <f>IF(OR(Reinforcements[[#This Row],[Type]]="plate",Reinforcements[[#This Row],[Type]]="solid round"),"N/A",Reinforcements[[#This Row],[B (in)]])</f>
        <v>N/A</v>
      </c>
      <c r="EB68" s="127" t="str">
        <f>IF(OR(Reinforcements[[#This Row],[Type]]="plate",Reinforcements[[#This Row],[Type]]="solid round"),"N/A",Reinforcements[[#This Row],[H (in)]])</f>
        <v>N/A</v>
      </c>
      <c r="EC68" s="127" t="str">
        <f>IF(OR(Reinforcements[[#This Row],[Type]]="plate",Reinforcements[[#This Row],[Type]]="solid round"),"N/A",Reinforcements[[#This Row],[B (in)]]-Reinforcements[[#This Row],['[Channel'] Flange Thickness (in)]])</f>
        <v>N/A</v>
      </c>
      <c r="ED68" s="127" t="str">
        <f>IF(OR(Reinforcements[[#This Row],[Type]]="plate",Reinforcements[[#This Row],[Type]]="solid round"),"N/A",Reinforcements[[#This Row],['[Channel']Web Thickness (in)]])</f>
        <v>N/A</v>
      </c>
      <c r="EE68" s="127" t="str">
        <f>IF(OR(Reinforcements[[#This Row],[Type]]="plate",Reinforcements[[#This Row],[Type]]="solid round"),"N/A",Reinforcements[[#This Row],['[Channel'] Flange Thickness (in)]])</f>
        <v>N/A</v>
      </c>
      <c r="EF68" s="127" t="str">
        <f>IF(Reinforcements[[#This Row],[Type]]="channel",Reinforcements[[#This Row],[Channel Flange Width, b]]/Reinforcements[[#This Row],[Channel flange thickness, tf]],"N/A")</f>
        <v>N/A</v>
      </c>
      <c r="EG68" s="127" t="str">
        <f>IF(Reinforcements[[#This Row],[Type]]="channel",Reinforcements[[#This Row],[Channel inside depth, T]]/Reinforcements[[#This Row],[Channel web thickness, tw]],"N/A")</f>
        <v>N/A</v>
      </c>
      <c r="EH68" s="6">
        <f>29000</f>
        <v>29000</v>
      </c>
      <c r="EI68" s="127" t="str">
        <f>IF(Reinforcements[[#This Row],[Type]]="channel",0.56*SQRT(Reinforcements[[#This Row],[E, (ksi)]]/Reinforcements[[#This Row],[Fy, (ksi)]]),"N/A")</f>
        <v>N/A</v>
      </c>
      <c r="EJ68" s="127" t="str">
        <f>IF(Reinforcements[[#This Row],[Type]]="channel",1.49*SQRT(Reinforcements[[#This Row],[E, (ksi)]]/Reinforcements[[#This Row],[Fy, (ksi)]]),"N/A")</f>
        <v>N/A</v>
      </c>
      <c r="EK68" s="127">
        <f>VLOOKUP(Reinforcements[[#This Row],[Material]],Materials!$B$2:$C$30,2,FALSE)</f>
        <v>65</v>
      </c>
      <c r="EL68" s="127">
        <f>Reinforcements[[#This Row],[Lu (in)]]*Reinforcements[[#This Row],[Effective Length Factor Kx]]</f>
        <v>0.60000000000000009</v>
      </c>
      <c r="EM68" s="127">
        <f>Reinforcements[[#This Row],[Lu (in)]]*Reinforcements[[#This Row],[Effective Length Factor Ky]]</f>
        <v>0.75</v>
      </c>
      <c r="EN68" s="127">
        <f>Reinforcements[[#This Row],[rx]]</f>
        <v>0.649519052838329</v>
      </c>
      <c r="EO68" s="127">
        <f>Reinforcements[[#This Row],[ry]]</f>
        <v>0.36084391824351614</v>
      </c>
      <c r="EP68" s="127">
        <f>Reinforcements[[#This Row],[Lcx (in)]]/Reinforcements[[#This Row],[rx (in)]]</f>
        <v>0.9237604307034013</v>
      </c>
      <c r="EQ68" s="127">
        <f>Reinforcements[[#This Row],[Lcy (in)]]/Reinforcements[[#This Row],[ry (in)]]</f>
        <v>2.0784609690826525</v>
      </c>
      <c r="ER68" s="127">
        <f>((PI()^2)*Reinforcements[[#This Row],[E, (ksi)]])/(Reinforcements[[#This Row],[Lcx/rx]]^2)</f>
        <v>335412.33706827107</v>
      </c>
      <c r="ES68" s="127">
        <f>((PI()^2)*Reinforcements[[#This Row],[E, (ksi)]])/(Reinforcements[[#This Row],[Lcy/ry]]^2)</f>
        <v>66254.288803609117</v>
      </c>
      <c r="ET68" s="127">
        <f>4.71*(SQRT(Reinforcements[[#This Row],[E, (ksi)]]/Reinforcements[[#This Row],[Fy, (ksi)]]))</f>
        <v>99.486288193205496</v>
      </c>
      <c r="EU68" s="127">
        <f>IF(Reinforcements[[#This Row],[Lcx/rx]]&lt;=Reinforcements[[#This Row],[Fcr Limit]],(0.658^(Reinforcements[[#This Row],[Fy, (ksi)]]/Reinforcements[[#This Row],[Fex, FB (ksi)]]))*Reinforcements[[#This Row],[Fy, (ksi)]],0.877*Reinforcements[[#This Row],[Fex, FB (ksi)]])</f>
        <v>64.994727971193527</v>
      </c>
      <c r="EV68" s="127">
        <f>IF(Reinforcements[[#This Row],[Lcy/ry]]&lt;=Reinforcements[[#This Row],[Fcr Limit]],(0.658^(Reinforcements[[#This Row],[Fy, (ksi)]]/Reinforcements[[#This Row],[Fey, FB (ksi)]]))*Reinforcements[[#This Row],[Fy, (ksi)]],0.877*Reinforcements[[#This Row],[Fey, FB (ksi)]])</f>
        <v>64.973314750946315</v>
      </c>
      <c r="EW68" s="127">
        <f>Reinforcements[[#This Row],[Fcrx (ksi)]]*Reinforcements[[#This Row],[Gross Area (in2)]]</f>
        <v>182.79767241898179</v>
      </c>
      <c r="EX68" s="127">
        <f>Reinforcements[[#This Row],[Fcry (ksi)]]*Reinforcements[[#This Row],[Gross Area (in2)]]</f>
        <v>182.73744773703652</v>
      </c>
      <c r="EY68" s="127" t="str">
        <f>IF(Reinforcements[[#This Row],[Type]]="channel",0,"N/A")</f>
        <v>N/A</v>
      </c>
      <c r="EZ68" s="127" t="str">
        <f>IF(Reinforcements[[#This Row],[Type]]="channel",Reinforcements[[#This Row],[Channel Flange Width, b]]-(0.5*Reinforcements[[#This Row],[Channel web thickness, tw]]),"N/A")</f>
        <v>N/A</v>
      </c>
      <c r="FA68" s="127" t="str">
        <f>IF(Reinforcements[[#This Row],[Type]]="channel",Reinforcements[[#This Row],[Channel Height, h]]-Reinforcements[[#This Row],[Channel flange thickness, tf]],"N/A")</f>
        <v>N/A</v>
      </c>
      <c r="FB68" s="127" t="str">
        <f>IF(Reinforcements[[#This Row],[Type]]="channel",Reinforcements[[#This Row],[Channel web thickness, tw]],"N/A")</f>
        <v>N/A</v>
      </c>
      <c r="FC68" s="127" t="str">
        <f>IF(Reinforcements[[#This Row],[Type]]="channel",((3*Reinforcements[[#This Row],[b]]^2)/(Reinforcements[[#This Row],[h]]+(6*Reinforcements[[#This Row],[b]])))-Reinforcements[[#This Row],[t]]/2,"N/A")</f>
        <v>N/A</v>
      </c>
      <c r="FD68" s="127">
        <f>Reinforcements[[#This Row],[Pole Face to Centroid (in)]]</f>
        <v>1.875</v>
      </c>
      <c r="FE68" s="127" t="str">
        <f>IF(Reinforcements[[#This Row],[Type]]="channel",Reinforcements[[#This Row],[x(bar)]]+Reinforcements[[#This Row],['[Channel'] e0 (in)]],"N/A")</f>
        <v>N/A</v>
      </c>
      <c r="FF68" s="127" t="str">
        <f>IF(Reinforcements[[#This Row],[Type]]="channel",Reinforcements[[#This Row],[Ix]],"N/A")</f>
        <v>N/A</v>
      </c>
      <c r="FG68" s="127" t="str">
        <f>IF(Reinforcements[[#This Row],[Type]]="channel",Reinforcements[[#This Row],[Iy]],"N/A")</f>
        <v>N/A</v>
      </c>
      <c r="FH68" s="127" t="str">
        <f>IF(Reinforcements[[#This Row],[Type]]="channel",Reinforcements[[#This Row],[Gross Area (in2)]],"N/A")</f>
        <v>N/A</v>
      </c>
      <c r="FI68" s="127" t="str">
        <f>IF(Reinforcements[[#This Row],[Type]]="channel",(Reinforcements[[#This Row],[xo]]^2)+((Reinforcements[[#This Row],[Ix (FTB)]]+Reinforcements[[#This Row],[Iy (FTB)]])/Reinforcements[[#This Row],[Ag]]),"N/A")</f>
        <v>N/A</v>
      </c>
      <c r="FJ68" s="127" t="str">
        <f>IF(Reinforcements[[#This Row],[Type]]="channel",Reinforcements[[#This Row],[Lu (in)]],"N/A")</f>
        <v>N/A</v>
      </c>
      <c r="FK68" s="127" t="str">
        <f>IF(Reinforcements[[#This Row],[Type]]="channel",Reinforcements[[#This Row],[Effective Length Factor Kx]],"N/A")</f>
        <v>N/A</v>
      </c>
      <c r="FL68" s="127" t="str">
        <f>IF(Reinforcements[[#This Row],[Type]]="channel",Reinforcements[[#This Row],[Kz]]*Reinforcements[[#This Row],[Lz]],"N/A")</f>
        <v>N/A</v>
      </c>
      <c r="FM68" s="127" t="str">
        <f>IF(Reinforcements[[#This Row],[Type]]="channel",(((Reinforcements[[#This Row],[t]]^3)/3)*(Reinforcements[[#This Row],[h]]+(2*Reinforcements[[#This Row],[b]]))),"N/A")</f>
        <v>N/A</v>
      </c>
      <c r="FN68" s="127" t="str">
        <f>IF(Reinforcements[[#This Row],[Type]]="channel",(1-(((Reinforcements[[#This Row],[xo]]^2)+(Reinforcements[[#This Row],[yo]]^2))/Reinforcements[[#This Row],[ro^2(bar)]])),"N/A")</f>
        <v>N/A</v>
      </c>
      <c r="FO68" s="127">
        <v>11195</v>
      </c>
      <c r="FP68" s="127" t="str">
        <f>IF(Reinforcements[[#This Row],[Type]]="channel",(((Reinforcements[[#This Row],[h]]^2)*(Reinforcements[[#This Row],[b]]^3)*Reinforcements[[#This Row],[t]])/12)*(((2*Reinforcements[[#This Row],[h]])+(3*Reinforcements[[#This Row],[b]]))/(Reinforcements[[#This Row],[h]]+(6*Reinforcements[[#This Row],[b]]))),"N/A")</f>
        <v>N/A</v>
      </c>
      <c r="FQ68" s="127" t="str">
        <f>IF(Reinforcements[[#This Row],[Type]]="Channel",((((PI()^2)*Reinforcements[[#This Row],[E, (ksi)]]*Reinforcements[[#This Row],['[Channel'] CW (in6)]])/(Reinforcements[[#This Row],[Lcz]]^2))+(Reinforcements[[#This Row],[G]]*Reinforcements[[#This Row],['[Channel'] J (in4)]]))*(1/(Reinforcements[[#This Row],[Ag]]*Reinforcements[[#This Row],[ro^2(bar)]])),"N/A")</f>
        <v>N/A</v>
      </c>
      <c r="FR68" s="127" t="str">
        <f>IF(Reinforcements[[#This Row],[Type]]="channel",((PI()^2)*Reinforcements[[#This Row],[E, (ksi)]])/(Reinforcements[[#This Row],[Lcy/ry]]^2),"N/A")</f>
        <v>N/A</v>
      </c>
      <c r="FS68" s="127" t="str">
        <f>IF(Reinforcements[[#This Row],[Type]]="channel",((Reinforcements[[#This Row],[Fey]]+Reinforcements[[#This Row],[Fez]])/(2*Reinforcements[[#This Row],[H2]]))*(1-SQRT(1-((4*Reinforcements[[#This Row],[Fey]]*Reinforcements[[#This Row],[Fez]]*Reinforcements[[#This Row],[H2]])/(Reinforcements[[#This Row],[Fey]]+Reinforcements[[#This Row],[Fez]])^2))),"N/A")</f>
        <v>N/A</v>
      </c>
      <c r="FT68" s="127" t="str">
        <f>IF(Reinforcements[[#This Row],[Type]]="channel",IF(Reinforcements[[#This Row],[Lcx/rx]]&gt;(4.71*SQRT(Reinforcements[[#This Row],[E, (ksi)]]/Reinforcements[[#This Row],[Fy, (ksi)]])),0.877*Reinforcements[[#This Row],[Fe (FTB)]],0.658^(Reinforcements[[#This Row],[Fy, (ksi)]]/Reinforcements[[#This Row],[Fe (FTB)]])*Reinforcements[[#This Row],[Fy, (ksi)]]),"N/A")</f>
        <v>N/A</v>
      </c>
      <c r="FU68" s="127" t="str">
        <f>IF(Reinforcements[[#This Row],[Type]]="channel",MIN(Reinforcements[[#This Row],[Fcr(FTB)]],Reinforcements[[#This Row],[Fcry (ksi)]]),"N/A")</f>
        <v>N/A</v>
      </c>
      <c r="FV68" s="127">
        <v>0.22</v>
      </c>
      <c r="FW68" s="127">
        <v>1.49</v>
      </c>
      <c r="FX68" s="127" t="str">
        <f>IF(Reinforcements[[#This Row],[Type]]="channel",((Reinforcements[[#This Row],[c2]]*(Reinforcements[[#This Row],[λrf]]/Reinforcements[[#This Row],[λf]]))^2)*Reinforcements[[#This Row],[Fy, (ksi)]],"N/A")</f>
        <v>N/A</v>
      </c>
      <c r="FY68" s="127" t="str">
        <f>IF(Reinforcements[[#This Row],[Type]]="channel",((Reinforcements[[#This Row],[c2]]*(Reinforcements[[#This Row],[λrw]]/Reinforcements[[#This Row],[λw]]))^2)*Reinforcements[[#This Row],[Fy, (ksi)]],"N/A")</f>
        <v>N/A</v>
      </c>
      <c r="FZ68"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127" t="str">
        <f>IF(Reinforcements[[#This Row],[Type]]="channel",Reinforcements[[#This Row],[Fcr]]*Reinforcements[[#This Row],[Ae]],"N/A")</f>
        <v>N/A</v>
      </c>
      <c r="GD68" s="50">
        <f>IF(Reinforcements[[#This Row],[Reinforcement]]="","",φ_c*Reinforcements[[#This Row],[Pnx, FB (kip)]])</f>
        <v>164.51790517708361</v>
      </c>
      <c r="GE68" s="50">
        <f>IF(Reinforcements[[#This Row],[Reinforcement]]="","",IF(Reinforcements[[#This Row],[Type]]="channel",φ_c*Reinforcements[[#This Row],[Pn]],φ_c*Reinforcements[[#This Row],[Pny, FB (kip)]]))</f>
        <v>164.46370296333288</v>
      </c>
      <c r="GF68" s="50">
        <f>Reinforcements[[#This Row],[Rev. G Tension Yield Capacity (kips)]]</f>
        <v>164.53125</v>
      </c>
      <c r="GG68" s="50">
        <f>Reinforcements[[#This Row],[Rev. G Tension Rupture Capacity (kips)]]</f>
        <v>168.75</v>
      </c>
      <c r="GH68" s="50">
        <f>Reinforcements[[#This Row],[Rev. G Shear Capacity (kips)]]</f>
        <v>82.265625</v>
      </c>
      <c r="GI68" s="50" t="str">
        <f>IFERROR((Reinforcements[[#This Row],['# of End Connection Bolts          (Bottom)]]-1)*Reinforcements[[#This Row],[End Connection Bolt Spacing (in) (B)]],"-")</f>
        <v>-</v>
      </c>
      <c r="GJ68" s="50">
        <f>IFERROR(IF(VLOOKUP(Reinforcements[[#This Row],[Bottom End Connection Bolt Type]],Bolts[],COLUMN(Bolts[[#Headers],[Rev. H Apply Connection Length Reduction Factor (Rb)?]])-1,FALSE)="Yes",(IF(Reinforcements[[#This Row],[Lb(bottom)]]&lt;=16,1,IF(Reinforcements[[#This Row],[Lb(bottom)]]&gt;38,0.75,0.9))),1),"-")</f>
        <v>1</v>
      </c>
      <c r="GK68"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50" t="str">
        <f>IFERROR(IF(Reinforcements[[#This Row],[Top End Connection Same?]]="Yes",Reinforcements[[#This Row],[Lb(bottom)]],(Reinforcements[[#This Row],['# of End Connection Bolts          (Top)]]-1)*Reinforcements[[#This Row],[End Connection Bolt Spacing (in) (T)]]),"-")</f>
        <v>-</v>
      </c>
      <c r="GM68" s="50">
        <f>IFERROR(IF(VLOOKUP(Reinforcements[[#This Row],[Top End Connection Bolt Type]],Bolts[],COLUMN(Bolts[[#Headers],[Rev. H Apply Connection Length Reduction Factor (Rb)?]])-1,FALSE)=TRUE,(IF(Reinforcements[[#This Row],[Lb(top)]]&lt;=16,1,IF(Reinforcements[[#This Row],[Lb(top)]]&gt;38,0.75,0.9))),1),"-")</f>
        <v>1</v>
      </c>
      <c r="GN68"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50" t="str">
        <f>Reinforcements[[#This Row],[Rev. G Bolt-Shaft Bearing Capacity (Bottom)                No Deformation          (*t*Fu kips)]]</f>
        <v>-</v>
      </c>
      <c r="GP68" s="50" t="str">
        <f>Reinforcements[[#This Row],[Rev. G Bolt-Shaft Bearing Capacity (Bottom)                   Deformation          (*t*Fu kips)]]</f>
        <v>-</v>
      </c>
      <c r="GQ68" s="50" t="str">
        <f>Reinforcements[[#This Row],[Rev. G Bolt-Shaft Bearing Capacity (Top)                    No Deformation          (*t*Fu kips)]]</f>
        <v>-</v>
      </c>
      <c r="GR68" s="50" t="str">
        <f>Reinforcements[[#This Row],[Rev. G Bolt-Shaft Bearing Capacity (Top)                        Deformation          (*t*Fu kips)]]</f>
        <v>-</v>
      </c>
      <c r="GS68" s="50" t="str">
        <f>Reinforcements[[#This Row],[Rev. G Bolt-Reinf. Bearing Capacity (Bottom)            No Deformation (kips)]]</f>
        <v>-</v>
      </c>
      <c r="GT68" s="50" t="str">
        <f>Reinforcements[[#This Row],[Rev. G Bolt-Reinf. Bearing Capacity (Bottom)               Deformation (kips)]]</f>
        <v>-</v>
      </c>
      <c r="GU68" s="50" t="str">
        <f>Reinforcements[[#This Row],[Rev. G Bolt-Reinf. Bearing Capacity (Top)                  No Deformation (kips)]]</f>
        <v>-</v>
      </c>
      <c r="GV68" s="50" t="str">
        <f>Reinforcements[[#This Row],[Rev. G Bolt-Reinf. Bearing Capacity (Top)               Deformation (kips)]]</f>
        <v>-</v>
      </c>
      <c r="GW68" s="50">
        <f>Reinforcements[[#This Row],[Rev. G Bottom Transverse Weld Strength]]</f>
        <v>137.46155826266485</v>
      </c>
      <c r="GX68" s="50" t="str">
        <f>Reinforcements[[#This Row],[Rev. G Bottom Longitudinal Weld Strength]]</f>
        <v>-</v>
      </c>
      <c r="GY68" s="50" t="str">
        <f>Reinforcements[[#This Row],[Rev. G Top Transverse Weld Strength]]</f>
        <v>-</v>
      </c>
      <c r="GZ68" s="50">
        <f>Reinforcements[[#This Row],[Rev. G Top Longitudinal Weld Strength]]</f>
        <v>1718.2694782833107</v>
      </c>
      <c r="HA68">
        <v>66</v>
      </c>
      <c r="HB6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0</v>
      </c>
    </row>
    <row r="69" spans="2:210" x14ac:dyDescent="0.2">
      <c r="B69" s="695" t="s">
        <v>2601</v>
      </c>
      <c r="C69" s="695" t="s">
        <v>2623</v>
      </c>
      <c r="D69" s="695"/>
      <c r="E69" s="695"/>
      <c r="F69" s="695">
        <v>2.25</v>
      </c>
      <c r="G69" s="695" t="s">
        <v>2605</v>
      </c>
      <c r="H69" s="695" t="s">
        <v>2605</v>
      </c>
      <c r="I69" s="695" t="s">
        <v>2605</v>
      </c>
      <c r="J69" s="695" t="s">
        <v>2605</v>
      </c>
      <c r="K69" s="695" t="s">
        <v>2605</v>
      </c>
      <c r="L69" s="695">
        <v>3.9760782021995817</v>
      </c>
      <c r="M69" s="695">
        <v>9.25</v>
      </c>
      <c r="N69" s="695" t="s">
        <v>353</v>
      </c>
      <c r="O69" s="695" t="s">
        <v>2604</v>
      </c>
      <c r="P69" s="695">
        <v>1.2580559936647115</v>
      </c>
      <c r="Q69" s="695">
        <v>0.5625</v>
      </c>
      <c r="R69" s="695">
        <v>1.2580559936647115</v>
      </c>
      <c r="S69" s="695">
        <v>0.5625</v>
      </c>
      <c r="T69" s="695">
        <v>9.25</v>
      </c>
      <c r="U69" s="695">
        <v>1</v>
      </c>
      <c r="V69" s="695">
        <v>1</v>
      </c>
      <c r="W69" s="695">
        <v>0</v>
      </c>
      <c r="X69" s="695">
        <v>0</v>
      </c>
      <c r="Y69" s="695">
        <v>3.2480000000000002</v>
      </c>
      <c r="Z69" s="695">
        <v>1</v>
      </c>
      <c r="AA69" s="695" t="s">
        <v>384</v>
      </c>
      <c r="AB69" s="695" t="s">
        <v>457</v>
      </c>
      <c r="AC69" s="695" t="s">
        <v>457</v>
      </c>
      <c r="AD69" s="695" t="s">
        <v>457</v>
      </c>
      <c r="AE69" s="695" t="s">
        <v>457</v>
      </c>
      <c r="AF69" s="695" t="s">
        <v>457</v>
      </c>
      <c r="AG69" s="695" t="s">
        <v>457</v>
      </c>
      <c r="AH69" s="695" t="s">
        <v>457</v>
      </c>
      <c r="AI69" s="695" t="s">
        <v>457</v>
      </c>
      <c r="AJ69" s="695" t="s">
        <v>2615</v>
      </c>
      <c r="AK69" s="695" t="s">
        <v>2615</v>
      </c>
      <c r="AL69" s="695" t="s">
        <v>457</v>
      </c>
      <c r="AM69" s="695" t="s">
        <v>457</v>
      </c>
      <c r="AN69" s="695"/>
      <c r="AO69" s="695"/>
      <c r="AP69" s="695"/>
      <c r="AQ69" s="695"/>
      <c r="AR69" s="695"/>
      <c r="AS69" s="695"/>
      <c r="AT69" s="695"/>
      <c r="AU69" s="695"/>
      <c r="AV69" s="695"/>
      <c r="AW69" s="695" t="s">
        <v>457</v>
      </c>
      <c r="AX69" s="695" t="s">
        <v>457</v>
      </c>
      <c r="AY69" s="695" t="s">
        <v>2615</v>
      </c>
      <c r="AZ69" s="695" t="s">
        <v>357</v>
      </c>
      <c r="BA69" s="695" t="s">
        <v>384</v>
      </c>
      <c r="BB69" s="695" t="s">
        <v>457</v>
      </c>
      <c r="BC69" s="695" t="s">
        <v>457</v>
      </c>
      <c r="BD69" s="695" t="s">
        <v>457</v>
      </c>
      <c r="BE69" s="695" t="s">
        <v>457</v>
      </c>
      <c r="BF69" s="695" t="s">
        <v>457</v>
      </c>
      <c r="BG69" s="695" t="s">
        <v>457</v>
      </c>
      <c r="BH69" s="695" t="s">
        <v>457</v>
      </c>
      <c r="BI69" s="695" t="s">
        <v>457</v>
      </c>
      <c r="BJ69" s="695" t="s">
        <v>2615</v>
      </c>
      <c r="BK69" s="695" t="s">
        <v>2615</v>
      </c>
      <c r="BL69" s="695" t="s">
        <v>457</v>
      </c>
      <c r="BM69" s="695" t="s">
        <v>457</v>
      </c>
      <c r="BN69" s="695"/>
      <c r="BO69" s="695"/>
      <c r="BP69" s="695"/>
      <c r="BQ69" s="695"/>
      <c r="BR69" s="695" t="s">
        <v>457</v>
      </c>
      <c r="BS69" s="695" t="s">
        <v>457</v>
      </c>
      <c r="BT69" s="695"/>
      <c r="BU69" s="695" t="s">
        <v>457</v>
      </c>
      <c r="BV69" s="695"/>
      <c r="BW69" s="695"/>
      <c r="BX69" s="695"/>
      <c r="BY69" s="695"/>
      <c r="BZ69" s="695" t="s">
        <v>2605</v>
      </c>
      <c r="CA69" s="695" t="s">
        <v>2605</v>
      </c>
      <c r="CB69" s="695" t="s">
        <v>2605</v>
      </c>
      <c r="CC69" s="12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1.9940105822687055</v>
      </c>
      <c r="CD69" s="12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1.9940105822687055</v>
      </c>
      <c r="CE69" s="127">
        <f>IFERROR(IF(Reinforcements[[#This Row],[Type]]="","",Reinforcements[[#This Row],[Effective B (in)]]*Reinforcements[[#This Row],[Effective H (in)]]^3/12),"")</f>
        <v>1.3174331558338885</v>
      </c>
      <c r="CF69" s="127">
        <f>IFERROR(IF(Reinforcements[[#This Row],[Type]]="","",Reinforcements[[#This Row],[Effective B (in)]]^3*Reinforcements[[#This Row],[Effective H (in)]]/12),"")</f>
        <v>1.3174331558338885</v>
      </c>
      <c r="CG69" s="140">
        <f>SQRT(2*PI()^2*29000/VLOOKUP(Reinforcements[[#This Row],[Material]],Materials[],2,FALSE))</f>
        <v>73.836180011542979</v>
      </c>
      <c r="CH69" s="13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58.551953443081345</v>
      </c>
      <c r="CI69" s="13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58.551953443081345</v>
      </c>
      <c r="CJ69" s="135">
        <f>Reinforcements[[#This Row],[Effective Length Factor Kx]]*Reinforcements[[#This Row],[Lu (in)]]/(Reinforcements[[#This Row],[rx]]*PI())*SQRT(VLOOKUP(Reinforcements[[#This Row],[Material]],Materials[],2,FALSE)/29000)</f>
        <v>0.31496694920279694</v>
      </c>
      <c r="CK69" s="135">
        <f>Reinforcements[[#This Row],[Effective Length Factor Ky]]*Reinforcements[[#This Row],[Lu (in)]]/(Reinforcements[[#This Row],[ry]]*PI())*SQRT(VLOOKUP(Reinforcements[[#This Row],[Material]],Materials[],2,FALSE)/29000)</f>
        <v>0.31496694920279694</v>
      </c>
      <c r="CL69" s="135">
        <f>IF(Reinforcements[[#This Row],[λcx]]&lt;=1.5,0.658^(Reinforcements[[#This Row],[λcx]]^2)*Reinforcements[[#This Row],[F''y]],0.877/(Reinforcements[[#This Row],[λcx]]^2)*Reinforcements[[#This Row],[F''y]])</f>
        <v>100.72946981465657</v>
      </c>
      <c r="CM69" s="135">
        <f>IF(Reinforcements[[#This Row],[λcy]]&lt;=1.5,0.658^(Reinforcements[[#This Row],[λcy]]^2)*Reinforcements[[#This Row],[F''y]],0.877/(Reinforcements[[#This Row],[λcy]]^2)*Reinforcements[[#This Row],[F''y]])</f>
        <v>100.72946981465657</v>
      </c>
      <c r="CN69" s="127">
        <f>VLOOKUP(Reinforcements[[#This Row],[Material]],Materials[],2,FALSE)</f>
        <v>105</v>
      </c>
      <c r="CO69" s="140">
        <f>IF(Reinforcements[[#This Row],[Reinforcement]]="","",Reinforcements[[#This Row],[Fax]]*Reinforcements[[#This Row],[Gross Area (in2)]])</f>
        <v>232.80714578124048</v>
      </c>
      <c r="CP69" s="140">
        <f>IF(Reinforcements[[#This Row],[Reinforcement]]="","",Reinforcements[[#This Row],[Fay]]*Reinforcements[[#This Row],[Gross Area (in2)]])</f>
        <v>232.80714578124048</v>
      </c>
      <c r="CQ69" s="140">
        <f>IF(Reinforcements[[#This Row],[Reinforcement]]="","",0.6*VLOOKUP(Reinforcements[[#This Row],[Material]],Materials[],2,FALSE)*Reinforcements[[#This Row],[Gross Area (in2)]])</f>
        <v>250.49292673857366</v>
      </c>
      <c r="CR69" s="140">
        <f>IF(Reinforcements[[#This Row],[Reinforcement]]="","",0.5*VLOOKUP(Reinforcements[[#This Row],[Material]],Materials[],3,FALSE)*Reinforcements[[#This Row],[Net Area (in2)]]*Reinforcements[[#This Row],[Shear Lag (U)]])</f>
        <v>203</v>
      </c>
      <c r="CS69" s="140">
        <f>IF(Reinforcements[[#This Row],[Reinforcement]]="","",0.4*VLOOKUP(Reinforcements[[#This Row],[Material]],Materials[],2,FALSE)*Reinforcements[[#This Row],[Gross Area (in2)]])</f>
        <v>166.99528449238244</v>
      </c>
      <c r="CT69"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9"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9" s="127"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9" s="127"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9" s="140">
        <f>IF(Reinforcements[[#This Row],[Reinforcement]]="","",φ_c*Reinforcements[[#This Row],[Fcr,x]]*Reinforcements[[#This Row],[Gross Area (in2)]])</f>
        <v>360.45742432425908</v>
      </c>
      <c r="DI69" s="140">
        <f>IF(Reinforcements[[#This Row],[Reinforcement]]="","",φ_c*Reinforcements[[#This Row],[Fcr,y]]*Reinforcements[[#This Row],[Gross Area (in2)]])</f>
        <v>360.45742432425908</v>
      </c>
      <c r="DJ69" s="140">
        <f>IF(Reinforcements[[#This Row],[Reinforcement]]="","",φ_t_y*VLOOKUP(Reinforcements[[#This Row],[Material]],Materials[],2,FALSE)*Reinforcements[[#This Row],[Gross Area (in2)]])</f>
        <v>375.73939010786046</v>
      </c>
      <c r="DK69" s="140">
        <f>IF(Reinforcements[[#This Row],[Reinforcement]]="","",φ_t_r*VLOOKUP(Reinforcements[[#This Row],[Material]],Materials[],3,FALSE)*Reinforcements[[#This Row],[Net Area (in2)]]*Reinforcements[[#This Row],[Shear Lag (U)]])</f>
        <v>304.5</v>
      </c>
      <c r="DL69" s="140">
        <f>IF(Reinforcements[[#This Row],[Reinforcement]]="","",φ_v*0.5*Reinforcements[[#This Row],[F''y]]*Reinforcements[[#This Row],[Gross Area (in2)]])</f>
        <v>187.86969505393023</v>
      </c>
      <c r="DM69"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9"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9" s="127"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9" s="127"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9" s="129" t="str">
        <f>IF(OR(Reinforcements[[#This Row],[Type]]="plate",Reinforcements[[#This Row],[Type]]="solid round"),"N/A",Reinforcements[[#This Row],[B (in)]])</f>
        <v>N/A</v>
      </c>
      <c r="EB69" s="127" t="str">
        <f>IF(OR(Reinforcements[[#This Row],[Type]]="plate",Reinforcements[[#This Row],[Type]]="solid round"),"N/A",Reinforcements[[#This Row],[H (in)]])</f>
        <v>N/A</v>
      </c>
      <c r="EC69" s="127" t="str">
        <f>IF(OR(Reinforcements[[#This Row],[Type]]="plate",Reinforcements[[#This Row],[Type]]="solid round"),"N/A",Reinforcements[[#This Row],[B (in)]]-Reinforcements[[#This Row],['[Channel'] Flange Thickness (in)]])</f>
        <v>N/A</v>
      </c>
      <c r="ED69" s="127" t="str">
        <f>IF(OR(Reinforcements[[#This Row],[Type]]="plate",Reinforcements[[#This Row],[Type]]="solid round"),"N/A",Reinforcements[[#This Row],['[Channel']Web Thickness (in)]])</f>
        <v>N/A</v>
      </c>
      <c r="EE69" s="127" t="str">
        <f>IF(OR(Reinforcements[[#This Row],[Type]]="plate",Reinforcements[[#This Row],[Type]]="solid round"),"N/A",Reinforcements[[#This Row],['[Channel'] Flange Thickness (in)]])</f>
        <v>N/A</v>
      </c>
      <c r="EF69" s="127" t="str">
        <f>IF(Reinforcements[[#This Row],[Type]]="channel",Reinforcements[[#This Row],[Channel Flange Width, b]]/Reinforcements[[#This Row],[Channel flange thickness, tf]],"N/A")</f>
        <v>N/A</v>
      </c>
      <c r="EG69" s="127" t="str">
        <f>IF(Reinforcements[[#This Row],[Type]]="channel",Reinforcements[[#This Row],[Channel inside depth, T]]/Reinforcements[[#This Row],[Channel web thickness, tw]],"N/A")</f>
        <v>N/A</v>
      </c>
      <c r="EH69" s="6">
        <f>29000</f>
        <v>29000</v>
      </c>
      <c r="EI69" s="127" t="str">
        <f>IF(Reinforcements[[#This Row],[Type]]="channel",0.56*SQRT(Reinforcements[[#This Row],[E, (ksi)]]/Reinforcements[[#This Row],[Fy, (ksi)]]),"N/A")</f>
        <v>N/A</v>
      </c>
      <c r="EJ69" s="127" t="str">
        <f>IF(Reinforcements[[#This Row],[Type]]="channel",1.49*SQRT(Reinforcements[[#This Row],[E, (ksi)]]/Reinforcements[[#This Row],[Fy, (ksi)]]),"N/A")</f>
        <v>N/A</v>
      </c>
      <c r="EK69" s="127">
        <f>VLOOKUP(Reinforcements[[#This Row],[Material]],Materials!$B$2:$C$30,2,FALSE)</f>
        <v>105</v>
      </c>
      <c r="EL69" s="127">
        <f>Reinforcements[[#This Row],[Lu (in)]]*Reinforcements[[#This Row],[Effective Length Factor Kx]]</f>
        <v>9.25</v>
      </c>
      <c r="EM69" s="127">
        <f>Reinforcements[[#This Row],[Lu (in)]]*Reinforcements[[#This Row],[Effective Length Factor Ky]]</f>
        <v>9.25</v>
      </c>
      <c r="EN69" s="127">
        <f>Reinforcements[[#This Row],[rx]]</f>
        <v>0.5625</v>
      </c>
      <c r="EO69" s="127">
        <f>Reinforcements[[#This Row],[ry]]</f>
        <v>0.5625</v>
      </c>
      <c r="EP69" s="127">
        <f>Reinforcements[[#This Row],[Lcx (in)]]/Reinforcements[[#This Row],[rx (in)]]</f>
        <v>16.444444444444443</v>
      </c>
      <c r="EQ69" s="127">
        <f>Reinforcements[[#This Row],[Lcy (in)]]/Reinforcements[[#This Row],[ry (in)]]</f>
        <v>16.444444444444443</v>
      </c>
      <c r="ER69" s="127">
        <f>((PI()^2)*Reinforcements[[#This Row],[E, (ksi)]])/(Reinforcements[[#This Row],[Lcx/rx]]^2)</f>
        <v>1058.4231527647419</v>
      </c>
      <c r="ES69" s="127">
        <f>((PI()^2)*Reinforcements[[#This Row],[E, (ksi)]])/(Reinforcements[[#This Row],[Lcy/ry]]^2)</f>
        <v>1058.4231527647419</v>
      </c>
      <c r="ET69" s="127">
        <f>4.71*(SQRT(Reinforcements[[#This Row],[E, (ksi)]]/Reinforcements[[#This Row],[Fy, (ksi)]]))</f>
        <v>78.275392958816525</v>
      </c>
      <c r="EU69" s="127">
        <f>IF(Reinforcements[[#This Row],[Lcx/rx]]&lt;=Reinforcements[[#This Row],[Fcr Limit]],(0.658^(Reinforcements[[#This Row],[Fy, (ksi)]]/Reinforcements[[#This Row],[Fex, FB (ksi)]]))*Reinforcements[[#This Row],[Fy, (ksi)]],0.877*Reinforcements[[#This Row],[Fex, FB (ksi)]])</f>
        <v>100.72946981465657</v>
      </c>
      <c r="EV69" s="127">
        <f>IF(Reinforcements[[#This Row],[Lcy/ry]]&lt;=Reinforcements[[#This Row],[Fcr Limit]],(0.658^(Reinforcements[[#This Row],[Fy, (ksi)]]/Reinforcements[[#This Row],[Fey, FB (ksi)]]))*Reinforcements[[#This Row],[Fy, (ksi)]],0.877*Reinforcements[[#This Row],[Fey, FB (ksi)]])</f>
        <v>100.72946981465657</v>
      </c>
      <c r="EW69" s="127">
        <f>Reinforcements[[#This Row],[Fcrx (ksi)]]*Reinforcements[[#This Row],[Gross Area (in2)]]</f>
        <v>400.50824924917674</v>
      </c>
      <c r="EX69" s="127">
        <f>Reinforcements[[#This Row],[Fcry (ksi)]]*Reinforcements[[#This Row],[Gross Area (in2)]]</f>
        <v>400.50824924917674</v>
      </c>
      <c r="EY69" s="127" t="str">
        <f>IF(Reinforcements[[#This Row],[Type]]="channel",0,"N/A")</f>
        <v>N/A</v>
      </c>
      <c r="EZ69" s="127" t="str">
        <f>IF(Reinforcements[[#This Row],[Type]]="channel",Reinforcements[[#This Row],[Channel Flange Width, b]]-(0.5*Reinforcements[[#This Row],[Channel web thickness, tw]]),"N/A")</f>
        <v>N/A</v>
      </c>
      <c r="FA69" s="127" t="str">
        <f>IF(Reinforcements[[#This Row],[Type]]="channel",Reinforcements[[#This Row],[Channel Height, h]]-Reinforcements[[#This Row],[Channel flange thickness, tf]],"N/A")</f>
        <v>N/A</v>
      </c>
      <c r="FB69" s="127" t="str">
        <f>IF(Reinforcements[[#This Row],[Type]]="channel",Reinforcements[[#This Row],[Channel web thickness, tw]],"N/A")</f>
        <v>N/A</v>
      </c>
      <c r="FC69" s="127" t="str">
        <f>IF(Reinforcements[[#This Row],[Type]]="channel",((3*Reinforcements[[#This Row],[b]]^2)/(Reinforcements[[#This Row],[h]]+(6*Reinforcements[[#This Row],[b]])))-Reinforcements[[#This Row],[t]]/2,"N/A")</f>
        <v>N/A</v>
      </c>
      <c r="FD69" s="127">
        <f>Reinforcements[[#This Row],[Pole Face to Centroid (in)]]</f>
        <v>9.25</v>
      </c>
      <c r="FE69" s="127" t="str">
        <f>IF(Reinforcements[[#This Row],[Type]]="channel",Reinforcements[[#This Row],[x(bar)]]+Reinforcements[[#This Row],['[Channel'] e0 (in)]],"N/A")</f>
        <v>N/A</v>
      </c>
      <c r="FF69" s="127" t="str">
        <f>IF(Reinforcements[[#This Row],[Type]]="channel",Reinforcements[[#This Row],[Ix]],"N/A")</f>
        <v>N/A</v>
      </c>
      <c r="FG69" s="127" t="str">
        <f>IF(Reinforcements[[#This Row],[Type]]="channel",Reinforcements[[#This Row],[Iy]],"N/A")</f>
        <v>N/A</v>
      </c>
      <c r="FH69" s="127" t="str">
        <f>IF(Reinforcements[[#This Row],[Type]]="channel",Reinforcements[[#This Row],[Gross Area (in2)]],"N/A")</f>
        <v>N/A</v>
      </c>
      <c r="FI69" s="127" t="str">
        <f>IF(Reinforcements[[#This Row],[Type]]="channel",(Reinforcements[[#This Row],[xo]]^2)+((Reinforcements[[#This Row],[Ix (FTB)]]+Reinforcements[[#This Row],[Iy (FTB)]])/Reinforcements[[#This Row],[Ag]]),"N/A")</f>
        <v>N/A</v>
      </c>
      <c r="FJ69" s="127" t="str">
        <f>IF(Reinforcements[[#This Row],[Type]]="channel",Reinforcements[[#This Row],[Lu (in)]],"N/A")</f>
        <v>N/A</v>
      </c>
      <c r="FK69" s="127" t="str">
        <f>IF(Reinforcements[[#This Row],[Type]]="channel",Reinforcements[[#This Row],[Effective Length Factor Kx]],"N/A")</f>
        <v>N/A</v>
      </c>
      <c r="FL69" s="127" t="str">
        <f>IF(Reinforcements[[#This Row],[Type]]="channel",Reinforcements[[#This Row],[Kz]]*Reinforcements[[#This Row],[Lz]],"N/A")</f>
        <v>N/A</v>
      </c>
      <c r="FM69" s="127" t="str">
        <f>IF(Reinforcements[[#This Row],[Type]]="channel",(((Reinforcements[[#This Row],[t]]^3)/3)*(Reinforcements[[#This Row],[h]]+(2*Reinforcements[[#This Row],[b]]))),"N/A")</f>
        <v>N/A</v>
      </c>
      <c r="FN69" s="127" t="str">
        <f>IF(Reinforcements[[#This Row],[Type]]="channel",(1-(((Reinforcements[[#This Row],[xo]]^2)+(Reinforcements[[#This Row],[yo]]^2))/Reinforcements[[#This Row],[ro^2(bar)]])),"N/A")</f>
        <v>N/A</v>
      </c>
      <c r="FO69" s="127">
        <v>11196</v>
      </c>
      <c r="FP69" s="127" t="str">
        <f>IF(Reinforcements[[#This Row],[Type]]="channel",(((Reinforcements[[#This Row],[h]]^2)*(Reinforcements[[#This Row],[b]]^3)*Reinforcements[[#This Row],[t]])/12)*(((2*Reinforcements[[#This Row],[h]])+(3*Reinforcements[[#This Row],[b]]))/(Reinforcements[[#This Row],[h]]+(6*Reinforcements[[#This Row],[b]]))),"N/A")</f>
        <v>N/A</v>
      </c>
      <c r="FQ69" s="127" t="str">
        <f>IF(Reinforcements[[#This Row],[Type]]="Channel",((((PI()^2)*Reinforcements[[#This Row],[E, (ksi)]]*Reinforcements[[#This Row],['[Channel'] CW (in6)]])/(Reinforcements[[#This Row],[Lcz]]^2))+(Reinforcements[[#This Row],[G]]*Reinforcements[[#This Row],['[Channel'] J (in4)]]))*(1/(Reinforcements[[#This Row],[Ag]]*Reinforcements[[#This Row],[ro^2(bar)]])),"N/A")</f>
        <v>N/A</v>
      </c>
      <c r="FR69" s="127" t="str">
        <f>IF(Reinforcements[[#This Row],[Type]]="channel",((PI()^2)*Reinforcements[[#This Row],[E, (ksi)]])/(Reinforcements[[#This Row],[Lcy/ry]]^2),"N/A")</f>
        <v>N/A</v>
      </c>
      <c r="FS69" s="127" t="str">
        <f>IF(Reinforcements[[#This Row],[Type]]="channel",((Reinforcements[[#This Row],[Fey]]+Reinforcements[[#This Row],[Fez]])/(2*Reinforcements[[#This Row],[H2]]))*(1-SQRT(1-((4*Reinforcements[[#This Row],[Fey]]*Reinforcements[[#This Row],[Fez]]*Reinforcements[[#This Row],[H2]])/(Reinforcements[[#This Row],[Fey]]+Reinforcements[[#This Row],[Fez]])^2))),"N/A")</f>
        <v>N/A</v>
      </c>
      <c r="FT69" s="127" t="str">
        <f>IF(Reinforcements[[#This Row],[Type]]="channel",IF(Reinforcements[[#This Row],[Lcx/rx]]&gt;(4.71*SQRT(Reinforcements[[#This Row],[E, (ksi)]]/Reinforcements[[#This Row],[Fy, (ksi)]])),0.877*Reinforcements[[#This Row],[Fe (FTB)]],0.658^(Reinforcements[[#This Row],[Fy, (ksi)]]/Reinforcements[[#This Row],[Fe (FTB)]])*Reinforcements[[#This Row],[Fy, (ksi)]]),"N/A")</f>
        <v>N/A</v>
      </c>
      <c r="FU69" s="127" t="str">
        <f>IF(Reinforcements[[#This Row],[Type]]="channel",MIN(Reinforcements[[#This Row],[Fcr(FTB)]],Reinforcements[[#This Row],[Fcry (ksi)]]),"N/A")</f>
        <v>N/A</v>
      </c>
      <c r="FV69" s="127">
        <v>0.22</v>
      </c>
      <c r="FW69" s="127">
        <v>1.49</v>
      </c>
      <c r="FX69" s="127" t="str">
        <f>IF(Reinforcements[[#This Row],[Type]]="channel",((Reinforcements[[#This Row],[c2]]*(Reinforcements[[#This Row],[λrf]]/Reinforcements[[#This Row],[λf]]))^2)*Reinforcements[[#This Row],[Fy, (ksi)]],"N/A")</f>
        <v>N/A</v>
      </c>
      <c r="FY69" s="127" t="str">
        <f>IF(Reinforcements[[#This Row],[Type]]="channel",((Reinforcements[[#This Row],[c2]]*(Reinforcements[[#This Row],[λrw]]/Reinforcements[[#This Row],[λw]]))^2)*Reinforcements[[#This Row],[Fy, (ksi)]],"N/A")</f>
        <v>N/A</v>
      </c>
      <c r="FZ69"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127" t="str">
        <f>IF(Reinforcements[[#This Row],[Type]]="channel",Reinforcements[[#This Row],[Fcr]]*Reinforcements[[#This Row],[Ae]],"N/A")</f>
        <v>N/A</v>
      </c>
      <c r="GD69" s="50">
        <f>IF(Reinforcements[[#This Row],[Reinforcement]]="","",φ_c*Reinforcements[[#This Row],[Pnx, FB (kip)]])</f>
        <v>360.45742432425908</v>
      </c>
      <c r="GE69" s="50">
        <f>IF(Reinforcements[[#This Row],[Reinforcement]]="","",IF(Reinforcements[[#This Row],[Type]]="channel",φ_c*Reinforcements[[#This Row],[Pn]],φ_c*Reinforcements[[#This Row],[Pny, FB (kip)]]))</f>
        <v>360.45742432425908</v>
      </c>
      <c r="GF69" s="50">
        <f>Reinforcements[[#This Row],[Rev. G Tension Yield Capacity (kips)]]</f>
        <v>375.73939010786046</v>
      </c>
      <c r="GG69" s="50">
        <f>Reinforcements[[#This Row],[Rev. G Tension Rupture Capacity (kips)]]</f>
        <v>304.5</v>
      </c>
      <c r="GH69" s="50">
        <f>Reinforcements[[#This Row],[Rev. G Shear Capacity (kips)]]</f>
        <v>187.86969505393023</v>
      </c>
      <c r="GI69" s="50" t="str">
        <f>IFERROR((Reinforcements[[#This Row],['# of End Connection Bolts          (Bottom)]]-1)*Reinforcements[[#This Row],[End Connection Bolt Spacing (in) (B)]],"-")</f>
        <v>-</v>
      </c>
      <c r="GJ69" s="50">
        <f>IFERROR(IF(VLOOKUP(Reinforcements[[#This Row],[Bottom End Connection Bolt Type]],Bolts[],COLUMN(Bolts[[#Headers],[Rev. H Apply Connection Length Reduction Factor (Rb)?]])-1,FALSE)="Yes",(IF(Reinforcements[[#This Row],[Lb(bottom)]]&lt;=16,1,IF(Reinforcements[[#This Row],[Lb(bottom)]]&gt;38,0.75,0.9))),1),"-")</f>
        <v>1</v>
      </c>
      <c r="GK69"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50" t="str">
        <f>IFERROR(IF(Reinforcements[[#This Row],[Top End Connection Same?]]="Yes",Reinforcements[[#This Row],[Lb(bottom)]],(Reinforcements[[#This Row],['# of End Connection Bolts          (Top)]]-1)*Reinforcements[[#This Row],[End Connection Bolt Spacing (in) (T)]]),"-")</f>
        <v>-</v>
      </c>
      <c r="GM69" s="50">
        <f>IFERROR(IF(VLOOKUP(Reinforcements[[#This Row],[Top End Connection Bolt Type]],Bolts[],COLUMN(Bolts[[#Headers],[Rev. H Apply Connection Length Reduction Factor (Rb)?]])-1,FALSE)=TRUE,(IF(Reinforcements[[#This Row],[Lb(top)]]&lt;=16,1,IF(Reinforcements[[#This Row],[Lb(top)]]&gt;38,0.75,0.9))),1),"-")</f>
        <v>1</v>
      </c>
      <c r="GN69"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50" t="str">
        <f>Reinforcements[[#This Row],[Rev. G Bolt-Shaft Bearing Capacity (Bottom)                No Deformation          (*t*Fu kips)]]</f>
        <v>-</v>
      </c>
      <c r="GP69" s="50" t="str">
        <f>Reinforcements[[#This Row],[Rev. G Bolt-Shaft Bearing Capacity (Bottom)                   Deformation          (*t*Fu kips)]]</f>
        <v>-</v>
      </c>
      <c r="GQ69" s="50" t="str">
        <f>Reinforcements[[#This Row],[Rev. G Bolt-Shaft Bearing Capacity (Top)                    No Deformation          (*t*Fu kips)]]</f>
        <v>-</v>
      </c>
      <c r="GR69" s="50" t="str">
        <f>Reinforcements[[#This Row],[Rev. G Bolt-Shaft Bearing Capacity (Top)                        Deformation          (*t*Fu kips)]]</f>
        <v>-</v>
      </c>
      <c r="GS69" s="50" t="str">
        <f>Reinforcements[[#This Row],[Rev. G Bolt-Reinf. Bearing Capacity (Bottom)            No Deformation (kips)]]</f>
        <v>-</v>
      </c>
      <c r="GT69" s="50" t="str">
        <f>Reinforcements[[#This Row],[Rev. G Bolt-Reinf. Bearing Capacity (Bottom)               Deformation (kips)]]</f>
        <v>-</v>
      </c>
      <c r="GU69" s="50" t="str">
        <f>Reinforcements[[#This Row],[Rev. G Bolt-Reinf. Bearing Capacity (Top)                  No Deformation (kips)]]</f>
        <v>-</v>
      </c>
      <c r="GV69" s="50" t="str">
        <f>Reinforcements[[#This Row],[Rev. G Bolt-Reinf. Bearing Capacity (Top)               Deformation (kips)]]</f>
        <v>-</v>
      </c>
      <c r="GW69" s="50" t="str">
        <f>Reinforcements[[#This Row],[Rev. G Bottom Transverse Weld Strength]]</f>
        <v>-</v>
      </c>
      <c r="GX69" s="50" t="str">
        <f>Reinforcements[[#This Row],[Rev. G Bottom Longitudinal Weld Strength]]</f>
        <v>-</v>
      </c>
      <c r="GY69" s="50" t="str">
        <f>Reinforcements[[#This Row],[Rev. G Top Transverse Weld Strength]]</f>
        <v>-</v>
      </c>
      <c r="GZ69" s="50" t="str">
        <f>Reinforcements[[#This Row],[Rev. G Top Longitudinal Weld Strength]]</f>
        <v>-</v>
      </c>
      <c r="HA69">
        <v>67</v>
      </c>
      <c r="HB6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0</v>
      </c>
    </row>
    <row r="70" spans="2:210" x14ac:dyDescent="0.2">
      <c r="B70" s="94"/>
      <c r="C70" s="94"/>
      <c r="D70" s="127" t="str">
        <f>IF(Reinforcements[[#This Row],[Type]]="","",IF(Reinforcements[[#This Row],[Type]]="solid round","-",""))</f>
        <v/>
      </c>
      <c r="E70" s="127" t="str">
        <f>IF(Reinforcements[[#This Row],[Type]]="","",IF(Reinforcements[[#This Row],[Type]]="solid round","-",""))</f>
        <v/>
      </c>
      <c r="F70" s="127" t="str">
        <f>IF(Reinforcements[[#This Row],[Type]]="","",IF(Reinforcements[[#This Row],[Type]]="solid round","","n/a"))</f>
        <v/>
      </c>
      <c r="G70" s="127" t="str">
        <f>IF(Reinforcements[[#This Row],[Type]]="","",IF(Reinforcements[[#This Row],[Type]]&lt;&gt;"channel","n/a",""))</f>
        <v/>
      </c>
      <c r="H70" s="127" t="str">
        <f>IF(Reinforcements[[#This Row],[Type]]="","",IF(Reinforcements[[#This Row],[Type]]&lt;&gt;"channel","n/a",""))</f>
        <v/>
      </c>
      <c r="I70" s="140" t="str">
        <f>IF(Reinforcements[[#This Row],[Type]]="","",IF(Reinforcements[[#This Row],[Type]]&lt;&gt;"channel","n/a",Reinforcements[[#This Row],[eo]]))</f>
        <v/>
      </c>
      <c r="J70" s="140" t="str">
        <f>IF(Reinforcements[[#This Row],[Type]]="","",IF(Reinforcements[[#This Row],[Type]]&lt;&gt;"channel","n/a",Reinforcements[[#This Row],[J]]))</f>
        <v/>
      </c>
      <c r="K70" s="140" t="str">
        <f>IF(Reinforcements[[#This Row],[Type]]="","",IF(Reinforcements[[#This Row],[Type]]&lt;&gt;"channel","n/a",Reinforcements[[#This Row],[Cw]]))</f>
        <v/>
      </c>
      <c r="L70" s="127" t="str">
        <f>IFERROR(IF(Reinforcements[[#This Row],[Type]]="","",IF(Reinforcements[[#This Row],[Type]]="plate",Reinforcements[[#This Row],[B (in)]]*Reinforcements[[#This Row],[H (in)]],IF(Reinforcements[[#This Row],[Type]]="solid round",PI()/4*Reinforcements[[#This Row],[Diameter (in)]]^2,""))),"")</f>
        <v/>
      </c>
      <c r="M70" s="127" t="str">
        <f>IFERROR(IF(Reinforcements[[#This Row],[Type]]="","",IF(Reinforcements[[#This Row],[Type]]="plate",Reinforcements[[#This Row],[H (in)]]/2,"")),"")</f>
        <v/>
      </c>
      <c r="N70" s="128"/>
      <c r="O70" s="129"/>
      <c r="P70" s="135" t="str">
        <f>IFERROR(IF(Reinforcements[[#This Row],[Type]]="","",IF(Reinforcements[[#This Row],[Type]]="plate",Reinforcements[[#This Row],[B (in)]]*Reinforcements[[#This Row],[H (in)]]^3/12,IF(Reinforcements[[#This Row],[Type]]="solid round",PI()/64*Reinforcements[[#This Row],[Diameter (in)]]^4,""))),"")</f>
        <v/>
      </c>
      <c r="Q70" s="135" t="str">
        <f>IF(Reinforcements[[#This Row],[Reinforcement]]="","",SQRT(Reinforcements[[#This Row],[Ix]]/Reinforcements[[#This Row],[Gross Area (in2)]]))</f>
        <v/>
      </c>
      <c r="R70" s="135" t="str">
        <f>IFERROR(IF(Reinforcements[[#This Row],[Type]]="","",IF(Reinforcements[[#This Row],[Type]]="plate",Reinforcements[[#This Row],[B (in)]]^3*Reinforcements[[#This Row],[H (in)]]/12,IF(Reinforcements[[#This Row],[Type]]="solid round",PI()/64*Reinforcements[[#This Row],[Diameter (in)]]^4,""))),"")</f>
        <v/>
      </c>
      <c r="S70" s="135" t="str">
        <f>IF(Reinforcements[[#This Row],[Reinforcement]]="","",SQRT(Reinforcements[[#This Row],[Iy]]/Reinforcements[[#This Row],[Gross Area (in2)]]))</f>
        <v/>
      </c>
      <c r="T70" s="127"/>
      <c r="U70" s="127" t="str">
        <f>IF(Reinforcements[[#This Row],[Lu (in)]]="","",IF(Reinforcements[[#This Row],[Lu (in)]]=0,1,""))</f>
        <v/>
      </c>
      <c r="V70" s="127" t="str">
        <f>IF(Reinforcements[[#This Row],[Lu (in)]]="","",IF(Reinforcements[[#This Row],[Lu (in)]]=0,1,""))</f>
        <v/>
      </c>
      <c r="W70" s="127" t="str">
        <f>IF(Reinforcements[[#This Row],[Type]]="","",IF(Reinforcements[[#This Row],[Type]]="solid round",0,IF(Reinforcements[[#This Row],[Type]]="arbitrary","n/a","")))</f>
        <v/>
      </c>
      <c r="X70" s="127" t="str">
        <f>IF(Reinforcements[[#This Row],[Bolt Hole Size (in)]]="","",IF(Reinforcements[[#This Row],[Bolt Hole Size (in)]]="n/a","n/a",Reinforcements[[#This Row],[Bolt Hole Size (in)]]*25.4))</f>
        <v/>
      </c>
      <c r="Y70"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127" t="str">
        <f>IFERROR(IF(Reinforcements[[#This Row],[Reinforcement]]="","",IF(OR(Reinforcements[[#This Row],[Type]]="plate",Reinforcements[[#This Row],[Type]]="solid round"),1,IF(Reinforcements[[#This Row],[Type]]="arbitrary","",1-Reinforcements[[#This Row],[Pole Face to Centroid (in)]]/Reinforcements[[#This Row],[Connection Length (in) '[Channels']]]))),"")</f>
        <v/>
      </c>
      <c r="AA70" s="74"/>
      <c r="AB70" s="74" t="str">
        <f>IF(Reinforcements[[#This Row],[Reinforcement]]="","",IF(Reinforcements[[#This Row],[Bottom End Connection Type]]&lt;&gt;"Capacity Input","-",""))</f>
        <v/>
      </c>
      <c r="AC70" s="74" t="str">
        <f>IF(Reinforcements[[#This Row],[Reinforcement]]="","",IF(Reinforcements[[#This Row],[Bottom End Connection Type]]&lt;&gt;"Capacity Input","-",""))</f>
        <v/>
      </c>
      <c r="AD70" s="74" t="str">
        <f>IF(Reinforcements[[#This Row],[Reinforcement]]="","",IF(Reinforcements[[#This Row],[Bottom End Connection Type]]&lt;&gt;"Capacity Input","-",""))</f>
        <v/>
      </c>
      <c r="AE70" s="74" t="str">
        <f>IF(Reinforcements[[#This Row],[Reinforcement]]="","",IF(Reinforcements[[#This Row],[Bottom End Connection Type]]&lt;&gt;"Bolted","-",""))</f>
        <v/>
      </c>
      <c r="AF70" s="127" t="str">
        <f>IF(Reinforcements[[#This Row],[Reinforcement]]="","",IF(Reinforcements[[#This Row],[Bottom End Connection Type]]&lt;&gt;"Bolted","-",""))</f>
        <v/>
      </c>
      <c r="AG70" s="127" t="str">
        <f>IF(Reinforcements[[#This Row],[Reinforcement]]="","",IF(Reinforcements[[#This Row],[Bottom End Connection Type]]="","-",IF(Reinforcements[[#This Row],[Bottom End Connection Type]]&lt;&gt;"Bolted","-","")))</f>
        <v/>
      </c>
      <c r="AH70" s="127" t="str">
        <f>IF(Reinforcements[[#This Row],[Reinforcement]]="","",IF(Reinforcements[[#This Row],[Bottom End Connection Type]]="","-",IF(Reinforcements[[#This Row],[Bottom End Connection Type]]&lt;&gt;"Bolted","-","")))</f>
        <v/>
      </c>
      <c r="AI70" s="127" t="str">
        <f>IF(Reinforcements[[#This Row],[Reinforcement]]="","",IF(Reinforcements[[#This Row],[Bottom End Connection Type]]="","-",IF(Reinforcements[[#This Row],[Bottom End Connection Type]]&lt;&gt;"Bolted","-","")))</f>
        <v/>
      </c>
      <c r="AJ70" s="127" t="e">
        <f>Reinforcements[[#This Row],[End Connection Edge Distance (in) (B)]]-(Reinforcements[[#This Row],[Bolt Hole Size (in)]]+1/16)/2</f>
        <v>#VALUE!</v>
      </c>
      <c r="AK70" s="127" t="e">
        <f>Reinforcements[[#This Row],[End Connection Bolt Spacing (in) (B)]]-(Reinforcements[[#This Row],[Bolt Hole Size (in)]]+1/16)</f>
        <v>#VALUE!</v>
      </c>
      <c r="AL70" s="127" t="str">
        <f>Reinforcements[[#This Row],[End Connection Edge Distance (in) (B)]]</f>
        <v/>
      </c>
      <c r="AM70" s="127" t="str">
        <f>Reinforcements[[#This Row],[End Connection Bolt Spacing (in) (B)]]</f>
        <v/>
      </c>
      <c r="AN70" s="127" t="str">
        <f>IF(Reinforcements[[#This Row],[Reinforcement]]="","",IF(OR(Reinforcements[[#This Row],[Bottom End Connection Type]]="Bolted",Reinforcements[[#This Row],[Bottom End Connection Type]]=""),"-",""))</f>
        <v/>
      </c>
      <c r="AO70" s="129" t="str">
        <f>IF(Reinforcements[[#This Row],[Reinforcement]]="","",IF(Reinforcements[[#This Row],[Bottom End Connection Type]]&lt;&gt;"Welded","-",""))</f>
        <v/>
      </c>
      <c r="AP70" s="129" t="str">
        <f>IF(Reinforcements[[#This Row],[Reinforcement]]="","",IF(Reinforcements[[#This Row],[Bottom End Connection Type]]&lt;&gt;"Welded","-",""))</f>
        <v/>
      </c>
      <c r="AQ70" s="129" t="str">
        <f>IF(Reinforcements[[#This Row],[Reinforcement]]="","",IF(OR(Reinforcements[[#This Row],[Bottom End Connection Type]]&lt;&gt;"Welded",Reinforcements[[#This Row],[Bottom Transverse (Horizontal) Weld]]="None"),"-",""))</f>
        <v/>
      </c>
      <c r="AR70"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129" t="str">
        <f>IF(Reinforcements[[#This Row],[Reinforcement]]="","",IF(OR(Reinforcements[[#This Row],[Bottom Transverse (Horizontal) Weld]]="None",Reinforcements[[#This Row],[Bottom End Connection Type]]&lt;&gt;"Welded"),"-",""))</f>
        <v/>
      </c>
      <c r="AU70"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129" t="str">
        <f>IF(Reinforcements[[#This Row],[Reinforcement]]="","",IF(OR(Reinforcements[[#This Row],[Bottom End Connection Type]]&lt;&gt;"Welded",Reinforcements[[#This Row],[Bottom End Connection Type]]=""),"-",""))</f>
        <v/>
      </c>
      <c r="AW70" s="129" t="str">
        <f>IF(Reinforcements[[#This Row],[Reinforcement]]="","",IF(OR(Reinforcements[[#This Row],[Bottom End Connection Type]]&lt;&gt;"Welded",Reinforcements[[#This Row],[Bottom Longitudinal (Vertical) Weld]]="None",Reinforcements[[#This Row],[Bottom Longitudinal (Vertical) Weld]]=""),"-",""))</f>
        <v/>
      </c>
      <c r="AX70" s="129" t="str">
        <f>IF(Reinforcements[[#This Row],[Reinforcement]]="","",IF(OR(Reinforcements[[#This Row],[Bottom End Connection Type]]&lt;&gt;"Welded",Reinforcements[[#This Row],[Bottom Longitudinal (Vertical) Weld]]="None",Reinforcements[[#This Row],[Bottom Longitudinal (Vertical) Weld]]=""),"-",""))</f>
        <v/>
      </c>
      <c r="AY70" s="127" t="str">
        <f>IF(Reinforcements[[#This Row],[Reinforcement]]="","",IF(OR(Reinforcements[[#This Row],[Bottom End Connection Type]]&lt;&gt;"Welded",Reinforcements[[#This Row],[Bottom Longitudinal (Vertical) Weld]]="None"),"-",SQRT(2)/2*Reinforcements[[#This Row],[Bottom Longitudinal Weld Fillet Size (in)]]))</f>
        <v/>
      </c>
      <c r="AZ70" s="127"/>
      <c r="BA70" s="74" t="str">
        <f>IF(Reinforcements[[#This Row],[Top End Connection Same?]]="Yes",Reinforcements[[#This Row],[Bottom End Connection Type]],"")</f>
        <v/>
      </c>
      <c r="BB70" s="74" t="str">
        <f>IF(Reinforcements[[#This Row],[Reinforcement]]="","",IF(Reinforcements[[#This Row],[Top End Connection Same?]]="Yes",Reinforcements[[#This Row],[Rev. F Bottom Connection Capacity (kips)]],IF(Reinforcements[[#This Row],[Reinforcement]]="","",IF(Reinforcements[[#This Row],[Top End Connection Type]]&lt;&gt;"Capacity Input","-",""))))</f>
        <v/>
      </c>
      <c r="BC70" s="74" t="str">
        <f>IF(Reinforcements[[#This Row],[Reinforcement]]="","",IF(Reinforcements[[#This Row],[Top End Connection Same?]]="Yes",Reinforcements[[#This Row],[Rev. G Bottom Connection Capacity (kips)]],IF(Reinforcements[[#This Row],[Reinforcement]]="","",IF(Reinforcements[[#This Row],[Top End Connection Type]]&lt;&gt;"Capacity Input","-",""))))</f>
        <v/>
      </c>
      <c r="BD70" s="74" t="str">
        <f>IF(Reinforcements[[#This Row],[Reinforcement]]="","",IF(Reinforcements[[#This Row],[Top End Connection Same?]]="Yes",Reinforcements[[#This Row],[Rev. G Bottom Connection Capacity (kips)]],IF(Reinforcements[[#This Row],[Reinforcement]]="","",IF(Reinforcements[[#This Row],[Top End Connection Type]]&lt;&gt;"Capacity Input","-",""))))</f>
        <v/>
      </c>
      <c r="BE70" s="74" t="str">
        <f>IF(Reinforcements[[#This Row],[Reinforcement]]="","",IF(Reinforcements[[#This Row],[Top End Connection Same?]]="Yes",Reinforcements[[#This Row],[Bottom End Connection Bolt Type]],IF(Reinforcements[[#This Row],[Top End Connection Type]]&lt;&gt;"Bolted","-","")))</f>
        <v/>
      </c>
      <c r="BF70" s="127" t="str">
        <f>IF(Reinforcements[[#This Row],[Reinforcement]]="","",IF(Reinforcements[[#This Row],[Top End Connection Same?]]="Yes",Reinforcements[[#This Row],[Threads Included (N) or Excluded (X) (Bottom)]],IF(Reinforcements[[#This Row],[Top End Connection Type]]&lt;&gt;"Bolted","-","")))</f>
        <v/>
      </c>
      <c r="BG70" s="127" t="str">
        <f>IF(Reinforcements[[#This Row],[Reinforcement]]="","",IF(Reinforcements[[#This Row],[Top End Connection Same?]]="Yes",Reinforcements[[#This Row],['# of End Connection Bolts          (Bottom)]],IF(Reinforcements[[#This Row],[Top End Connection Type]]&lt;&gt;"Bolted","-","")))</f>
        <v/>
      </c>
      <c r="BH70" s="127" t="str">
        <f>IF(Reinforcements[[#This Row],[Reinforcement]]="","",IF(Reinforcements[[#This Row],[Top End Connection Same?]]="Yes",Reinforcements[[#This Row],[End Connection Bolt Spacing (in) (B)]],IF(Reinforcements[[#This Row],[Top End Connection Type]]&lt;&gt;"Bolted","-","")))</f>
        <v/>
      </c>
      <c r="BI70" s="127" t="str">
        <f>IF(Reinforcements[[#This Row],[Reinforcement]]="","",IF(Reinforcements[[#This Row],[Top End Connection Same?]]="Yes",Reinforcements[[#This Row],[End Connection Edge Distance (in) (B)]],IF(Reinforcements[[#This Row],[Top End Connection Type]]&lt;&gt;"Bolted","-","")))</f>
        <v/>
      </c>
      <c r="BJ70" s="127" t="e">
        <f>Reinforcements[[#This Row],[End Connection Edge Distance (in) (T)]]-(Reinforcements[[#This Row],[Bolt Hole Size (in)]]+1/16)/2</f>
        <v>#VALUE!</v>
      </c>
      <c r="BK70" s="127" t="e">
        <f>Reinforcements[[#This Row],[End Connection Bolt Spacing (in) (T)]]-(Reinforcements[[#This Row],[Bolt Hole Size (in)]]+1/16)</f>
        <v>#VALUE!</v>
      </c>
      <c r="BL70" s="127" t="str">
        <f>Reinforcements[[#This Row],[End Connection Edge Distance (in) (T)]]</f>
        <v/>
      </c>
      <c r="BM70" s="127" t="str">
        <f>Reinforcements[[#This Row],[End Connection Bolt Spacing (in) (T)]]</f>
        <v/>
      </c>
      <c r="BN70" s="127" t="str">
        <f>IF(Reinforcements[[#This Row],[Reinforcement]]="","",IF(Reinforcements[[#This Row],[Top End Connection Same?]]="Yes",Reinforcements[[#This Row],[Bottom Connected to Flange/Base Plate?]],IF(Reinforcements[[#This Row],[Top End Connection Type]]="Bolted","-","")))</f>
        <v/>
      </c>
      <c r="BO70" s="127" t="str">
        <f>IF(Reinforcements[[#This Row],[Reinforcement]]="","",IF(Reinforcements[[#This Row],[Top End Connection Same?]]="Yes",Reinforcements[[#This Row],[Bottom Weld Grade (ksi)]],IF(OR(Reinforcements[[#This Row],[Top End Connection Type]]&lt;&gt;"Welded",Reinforcements[[#This Row],[Top End Connection Type]]=""),"-","")))</f>
        <v/>
      </c>
      <c r="BP70" s="127" t="str">
        <f>IF($AZ70="Yes",AP70,IF(Reinforcements[[#This Row],[Reinforcement]]="","",IF(OR(Reinforcements[[#This Row],[Top End Connection Type]]&lt;&gt;"Welded",Reinforcements[[#This Row],[Top End Connection Type]]=""),"-","")))</f>
        <v/>
      </c>
      <c r="BQ70" s="127" t="str">
        <f>IF(Reinforcements[[#This Row],[Reinforcement]]="","",IF($AZ70="Yes",AQ70,IF(OR(Reinforcements[[#This Row],[Top End Connection Type]]&lt;&gt;"Welded",Reinforcements[[#This Row],[Top Transverse (Horizontal) Weld]]="none",Reinforcements[[#This Row],[Top Transverse (Horizontal) Weld]]=""),"-","")))</f>
        <v/>
      </c>
      <c r="BR70" s="127"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127"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127" t="str">
        <f>IF(Reinforcements[[#This Row],[Reinforcement]]="","",IF($AZ70="Yes",AT70,IF(OR(Reinforcements[[#This Row],[Top Transverse (Horizontal) Weld]]="none",Reinforcements[[#This Row],[Top End Connection Type]]&lt;&gt;"Welded",Reinforcements[[#This Row],[Top Transverse (Horizontal) Weld]]=""),"-","")))</f>
        <v/>
      </c>
      <c r="BU70" s="127"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127" t="str">
        <f>IF($AZ70="Yes",AV70,IF(Reinforcements[[#This Row],[Reinforcement]]="","",IF(OR(Reinforcements[[#This Row],[Top End Connection Type]]&lt;&gt;"Welded",Reinforcements[[#This Row],[Top End Connection Type]]=""),"-","")))</f>
        <v/>
      </c>
      <c r="BW70" s="127"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127"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127" t="str">
        <f>IF($AZ70="Yes",AY70,IF(Reinforcements[[#This Row],[Reinforcement]]="","",IF(OR(Reinforcements[[#This Row],[Top End Connection Type]]&lt;&gt;"Welded",Reinforcements[[#This Row],[Top Longitudinal (Vertical) Weld]]="none"),"-",SQRT(2)/2*Reinforcements[[#This Row],[Top Longitudinal Weld Fillet Size (in)]])))</f>
        <v/>
      </c>
      <c r="BZ70"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0"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127" t="str">
        <f>IFERROR(IF(Reinforcements[[#This Row],[Type]]="","",Reinforcements[[#This Row],[Effective B (in)]]*Reinforcements[[#This Row],[Effective H (in)]]^3/12),"")</f>
        <v/>
      </c>
      <c r="CF70" s="127" t="str">
        <f>IFERROR(IF(Reinforcements[[#This Row],[Type]]="","",Reinforcements[[#This Row],[Effective B (in)]]^3*Reinforcements[[#This Row],[Effective H (in)]]/12),"")</f>
        <v/>
      </c>
      <c r="CG70" s="140" t="e">
        <f>SQRT(2*PI()^2*29000/VLOOKUP(Reinforcements[[#This Row],[Material]],Materials[],2,FALSE))</f>
        <v>#N/A</v>
      </c>
      <c r="CH70"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135" t="e">
        <f>Reinforcements[[#This Row],[Effective Length Factor Kx]]*Reinforcements[[#This Row],[Lu (in)]]/(Reinforcements[[#This Row],[rx]]*PI())*SQRT(VLOOKUP(Reinforcements[[#This Row],[Material]],Materials[],2,FALSE)/29000)</f>
        <v>#VALUE!</v>
      </c>
      <c r="CK70" s="135" t="e">
        <f>Reinforcements[[#This Row],[Effective Length Factor Ky]]*Reinforcements[[#This Row],[Lu (in)]]/(Reinforcements[[#This Row],[ry]]*PI())*SQRT(VLOOKUP(Reinforcements[[#This Row],[Material]],Materials[],2,FALSE)/29000)</f>
        <v>#VALUE!</v>
      </c>
      <c r="CL70" s="135" t="e">
        <f>IF(Reinforcements[[#This Row],[λcx]]&lt;=1.5,0.658^(Reinforcements[[#This Row],[λcx]]^2)*Reinforcements[[#This Row],[F''y]],0.877/(Reinforcements[[#This Row],[λcx]]^2)*Reinforcements[[#This Row],[F''y]])</f>
        <v>#VALUE!</v>
      </c>
      <c r="CM70" s="135" t="e">
        <f>IF(Reinforcements[[#This Row],[λcy]]&lt;=1.5,0.658^(Reinforcements[[#This Row],[λcy]]^2)*Reinforcements[[#This Row],[F''y]],0.877/(Reinforcements[[#This Row],[λcy]]^2)*Reinforcements[[#This Row],[F''y]])</f>
        <v>#VALUE!</v>
      </c>
      <c r="CN70" s="127" t="e">
        <f>VLOOKUP(Reinforcements[[#This Row],[Material]],Materials[],2,FALSE)</f>
        <v>#N/A</v>
      </c>
      <c r="CO70" s="140" t="str">
        <f>IF(Reinforcements[[#This Row],[Reinforcement]]="","",Reinforcements[[#This Row],[Fax]]*Reinforcements[[#This Row],[Gross Area (in2)]])</f>
        <v/>
      </c>
      <c r="CP70" s="140" t="str">
        <f>IF(Reinforcements[[#This Row],[Reinforcement]]="","",Reinforcements[[#This Row],[Fay]]*Reinforcements[[#This Row],[Gross Area (in2)]])</f>
        <v/>
      </c>
      <c r="CQ70" s="140" t="str">
        <f>IF(Reinforcements[[#This Row],[Reinforcement]]="","",0.6*VLOOKUP(Reinforcements[[#This Row],[Material]],Materials[],2,FALSE)*Reinforcements[[#This Row],[Gross Area (in2)]])</f>
        <v/>
      </c>
      <c r="CR70" s="140" t="str">
        <f>IF(Reinforcements[[#This Row],[Reinforcement]]="","",0.5*VLOOKUP(Reinforcements[[#This Row],[Material]],Materials[],3,FALSE)*Reinforcements[[#This Row],[Net Area (in2)]]*Reinforcements[[#This Row],[Shear Lag (U)]])</f>
        <v/>
      </c>
      <c r="CS70" s="140" t="str">
        <f>IF(Reinforcements[[#This Row],[Reinforcement]]="","",0.4*VLOOKUP(Reinforcements[[#This Row],[Material]],Materials[],2,FALSE)*Reinforcements[[#This Row],[Gross Area (in2)]])</f>
        <v/>
      </c>
      <c r="CT70"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127"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127"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140" t="str">
        <f>IF(Reinforcements[[#This Row],[Reinforcement]]="","",φ_c*Reinforcements[[#This Row],[Fcr,x]]*Reinforcements[[#This Row],[Gross Area (in2)]])</f>
        <v/>
      </c>
      <c r="DI70" s="140" t="str">
        <f>IF(Reinforcements[[#This Row],[Reinforcement]]="","",φ_c*Reinforcements[[#This Row],[Fcr,y]]*Reinforcements[[#This Row],[Gross Area (in2)]])</f>
        <v/>
      </c>
      <c r="DJ70" s="140" t="str">
        <f>IF(Reinforcements[[#This Row],[Reinforcement]]="","",φ_t_y*VLOOKUP(Reinforcements[[#This Row],[Material]],Materials[],2,FALSE)*Reinforcements[[#This Row],[Gross Area (in2)]])</f>
        <v/>
      </c>
      <c r="DK70" s="140" t="str">
        <f>IF(Reinforcements[[#This Row],[Reinforcement]]="","",φ_t_r*VLOOKUP(Reinforcements[[#This Row],[Material]],Materials[],3,FALSE)*Reinforcements[[#This Row],[Net Area (in2)]]*Reinforcements[[#This Row],[Shear Lag (U)]])</f>
        <v/>
      </c>
      <c r="DL70" s="140" t="str">
        <f>IF(Reinforcements[[#This Row],[Reinforcement]]="","",φ_v*0.5*Reinforcements[[#This Row],[F''y]]*Reinforcements[[#This Row],[Gross Area (in2)]])</f>
        <v/>
      </c>
      <c r="DM70"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127"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127"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129" t="str">
        <f>IF(OR(Reinforcements[[#This Row],[Type]]="plate",Reinforcements[[#This Row],[Type]]="solid round"),"N/A",Reinforcements[[#This Row],[B (in)]])</f>
        <v/>
      </c>
      <c r="EB70" s="127" t="str">
        <f>IF(OR(Reinforcements[[#This Row],[Type]]="plate",Reinforcements[[#This Row],[Type]]="solid round"),"N/A",Reinforcements[[#This Row],[H (in)]])</f>
        <v/>
      </c>
      <c r="EC70" s="127" t="e">
        <f>IF(OR(Reinforcements[[#This Row],[Type]]="plate",Reinforcements[[#This Row],[Type]]="solid round"),"N/A",Reinforcements[[#This Row],[B (in)]]-Reinforcements[[#This Row],['[Channel'] Flange Thickness (in)]])</f>
        <v>#VALUE!</v>
      </c>
      <c r="ED70" s="127" t="str">
        <f>IF(OR(Reinforcements[[#This Row],[Type]]="plate",Reinforcements[[#This Row],[Type]]="solid round"),"N/A",Reinforcements[[#This Row],['[Channel']Web Thickness (in)]])</f>
        <v/>
      </c>
      <c r="EE70" s="127" t="str">
        <f>IF(OR(Reinforcements[[#This Row],[Type]]="plate",Reinforcements[[#This Row],[Type]]="solid round"),"N/A",Reinforcements[[#This Row],['[Channel'] Flange Thickness (in)]])</f>
        <v/>
      </c>
      <c r="EF70" s="127" t="str">
        <f>IF(Reinforcements[[#This Row],[Type]]="channel",Reinforcements[[#This Row],[Channel Flange Width, b]]/Reinforcements[[#This Row],[Channel flange thickness, tf]],"N/A")</f>
        <v>N/A</v>
      </c>
      <c r="EG70" s="127" t="str">
        <f>IF(Reinforcements[[#This Row],[Type]]="channel",Reinforcements[[#This Row],[Channel inside depth, T]]/Reinforcements[[#This Row],[Channel web thickness, tw]],"N/A")</f>
        <v>N/A</v>
      </c>
      <c r="EH70" s="6">
        <f>29000</f>
        <v>29000</v>
      </c>
      <c r="EI70" s="127" t="str">
        <f>IF(Reinforcements[[#This Row],[Type]]="channel",0.56*SQRT(Reinforcements[[#This Row],[E, (ksi)]]/Reinforcements[[#This Row],[Fy, (ksi)]]),"N/A")</f>
        <v>N/A</v>
      </c>
      <c r="EJ70" s="127" t="str">
        <f>IF(Reinforcements[[#This Row],[Type]]="channel",1.49*SQRT(Reinforcements[[#This Row],[E, (ksi)]]/Reinforcements[[#This Row],[Fy, (ksi)]]),"N/A")</f>
        <v>N/A</v>
      </c>
      <c r="EK70" s="127" t="e">
        <f>VLOOKUP(Reinforcements[[#This Row],[Material]],Materials!$B$2:$C$30,2,FALSE)</f>
        <v>#N/A</v>
      </c>
      <c r="EL70" s="127" t="e">
        <f>Reinforcements[[#This Row],[Lu (in)]]*Reinforcements[[#This Row],[Effective Length Factor Kx]]</f>
        <v>#VALUE!</v>
      </c>
      <c r="EM70" s="127" t="e">
        <f>Reinforcements[[#This Row],[Lu (in)]]*Reinforcements[[#This Row],[Effective Length Factor Ky]]</f>
        <v>#VALUE!</v>
      </c>
      <c r="EN70" s="127" t="str">
        <f>Reinforcements[[#This Row],[rx]]</f>
        <v/>
      </c>
      <c r="EO70" s="127" t="str">
        <f>Reinforcements[[#This Row],[ry]]</f>
        <v/>
      </c>
      <c r="EP70" s="127" t="e">
        <f>Reinforcements[[#This Row],[Lcx (in)]]/Reinforcements[[#This Row],[rx (in)]]</f>
        <v>#VALUE!</v>
      </c>
      <c r="EQ70" s="127" t="e">
        <f>Reinforcements[[#This Row],[Lcy (in)]]/Reinforcements[[#This Row],[ry (in)]]</f>
        <v>#VALUE!</v>
      </c>
      <c r="ER70" s="127" t="e">
        <f>((PI()^2)*Reinforcements[[#This Row],[E, (ksi)]])/(Reinforcements[[#This Row],[Lcx/rx]]^2)</f>
        <v>#VALUE!</v>
      </c>
      <c r="ES70" s="127" t="e">
        <f>((PI()^2)*Reinforcements[[#This Row],[E, (ksi)]])/(Reinforcements[[#This Row],[Lcy/ry]]^2)</f>
        <v>#VALUE!</v>
      </c>
      <c r="ET70" s="127" t="e">
        <f>4.71*(SQRT(Reinforcements[[#This Row],[E, (ksi)]]/Reinforcements[[#This Row],[Fy, (ksi)]]))</f>
        <v>#N/A</v>
      </c>
      <c r="EU70" s="127" t="e">
        <f>IF(Reinforcements[[#This Row],[Lcx/rx]]&lt;=Reinforcements[[#This Row],[Fcr Limit]],(0.658^(Reinforcements[[#This Row],[Fy, (ksi)]]/Reinforcements[[#This Row],[Fex, FB (ksi)]]))*Reinforcements[[#This Row],[Fy, (ksi)]],0.877*Reinforcements[[#This Row],[Fex, FB (ksi)]])</f>
        <v>#VALUE!</v>
      </c>
      <c r="EV70" s="127" t="e">
        <f>IF(Reinforcements[[#This Row],[Lcy/ry]]&lt;=Reinforcements[[#This Row],[Fcr Limit]],(0.658^(Reinforcements[[#This Row],[Fy, (ksi)]]/Reinforcements[[#This Row],[Fey, FB (ksi)]]))*Reinforcements[[#This Row],[Fy, (ksi)]],0.877*Reinforcements[[#This Row],[Fey, FB (ksi)]])</f>
        <v>#VALUE!</v>
      </c>
      <c r="EW70" s="127" t="e">
        <f>Reinforcements[[#This Row],[Fcrx (ksi)]]*Reinforcements[[#This Row],[Gross Area (in2)]]</f>
        <v>#VALUE!</v>
      </c>
      <c r="EX70" s="127" t="e">
        <f>Reinforcements[[#This Row],[Fcry (ksi)]]*Reinforcements[[#This Row],[Gross Area (in2)]]</f>
        <v>#VALUE!</v>
      </c>
      <c r="EY70" s="127" t="str">
        <f>IF(Reinforcements[[#This Row],[Type]]="channel",0,"N/A")</f>
        <v>N/A</v>
      </c>
      <c r="EZ70" s="127" t="str">
        <f>IF(Reinforcements[[#This Row],[Type]]="channel",Reinforcements[[#This Row],[Channel Flange Width, b]]-(0.5*Reinforcements[[#This Row],[Channel web thickness, tw]]),"N/A")</f>
        <v>N/A</v>
      </c>
      <c r="FA70" s="127" t="str">
        <f>IF(Reinforcements[[#This Row],[Type]]="channel",Reinforcements[[#This Row],[Channel Height, h]]-Reinforcements[[#This Row],[Channel flange thickness, tf]],"N/A")</f>
        <v>N/A</v>
      </c>
      <c r="FB70" s="127" t="str">
        <f>IF(Reinforcements[[#This Row],[Type]]="channel",Reinforcements[[#This Row],[Channel web thickness, tw]],"N/A")</f>
        <v>N/A</v>
      </c>
      <c r="FC70" s="127" t="str">
        <f>IF(Reinforcements[[#This Row],[Type]]="channel",((3*Reinforcements[[#This Row],[b]]^2)/(Reinforcements[[#This Row],[h]]+(6*Reinforcements[[#This Row],[b]])))-Reinforcements[[#This Row],[t]]/2,"N/A")</f>
        <v>N/A</v>
      </c>
      <c r="FD70" s="127" t="str">
        <f>Reinforcements[[#This Row],[Pole Face to Centroid (in)]]</f>
        <v/>
      </c>
      <c r="FE70" s="127" t="str">
        <f>IF(Reinforcements[[#This Row],[Type]]="channel",Reinforcements[[#This Row],[x(bar)]]+Reinforcements[[#This Row],['[Channel'] e0 (in)]],"N/A")</f>
        <v>N/A</v>
      </c>
      <c r="FF70" s="127" t="str">
        <f>IF(Reinforcements[[#This Row],[Type]]="channel",Reinforcements[[#This Row],[Ix]],"N/A")</f>
        <v>N/A</v>
      </c>
      <c r="FG70" s="127" t="str">
        <f>IF(Reinforcements[[#This Row],[Type]]="channel",Reinforcements[[#This Row],[Iy]],"N/A")</f>
        <v>N/A</v>
      </c>
      <c r="FH70" s="127" t="str">
        <f>IF(Reinforcements[[#This Row],[Type]]="channel",Reinforcements[[#This Row],[Gross Area (in2)]],"N/A")</f>
        <v>N/A</v>
      </c>
      <c r="FI70" s="127" t="str">
        <f>IF(Reinforcements[[#This Row],[Type]]="channel",(Reinforcements[[#This Row],[xo]]^2)+((Reinforcements[[#This Row],[Ix (FTB)]]+Reinforcements[[#This Row],[Iy (FTB)]])/Reinforcements[[#This Row],[Ag]]),"N/A")</f>
        <v>N/A</v>
      </c>
      <c r="FJ70" s="127" t="str">
        <f>IF(Reinforcements[[#This Row],[Type]]="channel",Reinforcements[[#This Row],[Lu (in)]],"N/A")</f>
        <v>N/A</v>
      </c>
      <c r="FK70" s="127" t="str">
        <f>IF(Reinforcements[[#This Row],[Type]]="channel",Reinforcements[[#This Row],[Effective Length Factor Kx]],"N/A")</f>
        <v>N/A</v>
      </c>
      <c r="FL70" s="127" t="str">
        <f>IF(Reinforcements[[#This Row],[Type]]="channel",Reinforcements[[#This Row],[Kz]]*Reinforcements[[#This Row],[Lz]],"N/A")</f>
        <v>N/A</v>
      </c>
      <c r="FM70" s="127" t="str">
        <f>IF(Reinforcements[[#This Row],[Type]]="channel",(((Reinforcements[[#This Row],[t]]^3)/3)*(Reinforcements[[#This Row],[h]]+(2*Reinforcements[[#This Row],[b]]))),"N/A")</f>
        <v>N/A</v>
      </c>
      <c r="FN70" s="127" t="str">
        <f>IF(Reinforcements[[#This Row],[Type]]="channel",(1-(((Reinforcements[[#This Row],[xo]]^2)+(Reinforcements[[#This Row],[yo]]^2))/Reinforcements[[#This Row],[ro^2(bar)]])),"N/A")</f>
        <v>N/A</v>
      </c>
      <c r="FO70" s="127">
        <v>11197</v>
      </c>
      <c r="FP70" s="127" t="str">
        <f>IF(Reinforcements[[#This Row],[Type]]="channel",(((Reinforcements[[#This Row],[h]]^2)*(Reinforcements[[#This Row],[b]]^3)*Reinforcements[[#This Row],[t]])/12)*(((2*Reinforcements[[#This Row],[h]])+(3*Reinforcements[[#This Row],[b]]))/(Reinforcements[[#This Row],[h]]+(6*Reinforcements[[#This Row],[b]]))),"N/A")</f>
        <v>N/A</v>
      </c>
      <c r="FQ70" s="127" t="str">
        <f>IF(Reinforcements[[#This Row],[Type]]="Channel",((((PI()^2)*Reinforcements[[#This Row],[E, (ksi)]]*Reinforcements[[#This Row],['[Channel'] CW (in6)]])/(Reinforcements[[#This Row],[Lcz]]^2))+(Reinforcements[[#This Row],[G]]*Reinforcements[[#This Row],['[Channel'] J (in4)]]))*(1/(Reinforcements[[#This Row],[Ag]]*Reinforcements[[#This Row],[ro^2(bar)]])),"N/A")</f>
        <v>N/A</v>
      </c>
      <c r="FR70" s="127" t="str">
        <f>IF(Reinforcements[[#This Row],[Type]]="channel",((PI()^2)*Reinforcements[[#This Row],[E, (ksi)]])/(Reinforcements[[#This Row],[Lcy/ry]]^2),"N/A")</f>
        <v>N/A</v>
      </c>
      <c r="FS70" s="127" t="str">
        <f>IF(Reinforcements[[#This Row],[Type]]="channel",((Reinforcements[[#This Row],[Fey]]+Reinforcements[[#This Row],[Fez]])/(2*Reinforcements[[#This Row],[H2]]))*(1-SQRT(1-((4*Reinforcements[[#This Row],[Fey]]*Reinforcements[[#This Row],[Fez]]*Reinforcements[[#This Row],[H2]])/(Reinforcements[[#This Row],[Fey]]+Reinforcements[[#This Row],[Fez]])^2))),"N/A")</f>
        <v>N/A</v>
      </c>
      <c r="FT70" s="127" t="str">
        <f>IF(Reinforcements[[#This Row],[Type]]="channel",IF(Reinforcements[[#This Row],[Lcx/rx]]&gt;(4.71*SQRT(Reinforcements[[#This Row],[E, (ksi)]]/Reinforcements[[#This Row],[Fy, (ksi)]])),0.877*Reinforcements[[#This Row],[Fe (FTB)]],0.658^(Reinforcements[[#This Row],[Fy, (ksi)]]/Reinforcements[[#This Row],[Fe (FTB)]])*Reinforcements[[#This Row],[Fy, (ksi)]]),"N/A")</f>
        <v>N/A</v>
      </c>
      <c r="FU70" s="127" t="str">
        <f>IF(Reinforcements[[#This Row],[Type]]="channel",MIN(Reinforcements[[#This Row],[Fcr(FTB)]],Reinforcements[[#This Row],[Fcry (ksi)]]),"N/A")</f>
        <v>N/A</v>
      </c>
      <c r="FV70" s="127">
        <v>0.22</v>
      </c>
      <c r="FW70" s="127">
        <v>1.49</v>
      </c>
      <c r="FX70" s="127" t="str">
        <f>IF(Reinforcements[[#This Row],[Type]]="channel",((Reinforcements[[#This Row],[c2]]*(Reinforcements[[#This Row],[λrf]]/Reinforcements[[#This Row],[λf]]))^2)*Reinforcements[[#This Row],[Fy, (ksi)]],"N/A")</f>
        <v>N/A</v>
      </c>
      <c r="FY70" s="127" t="str">
        <f>IF(Reinforcements[[#This Row],[Type]]="channel",((Reinforcements[[#This Row],[c2]]*(Reinforcements[[#This Row],[λrw]]/Reinforcements[[#This Row],[λw]]))^2)*Reinforcements[[#This Row],[Fy, (ksi)]],"N/A")</f>
        <v>N/A</v>
      </c>
      <c r="FZ70"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127" t="str">
        <f>IF(Reinforcements[[#This Row],[Type]]="channel",Reinforcements[[#This Row],[Fcr]]*Reinforcements[[#This Row],[Ae]],"N/A")</f>
        <v>N/A</v>
      </c>
      <c r="GD70" s="50" t="str">
        <f>IF(Reinforcements[[#This Row],[Reinforcement]]="","",φ_c*Reinforcements[[#This Row],[Pnx, FB (kip)]])</f>
        <v/>
      </c>
      <c r="GE70" s="50" t="str">
        <f>IF(Reinforcements[[#This Row],[Reinforcement]]="","",IF(Reinforcements[[#This Row],[Type]]="channel",φ_c*Reinforcements[[#This Row],[Pn]],φ_c*Reinforcements[[#This Row],[Pny, FB (kip)]]))</f>
        <v/>
      </c>
      <c r="GF70" s="50" t="str">
        <f>Reinforcements[[#This Row],[Rev. G Tension Yield Capacity (kips)]]</f>
        <v/>
      </c>
      <c r="GG70" s="50" t="str">
        <f>Reinforcements[[#This Row],[Rev. G Tension Rupture Capacity (kips)]]</f>
        <v/>
      </c>
      <c r="GH70" s="50" t="str">
        <f>Reinforcements[[#This Row],[Rev. G Shear Capacity (kips)]]</f>
        <v/>
      </c>
      <c r="GI70" s="50" t="str">
        <f>IFERROR((Reinforcements[[#This Row],['# of End Connection Bolts          (Bottom)]]-1)*Reinforcements[[#This Row],[End Connection Bolt Spacing (in) (B)]],"-")</f>
        <v>-</v>
      </c>
      <c r="GJ70" s="50" t="str">
        <f>IFERROR(IF(VLOOKUP(Reinforcements[[#This Row],[Bottom End Connection Bolt Type]],Bolts[],COLUMN(Bolts[[#Headers],[Rev. H Apply Connection Length Reduction Factor (Rb)?]])-1,FALSE)="Yes",(IF(Reinforcements[[#This Row],[Lb(bottom)]]&lt;=16,1,IF(Reinforcements[[#This Row],[Lb(bottom)]]&gt;38,0.75,0.9))),1),"-")</f>
        <v>-</v>
      </c>
      <c r="GK70"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50" t="str">
        <f>IFERROR(IF(Reinforcements[[#This Row],[Top End Connection Same?]]="Yes",Reinforcements[[#This Row],[Lb(bottom)]],(Reinforcements[[#This Row],['# of End Connection Bolts          (Top)]]-1)*Reinforcements[[#This Row],[End Connection Bolt Spacing (in) (T)]]),"-")</f>
        <v>-</v>
      </c>
      <c r="GM70" s="50" t="str">
        <f>IFERROR(IF(VLOOKUP(Reinforcements[[#This Row],[Top End Connection Bolt Type]],Bolts[],COLUMN(Bolts[[#Headers],[Rev. H Apply Connection Length Reduction Factor (Rb)?]])-1,FALSE)=TRUE,(IF(Reinforcements[[#This Row],[Lb(top)]]&lt;=16,1,IF(Reinforcements[[#This Row],[Lb(top)]]&gt;38,0.75,0.9))),1),"-")</f>
        <v>-</v>
      </c>
      <c r="GN70"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50" t="str">
        <f>Reinforcements[[#This Row],[Rev. G Bolt-Shaft Bearing Capacity (Bottom)                No Deformation          (*t*Fu kips)]]</f>
        <v>-</v>
      </c>
      <c r="GP70" s="50" t="str">
        <f>Reinforcements[[#This Row],[Rev. G Bolt-Shaft Bearing Capacity (Bottom)                   Deformation          (*t*Fu kips)]]</f>
        <v>-</v>
      </c>
      <c r="GQ70" s="50" t="str">
        <f>Reinforcements[[#This Row],[Rev. G Bolt-Shaft Bearing Capacity (Top)                    No Deformation          (*t*Fu kips)]]</f>
        <v>-</v>
      </c>
      <c r="GR70" s="50" t="str">
        <f>Reinforcements[[#This Row],[Rev. G Bolt-Shaft Bearing Capacity (Top)                        Deformation          (*t*Fu kips)]]</f>
        <v>-</v>
      </c>
      <c r="GS70" s="50" t="str">
        <f>Reinforcements[[#This Row],[Rev. G Bolt-Reinf. Bearing Capacity (Bottom)            No Deformation (kips)]]</f>
        <v>-</v>
      </c>
      <c r="GT70" s="50" t="str">
        <f>Reinforcements[[#This Row],[Rev. G Bolt-Reinf. Bearing Capacity (Bottom)               Deformation (kips)]]</f>
        <v>-</v>
      </c>
      <c r="GU70" s="50" t="str">
        <f>Reinforcements[[#This Row],[Rev. G Bolt-Reinf. Bearing Capacity (Top)                  No Deformation (kips)]]</f>
        <v>-</v>
      </c>
      <c r="GV70" s="50" t="str">
        <f>Reinforcements[[#This Row],[Rev. G Bolt-Reinf. Bearing Capacity (Top)               Deformation (kips)]]</f>
        <v>-</v>
      </c>
      <c r="GW70" s="50" t="str">
        <f>Reinforcements[[#This Row],[Rev. G Bottom Transverse Weld Strength]]</f>
        <v/>
      </c>
      <c r="GX70" s="50" t="str">
        <f>Reinforcements[[#This Row],[Rev. G Bottom Longitudinal Weld Strength]]</f>
        <v/>
      </c>
      <c r="GY70" s="50" t="str">
        <f>Reinforcements[[#This Row],[Rev. G Top Transverse Weld Strength]]</f>
        <v/>
      </c>
      <c r="GZ70" s="50" t="str">
        <f>Reinforcements[[#This Row],[Rev. G Top Longitudinal Weld Strength]]</f>
        <v/>
      </c>
      <c r="HA70">
        <v>68</v>
      </c>
      <c r="HB70"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94"/>
      <c r="C71" s="94"/>
      <c r="D71" s="127" t="str">
        <f>IF(Reinforcements[[#This Row],[Type]]="","",IF(Reinforcements[[#This Row],[Type]]="solid round","-",""))</f>
        <v/>
      </c>
      <c r="E71" s="127" t="str">
        <f>IF(Reinforcements[[#This Row],[Type]]="","",IF(Reinforcements[[#This Row],[Type]]="solid round","-",""))</f>
        <v/>
      </c>
      <c r="F71" s="127" t="str">
        <f>IF(Reinforcements[[#This Row],[Type]]="","",IF(Reinforcements[[#This Row],[Type]]="solid round","","n/a"))</f>
        <v/>
      </c>
      <c r="G71" s="127" t="str">
        <f>IF(Reinforcements[[#This Row],[Type]]="","",IF(Reinforcements[[#This Row],[Type]]&lt;&gt;"channel","n/a",""))</f>
        <v/>
      </c>
      <c r="H71" s="127" t="str">
        <f>IF(Reinforcements[[#This Row],[Type]]="","",IF(Reinforcements[[#This Row],[Type]]&lt;&gt;"channel","n/a",""))</f>
        <v/>
      </c>
      <c r="I71" s="140" t="str">
        <f>IF(Reinforcements[[#This Row],[Type]]="","",IF(Reinforcements[[#This Row],[Type]]&lt;&gt;"channel","n/a",Reinforcements[[#This Row],[eo]]))</f>
        <v/>
      </c>
      <c r="J71" s="140" t="str">
        <f>IF(Reinforcements[[#This Row],[Type]]="","",IF(Reinforcements[[#This Row],[Type]]&lt;&gt;"channel","n/a",Reinforcements[[#This Row],[J]]))</f>
        <v/>
      </c>
      <c r="K71" s="140" t="str">
        <f>IF(Reinforcements[[#This Row],[Type]]="","",IF(Reinforcements[[#This Row],[Type]]&lt;&gt;"channel","n/a",Reinforcements[[#This Row],[Cw]]))</f>
        <v/>
      </c>
      <c r="L71" s="127" t="str">
        <f>IFERROR(IF(Reinforcements[[#This Row],[Type]]="","",IF(Reinforcements[[#This Row],[Type]]="plate",Reinforcements[[#This Row],[B (in)]]*Reinforcements[[#This Row],[H (in)]],IF(Reinforcements[[#This Row],[Type]]="solid round",PI()/4*Reinforcements[[#This Row],[Diameter (in)]]^2,""))),"")</f>
        <v/>
      </c>
      <c r="M71" s="127" t="str">
        <f>IFERROR(IF(Reinforcements[[#This Row],[Type]]="","",IF(Reinforcements[[#This Row],[Type]]="plate",Reinforcements[[#This Row],[H (in)]]/2,"")),"")</f>
        <v/>
      </c>
      <c r="N71" s="128"/>
      <c r="O71" s="129"/>
      <c r="P71" s="135" t="str">
        <f>IFERROR(IF(Reinforcements[[#This Row],[Type]]="","",IF(Reinforcements[[#This Row],[Type]]="plate",Reinforcements[[#This Row],[B (in)]]*Reinforcements[[#This Row],[H (in)]]^3/12,IF(Reinforcements[[#This Row],[Type]]="solid round",PI()/64*Reinforcements[[#This Row],[Diameter (in)]]^4,""))),"")</f>
        <v/>
      </c>
      <c r="Q71" s="135" t="str">
        <f>IF(Reinforcements[[#This Row],[Reinforcement]]="","",SQRT(Reinforcements[[#This Row],[Ix]]/Reinforcements[[#This Row],[Gross Area (in2)]]))</f>
        <v/>
      </c>
      <c r="R71" s="135" t="str">
        <f>IFERROR(IF(Reinforcements[[#This Row],[Type]]="","",IF(Reinforcements[[#This Row],[Type]]="plate",Reinforcements[[#This Row],[B (in)]]^3*Reinforcements[[#This Row],[H (in)]]/12,IF(Reinforcements[[#This Row],[Type]]="solid round",PI()/64*Reinforcements[[#This Row],[Diameter (in)]]^4,""))),"")</f>
        <v/>
      </c>
      <c r="S71" s="135" t="str">
        <f>IF(Reinforcements[[#This Row],[Reinforcement]]="","",SQRT(Reinforcements[[#This Row],[Iy]]/Reinforcements[[#This Row],[Gross Area (in2)]]))</f>
        <v/>
      </c>
      <c r="T71" s="127"/>
      <c r="U71" s="127" t="str">
        <f>IF(Reinforcements[[#This Row],[Lu (in)]]="","",IF(Reinforcements[[#This Row],[Lu (in)]]=0,1,""))</f>
        <v/>
      </c>
      <c r="V71" s="127" t="str">
        <f>IF(Reinforcements[[#This Row],[Lu (in)]]="","",IF(Reinforcements[[#This Row],[Lu (in)]]=0,1,""))</f>
        <v/>
      </c>
      <c r="W71" s="127" t="str">
        <f>IF(Reinforcements[[#This Row],[Type]]="","",IF(Reinforcements[[#This Row],[Type]]="solid round",0,IF(Reinforcements[[#This Row],[Type]]="arbitrary","n/a","")))</f>
        <v/>
      </c>
      <c r="X71" s="127" t="str">
        <f>IF(Reinforcements[[#This Row],[Bolt Hole Size (in)]]="","",IF(Reinforcements[[#This Row],[Bolt Hole Size (in)]]="n/a","n/a",Reinforcements[[#This Row],[Bolt Hole Size (in)]]*25.4))</f>
        <v/>
      </c>
      <c r="Y71"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127" t="str">
        <f>IFERROR(IF(Reinforcements[[#This Row],[Reinforcement]]="","",IF(OR(Reinforcements[[#This Row],[Type]]="plate",Reinforcements[[#This Row],[Type]]="solid round"),1,IF(Reinforcements[[#This Row],[Type]]="arbitrary","",1-Reinforcements[[#This Row],[Pole Face to Centroid (in)]]/Reinforcements[[#This Row],[Connection Length (in) '[Channels']]]))),"")</f>
        <v/>
      </c>
      <c r="AA71" s="74"/>
      <c r="AB71" s="74" t="str">
        <f>IF(Reinforcements[[#This Row],[Reinforcement]]="","",IF(Reinforcements[[#This Row],[Bottom End Connection Type]]&lt;&gt;"Capacity Input","-",""))</f>
        <v/>
      </c>
      <c r="AC71" s="74" t="str">
        <f>IF(Reinforcements[[#This Row],[Reinforcement]]="","",IF(Reinforcements[[#This Row],[Bottom End Connection Type]]&lt;&gt;"Capacity Input","-",""))</f>
        <v/>
      </c>
      <c r="AD71" s="74" t="str">
        <f>IF(Reinforcements[[#This Row],[Reinforcement]]="","",IF(Reinforcements[[#This Row],[Bottom End Connection Type]]&lt;&gt;"Capacity Input","-",""))</f>
        <v/>
      </c>
      <c r="AE71" s="74" t="str">
        <f>IF(Reinforcements[[#This Row],[Reinforcement]]="","",IF(Reinforcements[[#This Row],[Bottom End Connection Type]]&lt;&gt;"Bolted","-",""))</f>
        <v/>
      </c>
      <c r="AF71" s="127" t="str">
        <f>IF(Reinforcements[[#This Row],[Reinforcement]]="","",IF(Reinforcements[[#This Row],[Bottom End Connection Type]]&lt;&gt;"Bolted","-",""))</f>
        <v/>
      </c>
      <c r="AG71" s="127" t="str">
        <f>IF(Reinforcements[[#This Row],[Reinforcement]]="","",IF(Reinforcements[[#This Row],[Bottom End Connection Type]]="","-",IF(Reinforcements[[#This Row],[Bottom End Connection Type]]&lt;&gt;"Bolted","-","")))</f>
        <v/>
      </c>
      <c r="AH71" s="127" t="str">
        <f>IF(Reinforcements[[#This Row],[Reinforcement]]="","",IF(Reinforcements[[#This Row],[Bottom End Connection Type]]="","-",IF(Reinforcements[[#This Row],[Bottom End Connection Type]]&lt;&gt;"Bolted","-","")))</f>
        <v/>
      </c>
      <c r="AI71" s="127" t="str">
        <f>IF(Reinforcements[[#This Row],[Reinforcement]]="","",IF(Reinforcements[[#This Row],[Bottom End Connection Type]]="","-",IF(Reinforcements[[#This Row],[Bottom End Connection Type]]&lt;&gt;"Bolted","-","")))</f>
        <v/>
      </c>
      <c r="AJ71" s="127" t="e">
        <f>Reinforcements[[#This Row],[End Connection Edge Distance (in) (B)]]-(Reinforcements[[#This Row],[Bolt Hole Size (in)]]+1/16)/2</f>
        <v>#VALUE!</v>
      </c>
      <c r="AK71" s="127" t="e">
        <f>Reinforcements[[#This Row],[End Connection Bolt Spacing (in) (B)]]-(Reinforcements[[#This Row],[Bolt Hole Size (in)]]+1/16)</f>
        <v>#VALUE!</v>
      </c>
      <c r="AL71" s="127" t="str">
        <f>Reinforcements[[#This Row],[End Connection Edge Distance (in) (B)]]</f>
        <v/>
      </c>
      <c r="AM71" s="127" t="str">
        <f>Reinforcements[[#This Row],[End Connection Bolt Spacing (in) (B)]]</f>
        <v/>
      </c>
      <c r="AN71" s="127" t="str">
        <f>IF(Reinforcements[[#This Row],[Reinforcement]]="","",IF(OR(Reinforcements[[#This Row],[Bottom End Connection Type]]="Bolted",Reinforcements[[#This Row],[Bottom End Connection Type]]=""),"-",""))</f>
        <v/>
      </c>
      <c r="AO71" s="129" t="str">
        <f>IF(Reinforcements[[#This Row],[Reinforcement]]="","",IF(Reinforcements[[#This Row],[Bottom End Connection Type]]&lt;&gt;"Welded","-",""))</f>
        <v/>
      </c>
      <c r="AP71" s="129" t="str">
        <f>IF(Reinforcements[[#This Row],[Reinforcement]]="","",IF(Reinforcements[[#This Row],[Bottom End Connection Type]]&lt;&gt;"Welded","-",""))</f>
        <v/>
      </c>
      <c r="AQ71" s="129" t="str">
        <f>IF(Reinforcements[[#This Row],[Reinforcement]]="","",IF(OR(Reinforcements[[#This Row],[Bottom End Connection Type]]&lt;&gt;"Welded",Reinforcements[[#This Row],[Bottom Transverse (Horizontal) Weld]]="None"),"-",""))</f>
        <v/>
      </c>
      <c r="AR7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129" t="str">
        <f>IF(Reinforcements[[#This Row],[Reinforcement]]="","",IF(OR(Reinforcements[[#This Row],[Bottom Transverse (Horizontal) Weld]]="None",Reinforcements[[#This Row],[Bottom End Connection Type]]&lt;&gt;"Welded"),"-",""))</f>
        <v/>
      </c>
      <c r="AU71"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129" t="str">
        <f>IF(Reinforcements[[#This Row],[Reinforcement]]="","",IF(OR(Reinforcements[[#This Row],[Bottom End Connection Type]]&lt;&gt;"Welded",Reinforcements[[#This Row],[Bottom End Connection Type]]=""),"-",""))</f>
        <v/>
      </c>
      <c r="AW71" s="129" t="str">
        <f>IF(Reinforcements[[#This Row],[Reinforcement]]="","",IF(OR(Reinforcements[[#This Row],[Bottom End Connection Type]]&lt;&gt;"Welded",Reinforcements[[#This Row],[Bottom Longitudinal (Vertical) Weld]]="None",Reinforcements[[#This Row],[Bottom Longitudinal (Vertical) Weld]]=""),"-",""))</f>
        <v/>
      </c>
      <c r="AX71" s="129" t="str">
        <f>IF(Reinforcements[[#This Row],[Reinforcement]]="","",IF(OR(Reinforcements[[#This Row],[Bottom End Connection Type]]&lt;&gt;"Welded",Reinforcements[[#This Row],[Bottom Longitudinal (Vertical) Weld]]="None",Reinforcements[[#This Row],[Bottom Longitudinal (Vertical) Weld]]=""),"-",""))</f>
        <v/>
      </c>
      <c r="AY71" s="127" t="str">
        <f>IF(Reinforcements[[#This Row],[Reinforcement]]="","",IF(OR(Reinforcements[[#This Row],[Bottom End Connection Type]]&lt;&gt;"Welded",Reinforcements[[#This Row],[Bottom Longitudinal (Vertical) Weld]]="None"),"-",SQRT(2)/2*Reinforcements[[#This Row],[Bottom Longitudinal Weld Fillet Size (in)]]))</f>
        <v/>
      </c>
      <c r="AZ71" s="127"/>
      <c r="BA71" s="74" t="str">
        <f>IF(Reinforcements[[#This Row],[Top End Connection Same?]]="Yes",Reinforcements[[#This Row],[Bottom End Connection Type]],"")</f>
        <v/>
      </c>
      <c r="BB71" s="74" t="str">
        <f>IF(Reinforcements[[#This Row],[Reinforcement]]="","",IF(Reinforcements[[#This Row],[Top End Connection Same?]]="Yes",Reinforcements[[#This Row],[Rev. F Bottom Connection Capacity (kips)]],IF(Reinforcements[[#This Row],[Reinforcement]]="","",IF(Reinforcements[[#This Row],[Top End Connection Type]]&lt;&gt;"Capacity Input","-",""))))</f>
        <v/>
      </c>
      <c r="BC71" s="74" t="str">
        <f>IF(Reinforcements[[#This Row],[Reinforcement]]="","",IF(Reinforcements[[#This Row],[Top End Connection Same?]]="Yes",Reinforcements[[#This Row],[Rev. G Bottom Connection Capacity (kips)]],IF(Reinforcements[[#This Row],[Reinforcement]]="","",IF(Reinforcements[[#This Row],[Top End Connection Type]]&lt;&gt;"Capacity Input","-",""))))</f>
        <v/>
      </c>
      <c r="BD71" s="74" t="str">
        <f>IF(Reinforcements[[#This Row],[Reinforcement]]="","",IF(Reinforcements[[#This Row],[Top End Connection Same?]]="Yes",Reinforcements[[#This Row],[Rev. G Bottom Connection Capacity (kips)]],IF(Reinforcements[[#This Row],[Reinforcement]]="","",IF(Reinforcements[[#This Row],[Top End Connection Type]]&lt;&gt;"Capacity Input","-",""))))</f>
        <v/>
      </c>
      <c r="BE71" s="74" t="str">
        <f>IF(Reinforcements[[#This Row],[Reinforcement]]="","",IF(Reinforcements[[#This Row],[Top End Connection Same?]]="Yes",Reinforcements[[#This Row],[Bottom End Connection Bolt Type]],IF(Reinforcements[[#This Row],[Top End Connection Type]]&lt;&gt;"Bolted","-","")))</f>
        <v/>
      </c>
      <c r="BF71" s="127" t="str">
        <f>IF(Reinforcements[[#This Row],[Reinforcement]]="","",IF(Reinforcements[[#This Row],[Top End Connection Same?]]="Yes",Reinforcements[[#This Row],[Threads Included (N) or Excluded (X) (Bottom)]],IF(Reinforcements[[#This Row],[Top End Connection Type]]&lt;&gt;"Bolted","-","")))</f>
        <v/>
      </c>
      <c r="BG71" s="127" t="str">
        <f>IF(Reinforcements[[#This Row],[Reinforcement]]="","",IF(Reinforcements[[#This Row],[Top End Connection Same?]]="Yes",Reinforcements[[#This Row],['# of End Connection Bolts          (Bottom)]],IF(Reinforcements[[#This Row],[Top End Connection Type]]&lt;&gt;"Bolted","-","")))</f>
        <v/>
      </c>
      <c r="BH71" s="127" t="str">
        <f>IF(Reinforcements[[#This Row],[Reinforcement]]="","",IF(Reinforcements[[#This Row],[Top End Connection Same?]]="Yes",Reinforcements[[#This Row],[End Connection Bolt Spacing (in) (B)]],IF(Reinforcements[[#This Row],[Top End Connection Type]]&lt;&gt;"Bolted","-","")))</f>
        <v/>
      </c>
      <c r="BI71" s="127" t="str">
        <f>IF(Reinforcements[[#This Row],[Reinforcement]]="","",IF(Reinforcements[[#This Row],[Top End Connection Same?]]="Yes",Reinforcements[[#This Row],[End Connection Edge Distance (in) (B)]],IF(Reinforcements[[#This Row],[Top End Connection Type]]&lt;&gt;"Bolted","-","")))</f>
        <v/>
      </c>
      <c r="BJ71" s="127" t="e">
        <f>Reinforcements[[#This Row],[End Connection Edge Distance (in) (T)]]-(Reinforcements[[#This Row],[Bolt Hole Size (in)]]+1/16)/2</f>
        <v>#VALUE!</v>
      </c>
      <c r="BK71" s="127" t="e">
        <f>Reinforcements[[#This Row],[End Connection Bolt Spacing (in) (T)]]-(Reinforcements[[#This Row],[Bolt Hole Size (in)]]+1/16)</f>
        <v>#VALUE!</v>
      </c>
      <c r="BL71" s="127" t="str">
        <f>Reinforcements[[#This Row],[End Connection Edge Distance (in) (T)]]</f>
        <v/>
      </c>
      <c r="BM71" s="127" t="str">
        <f>Reinforcements[[#This Row],[End Connection Bolt Spacing (in) (T)]]</f>
        <v/>
      </c>
      <c r="BN71" s="127" t="str">
        <f>IF(Reinforcements[[#This Row],[Reinforcement]]="","",IF(Reinforcements[[#This Row],[Top End Connection Same?]]="Yes",Reinforcements[[#This Row],[Bottom Connected to Flange/Base Plate?]],IF(Reinforcements[[#This Row],[Top End Connection Type]]="Bolted","-","")))</f>
        <v/>
      </c>
      <c r="BO71" s="127" t="str">
        <f>IF(Reinforcements[[#This Row],[Reinforcement]]="","",IF(Reinforcements[[#This Row],[Top End Connection Same?]]="Yes",Reinforcements[[#This Row],[Bottom Weld Grade (ksi)]],IF(OR(Reinforcements[[#This Row],[Top End Connection Type]]&lt;&gt;"Welded",Reinforcements[[#This Row],[Top End Connection Type]]=""),"-","")))</f>
        <v/>
      </c>
      <c r="BP71" s="127" t="str">
        <f>IF($AZ71="Yes",AP71,IF(Reinforcements[[#This Row],[Reinforcement]]="","",IF(OR(Reinforcements[[#This Row],[Top End Connection Type]]&lt;&gt;"Welded",Reinforcements[[#This Row],[Top End Connection Type]]=""),"-","")))</f>
        <v/>
      </c>
      <c r="BQ71" s="127" t="str">
        <f>IF(Reinforcements[[#This Row],[Reinforcement]]="","",IF($AZ71="Yes",AQ71,IF(OR(Reinforcements[[#This Row],[Top End Connection Type]]&lt;&gt;"Welded",Reinforcements[[#This Row],[Top Transverse (Horizontal) Weld]]="none",Reinforcements[[#This Row],[Top Transverse (Horizontal) Weld]]=""),"-","")))</f>
        <v/>
      </c>
      <c r="BR71" s="127"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127"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127" t="str">
        <f>IF(Reinforcements[[#This Row],[Reinforcement]]="","",IF($AZ71="Yes",AT71,IF(OR(Reinforcements[[#This Row],[Top Transverse (Horizontal) Weld]]="none",Reinforcements[[#This Row],[Top End Connection Type]]&lt;&gt;"Welded",Reinforcements[[#This Row],[Top Transverse (Horizontal) Weld]]=""),"-","")))</f>
        <v/>
      </c>
      <c r="BU71" s="127"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127" t="str">
        <f>IF($AZ71="Yes",AV71,IF(Reinforcements[[#This Row],[Reinforcement]]="","",IF(OR(Reinforcements[[#This Row],[Top End Connection Type]]&lt;&gt;"Welded",Reinforcements[[#This Row],[Top End Connection Type]]=""),"-","")))</f>
        <v/>
      </c>
      <c r="BW71" s="127"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127"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127" t="str">
        <f>IF($AZ71="Yes",AY71,IF(Reinforcements[[#This Row],[Reinforcement]]="","",IF(OR(Reinforcements[[#This Row],[Top End Connection Type]]&lt;&gt;"Welded",Reinforcements[[#This Row],[Top Longitudinal (Vertical) Weld]]="none"),"-",SQRT(2)/2*Reinforcements[[#This Row],[Top Longitudinal Weld Fillet Size (in)]])))</f>
        <v/>
      </c>
      <c r="BZ71"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1"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127" t="str">
        <f>IFERROR(IF(Reinforcements[[#This Row],[Type]]="","",Reinforcements[[#This Row],[Effective B (in)]]*Reinforcements[[#This Row],[Effective H (in)]]^3/12),"")</f>
        <v/>
      </c>
      <c r="CF71" s="127" t="str">
        <f>IFERROR(IF(Reinforcements[[#This Row],[Type]]="","",Reinforcements[[#This Row],[Effective B (in)]]^3*Reinforcements[[#This Row],[Effective H (in)]]/12),"")</f>
        <v/>
      </c>
      <c r="CG71" s="140" t="e">
        <f>SQRT(2*PI()^2*29000/VLOOKUP(Reinforcements[[#This Row],[Material]],Materials[],2,FALSE))</f>
        <v>#N/A</v>
      </c>
      <c r="CH71"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135" t="e">
        <f>Reinforcements[[#This Row],[Effective Length Factor Kx]]*Reinforcements[[#This Row],[Lu (in)]]/(Reinforcements[[#This Row],[rx]]*PI())*SQRT(VLOOKUP(Reinforcements[[#This Row],[Material]],Materials[],2,FALSE)/29000)</f>
        <v>#VALUE!</v>
      </c>
      <c r="CK71" s="135" t="e">
        <f>Reinforcements[[#This Row],[Effective Length Factor Ky]]*Reinforcements[[#This Row],[Lu (in)]]/(Reinforcements[[#This Row],[ry]]*PI())*SQRT(VLOOKUP(Reinforcements[[#This Row],[Material]],Materials[],2,FALSE)/29000)</f>
        <v>#VALUE!</v>
      </c>
      <c r="CL71" s="135" t="e">
        <f>IF(Reinforcements[[#This Row],[λcx]]&lt;=1.5,0.658^(Reinforcements[[#This Row],[λcx]]^2)*Reinforcements[[#This Row],[F''y]],0.877/(Reinforcements[[#This Row],[λcx]]^2)*Reinforcements[[#This Row],[F''y]])</f>
        <v>#VALUE!</v>
      </c>
      <c r="CM71" s="135" t="e">
        <f>IF(Reinforcements[[#This Row],[λcy]]&lt;=1.5,0.658^(Reinforcements[[#This Row],[λcy]]^2)*Reinforcements[[#This Row],[F''y]],0.877/(Reinforcements[[#This Row],[λcy]]^2)*Reinforcements[[#This Row],[F''y]])</f>
        <v>#VALUE!</v>
      </c>
      <c r="CN71" s="127" t="e">
        <f>VLOOKUP(Reinforcements[[#This Row],[Material]],Materials[],2,FALSE)</f>
        <v>#N/A</v>
      </c>
      <c r="CO71" s="140" t="str">
        <f>IF(Reinforcements[[#This Row],[Reinforcement]]="","",Reinforcements[[#This Row],[Fax]]*Reinforcements[[#This Row],[Gross Area (in2)]])</f>
        <v/>
      </c>
      <c r="CP71" s="140" t="str">
        <f>IF(Reinforcements[[#This Row],[Reinforcement]]="","",Reinforcements[[#This Row],[Fay]]*Reinforcements[[#This Row],[Gross Area (in2)]])</f>
        <v/>
      </c>
      <c r="CQ71" s="140" t="str">
        <f>IF(Reinforcements[[#This Row],[Reinforcement]]="","",0.6*VLOOKUP(Reinforcements[[#This Row],[Material]],Materials[],2,FALSE)*Reinforcements[[#This Row],[Gross Area (in2)]])</f>
        <v/>
      </c>
      <c r="CR71" s="140" t="str">
        <f>IF(Reinforcements[[#This Row],[Reinforcement]]="","",0.5*VLOOKUP(Reinforcements[[#This Row],[Material]],Materials[],3,FALSE)*Reinforcements[[#This Row],[Net Area (in2)]]*Reinforcements[[#This Row],[Shear Lag (U)]])</f>
        <v/>
      </c>
      <c r="CS71" s="140" t="str">
        <f>IF(Reinforcements[[#This Row],[Reinforcement]]="","",0.4*VLOOKUP(Reinforcements[[#This Row],[Material]],Materials[],2,FALSE)*Reinforcements[[#This Row],[Gross Area (in2)]])</f>
        <v/>
      </c>
      <c r="CT71"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127"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127"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140" t="str">
        <f>IF(Reinforcements[[#This Row],[Reinforcement]]="","",φ_c*Reinforcements[[#This Row],[Fcr,x]]*Reinforcements[[#This Row],[Gross Area (in2)]])</f>
        <v/>
      </c>
      <c r="DI71" s="140" t="str">
        <f>IF(Reinforcements[[#This Row],[Reinforcement]]="","",φ_c*Reinforcements[[#This Row],[Fcr,y]]*Reinforcements[[#This Row],[Gross Area (in2)]])</f>
        <v/>
      </c>
      <c r="DJ71" s="140" t="str">
        <f>IF(Reinforcements[[#This Row],[Reinforcement]]="","",φ_t_y*VLOOKUP(Reinforcements[[#This Row],[Material]],Materials[],2,FALSE)*Reinforcements[[#This Row],[Gross Area (in2)]])</f>
        <v/>
      </c>
      <c r="DK71" s="140" t="str">
        <f>IF(Reinforcements[[#This Row],[Reinforcement]]="","",φ_t_r*VLOOKUP(Reinforcements[[#This Row],[Material]],Materials[],3,FALSE)*Reinforcements[[#This Row],[Net Area (in2)]]*Reinforcements[[#This Row],[Shear Lag (U)]])</f>
        <v/>
      </c>
      <c r="DL71" s="140" t="str">
        <f>IF(Reinforcements[[#This Row],[Reinforcement]]="","",φ_v*0.5*Reinforcements[[#This Row],[F''y]]*Reinforcements[[#This Row],[Gross Area (in2)]])</f>
        <v/>
      </c>
      <c r="DM71"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127"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127"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129" t="str">
        <f>IF(OR(Reinforcements[[#This Row],[Type]]="plate",Reinforcements[[#This Row],[Type]]="solid round"),"N/A",Reinforcements[[#This Row],[B (in)]])</f>
        <v/>
      </c>
      <c r="EB71" s="127" t="str">
        <f>IF(OR(Reinforcements[[#This Row],[Type]]="plate",Reinforcements[[#This Row],[Type]]="solid round"),"N/A",Reinforcements[[#This Row],[H (in)]])</f>
        <v/>
      </c>
      <c r="EC71" s="127" t="e">
        <f>IF(OR(Reinforcements[[#This Row],[Type]]="plate",Reinforcements[[#This Row],[Type]]="solid round"),"N/A",Reinforcements[[#This Row],[B (in)]]-Reinforcements[[#This Row],['[Channel'] Flange Thickness (in)]])</f>
        <v>#VALUE!</v>
      </c>
      <c r="ED71" s="127" t="str">
        <f>IF(OR(Reinforcements[[#This Row],[Type]]="plate",Reinforcements[[#This Row],[Type]]="solid round"),"N/A",Reinforcements[[#This Row],['[Channel']Web Thickness (in)]])</f>
        <v/>
      </c>
      <c r="EE71" s="127" t="str">
        <f>IF(OR(Reinforcements[[#This Row],[Type]]="plate",Reinforcements[[#This Row],[Type]]="solid round"),"N/A",Reinforcements[[#This Row],['[Channel'] Flange Thickness (in)]])</f>
        <v/>
      </c>
      <c r="EF71" s="127" t="str">
        <f>IF(Reinforcements[[#This Row],[Type]]="channel",Reinforcements[[#This Row],[Channel Flange Width, b]]/Reinforcements[[#This Row],[Channel flange thickness, tf]],"N/A")</f>
        <v>N/A</v>
      </c>
      <c r="EG71" s="127" t="str">
        <f>IF(Reinforcements[[#This Row],[Type]]="channel",Reinforcements[[#This Row],[Channel inside depth, T]]/Reinforcements[[#This Row],[Channel web thickness, tw]],"N/A")</f>
        <v>N/A</v>
      </c>
      <c r="EH71" s="6">
        <f>29000</f>
        <v>29000</v>
      </c>
      <c r="EI71" s="127" t="str">
        <f>IF(Reinforcements[[#This Row],[Type]]="channel",0.56*SQRT(Reinforcements[[#This Row],[E, (ksi)]]/Reinforcements[[#This Row],[Fy, (ksi)]]),"N/A")</f>
        <v>N/A</v>
      </c>
      <c r="EJ71" s="127" t="str">
        <f>IF(Reinforcements[[#This Row],[Type]]="channel",1.49*SQRT(Reinforcements[[#This Row],[E, (ksi)]]/Reinforcements[[#This Row],[Fy, (ksi)]]),"N/A")</f>
        <v>N/A</v>
      </c>
      <c r="EK71" s="127" t="e">
        <f>VLOOKUP(Reinforcements[[#This Row],[Material]],Materials!$B$2:$C$30,2,FALSE)</f>
        <v>#N/A</v>
      </c>
      <c r="EL71" s="127" t="e">
        <f>Reinforcements[[#This Row],[Lu (in)]]*Reinforcements[[#This Row],[Effective Length Factor Kx]]</f>
        <v>#VALUE!</v>
      </c>
      <c r="EM71" s="127" t="e">
        <f>Reinforcements[[#This Row],[Lu (in)]]*Reinforcements[[#This Row],[Effective Length Factor Ky]]</f>
        <v>#VALUE!</v>
      </c>
      <c r="EN71" s="127" t="str">
        <f>Reinforcements[[#This Row],[rx]]</f>
        <v/>
      </c>
      <c r="EO71" s="127" t="str">
        <f>Reinforcements[[#This Row],[ry]]</f>
        <v/>
      </c>
      <c r="EP71" s="127" t="e">
        <f>Reinforcements[[#This Row],[Lcx (in)]]/Reinforcements[[#This Row],[rx (in)]]</f>
        <v>#VALUE!</v>
      </c>
      <c r="EQ71" s="127" t="e">
        <f>Reinforcements[[#This Row],[Lcy (in)]]/Reinforcements[[#This Row],[ry (in)]]</f>
        <v>#VALUE!</v>
      </c>
      <c r="ER71" s="127" t="e">
        <f>((PI()^2)*Reinforcements[[#This Row],[E, (ksi)]])/(Reinforcements[[#This Row],[Lcx/rx]]^2)</f>
        <v>#VALUE!</v>
      </c>
      <c r="ES71" s="127" t="e">
        <f>((PI()^2)*Reinforcements[[#This Row],[E, (ksi)]])/(Reinforcements[[#This Row],[Lcy/ry]]^2)</f>
        <v>#VALUE!</v>
      </c>
      <c r="ET71" s="127" t="e">
        <f>4.71*(SQRT(Reinforcements[[#This Row],[E, (ksi)]]/Reinforcements[[#This Row],[Fy, (ksi)]]))</f>
        <v>#N/A</v>
      </c>
      <c r="EU71" s="127" t="e">
        <f>IF(Reinforcements[[#This Row],[Lcx/rx]]&lt;=Reinforcements[[#This Row],[Fcr Limit]],(0.658^(Reinforcements[[#This Row],[Fy, (ksi)]]/Reinforcements[[#This Row],[Fex, FB (ksi)]]))*Reinforcements[[#This Row],[Fy, (ksi)]],0.877*Reinforcements[[#This Row],[Fex, FB (ksi)]])</f>
        <v>#VALUE!</v>
      </c>
      <c r="EV71" s="127" t="e">
        <f>IF(Reinforcements[[#This Row],[Lcy/ry]]&lt;=Reinforcements[[#This Row],[Fcr Limit]],(0.658^(Reinforcements[[#This Row],[Fy, (ksi)]]/Reinforcements[[#This Row],[Fey, FB (ksi)]]))*Reinforcements[[#This Row],[Fy, (ksi)]],0.877*Reinforcements[[#This Row],[Fey, FB (ksi)]])</f>
        <v>#VALUE!</v>
      </c>
      <c r="EW71" s="127" t="e">
        <f>Reinforcements[[#This Row],[Fcrx (ksi)]]*Reinforcements[[#This Row],[Gross Area (in2)]]</f>
        <v>#VALUE!</v>
      </c>
      <c r="EX71" s="127" t="e">
        <f>Reinforcements[[#This Row],[Fcry (ksi)]]*Reinforcements[[#This Row],[Gross Area (in2)]]</f>
        <v>#VALUE!</v>
      </c>
      <c r="EY71" s="127" t="str">
        <f>IF(Reinforcements[[#This Row],[Type]]="channel",0,"N/A")</f>
        <v>N/A</v>
      </c>
      <c r="EZ71" s="127" t="str">
        <f>IF(Reinforcements[[#This Row],[Type]]="channel",Reinforcements[[#This Row],[Channel Flange Width, b]]-(0.5*Reinforcements[[#This Row],[Channel web thickness, tw]]),"N/A")</f>
        <v>N/A</v>
      </c>
      <c r="FA71" s="127" t="str">
        <f>IF(Reinforcements[[#This Row],[Type]]="channel",Reinforcements[[#This Row],[Channel Height, h]]-Reinforcements[[#This Row],[Channel flange thickness, tf]],"N/A")</f>
        <v>N/A</v>
      </c>
      <c r="FB71" s="127" t="str">
        <f>IF(Reinforcements[[#This Row],[Type]]="channel",Reinforcements[[#This Row],[Channel web thickness, tw]],"N/A")</f>
        <v>N/A</v>
      </c>
      <c r="FC71" s="127" t="str">
        <f>IF(Reinforcements[[#This Row],[Type]]="channel",((3*Reinforcements[[#This Row],[b]]^2)/(Reinforcements[[#This Row],[h]]+(6*Reinforcements[[#This Row],[b]])))-Reinforcements[[#This Row],[t]]/2,"N/A")</f>
        <v>N/A</v>
      </c>
      <c r="FD71" s="127" t="str">
        <f>Reinforcements[[#This Row],[Pole Face to Centroid (in)]]</f>
        <v/>
      </c>
      <c r="FE71" s="127" t="str">
        <f>IF(Reinforcements[[#This Row],[Type]]="channel",Reinforcements[[#This Row],[x(bar)]]+Reinforcements[[#This Row],['[Channel'] e0 (in)]],"N/A")</f>
        <v>N/A</v>
      </c>
      <c r="FF71" s="127" t="str">
        <f>IF(Reinforcements[[#This Row],[Type]]="channel",Reinforcements[[#This Row],[Ix]],"N/A")</f>
        <v>N/A</v>
      </c>
      <c r="FG71" s="127" t="str">
        <f>IF(Reinforcements[[#This Row],[Type]]="channel",Reinforcements[[#This Row],[Iy]],"N/A")</f>
        <v>N/A</v>
      </c>
      <c r="FH71" s="127" t="str">
        <f>IF(Reinforcements[[#This Row],[Type]]="channel",Reinforcements[[#This Row],[Gross Area (in2)]],"N/A")</f>
        <v>N/A</v>
      </c>
      <c r="FI71" s="127" t="str">
        <f>IF(Reinforcements[[#This Row],[Type]]="channel",(Reinforcements[[#This Row],[xo]]^2)+((Reinforcements[[#This Row],[Ix (FTB)]]+Reinforcements[[#This Row],[Iy (FTB)]])/Reinforcements[[#This Row],[Ag]]),"N/A")</f>
        <v>N/A</v>
      </c>
      <c r="FJ71" s="127" t="str">
        <f>IF(Reinforcements[[#This Row],[Type]]="channel",Reinforcements[[#This Row],[Lu (in)]],"N/A")</f>
        <v>N/A</v>
      </c>
      <c r="FK71" s="127" t="str">
        <f>IF(Reinforcements[[#This Row],[Type]]="channel",Reinforcements[[#This Row],[Effective Length Factor Kx]],"N/A")</f>
        <v>N/A</v>
      </c>
      <c r="FL71" s="127" t="str">
        <f>IF(Reinforcements[[#This Row],[Type]]="channel",Reinforcements[[#This Row],[Kz]]*Reinforcements[[#This Row],[Lz]],"N/A")</f>
        <v>N/A</v>
      </c>
      <c r="FM71" s="127" t="str">
        <f>IF(Reinforcements[[#This Row],[Type]]="channel",(((Reinforcements[[#This Row],[t]]^3)/3)*(Reinforcements[[#This Row],[h]]+(2*Reinforcements[[#This Row],[b]]))),"N/A")</f>
        <v>N/A</v>
      </c>
      <c r="FN71" s="127" t="str">
        <f>IF(Reinforcements[[#This Row],[Type]]="channel",(1-(((Reinforcements[[#This Row],[xo]]^2)+(Reinforcements[[#This Row],[yo]]^2))/Reinforcements[[#This Row],[ro^2(bar)]])),"N/A")</f>
        <v>N/A</v>
      </c>
      <c r="FO71" s="127">
        <v>11198</v>
      </c>
      <c r="FP71" s="127" t="str">
        <f>IF(Reinforcements[[#This Row],[Type]]="channel",(((Reinforcements[[#This Row],[h]]^2)*(Reinforcements[[#This Row],[b]]^3)*Reinforcements[[#This Row],[t]])/12)*(((2*Reinforcements[[#This Row],[h]])+(3*Reinforcements[[#This Row],[b]]))/(Reinforcements[[#This Row],[h]]+(6*Reinforcements[[#This Row],[b]]))),"N/A")</f>
        <v>N/A</v>
      </c>
      <c r="FQ71" s="127" t="str">
        <f>IF(Reinforcements[[#This Row],[Type]]="Channel",((((PI()^2)*Reinforcements[[#This Row],[E, (ksi)]]*Reinforcements[[#This Row],['[Channel'] CW (in6)]])/(Reinforcements[[#This Row],[Lcz]]^2))+(Reinforcements[[#This Row],[G]]*Reinforcements[[#This Row],['[Channel'] J (in4)]]))*(1/(Reinforcements[[#This Row],[Ag]]*Reinforcements[[#This Row],[ro^2(bar)]])),"N/A")</f>
        <v>N/A</v>
      </c>
      <c r="FR71" s="127" t="str">
        <f>IF(Reinforcements[[#This Row],[Type]]="channel",((PI()^2)*Reinforcements[[#This Row],[E, (ksi)]])/(Reinforcements[[#This Row],[Lcy/ry]]^2),"N/A")</f>
        <v>N/A</v>
      </c>
      <c r="FS71" s="127" t="str">
        <f>IF(Reinforcements[[#This Row],[Type]]="channel",((Reinforcements[[#This Row],[Fey]]+Reinforcements[[#This Row],[Fez]])/(2*Reinforcements[[#This Row],[H2]]))*(1-SQRT(1-((4*Reinforcements[[#This Row],[Fey]]*Reinforcements[[#This Row],[Fez]]*Reinforcements[[#This Row],[H2]])/(Reinforcements[[#This Row],[Fey]]+Reinforcements[[#This Row],[Fez]])^2))),"N/A")</f>
        <v>N/A</v>
      </c>
      <c r="FT71" s="127" t="str">
        <f>IF(Reinforcements[[#This Row],[Type]]="channel",IF(Reinforcements[[#This Row],[Lcx/rx]]&gt;(4.71*SQRT(Reinforcements[[#This Row],[E, (ksi)]]/Reinforcements[[#This Row],[Fy, (ksi)]])),0.877*Reinforcements[[#This Row],[Fe (FTB)]],0.658^(Reinforcements[[#This Row],[Fy, (ksi)]]/Reinforcements[[#This Row],[Fe (FTB)]])*Reinforcements[[#This Row],[Fy, (ksi)]]),"N/A")</f>
        <v>N/A</v>
      </c>
      <c r="FU71" s="127" t="str">
        <f>IF(Reinforcements[[#This Row],[Type]]="channel",MIN(Reinforcements[[#This Row],[Fcr(FTB)]],Reinforcements[[#This Row],[Fcry (ksi)]]),"N/A")</f>
        <v>N/A</v>
      </c>
      <c r="FV71" s="127">
        <v>0.22</v>
      </c>
      <c r="FW71" s="127">
        <v>1.49</v>
      </c>
      <c r="FX71" s="127" t="str">
        <f>IF(Reinforcements[[#This Row],[Type]]="channel",((Reinforcements[[#This Row],[c2]]*(Reinforcements[[#This Row],[λrf]]/Reinforcements[[#This Row],[λf]]))^2)*Reinforcements[[#This Row],[Fy, (ksi)]],"N/A")</f>
        <v>N/A</v>
      </c>
      <c r="FY71" s="127" t="str">
        <f>IF(Reinforcements[[#This Row],[Type]]="channel",((Reinforcements[[#This Row],[c2]]*(Reinforcements[[#This Row],[λrw]]/Reinforcements[[#This Row],[λw]]))^2)*Reinforcements[[#This Row],[Fy, (ksi)]],"N/A")</f>
        <v>N/A</v>
      </c>
      <c r="FZ71"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127" t="str">
        <f>IF(Reinforcements[[#This Row],[Type]]="channel",Reinforcements[[#This Row],[Fcr]]*Reinforcements[[#This Row],[Ae]],"N/A")</f>
        <v>N/A</v>
      </c>
      <c r="GD71" s="50" t="str">
        <f>IF(Reinforcements[[#This Row],[Reinforcement]]="","",φ_c*Reinforcements[[#This Row],[Pnx, FB (kip)]])</f>
        <v/>
      </c>
      <c r="GE71" s="50" t="str">
        <f>IF(Reinforcements[[#This Row],[Reinforcement]]="","",IF(Reinforcements[[#This Row],[Type]]="channel",φ_c*Reinforcements[[#This Row],[Pn]],φ_c*Reinforcements[[#This Row],[Pny, FB (kip)]]))</f>
        <v/>
      </c>
      <c r="GF71" s="50" t="str">
        <f>Reinforcements[[#This Row],[Rev. G Tension Yield Capacity (kips)]]</f>
        <v/>
      </c>
      <c r="GG71" s="50" t="str">
        <f>Reinforcements[[#This Row],[Rev. G Tension Rupture Capacity (kips)]]</f>
        <v/>
      </c>
      <c r="GH71" s="50" t="str">
        <f>Reinforcements[[#This Row],[Rev. G Shear Capacity (kips)]]</f>
        <v/>
      </c>
      <c r="GI71" s="50" t="str">
        <f>IFERROR((Reinforcements[[#This Row],['# of End Connection Bolts          (Bottom)]]-1)*Reinforcements[[#This Row],[End Connection Bolt Spacing (in) (B)]],"-")</f>
        <v>-</v>
      </c>
      <c r="GJ71" s="50" t="str">
        <f>IFERROR(IF(VLOOKUP(Reinforcements[[#This Row],[Bottom End Connection Bolt Type]],Bolts[],COLUMN(Bolts[[#Headers],[Rev. H Apply Connection Length Reduction Factor (Rb)?]])-1,FALSE)="Yes",(IF(Reinforcements[[#This Row],[Lb(bottom)]]&lt;=16,1,IF(Reinforcements[[#This Row],[Lb(bottom)]]&gt;38,0.75,0.9))),1),"-")</f>
        <v>-</v>
      </c>
      <c r="GK71"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50" t="str">
        <f>IFERROR(IF(Reinforcements[[#This Row],[Top End Connection Same?]]="Yes",Reinforcements[[#This Row],[Lb(bottom)]],(Reinforcements[[#This Row],['# of End Connection Bolts          (Top)]]-1)*Reinforcements[[#This Row],[End Connection Bolt Spacing (in) (T)]]),"-")</f>
        <v>-</v>
      </c>
      <c r="GM71" s="50" t="str">
        <f>IFERROR(IF(VLOOKUP(Reinforcements[[#This Row],[Top End Connection Bolt Type]],Bolts[],COLUMN(Bolts[[#Headers],[Rev. H Apply Connection Length Reduction Factor (Rb)?]])-1,FALSE)=TRUE,(IF(Reinforcements[[#This Row],[Lb(top)]]&lt;=16,1,IF(Reinforcements[[#This Row],[Lb(top)]]&gt;38,0.75,0.9))),1),"-")</f>
        <v>-</v>
      </c>
      <c r="GN71"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50" t="str">
        <f>Reinforcements[[#This Row],[Rev. G Bolt-Shaft Bearing Capacity (Bottom)                No Deformation          (*t*Fu kips)]]</f>
        <v>-</v>
      </c>
      <c r="GP71" s="50" t="str">
        <f>Reinforcements[[#This Row],[Rev. G Bolt-Shaft Bearing Capacity (Bottom)                   Deformation          (*t*Fu kips)]]</f>
        <v>-</v>
      </c>
      <c r="GQ71" s="50" t="str">
        <f>Reinforcements[[#This Row],[Rev. G Bolt-Shaft Bearing Capacity (Top)                    No Deformation          (*t*Fu kips)]]</f>
        <v>-</v>
      </c>
      <c r="GR71" s="50" t="str">
        <f>Reinforcements[[#This Row],[Rev. G Bolt-Shaft Bearing Capacity (Top)                        Deformation          (*t*Fu kips)]]</f>
        <v>-</v>
      </c>
      <c r="GS71" s="50" t="str">
        <f>Reinforcements[[#This Row],[Rev. G Bolt-Reinf. Bearing Capacity (Bottom)            No Deformation (kips)]]</f>
        <v>-</v>
      </c>
      <c r="GT71" s="50" t="str">
        <f>Reinforcements[[#This Row],[Rev. G Bolt-Reinf. Bearing Capacity (Bottom)               Deformation (kips)]]</f>
        <v>-</v>
      </c>
      <c r="GU71" s="50" t="str">
        <f>Reinforcements[[#This Row],[Rev. G Bolt-Reinf. Bearing Capacity (Top)                  No Deformation (kips)]]</f>
        <v>-</v>
      </c>
      <c r="GV71" s="50" t="str">
        <f>Reinforcements[[#This Row],[Rev. G Bolt-Reinf. Bearing Capacity (Top)               Deformation (kips)]]</f>
        <v>-</v>
      </c>
      <c r="GW71" s="50" t="str">
        <f>Reinforcements[[#This Row],[Rev. G Bottom Transverse Weld Strength]]</f>
        <v/>
      </c>
      <c r="GX71" s="50" t="str">
        <f>Reinforcements[[#This Row],[Rev. G Bottom Longitudinal Weld Strength]]</f>
        <v/>
      </c>
      <c r="GY71" s="50" t="str">
        <f>Reinforcements[[#This Row],[Rev. G Top Transverse Weld Strength]]</f>
        <v/>
      </c>
      <c r="GZ71" s="50" t="str">
        <f>Reinforcements[[#This Row],[Rev. G Top Longitudinal Weld Strength]]</f>
        <v/>
      </c>
      <c r="HA71">
        <v>69</v>
      </c>
      <c r="HB71"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94"/>
      <c r="C72" s="94"/>
      <c r="D72" s="127" t="str">
        <f>IF(Reinforcements[[#This Row],[Type]]="","",IF(Reinforcements[[#This Row],[Type]]="solid round","-",""))</f>
        <v/>
      </c>
      <c r="E72" s="127" t="str">
        <f>IF(Reinforcements[[#This Row],[Type]]="","",IF(Reinforcements[[#This Row],[Type]]="solid round","-",""))</f>
        <v/>
      </c>
      <c r="F72" s="127" t="str">
        <f>IF(Reinforcements[[#This Row],[Type]]="","",IF(Reinforcements[[#This Row],[Type]]="solid round","","n/a"))</f>
        <v/>
      </c>
      <c r="G72" s="127" t="str">
        <f>IF(Reinforcements[[#This Row],[Type]]="","",IF(Reinforcements[[#This Row],[Type]]&lt;&gt;"channel","n/a",""))</f>
        <v/>
      </c>
      <c r="H72" s="127" t="str">
        <f>IF(Reinforcements[[#This Row],[Type]]="","",IF(Reinforcements[[#This Row],[Type]]&lt;&gt;"channel","n/a",""))</f>
        <v/>
      </c>
      <c r="I72" s="140" t="str">
        <f>IF(Reinforcements[[#This Row],[Type]]="","",IF(Reinforcements[[#This Row],[Type]]&lt;&gt;"channel","n/a",Reinforcements[[#This Row],[eo]]))</f>
        <v/>
      </c>
      <c r="J72" s="140" t="str">
        <f>IF(Reinforcements[[#This Row],[Type]]="","",IF(Reinforcements[[#This Row],[Type]]&lt;&gt;"channel","n/a",Reinforcements[[#This Row],[J]]))</f>
        <v/>
      </c>
      <c r="K72" s="140" t="str">
        <f>IF(Reinforcements[[#This Row],[Type]]="","",IF(Reinforcements[[#This Row],[Type]]&lt;&gt;"channel","n/a",Reinforcements[[#This Row],[Cw]]))</f>
        <v/>
      </c>
      <c r="L72" s="127" t="str">
        <f>IFERROR(IF(Reinforcements[[#This Row],[Type]]="","",IF(Reinforcements[[#This Row],[Type]]="plate",Reinforcements[[#This Row],[B (in)]]*Reinforcements[[#This Row],[H (in)]],IF(Reinforcements[[#This Row],[Type]]="solid round",PI()/4*Reinforcements[[#This Row],[Diameter (in)]]^2,""))),"")</f>
        <v/>
      </c>
      <c r="M72" s="127" t="str">
        <f>IFERROR(IF(Reinforcements[[#This Row],[Type]]="","",IF(Reinforcements[[#This Row],[Type]]="plate",Reinforcements[[#This Row],[H (in)]]/2,"")),"")</f>
        <v/>
      </c>
      <c r="N72" s="128"/>
      <c r="O72" s="129"/>
      <c r="P72" s="135" t="str">
        <f>IFERROR(IF(Reinforcements[[#This Row],[Type]]="","",IF(Reinforcements[[#This Row],[Type]]="plate",Reinforcements[[#This Row],[B (in)]]*Reinforcements[[#This Row],[H (in)]]^3/12,IF(Reinforcements[[#This Row],[Type]]="solid round",PI()/64*Reinforcements[[#This Row],[Diameter (in)]]^4,""))),"")</f>
        <v/>
      </c>
      <c r="Q72" s="135" t="str">
        <f>IF(Reinforcements[[#This Row],[Reinforcement]]="","",SQRT(Reinforcements[[#This Row],[Ix]]/Reinforcements[[#This Row],[Gross Area (in2)]]))</f>
        <v/>
      </c>
      <c r="R72" s="135" t="str">
        <f>IFERROR(IF(Reinforcements[[#This Row],[Type]]="","",IF(Reinforcements[[#This Row],[Type]]="plate",Reinforcements[[#This Row],[B (in)]]^3*Reinforcements[[#This Row],[H (in)]]/12,IF(Reinforcements[[#This Row],[Type]]="solid round",PI()/64*Reinforcements[[#This Row],[Diameter (in)]]^4,""))),"")</f>
        <v/>
      </c>
      <c r="S72" s="135" t="str">
        <f>IF(Reinforcements[[#This Row],[Reinforcement]]="","",SQRT(Reinforcements[[#This Row],[Iy]]/Reinforcements[[#This Row],[Gross Area (in2)]]))</f>
        <v/>
      </c>
      <c r="T72" s="127"/>
      <c r="U72" s="127" t="str">
        <f>IF(Reinforcements[[#This Row],[Lu (in)]]="","",IF(Reinforcements[[#This Row],[Lu (in)]]=0,1,""))</f>
        <v/>
      </c>
      <c r="V72" s="127" t="str">
        <f>IF(Reinforcements[[#This Row],[Lu (in)]]="","",IF(Reinforcements[[#This Row],[Lu (in)]]=0,1,""))</f>
        <v/>
      </c>
      <c r="W72" s="127" t="str">
        <f>IF(Reinforcements[[#This Row],[Type]]="","",IF(Reinforcements[[#This Row],[Type]]="solid round",0,IF(Reinforcements[[#This Row],[Type]]="arbitrary","n/a","")))</f>
        <v/>
      </c>
      <c r="X72" s="127" t="str">
        <f>IF(Reinforcements[[#This Row],[Bolt Hole Size (in)]]="","",IF(Reinforcements[[#This Row],[Bolt Hole Size (in)]]="n/a","n/a",Reinforcements[[#This Row],[Bolt Hole Size (in)]]*25.4))</f>
        <v/>
      </c>
      <c r="Y72"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127" t="str">
        <f>IFERROR(IF(Reinforcements[[#This Row],[Reinforcement]]="","",IF(OR(Reinforcements[[#This Row],[Type]]="plate",Reinforcements[[#This Row],[Type]]="solid round"),1,IF(Reinforcements[[#This Row],[Type]]="arbitrary","",1-Reinforcements[[#This Row],[Pole Face to Centroid (in)]]/Reinforcements[[#This Row],[Connection Length (in) '[Channels']]]))),"")</f>
        <v/>
      </c>
      <c r="AA72" s="74"/>
      <c r="AB72" s="74" t="str">
        <f>IF(Reinforcements[[#This Row],[Reinforcement]]="","",IF(Reinforcements[[#This Row],[Bottom End Connection Type]]&lt;&gt;"Capacity Input","-",""))</f>
        <v/>
      </c>
      <c r="AC72" s="74" t="str">
        <f>IF(Reinforcements[[#This Row],[Reinforcement]]="","",IF(Reinforcements[[#This Row],[Bottom End Connection Type]]&lt;&gt;"Capacity Input","-",""))</f>
        <v/>
      </c>
      <c r="AD72" s="74" t="str">
        <f>IF(Reinforcements[[#This Row],[Reinforcement]]="","",IF(Reinforcements[[#This Row],[Bottom End Connection Type]]&lt;&gt;"Capacity Input","-",""))</f>
        <v/>
      </c>
      <c r="AE72" s="74" t="str">
        <f>IF(Reinforcements[[#This Row],[Reinforcement]]="","",IF(Reinforcements[[#This Row],[Bottom End Connection Type]]&lt;&gt;"Bolted","-",""))</f>
        <v/>
      </c>
      <c r="AF72" s="127" t="str">
        <f>IF(Reinforcements[[#This Row],[Reinforcement]]="","",IF(Reinforcements[[#This Row],[Bottom End Connection Type]]&lt;&gt;"Bolted","-",""))</f>
        <v/>
      </c>
      <c r="AG72" s="127" t="str">
        <f>IF(Reinforcements[[#This Row],[Reinforcement]]="","",IF(Reinforcements[[#This Row],[Bottom End Connection Type]]="","-",IF(Reinforcements[[#This Row],[Bottom End Connection Type]]&lt;&gt;"Bolted","-","")))</f>
        <v/>
      </c>
      <c r="AH72" s="127" t="str">
        <f>IF(Reinforcements[[#This Row],[Reinforcement]]="","",IF(Reinforcements[[#This Row],[Bottom End Connection Type]]="","-",IF(Reinforcements[[#This Row],[Bottom End Connection Type]]&lt;&gt;"Bolted","-","")))</f>
        <v/>
      </c>
      <c r="AI72" s="127" t="str">
        <f>IF(Reinforcements[[#This Row],[Reinforcement]]="","",IF(Reinforcements[[#This Row],[Bottom End Connection Type]]="","-",IF(Reinforcements[[#This Row],[Bottom End Connection Type]]&lt;&gt;"Bolted","-","")))</f>
        <v/>
      </c>
      <c r="AJ72" s="127" t="e">
        <f>Reinforcements[[#This Row],[End Connection Edge Distance (in) (B)]]-(Reinforcements[[#This Row],[Bolt Hole Size (in)]]+1/16)/2</f>
        <v>#VALUE!</v>
      </c>
      <c r="AK72" s="127" t="e">
        <f>Reinforcements[[#This Row],[End Connection Bolt Spacing (in) (B)]]-(Reinforcements[[#This Row],[Bolt Hole Size (in)]]+1/16)</f>
        <v>#VALUE!</v>
      </c>
      <c r="AL72" s="127" t="str">
        <f>Reinforcements[[#This Row],[End Connection Edge Distance (in) (B)]]</f>
        <v/>
      </c>
      <c r="AM72" s="127" t="str">
        <f>Reinforcements[[#This Row],[End Connection Bolt Spacing (in) (B)]]</f>
        <v/>
      </c>
      <c r="AN72" s="127" t="str">
        <f>IF(Reinforcements[[#This Row],[Reinforcement]]="","",IF(OR(Reinforcements[[#This Row],[Bottom End Connection Type]]="Bolted",Reinforcements[[#This Row],[Bottom End Connection Type]]=""),"-",""))</f>
        <v/>
      </c>
      <c r="AO72" s="129" t="str">
        <f>IF(Reinforcements[[#This Row],[Reinforcement]]="","",IF(Reinforcements[[#This Row],[Bottom End Connection Type]]&lt;&gt;"Welded","-",""))</f>
        <v/>
      </c>
      <c r="AP72" s="129" t="str">
        <f>IF(Reinforcements[[#This Row],[Reinforcement]]="","",IF(Reinforcements[[#This Row],[Bottom End Connection Type]]&lt;&gt;"Welded","-",""))</f>
        <v/>
      </c>
      <c r="AQ72" s="129" t="str">
        <f>IF(Reinforcements[[#This Row],[Reinforcement]]="","",IF(OR(Reinforcements[[#This Row],[Bottom End Connection Type]]&lt;&gt;"Welded",Reinforcements[[#This Row],[Bottom Transverse (Horizontal) Weld]]="None"),"-",""))</f>
        <v/>
      </c>
      <c r="AR7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129" t="str">
        <f>IF(Reinforcements[[#This Row],[Reinforcement]]="","",IF(OR(Reinforcements[[#This Row],[Bottom Transverse (Horizontal) Weld]]="None",Reinforcements[[#This Row],[Bottom End Connection Type]]&lt;&gt;"Welded"),"-",""))</f>
        <v/>
      </c>
      <c r="AU72"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129" t="str">
        <f>IF(Reinforcements[[#This Row],[Reinforcement]]="","",IF(OR(Reinforcements[[#This Row],[Bottom End Connection Type]]&lt;&gt;"Welded",Reinforcements[[#This Row],[Bottom End Connection Type]]=""),"-",""))</f>
        <v/>
      </c>
      <c r="AW72" s="129" t="str">
        <f>IF(Reinforcements[[#This Row],[Reinforcement]]="","",IF(OR(Reinforcements[[#This Row],[Bottom End Connection Type]]&lt;&gt;"Welded",Reinforcements[[#This Row],[Bottom Longitudinal (Vertical) Weld]]="None",Reinforcements[[#This Row],[Bottom Longitudinal (Vertical) Weld]]=""),"-",""))</f>
        <v/>
      </c>
      <c r="AX72" s="129" t="str">
        <f>IF(Reinforcements[[#This Row],[Reinforcement]]="","",IF(OR(Reinforcements[[#This Row],[Bottom End Connection Type]]&lt;&gt;"Welded",Reinforcements[[#This Row],[Bottom Longitudinal (Vertical) Weld]]="None",Reinforcements[[#This Row],[Bottom Longitudinal (Vertical) Weld]]=""),"-",""))</f>
        <v/>
      </c>
      <c r="AY72" s="127" t="str">
        <f>IF(Reinforcements[[#This Row],[Reinforcement]]="","",IF(OR(Reinforcements[[#This Row],[Bottom End Connection Type]]&lt;&gt;"Welded",Reinforcements[[#This Row],[Bottom Longitudinal (Vertical) Weld]]="None"),"-",SQRT(2)/2*Reinforcements[[#This Row],[Bottom Longitudinal Weld Fillet Size (in)]]))</f>
        <v/>
      </c>
      <c r="AZ72" s="127"/>
      <c r="BA72" s="74" t="str">
        <f>IF(Reinforcements[[#This Row],[Top End Connection Same?]]="Yes",Reinforcements[[#This Row],[Bottom End Connection Type]],"")</f>
        <v/>
      </c>
      <c r="BB72" s="74" t="str">
        <f>IF(Reinforcements[[#This Row],[Reinforcement]]="","",IF(Reinforcements[[#This Row],[Top End Connection Same?]]="Yes",Reinforcements[[#This Row],[Rev. F Bottom Connection Capacity (kips)]],IF(Reinforcements[[#This Row],[Reinforcement]]="","",IF(Reinforcements[[#This Row],[Top End Connection Type]]&lt;&gt;"Capacity Input","-",""))))</f>
        <v/>
      </c>
      <c r="BC72" s="74" t="str">
        <f>IF(Reinforcements[[#This Row],[Reinforcement]]="","",IF(Reinforcements[[#This Row],[Top End Connection Same?]]="Yes",Reinforcements[[#This Row],[Rev. G Bottom Connection Capacity (kips)]],IF(Reinforcements[[#This Row],[Reinforcement]]="","",IF(Reinforcements[[#This Row],[Top End Connection Type]]&lt;&gt;"Capacity Input","-",""))))</f>
        <v/>
      </c>
      <c r="BD72" s="74" t="str">
        <f>IF(Reinforcements[[#This Row],[Reinforcement]]="","",IF(Reinforcements[[#This Row],[Top End Connection Same?]]="Yes",Reinforcements[[#This Row],[Rev. G Bottom Connection Capacity (kips)]],IF(Reinforcements[[#This Row],[Reinforcement]]="","",IF(Reinforcements[[#This Row],[Top End Connection Type]]&lt;&gt;"Capacity Input","-",""))))</f>
        <v/>
      </c>
      <c r="BE72" s="74" t="str">
        <f>IF(Reinforcements[[#This Row],[Reinforcement]]="","",IF(Reinforcements[[#This Row],[Top End Connection Same?]]="Yes",Reinforcements[[#This Row],[Bottom End Connection Bolt Type]],IF(Reinforcements[[#This Row],[Top End Connection Type]]&lt;&gt;"Bolted","-","")))</f>
        <v/>
      </c>
      <c r="BF72" s="127" t="str">
        <f>IF(Reinforcements[[#This Row],[Reinforcement]]="","",IF(Reinforcements[[#This Row],[Top End Connection Same?]]="Yes",Reinforcements[[#This Row],[Threads Included (N) or Excluded (X) (Bottom)]],IF(Reinforcements[[#This Row],[Top End Connection Type]]&lt;&gt;"Bolted","-","")))</f>
        <v/>
      </c>
      <c r="BG72" s="127" t="str">
        <f>IF(Reinforcements[[#This Row],[Reinforcement]]="","",IF(Reinforcements[[#This Row],[Top End Connection Same?]]="Yes",Reinforcements[[#This Row],['# of End Connection Bolts          (Bottom)]],IF(Reinforcements[[#This Row],[Top End Connection Type]]&lt;&gt;"Bolted","-","")))</f>
        <v/>
      </c>
      <c r="BH72" s="127" t="str">
        <f>IF(Reinforcements[[#This Row],[Reinforcement]]="","",IF(Reinforcements[[#This Row],[Top End Connection Same?]]="Yes",Reinforcements[[#This Row],[End Connection Bolt Spacing (in) (B)]],IF(Reinforcements[[#This Row],[Top End Connection Type]]&lt;&gt;"Bolted","-","")))</f>
        <v/>
      </c>
      <c r="BI72" s="127" t="str">
        <f>IF(Reinforcements[[#This Row],[Reinforcement]]="","",IF(Reinforcements[[#This Row],[Top End Connection Same?]]="Yes",Reinforcements[[#This Row],[End Connection Edge Distance (in) (B)]],IF(Reinforcements[[#This Row],[Top End Connection Type]]&lt;&gt;"Bolted","-","")))</f>
        <v/>
      </c>
      <c r="BJ72" s="127" t="e">
        <f>Reinforcements[[#This Row],[End Connection Edge Distance (in) (T)]]-(Reinforcements[[#This Row],[Bolt Hole Size (in)]]+1/16)/2</f>
        <v>#VALUE!</v>
      </c>
      <c r="BK72" s="127" t="e">
        <f>Reinforcements[[#This Row],[End Connection Bolt Spacing (in) (T)]]-(Reinforcements[[#This Row],[Bolt Hole Size (in)]]+1/16)</f>
        <v>#VALUE!</v>
      </c>
      <c r="BL72" s="127" t="str">
        <f>Reinforcements[[#This Row],[End Connection Edge Distance (in) (T)]]</f>
        <v/>
      </c>
      <c r="BM72" s="127" t="str">
        <f>Reinforcements[[#This Row],[End Connection Bolt Spacing (in) (T)]]</f>
        <v/>
      </c>
      <c r="BN72" s="127" t="str">
        <f>IF(Reinforcements[[#This Row],[Reinforcement]]="","",IF(Reinforcements[[#This Row],[Top End Connection Same?]]="Yes",Reinforcements[[#This Row],[Bottom Connected to Flange/Base Plate?]],IF(Reinforcements[[#This Row],[Top End Connection Type]]="Bolted","-","")))</f>
        <v/>
      </c>
      <c r="BO72" s="127" t="str">
        <f>IF(Reinforcements[[#This Row],[Reinforcement]]="","",IF(Reinforcements[[#This Row],[Top End Connection Same?]]="Yes",Reinforcements[[#This Row],[Bottom Weld Grade (ksi)]],IF(OR(Reinforcements[[#This Row],[Top End Connection Type]]&lt;&gt;"Welded",Reinforcements[[#This Row],[Top End Connection Type]]=""),"-","")))</f>
        <v/>
      </c>
      <c r="BP72" s="127" t="str">
        <f>IF($AZ72="Yes",AP72,IF(Reinforcements[[#This Row],[Reinforcement]]="","",IF(OR(Reinforcements[[#This Row],[Top End Connection Type]]&lt;&gt;"Welded",Reinforcements[[#This Row],[Top End Connection Type]]=""),"-","")))</f>
        <v/>
      </c>
      <c r="BQ72" s="127" t="str">
        <f>IF(Reinforcements[[#This Row],[Reinforcement]]="","",IF($AZ72="Yes",AQ72,IF(OR(Reinforcements[[#This Row],[Top End Connection Type]]&lt;&gt;"Welded",Reinforcements[[#This Row],[Top Transverse (Horizontal) Weld]]="none",Reinforcements[[#This Row],[Top Transverse (Horizontal) Weld]]=""),"-","")))</f>
        <v/>
      </c>
      <c r="BR72" s="127"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127"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127" t="str">
        <f>IF(Reinforcements[[#This Row],[Reinforcement]]="","",IF($AZ72="Yes",AT72,IF(OR(Reinforcements[[#This Row],[Top Transverse (Horizontal) Weld]]="none",Reinforcements[[#This Row],[Top End Connection Type]]&lt;&gt;"Welded",Reinforcements[[#This Row],[Top Transverse (Horizontal) Weld]]=""),"-","")))</f>
        <v/>
      </c>
      <c r="BU72" s="127"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127" t="str">
        <f>IF($AZ72="Yes",AV72,IF(Reinforcements[[#This Row],[Reinforcement]]="","",IF(OR(Reinforcements[[#This Row],[Top End Connection Type]]&lt;&gt;"Welded",Reinforcements[[#This Row],[Top End Connection Type]]=""),"-","")))</f>
        <v/>
      </c>
      <c r="BW72" s="127"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127"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127" t="str">
        <f>IF($AZ72="Yes",AY72,IF(Reinforcements[[#This Row],[Reinforcement]]="","",IF(OR(Reinforcements[[#This Row],[Top End Connection Type]]&lt;&gt;"Welded",Reinforcements[[#This Row],[Top Longitudinal (Vertical) Weld]]="none"),"-",SQRT(2)/2*Reinforcements[[#This Row],[Top Longitudinal Weld Fillet Size (in)]])))</f>
        <v/>
      </c>
      <c r="BZ72"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2"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127" t="str">
        <f>IFERROR(IF(Reinforcements[[#This Row],[Type]]="","",Reinforcements[[#This Row],[Effective B (in)]]*Reinforcements[[#This Row],[Effective H (in)]]^3/12),"")</f>
        <v/>
      </c>
      <c r="CF72" s="127" t="str">
        <f>IFERROR(IF(Reinforcements[[#This Row],[Type]]="","",Reinforcements[[#This Row],[Effective B (in)]]^3*Reinforcements[[#This Row],[Effective H (in)]]/12),"")</f>
        <v/>
      </c>
      <c r="CG72" s="140" t="e">
        <f>SQRT(2*PI()^2*29000/VLOOKUP(Reinforcements[[#This Row],[Material]],Materials[],2,FALSE))</f>
        <v>#N/A</v>
      </c>
      <c r="CH72"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135" t="e">
        <f>Reinforcements[[#This Row],[Effective Length Factor Kx]]*Reinforcements[[#This Row],[Lu (in)]]/(Reinforcements[[#This Row],[rx]]*PI())*SQRT(VLOOKUP(Reinforcements[[#This Row],[Material]],Materials[],2,FALSE)/29000)</f>
        <v>#VALUE!</v>
      </c>
      <c r="CK72" s="135" t="e">
        <f>Reinforcements[[#This Row],[Effective Length Factor Ky]]*Reinforcements[[#This Row],[Lu (in)]]/(Reinforcements[[#This Row],[ry]]*PI())*SQRT(VLOOKUP(Reinforcements[[#This Row],[Material]],Materials[],2,FALSE)/29000)</f>
        <v>#VALUE!</v>
      </c>
      <c r="CL72" s="135" t="e">
        <f>IF(Reinforcements[[#This Row],[λcx]]&lt;=1.5,0.658^(Reinforcements[[#This Row],[λcx]]^2)*Reinforcements[[#This Row],[F''y]],0.877/(Reinforcements[[#This Row],[λcx]]^2)*Reinforcements[[#This Row],[F''y]])</f>
        <v>#VALUE!</v>
      </c>
      <c r="CM72" s="135" t="e">
        <f>IF(Reinforcements[[#This Row],[λcy]]&lt;=1.5,0.658^(Reinforcements[[#This Row],[λcy]]^2)*Reinforcements[[#This Row],[F''y]],0.877/(Reinforcements[[#This Row],[λcy]]^2)*Reinforcements[[#This Row],[F''y]])</f>
        <v>#VALUE!</v>
      </c>
      <c r="CN72" s="127" t="e">
        <f>VLOOKUP(Reinforcements[[#This Row],[Material]],Materials[],2,FALSE)</f>
        <v>#N/A</v>
      </c>
      <c r="CO72" s="140" t="str">
        <f>IF(Reinforcements[[#This Row],[Reinforcement]]="","",Reinforcements[[#This Row],[Fax]]*Reinforcements[[#This Row],[Gross Area (in2)]])</f>
        <v/>
      </c>
      <c r="CP72" s="140" t="str">
        <f>IF(Reinforcements[[#This Row],[Reinforcement]]="","",Reinforcements[[#This Row],[Fay]]*Reinforcements[[#This Row],[Gross Area (in2)]])</f>
        <v/>
      </c>
      <c r="CQ72" s="140" t="str">
        <f>IF(Reinforcements[[#This Row],[Reinforcement]]="","",0.6*VLOOKUP(Reinforcements[[#This Row],[Material]],Materials[],2,FALSE)*Reinforcements[[#This Row],[Gross Area (in2)]])</f>
        <v/>
      </c>
      <c r="CR72" s="140" t="str">
        <f>IF(Reinforcements[[#This Row],[Reinforcement]]="","",0.5*VLOOKUP(Reinforcements[[#This Row],[Material]],Materials[],3,FALSE)*Reinforcements[[#This Row],[Net Area (in2)]]*Reinforcements[[#This Row],[Shear Lag (U)]])</f>
        <v/>
      </c>
      <c r="CS72" s="140" t="str">
        <f>IF(Reinforcements[[#This Row],[Reinforcement]]="","",0.4*VLOOKUP(Reinforcements[[#This Row],[Material]],Materials[],2,FALSE)*Reinforcements[[#This Row],[Gross Area (in2)]])</f>
        <v/>
      </c>
      <c r="CT72"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127"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127"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140" t="str">
        <f>IF(Reinforcements[[#This Row],[Reinforcement]]="","",φ_c*Reinforcements[[#This Row],[Fcr,x]]*Reinforcements[[#This Row],[Gross Area (in2)]])</f>
        <v/>
      </c>
      <c r="DI72" s="140" t="str">
        <f>IF(Reinforcements[[#This Row],[Reinforcement]]="","",φ_c*Reinforcements[[#This Row],[Fcr,y]]*Reinforcements[[#This Row],[Gross Area (in2)]])</f>
        <v/>
      </c>
      <c r="DJ72" s="140" t="str">
        <f>IF(Reinforcements[[#This Row],[Reinforcement]]="","",φ_t_y*VLOOKUP(Reinforcements[[#This Row],[Material]],Materials[],2,FALSE)*Reinforcements[[#This Row],[Gross Area (in2)]])</f>
        <v/>
      </c>
      <c r="DK72" s="140" t="str">
        <f>IF(Reinforcements[[#This Row],[Reinforcement]]="","",φ_t_r*VLOOKUP(Reinforcements[[#This Row],[Material]],Materials[],3,FALSE)*Reinforcements[[#This Row],[Net Area (in2)]]*Reinforcements[[#This Row],[Shear Lag (U)]])</f>
        <v/>
      </c>
      <c r="DL72" s="140" t="str">
        <f>IF(Reinforcements[[#This Row],[Reinforcement]]="","",φ_v*0.5*Reinforcements[[#This Row],[F''y]]*Reinforcements[[#This Row],[Gross Area (in2)]])</f>
        <v/>
      </c>
      <c r="DM72"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127"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127"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129" t="str">
        <f>IF(OR(Reinforcements[[#This Row],[Type]]="plate",Reinforcements[[#This Row],[Type]]="solid round"),"N/A",Reinforcements[[#This Row],[B (in)]])</f>
        <v/>
      </c>
      <c r="EB72" s="127" t="str">
        <f>IF(OR(Reinforcements[[#This Row],[Type]]="plate",Reinforcements[[#This Row],[Type]]="solid round"),"N/A",Reinforcements[[#This Row],[H (in)]])</f>
        <v/>
      </c>
      <c r="EC72" s="127" t="e">
        <f>IF(OR(Reinforcements[[#This Row],[Type]]="plate",Reinforcements[[#This Row],[Type]]="solid round"),"N/A",Reinforcements[[#This Row],[B (in)]]-Reinforcements[[#This Row],['[Channel'] Flange Thickness (in)]])</f>
        <v>#VALUE!</v>
      </c>
      <c r="ED72" s="127" t="str">
        <f>IF(OR(Reinforcements[[#This Row],[Type]]="plate",Reinforcements[[#This Row],[Type]]="solid round"),"N/A",Reinforcements[[#This Row],['[Channel']Web Thickness (in)]])</f>
        <v/>
      </c>
      <c r="EE72" s="127" t="str">
        <f>IF(OR(Reinforcements[[#This Row],[Type]]="plate",Reinforcements[[#This Row],[Type]]="solid round"),"N/A",Reinforcements[[#This Row],['[Channel'] Flange Thickness (in)]])</f>
        <v/>
      </c>
      <c r="EF72" s="127" t="str">
        <f>IF(Reinforcements[[#This Row],[Type]]="channel",Reinforcements[[#This Row],[Channel Flange Width, b]]/Reinforcements[[#This Row],[Channel flange thickness, tf]],"N/A")</f>
        <v>N/A</v>
      </c>
      <c r="EG72" s="127" t="str">
        <f>IF(Reinforcements[[#This Row],[Type]]="channel",Reinforcements[[#This Row],[Channel inside depth, T]]/Reinforcements[[#This Row],[Channel web thickness, tw]],"N/A")</f>
        <v>N/A</v>
      </c>
      <c r="EH72" s="6">
        <f>29000</f>
        <v>29000</v>
      </c>
      <c r="EI72" s="127" t="str">
        <f>IF(Reinforcements[[#This Row],[Type]]="channel",0.56*SQRT(Reinforcements[[#This Row],[E, (ksi)]]/Reinforcements[[#This Row],[Fy, (ksi)]]),"N/A")</f>
        <v>N/A</v>
      </c>
      <c r="EJ72" s="127" t="str">
        <f>IF(Reinforcements[[#This Row],[Type]]="channel",1.49*SQRT(Reinforcements[[#This Row],[E, (ksi)]]/Reinforcements[[#This Row],[Fy, (ksi)]]),"N/A")</f>
        <v>N/A</v>
      </c>
      <c r="EK72" s="127" t="e">
        <f>VLOOKUP(Reinforcements[[#This Row],[Material]],Materials!$B$2:$C$30,2,FALSE)</f>
        <v>#N/A</v>
      </c>
      <c r="EL72" s="127" t="e">
        <f>Reinforcements[[#This Row],[Lu (in)]]*Reinforcements[[#This Row],[Effective Length Factor Kx]]</f>
        <v>#VALUE!</v>
      </c>
      <c r="EM72" s="127" t="e">
        <f>Reinforcements[[#This Row],[Lu (in)]]*Reinforcements[[#This Row],[Effective Length Factor Ky]]</f>
        <v>#VALUE!</v>
      </c>
      <c r="EN72" s="127" t="str">
        <f>Reinforcements[[#This Row],[rx]]</f>
        <v/>
      </c>
      <c r="EO72" s="127" t="str">
        <f>Reinforcements[[#This Row],[ry]]</f>
        <v/>
      </c>
      <c r="EP72" s="127" t="e">
        <f>Reinforcements[[#This Row],[Lcx (in)]]/Reinforcements[[#This Row],[rx (in)]]</f>
        <v>#VALUE!</v>
      </c>
      <c r="EQ72" s="127" t="e">
        <f>Reinforcements[[#This Row],[Lcy (in)]]/Reinforcements[[#This Row],[ry (in)]]</f>
        <v>#VALUE!</v>
      </c>
      <c r="ER72" s="127" t="e">
        <f>((PI()^2)*Reinforcements[[#This Row],[E, (ksi)]])/(Reinforcements[[#This Row],[Lcx/rx]]^2)</f>
        <v>#VALUE!</v>
      </c>
      <c r="ES72" s="127" t="e">
        <f>((PI()^2)*Reinforcements[[#This Row],[E, (ksi)]])/(Reinforcements[[#This Row],[Lcy/ry]]^2)</f>
        <v>#VALUE!</v>
      </c>
      <c r="ET72" s="127" t="e">
        <f>4.71*(SQRT(Reinforcements[[#This Row],[E, (ksi)]]/Reinforcements[[#This Row],[Fy, (ksi)]]))</f>
        <v>#N/A</v>
      </c>
      <c r="EU72" s="127" t="e">
        <f>IF(Reinforcements[[#This Row],[Lcx/rx]]&lt;=Reinforcements[[#This Row],[Fcr Limit]],(0.658^(Reinforcements[[#This Row],[Fy, (ksi)]]/Reinforcements[[#This Row],[Fex, FB (ksi)]]))*Reinforcements[[#This Row],[Fy, (ksi)]],0.877*Reinforcements[[#This Row],[Fex, FB (ksi)]])</f>
        <v>#VALUE!</v>
      </c>
      <c r="EV72" s="127" t="e">
        <f>IF(Reinforcements[[#This Row],[Lcy/ry]]&lt;=Reinforcements[[#This Row],[Fcr Limit]],(0.658^(Reinforcements[[#This Row],[Fy, (ksi)]]/Reinforcements[[#This Row],[Fey, FB (ksi)]]))*Reinforcements[[#This Row],[Fy, (ksi)]],0.877*Reinforcements[[#This Row],[Fey, FB (ksi)]])</f>
        <v>#VALUE!</v>
      </c>
      <c r="EW72" s="127" t="e">
        <f>Reinforcements[[#This Row],[Fcrx (ksi)]]*Reinforcements[[#This Row],[Gross Area (in2)]]</f>
        <v>#VALUE!</v>
      </c>
      <c r="EX72" s="127" t="e">
        <f>Reinforcements[[#This Row],[Fcry (ksi)]]*Reinforcements[[#This Row],[Gross Area (in2)]]</f>
        <v>#VALUE!</v>
      </c>
      <c r="EY72" s="127" t="str">
        <f>IF(Reinforcements[[#This Row],[Type]]="channel",0,"N/A")</f>
        <v>N/A</v>
      </c>
      <c r="EZ72" s="127" t="str">
        <f>IF(Reinforcements[[#This Row],[Type]]="channel",Reinforcements[[#This Row],[Channel Flange Width, b]]-(0.5*Reinforcements[[#This Row],[Channel web thickness, tw]]),"N/A")</f>
        <v>N/A</v>
      </c>
      <c r="FA72" s="127" t="str">
        <f>IF(Reinforcements[[#This Row],[Type]]="channel",Reinforcements[[#This Row],[Channel Height, h]]-Reinforcements[[#This Row],[Channel flange thickness, tf]],"N/A")</f>
        <v>N/A</v>
      </c>
      <c r="FB72" s="127" t="str">
        <f>IF(Reinforcements[[#This Row],[Type]]="channel",Reinforcements[[#This Row],[Channel web thickness, tw]],"N/A")</f>
        <v>N/A</v>
      </c>
      <c r="FC72" s="127" t="str">
        <f>IF(Reinforcements[[#This Row],[Type]]="channel",((3*Reinforcements[[#This Row],[b]]^2)/(Reinforcements[[#This Row],[h]]+(6*Reinforcements[[#This Row],[b]])))-Reinforcements[[#This Row],[t]]/2,"N/A")</f>
        <v>N/A</v>
      </c>
      <c r="FD72" s="127" t="str">
        <f>Reinforcements[[#This Row],[Pole Face to Centroid (in)]]</f>
        <v/>
      </c>
      <c r="FE72" s="127" t="str">
        <f>IF(Reinforcements[[#This Row],[Type]]="channel",Reinforcements[[#This Row],[x(bar)]]+Reinforcements[[#This Row],['[Channel'] e0 (in)]],"N/A")</f>
        <v>N/A</v>
      </c>
      <c r="FF72" s="127" t="str">
        <f>IF(Reinforcements[[#This Row],[Type]]="channel",Reinforcements[[#This Row],[Ix]],"N/A")</f>
        <v>N/A</v>
      </c>
      <c r="FG72" s="127" t="str">
        <f>IF(Reinforcements[[#This Row],[Type]]="channel",Reinforcements[[#This Row],[Iy]],"N/A")</f>
        <v>N/A</v>
      </c>
      <c r="FH72" s="127" t="str">
        <f>IF(Reinforcements[[#This Row],[Type]]="channel",Reinforcements[[#This Row],[Gross Area (in2)]],"N/A")</f>
        <v>N/A</v>
      </c>
      <c r="FI72" s="127" t="str">
        <f>IF(Reinforcements[[#This Row],[Type]]="channel",(Reinforcements[[#This Row],[xo]]^2)+((Reinforcements[[#This Row],[Ix (FTB)]]+Reinforcements[[#This Row],[Iy (FTB)]])/Reinforcements[[#This Row],[Ag]]),"N/A")</f>
        <v>N/A</v>
      </c>
      <c r="FJ72" s="127" t="str">
        <f>IF(Reinforcements[[#This Row],[Type]]="channel",Reinforcements[[#This Row],[Lu (in)]],"N/A")</f>
        <v>N/A</v>
      </c>
      <c r="FK72" s="127" t="str">
        <f>IF(Reinforcements[[#This Row],[Type]]="channel",Reinforcements[[#This Row],[Effective Length Factor Kx]],"N/A")</f>
        <v>N/A</v>
      </c>
      <c r="FL72" s="127" t="str">
        <f>IF(Reinforcements[[#This Row],[Type]]="channel",Reinforcements[[#This Row],[Kz]]*Reinforcements[[#This Row],[Lz]],"N/A")</f>
        <v>N/A</v>
      </c>
      <c r="FM72" s="127" t="str">
        <f>IF(Reinforcements[[#This Row],[Type]]="channel",(((Reinforcements[[#This Row],[t]]^3)/3)*(Reinforcements[[#This Row],[h]]+(2*Reinforcements[[#This Row],[b]]))),"N/A")</f>
        <v>N/A</v>
      </c>
      <c r="FN72" s="127" t="str">
        <f>IF(Reinforcements[[#This Row],[Type]]="channel",(1-(((Reinforcements[[#This Row],[xo]]^2)+(Reinforcements[[#This Row],[yo]]^2))/Reinforcements[[#This Row],[ro^2(bar)]])),"N/A")</f>
        <v>N/A</v>
      </c>
      <c r="FO72" s="127">
        <v>11199</v>
      </c>
      <c r="FP72" s="127" t="str">
        <f>IF(Reinforcements[[#This Row],[Type]]="channel",(((Reinforcements[[#This Row],[h]]^2)*(Reinforcements[[#This Row],[b]]^3)*Reinforcements[[#This Row],[t]])/12)*(((2*Reinforcements[[#This Row],[h]])+(3*Reinforcements[[#This Row],[b]]))/(Reinforcements[[#This Row],[h]]+(6*Reinforcements[[#This Row],[b]]))),"N/A")</f>
        <v>N/A</v>
      </c>
      <c r="FQ72" s="127" t="str">
        <f>IF(Reinforcements[[#This Row],[Type]]="Channel",((((PI()^2)*Reinforcements[[#This Row],[E, (ksi)]]*Reinforcements[[#This Row],['[Channel'] CW (in6)]])/(Reinforcements[[#This Row],[Lcz]]^2))+(Reinforcements[[#This Row],[G]]*Reinforcements[[#This Row],['[Channel'] J (in4)]]))*(1/(Reinforcements[[#This Row],[Ag]]*Reinforcements[[#This Row],[ro^2(bar)]])),"N/A")</f>
        <v>N/A</v>
      </c>
      <c r="FR72" s="127" t="str">
        <f>IF(Reinforcements[[#This Row],[Type]]="channel",((PI()^2)*Reinforcements[[#This Row],[E, (ksi)]])/(Reinforcements[[#This Row],[Lcy/ry]]^2),"N/A")</f>
        <v>N/A</v>
      </c>
      <c r="FS72" s="127" t="str">
        <f>IF(Reinforcements[[#This Row],[Type]]="channel",((Reinforcements[[#This Row],[Fey]]+Reinforcements[[#This Row],[Fez]])/(2*Reinforcements[[#This Row],[H2]]))*(1-SQRT(1-((4*Reinforcements[[#This Row],[Fey]]*Reinforcements[[#This Row],[Fez]]*Reinforcements[[#This Row],[H2]])/(Reinforcements[[#This Row],[Fey]]+Reinforcements[[#This Row],[Fez]])^2))),"N/A")</f>
        <v>N/A</v>
      </c>
      <c r="FT72" s="127" t="str">
        <f>IF(Reinforcements[[#This Row],[Type]]="channel",IF(Reinforcements[[#This Row],[Lcx/rx]]&gt;(4.71*SQRT(Reinforcements[[#This Row],[E, (ksi)]]/Reinforcements[[#This Row],[Fy, (ksi)]])),0.877*Reinforcements[[#This Row],[Fe (FTB)]],0.658^(Reinforcements[[#This Row],[Fy, (ksi)]]/Reinforcements[[#This Row],[Fe (FTB)]])*Reinforcements[[#This Row],[Fy, (ksi)]]),"N/A")</f>
        <v>N/A</v>
      </c>
      <c r="FU72" s="127" t="str">
        <f>IF(Reinforcements[[#This Row],[Type]]="channel",MIN(Reinforcements[[#This Row],[Fcr(FTB)]],Reinforcements[[#This Row],[Fcry (ksi)]]),"N/A")</f>
        <v>N/A</v>
      </c>
      <c r="FV72" s="127">
        <v>0.22</v>
      </c>
      <c r="FW72" s="127">
        <v>1.49</v>
      </c>
      <c r="FX72" s="127" t="str">
        <f>IF(Reinforcements[[#This Row],[Type]]="channel",((Reinforcements[[#This Row],[c2]]*(Reinforcements[[#This Row],[λrf]]/Reinforcements[[#This Row],[λf]]))^2)*Reinforcements[[#This Row],[Fy, (ksi)]],"N/A")</f>
        <v>N/A</v>
      </c>
      <c r="FY72" s="127" t="str">
        <f>IF(Reinforcements[[#This Row],[Type]]="channel",((Reinforcements[[#This Row],[c2]]*(Reinforcements[[#This Row],[λrw]]/Reinforcements[[#This Row],[λw]]))^2)*Reinforcements[[#This Row],[Fy, (ksi)]],"N/A")</f>
        <v>N/A</v>
      </c>
      <c r="FZ72"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127" t="str">
        <f>IF(Reinforcements[[#This Row],[Type]]="channel",Reinforcements[[#This Row],[Fcr]]*Reinforcements[[#This Row],[Ae]],"N/A")</f>
        <v>N/A</v>
      </c>
      <c r="GD72" s="50" t="str">
        <f>IF(Reinforcements[[#This Row],[Reinforcement]]="","",φ_c*Reinforcements[[#This Row],[Pnx, FB (kip)]])</f>
        <v/>
      </c>
      <c r="GE72" s="50" t="str">
        <f>IF(Reinforcements[[#This Row],[Reinforcement]]="","",IF(Reinforcements[[#This Row],[Type]]="channel",φ_c*Reinforcements[[#This Row],[Pn]],φ_c*Reinforcements[[#This Row],[Pny, FB (kip)]]))</f>
        <v/>
      </c>
      <c r="GF72" s="50" t="str">
        <f>Reinforcements[[#This Row],[Rev. G Tension Yield Capacity (kips)]]</f>
        <v/>
      </c>
      <c r="GG72" s="50" t="str">
        <f>Reinforcements[[#This Row],[Rev. G Tension Rupture Capacity (kips)]]</f>
        <v/>
      </c>
      <c r="GH72" s="50" t="str">
        <f>Reinforcements[[#This Row],[Rev. G Shear Capacity (kips)]]</f>
        <v/>
      </c>
      <c r="GI72" s="50" t="str">
        <f>IFERROR((Reinforcements[[#This Row],['# of End Connection Bolts          (Bottom)]]-1)*Reinforcements[[#This Row],[End Connection Bolt Spacing (in) (B)]],"-")</f>
        <v>-</v>
      </c>
      <c r="GJ72" s="50" t="str">
        <f>IFERROR(IF(VLOOKUP(Reinforcements[[#This Row],[Bottom End Connection Bolt Type]],Bolts[],COLUMN(Bolts[[#Headers],[Rev. H Apply Connection Length Reduction Factor (Rb)?]])-1,FALSE)="Yes",(IF(Reinforcements[[#This Row],[Lb(bottom)]]&lt;=16,1,IF(Reinforcements[[#This Row],[Lb(bottom)]]&gt;38,0.75,0.9))),1),"-")</f>
        <v>-</v>
      </c>
      <c r="GK72"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50" t="str">
        <f>IFERROR(IF(Reinforcements[[#This Row],[Top End Connection Same?]]="Yes",Reinforcements[[#This Row],[Lb(bottom)]],(Reinforcements[[#This Row],['# of End Connection Bolts          (Top)]]-1)*Reinforcements[[#This Row],[End Connection Bolt Spacing (in) (T)]]),"-")</f>
        <v>-</v>
      </c>
      <c r="GM72" s="50" t="str">
        <f>IFERROR(IF(VLOOKUP(Reinforcements[[#This Row],[Top End Connection Bolt Type]],Bolts[],COLUMN(Bolts[[#Headers],[Rev. H Apply Connection Length Reduction Factor (Rb)?]])-1,FALSE)=TRUE,(IF(Reinforcements[[#This Row],[Lb(top)]]&lt;=16,1,IF(Reinforcements[[#This Row],[Lb(top)]]&gt;38,0.75,0.9))),1),"-")</f>
        <v>-</v>
      </c>
      <c r="GN72"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50" t="str">
        <f>Reinforcements[[#This Row],[Rev. G Bolt-Shaft Bearing Capacity (Bottom)                No Deformation          (*t*Fu kips)]]</f>
        <v>-</v>
      </c>
      <c r="GP72" s="50" t="str">
        <f>Reinforcements[[#This Row],[Rev. G Bolt-Shaft Bearing Capacity (Bottom)                   Deformation          (*t*Fu kips)]]</f>
        <v>-</v>
      </c>
      <c r="GQ72" s="50" t="str">
        <f>Reinforcements[[#This Row],[Rev. G Bolt-Shaft Bearing Capacity (Top)                    No Deformation          (*t*Fu kips)]]</f>
        <v>-</v>
      </c>
      <c r="GR72" s="50" t="str">
        <f>Reinforcements[[#This Row],[Rev. G Bolt-Shaft Bearing Capacity (Top)                        Deformation          (*t*Fu kips)]]</f>
        <v>-</v>
      </c>
      <c r="GS72" s="50" t="str">
        <f>Reinforcements[[#This Row],[Rev. G Bolt-Reinf. Bearing Capacity (Bottom)            No Deformation (kips)]]</f>
        <v>-</v>
      </c>
      <c r="GT72" s="50" t="str">
        <f>Reinforcements[[#This Row],[Rev. G Bolt-Reinf. Bearing Capacity (Bottom)               Deformation (kips)]]</f>
        <v>-</v>
      </c>
      <c r="GU72" s="50" t="str">
        <f>Reinforcements[[#This Row],[Rev. G Bolt-Reinf. Bearing Capacity (Top)                  No Deformation (kips)]]</f>
        <v>-</v>
      </c>
      <c r="GV72" s="50" t="str">
        <f>Reinforcements[[#This Row],[Rev. G Bolt-Reinf. Bearing Capacity (Top)               Deformation (kips)]]</f>
        <v>-</v>
      </c>
      <c r="GW72" s="50" t="str">
        <f>Reinforcements[[#This Row],[Rev. G Bottom Transverse Weld Strength]]</f>
        <v/>
      </c>
      <c r="GX72" s="50" t="str">
        <f>Reinforcements[[#This Row],[Rev. G Bottom Longitudinal Weld Strength]]</f>
        <v/>
      </c>
      <c r="GY72" s="50" t="str">
        <f>Reinforcements[[#This Row],[Rev. G Top Transverse Weld Strength]]</f>
        <v/>
      </c>
      <c r="GZ72" s="50" t="str">
        <f>Reinforcements[[#This Row],[Rev. G Top Longitudinal Weld Strength]]</f>
        <v/>
      </c>
      <c r="HA72">
        <v>70</v>
      </c>
      <c r="HB7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94"/>
      <c r="C73" s="94"/>
      <c r="D73" s="127" t="str">
        <f>IF(Reinforcements[[#This Row],[Type]]="","",IF(Reinforcements[[#This Row],[Type]]="solid round","-",""))</f>
        <v/>
      </c>
      <c r="E73" s="127" t="str">
        <f>IF(Reinforcements[[#This Row],[Type]]="","",IF(Reinforcements[[#This Row],[Type]]="solid round","-",""))</f>
        <v/>
      </c>
      <c r="F73" s="127" t="str">
        <f>IF(Reinforcements[[#This Row],[Type]]="","",IF(Reinforcements[[#This Row],[Type]]="solid round","","n/a"))</f>
        <v/>
      </c>
      <c r="G73" s="127" t="str">
        <f>IF(Reinforcements[[#This Row],[Type]]="","",IF(Reinforcements[[#This Row],[Type]]&lt;&gt;"channel","n/a",""))</f>
        <v/>
      </c>
      <c r="H73" s="127" t="str">
        <f>IF(Reinforcements[[#This Row],[Type]]="","",IF(Reinforcements[[#This Row],[Type]]&lt;&gt;"channel","n/a",""))</f>
        <v/>
      </c>
      <c r="I73" s="140" t="str">
        <f>IF(Reinforcements[[#This Row],[Type]]="","",IF(Reinforcements[[#This Row],[Type]]&lt;&gt;"channel","n/a",Reinforcements[[#This Row],[eo]]))</f>
        <v/>
      </c>
      <c r="J73" s="140" t="str">
        <f>IF(Reinforcements[[#This Row],[Type]]="","",IF(Reinforcements[[#This Row],[Type]]&lt;&gt;"channel","n/a",Reinforcements[[#This Row],[J]]))</f>
        <v/>
      </c>
      <c r="K73" s="140" t="str">
        <f>IF(Reinforcements[[#This Row],[Type]]="","",IF(Reinforcements[[#This Row],[Type]]&lt;&gt;"channel","n/a",Reinforcements[[#This Row],[Cw]]))</f>
        <v/>
      </c>
      <c r="L73" s="127" t="str">
        <f>IFERROR(IF(Reinforcements[[#This Row],[Type]]="","",IF(Reinforcements[[#This Row],[Type]]="plate",Reinforcements[[#This Row],[B (in)]]*Reinforcements[[#This Row],[H (in)]],IF(Reinforcements[[#This Row],[Type]]="solid round",PI()/4*Reinforcements[[#This Row],[Diameter (in)]]^2,""))),"")</f>
        <v/>
      </c>
      <c r="M73" s="127" t="str">
        <f>IFERROR(IF(Reinforcements[[#This Row],[Type]]="","",IF(Reinforcements[[#This Row],[Type]]="plate",Reinforcements[[#This Row],[H (in)]]/2,"")),"")</f>
        <v/>
      </c>
      <c r="N73" s="128"/>
      <c r="O73" s="129"/>
      <c r="P73" s="135" t="str">
        <f>IFERROR(IF(Reinforcements[[#This Row],[Type]]="","",IF(Reinforcements[[#This Row],[Type]]="plate",Reinforcements[[#This Row],[B (in)]]*Reinforcements[[#This Row],[H (in)]]^3/12,IF(Reinforcements[[#This Row],[Type]]="solid round",PI()/64*Reinforcements[[#This Row],[Diameter (in)]]^4,""))),"")</f>
        <v/>
      </c>
      <c r="Q73" s="135" t="str">
        <f>IF(Reinforcements[[#This Row],[Reinforcement]]="","",SQRT(Reinforcements[[#This Row],[Ix]]/Reinforcements[[#This Row],[Gross Area (in2)]]))</f>
        <v/>
      </c>
      <c r="R73" s="135" t="str">
        <f>IFERROR(IF(Reinforcements[[#This Row],[Type]]="","",IF(Reinforcements[[#This Row],[Type]]="plate",Reinforcements[[#This Row],[B (in)]]^3*Reinforcements[[#This Row],[H (in)]]/12,IF(Reinforcements[[#This Row],[Type]]="solid round",PI()/64*Reinforcements[[#This Row],[Diameter (in)]]^4,""))),"")</f>
        <v/>
      </c>
      <c r="S73" s="135" t="str">
        <f>IF(Reinforcements[[#This Row],[Reinforcement]]="","",SQRT(Reinforcements[[#This Row],[Iy]]/Reinforcements[[#This Row],[Gross Area (in2)]]))</f>
        <v/>
      </c>
      <c r="T73" s="127"/>
      <c r="U73" s="127" t="str">
        <f>IF(Reinforcements[[#This Row],[Lu (in)]]="","",IF(Reinforcements[[#This Row],[Lu (in)]]=0,1,""))</f>
        <v/>
      </c>
      <c r="V73" s="127" t="str">
        <f>IF(Reinforcements[[#This Row],[Lu (in)]]="","",IF(Reinforcements[[#This Row],[Lu (in)]]=0,1,""))</f>
        <v/>
      </c>
      <c r="W73" s="127" t="str">
        <f>IF(Reinforcements[[#This Row],[Type]]="","",IF(Reinforcements[[#This Row],[Type]]="solid round",0,IF(Reinforcements[[#This Row],[Type]]="arbitrary","n/a","")))</f>
        <v/>
      </c>
      <c r="X73" s="127" t="str">
        <f>IF(Reinforcements[[#This Row],[Bolt Hole Size (in)]]="","",IF(Reinforcements[[#This Row],[Bolt Hole Size (in)]]="n/a","n/a",Reinforcements[[#This Row],[Bolt Hole Size (in)]]*25.4))</f>
        <v/>
      </c>
      <c r="Y73"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127" t="str">
        <f>IFERROR(IF(Reinforcements[[#This Row],[Reinforcement]]="","",IF(OR(Reinforcements[[#This Row],[Type]]="plate",Reinforcements[[#This Row],[Type]]="solid round"),1,IF(Reinforcements[[#This Row],[Type]]="arbitrary","",1-Reinforcements[[#This Row],[Pole Face to Centroid (in)]]/Reinforcements[[#This Row],[Connection Length (in) '[Channels']]]))),"")</f>
        <v/>
      </c>
      <c r="AA73" s="74"/>
      <c r="AB73" s="74" t="str">
        <f>IF(Reinforcements[[#This Row],[Reinforcement]]="","",IF(Reinforcements[[#This Row],[Bottom End Connection Type]]&lt;&gt;"Capacity Input","-",""))</f>
        <v/>
      </c>
      <c r="AC73" s="74" t="str">
        <f>IF(Reinforcements[[#This Row],[Reinforcement]]="","",IF(Reinforcements[[#This Row],[Bottom End Connection Type]]&lt;&gt;"Capacity Input","-",""))</f>
        <v/>
      </c>
      <c r="AD73" s="74" t="str">
        <f>IF(Reinforcements[[#This Row],[Reinforcement]]="","",IF(Reinforcements[[#This Row],[Bottom End Connection Type]]&lt;&gt;"Capacity Input","-",""))</f>
        <v/>
      </c>
      <c r="AE73" s="74" t="str">
        <f>IF(Reinforcements[[#This Row],[Reinforcement]]="","",IF(Reinforcements[[#This Row],[Bottom End Connection Type]]&lt;&gt;"Bolted","-",""))</f>
        <v/>
      </c>
      <c r="AF73" s="127" t="str">
        <f>IF(Reinforcements[[#This Row],[Reinforcement]]="","",IF(Reinforcements[[#This Row],[Bottom End Connection Type]]&lt;&gt;"Bolted","-",""))</f>
        <v/>
      </c>
      <c r="AG73" s="127" t="str">
        <f>IF(Reinforcements[[#This Row],[Reinforcement]]="","",IF(Reinforcements[[#This Row],[Bottom End Connection Type]]="","-",IF(Reinforcements[[#This Row],[Bottom End Connection Type]]&lt;&gt;"Bolted","-","")))</f>
        <v/>
      </c>
      <c r="AH73" s="127" t="str">
        <f>IF(Reinforcements[[#This Row],[Reinforcement]]="","",IF(Reinforcements[[#This Row],[Bottom End Connection Type]]="","-",IF(Reinforcements[[#This Row],[Bottom End Connection Type]]&lt;&gt;"Bolted","-","")))</f>
        <v/>
      </c>
      <c r="AI73" s="127" t="str">
        <f>IF(Reinforcements[[#This Row],[Reinforcement]]="","",IF(Reinforcements[[#This Row],[Bottom End Connection Type]]="","-",IF(Reinforcements[[#This Row],[Bottom End Connection Type]]&lt;&gt;"Bolted","-","")))</f>
        <v/>
      </c>
      <c r="AJ73" s="127" t="e">
        <f>Reinforcements[[#This Row],[End Connection Edge Distance (in) (B)]]-(Reinforcements[[#This Row],[Bolt Hole Size (in)]]+1/16)/2</f>
        <v>#VALUE!</v>
      </c>
      <c r="AK73" s="127" t="e">
        <f>Reinforcements[[#This Row],[End Connection Bolt Spacing (in) (B)]]-(Reinforcements[[#This Row],[Bolt Hole Size (in)]]+1/16)</f>
        <v>#VALUE!</v>
      </c>
      <c r="AL73" s="127" t="str">
        <f>Reinforcements[[#This Row],[End Connection Edge Distance (in) (B)]]</f>
        <v/>
      </c>
      <c r="AM73" s="127" t="str">
        <f>Reinforcements[[#This Row],[End Connection Bolt Spacing (in) (B)]]</f>
        <v/>
      </c>
      <c r="AN73" s="127" t="str">
        <f>IF(Reinforcements[[#This Row],[Reinforcement]]="","",IF(OR(Reinforcements[[#This Row],[Bottom End Connection Type]]="Bolted",Reinforcements[[#This Row],[Bottom End Connection Type]]=""),"-",""))</f>
        <v/>
      </c>
      <c r="AO73" s="129" t="str">
        <f>IF(Reinforcements[[#This Row],[Reinforcement]]="","",IF(Reinforcements[[#This Row],[Bottom End Connection Type]]&lt;&gt;"Welded","-",""))</f>
        <v/>
      </c>
      <c r="AP73" s="129" t="str">
        <f>IF(Reinforcements[[#This Row],[Reinforcement]]="","",IF(Reinforcements[[#This Row],[Bottom End Connection Type]]&lt;&gt;"Welded","-",""))</f>
        <v/>
      </c>
      <c r="AQ73" s="129" t="str">
        <f>IF(Reinforcements[[#This Row],[Reinforcement]]="","",IF(OR(Reinforcements[[#This Row],[Bottom End Connection Type]]&lt;&gt;"Welded",Reinforcements[[#This Row],[Bottom Transverse (Horizontal) Weld]]="None"),"-",""))</f>
        <v/>
      </c>
      <c r="AR7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129" t="str">
        <f>IF(Reinforcements[[#This Row],[Reinforcement]]="","",IF(OR(Reinforcements[[#This Row],[Bottom Transverse (Horizontal) Weld]]="None",Reinforcements[[#This Row],[Bottom End Connection Type]]&lt;&gt;"Welded"),"-",""))</f>
        <v/>
      </c>
      <c r="AU73"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129" t="str">
        <f>IF(Reinforcements[[#This Row],[Reinforcement]]="","",IF(OR(Reinforcements[[#This Row],[Bottom End Connection Type]]&lt;&gt;"Welded",Reinforcements[[#This Row],[Bottom End Connection Type]]=""),"-",""))</f>
        <v/>
      </c>
      <c r="AW73" s="129" t="str">
        <f>IF(Reinforcements[[#This Row],[Reinforcement]]="","",IF(OR(Reinforcements[[#This Row],[Bottom End Connection Type]]&lt;&gt;"Welded",Reinforcements[[#This Row],[Bottom Longitudinal (Vertical) Weld]]="None",Reinforcements[[#This Row],[Bottom Longitudinal (Vertical) Weld]]=""),"-",""))</f>
        <v/>
      </c>
      <c r="AX73" s="129" t="str">
        <f>IF(Reinforcements[[#This Row],[Reinforcement]]="","",IF(OR(Reinforcements[[#This Row],[Bottom End Connection Type]]&lt;&gt;"Welded",Reinforcements[[#This Row],[Bottom Longitudinal (Vertical) Weld]]="None",Reinforcements[[#This Row],[Bottom Longitudinal (Vertical) Weld]]=""),"-",""))</f>
        <v/>
      </c>
      <c r="AY73" s="127" t="str">
        <f>IF(Reinforcements[[#This Row],[Reinforcement]]="","",IF(OR(Reinforcements[[#This Row],[Bottom End Connection Type]]&lt;&gt;"Welded",Reinforcements[[#This Row],[Bottom Longitudinal (Vertical) Weld]]="None"),"-",SQRT(2)/2*Reinforcements[[#This Row],[Bottom Longitudinal Weld Fillet Size (in)]]))</f>
        <v/>
      </c>
      <c r="AZ73" s="127"/>
      <c r="BA73" s="74" t="str">
        <f>IF(Reinforcements[[#This Row],[Top End Connection Same?]]="Yes",Reinforcements[[#This Row],[Bottom End Connection Type]],"")</f>
        <v/>
      </c>
      <c r="BB73" s="74" t="str">
        <f>IF(Reinforcements[[#This Row],[Reinforcement]]="","",IF(Reinforcements[[#This Row],[Top End Connection Same?]]="Yes",Reinforcements[[#This Row],[Rev. F Bottom Connection Capacity (kips)]],IF(Reinforcements[[#This Row],[Reinforcement]]="","",IF(Reinforcements[[#This Row],[Top End Connection Type]]&lt;&gt;"Capacity Input","-",""))))</f>
        <v/>
      </c>
      <c r="BC73" s="74" t="str">
        <f>IF(Reinforcements[[#This Row],[Reinforcement]]="","",IF(Reinforcements[[#This Row],[Top End Connection Same?]]="Yes",Reinforcements[[#This Row],[Rev. G Bottom Connection Capacity (kips)]],IF(Reinforcements[[#This Row],[Reinforcement]]="","",IF(Reinforcements[[#This Row],[Top End Connection Type]]&lt;&gt;"Capacity Input","-",""))))</f>
        <v/>
      </c>
      <c r="BD73" s="74" t="str">
        <f>IF(Reinforcements[[#This Row],[Reinforcement]]="","",IF(Reinforcements[[#This Row],[Top End Connection Same?]]="Yes",Reinforcements[[#This Row],[Rev. G Bottom Connection Capacity (kips)]],IF(Reinforcements[[#This Row],[Reinforcement]]="","",IF(Reinforcements[[#This Row],[Top End Connection Type]]&lt;&gt;"Capacity Input","-",""))))</f>
        <v/>
      </c>
      <c r="BE73" s="74" t="str">
        <f>IF(Reinforcements[[#This Row],[Reinforcement]]="","",IF(Reinforcements[[#This Row],[Top End Connection Same?]]="Yes",Reinforcements[[#This Row],[Bottom End Connection Bolt Type]],IF(Reinforcements[[#This Row],[Top End Connection Type]]&lt;&gt;"Bolted","-","")))</f>
        <v/>
      </c>
      <c r="BF73" s="127" t="str">
        <f>IF(Reinforcements[[#This Row],[Reinforcement]]="","",IF(Reinforcements[[#This Row],[Top End Connection Same?]]="Yes",Reinforcements[[#This Row],[Threads Included (N) or Excluded (X) (Bottom)]],IF(Reinforcements[[#This Row],[Top End Connection Type]]&lt;&gt;"Bolted","-","")))</f>
        <v/>
      </c>
      <c r="BG73" s="127" t="str">
        <f>IF(Reinforcements[[#This Row],[Reinforcement]]="","",IF(Reinforcements[[#This Row],[Top End Connection Same?]]="Yes",Reinforcements[[#This Row],['# of End Connection Bolts          (Bottom)]],IF(Reinforcements[[#This Row],[Top End Connection Type]]&lt;&gt;"Bolted","-","")))</f>
        <v/>
      </c>
      <c r="BH73" s="127" t="str">
        <f>IF(Reinforcements[[#This Row],[Reinforcement]]="","",IF(Reinforcements[[#This Row],[Top End Connection Same?]]="Yes",Reinforcements[[#This Row],[End Connection Bolt Spacing (in) (B)]],IF(Reinforcements[[#This Row],[Top End Connection Type]]&lt;&gt;"Bolted","-","")))</f>
        <v/>
      </c>
      <c r="BI73" s="127" t="str">
        <f>IF(Reinforcements[[#This Row],[Reinforcement]]="","",IF(Reinforcements[[#This Row],[Top End Connection Same?]]="Yes",Reinforcements[[#This Row],[End Connection Edge Distance (in) (B)]],IF(Reinforcements[[#This Row],[Top End Connection Type]]&lt;&gt;"Bolted","-","")))</f>
        <v/>
      </c>
      <c r="BJ73" s="127" t="e">
        <f>Reinforcements[[#This Row],[End Connection Edge Distance (in) (T)]]-(Reinforcements[[#This Row],[Bolt Hole Size (in)]]+1/16)/2</f>
        <v>#VALUE!</v>
      </c>
      <c r="BK73" s="127" t="e">
        <f>Reinforcements[[#This Row],[End Connection Bolt Spacing (in) (T)]]-(Reinforcements[[#This Row],[Bolt Hole Size (in)]]+1/16)</f>
        <v>#VALUE!</v>
      </c>
      <c r="BL73" s="127" t="str">
        <f>Reinforcements[[#This Row],[End Connection Edge Distance (in) (T)]]</f>
        <v/>
      </c>
      <c r="BM73" s="127" t="str">
        <f>Reinforcements[[#This Row],[End Connection Bolt Spacing (in) (T)]]</f>
        <v/>
      </c>
      <c r="BN73" s="127" t="str">
        <f>IF(Reinforcements[[#This Row],[Reinforcement]]="","",IF(Reinforcements[[#This Row],[Top End Connection Same?]]="Yes",Reinforcements[[#This Row],[Bottom Connected to Flange/Base Plate?]],IF(Reinforcements[[#This Row],[Top End Connection Type]]="Bolted","-","")))</f>
        <v/>
      </c>
      <c r="BO73" s="127" t="str">
        <f>IF(Reinforcements[[#This Row],[Reinforcement]]="","",IF(Reinforcements[[#This Row],[Top End Connection Same?]]="Yes",Reinforcements[[#This Row],[Bottom Weld Grade (ksi)]],IF(OR(Reinforcements[[#This Row],[Top End Connection Type]]&lt;&gt;"Welded",Reinforcements[[#This Row],[Top End Connection Type]]=""),"-","")))</f>
        <v/>
      </c>
      <c r="BP73" s="127" t="str">
        <f>IF($AZ73="Yes",AP73,IF(Reinforcements[[#This Row],[Reinforcement]]="","",IF(OR(Reinforcements[[#This Row],[Top End Connection Type]]&lt;&gt;"Welded",Reinforcements[[#This Row],[Top End Connection Type]]=""),"-","")))</f>
        <v/>
      </c>
      <c r="BQ73" s="127" t="str">
        <f>IF(Reinforcements[[#This Row],[Reinforcement]]="","",IF($AZ73="Yes",AQ73,IF(OR(Reinforcements[[#This Row],[Top End Connection Type]]&lt;&gt;"Welded",Reinforcements[[#This Row],[Top Transverse (Horizontal) Weld]]="none",Reinforcements[[#This Row],[Top Transverse (Horizontal) Weld]]=""),"-","")))</f>
        <v/>
      </c>
      <c r="BR73" s="127"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127"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127" t="str">
        <f>IF(Reinforcements[[#This Row],[Reinforcement]]="","",IF($AZ73="Yes",AT73,IF(OR(Reinforcements[[#This Row],[Top Transverse (Horizontal) Weld]]="none",Reinforcements[[#This Row],[Top End Connection Type]]&lt;&gt;"Welded",Reinforcements[[#This Row],[Top Transverse (Horizontal) Weld]]=""),"-","")))</f>
        <v/>
      </c>
      <c r="BU73" s="127"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127" t="str">
        <f>IF($AZ73="Yes",AV73,IF(Reinforcements[[#This Row],[Reinforcement]]="","",IF(OR(Reinforcements[[#This Row],[Top End Connection Type]]&lt;&gt;"Welded",Reinforcements[[#This Row],[Top End Connection Type]]=""),"-","")))</f>
        <v/>
      </c>
      <c r="BW73" s="127"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127"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127" t="str">
        <f>IF($AZ73="Yes",AY73,IF(Reinforcements[[#This Row],[Reinforcement]]="","",IF(OR(Reinforcements[[#This Row],[Top End Connection Type]]&lt;&gt;"Welded",Reinforcements[[#This Row],[Top Longitudinal (Vertical) Weld]]="none"),"-",SQRT(2)/2*Reinforcements[[#This Row],[Top Longitudinal Weld Fillet Size (in)]])))</f>
        <v/>
      </c>
      <c r="BZ73"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3"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127" t="str">
        <f>IFERROR(IF(Reinforcements[[#This Row],[Type]]="","",Reinforcements[[#This Row],[Effective B (in)]]*Reinforcements[[#This Row],[Effective H (in)]]^3/12),"")</f>
        <v/>
      </c>
      <c r="CF73" s="127" t="str">
        <f>IFERROR(IF(Reinforcements[[#This Row],[Type]]="","",Reinforcements[[#This Row],[Effective B (in)]]^3*Reinforcements[[#This Row],[Effective H (in)]]/12),"")</f>
        <v/>
      </c>
      <c r="CG73" s="140" t="e">
        <f>SQRT(2*PI()^2*29000/VLOOKUP(Reinforcements[[#This Row],[Material]],Materials[],2,FALSE))</f>
        <v>#N/A</v>
      </c>
      <c r="CH73"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135" t="e">
        <f>Reinforcements[[#This Row],[Effective Length Factor Kx]]*Reinforcements[[#This Row],[Lu (in)]]/(Reinforcements[[#This Row],[rx]]*PI())*SQRT(VLOOKUP(Reinforcements[[#This Row],[Material]],Materials[],2,FALSE)/29000)</f>
        <v>#VALUE!</v>
      </c>
      <c r="CK73" s="135" t="e">
        <f>Reinforcements[[#This Row],[Effective Length Factor Ky]]*Reinforcements[[#This Row],[Lu (in)]]/(Reinforcements[[#This Row],[ry]]*PI())*SQRT(VLOOKUP(Reinforcements[[#This Row],[Material]],Materials[],2,FALSE)/29000)</f>
        <v>#VALUE!</v>
      </c>
      <c r="CL73" s="135" t="e">
        <f>IF(Reinforcements[[#This Row],[λcx]]&lt;=1.5,0.658^(Reinforcements[[#This Row],[λcx]]^2)*Reinforcements[[#This Row],[F''y]],0.877/(Reinforcements[[#This Row],[λcx]]^2)*Reinforcements[[#This Row],[F''y]])</f>
        <v>#VALUE!</v>
      </c>
      <c r="CM73" s="135" t="e">
        <f>IF(Reinforcements[[#This Row],[λcy]]&lt;=1.5,0.658^(Reinforcements[[#This Row],[λcy]]^2)*Reinforcements[[#This Row],[F''y]],0.877/(Reinforcements[[#This Row],[λcy]]^2)*Reinforcements[[#This Row],[F''y]])</f>
        <v>#VALUE!</v>
      </c>
      <c r="CN73" s="127" t="e">
        <f>VLOOKUP(Reinforcements[[#This Row],[Material]],Materials[],2,FALSE)</f>
        <v>#N/A</v>
      </c>
      <c r="CO73" s="140" t="str">
        <f>IF(Reinforcements[[#This Row],[Reinforcement]]="","",Reinforcements[[#This Row],[Fax]]*Reinforcements[[#This Row],[Gross Area (in2)]])</f>
        <v/>
      </c>
      <c r="CP73" s="140" t="str">
        <f>IF(Reinforcements[[#This Row],[Reinforcement]]="","",Reinforcements[[#This Row],[Fay]]*Reinforcements[[#This Row],[Gross Area (in2)]])</f>
        <v/>
      </c>
      <c r="CQ73" s="140" t="str">
        <f>IF(Reinforcements[[#This Row],[Reinforcement]]="","",0.6*VLOOKUP(Reinforcements[[#This Row],[Material]],Materials[],2,FALSE)*Reinforcements[[#This Row],[Gross Area (in2)]])</f>
        <v/>
      </c>
      <c r="CR73" s="140" t="str">
        <f>IF(Reinforcements[[#This Row],[Reinforcement]]="","",0.5*VLOOKUP(Reinforcements[[#This Row],[Material]],Materials[],3,FALSE)*Reinforcements[[#This Row],[Net Area (in2)]]*Reinforcements[[#This Row],[Shear Lag (U)]])</f>
        <v/>
      </c>
      <c r="CS73" s="140" t="str">
        <f>IF(Reinforcements[[#This Row],[Reinforcement]]="","",0.4*VLOOKUP(Reinforcements[[#This Row],[Material]],Materials[],2,FALSE)*Reinforcements[[#This Row],[Gross Area (in2)]])</f>
        <v/>
      </c>
      <c r="CT73"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127"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127"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140" t="str">
        <f>IF(Reinforcements[[#This Row],[Reinforcement]]="","",φ_c*Reinforcements[[#This Row],[Fcr,x]]*Reinforcements[[#This Row],[Gross Area (in2)]])</f>
        <v/>
      </c>
      <c r="DI73" s="140" t="str">
        <f>IF(Reinforcements[[#This Row],[Reinforcement]]="","",φ_c*Reinforcements[[#This Row],[Fcr,y]]*Reinforcements[[#This Row],[Gross Area (in2)]])</f>
        <v/>
      </c>
      <c r="DJ73" s="140" t="str">
        <f>IF(Reinforcements[[#This Row],[Reinforcement]]="","",φ_t_y*VLOOKUP(Reinforcements[[#This Row],[Material]],Materials[],2,FALSE)*Reinforcements[[#This Row],[Gross Area (in2)]])</f>
        <v/>
      </c>
      <c r="DK73" s="140" t="str">
        <f>IF(Reinforcements[[#This Row],[Reinforcement]]="","",φ_t_r*VLOOKUP(Reinforcements[[#This Row],[Material]],Materials[],3,FALSE)*Reinforcements[[#This Row],[Net Area (in2)]]*Reinforcements[[#This Row],[Shear Lag (U)]])</f>
        <v/>
      </c>
      <c r="DL73" s="140" t="str">
        <f>IF(Reinforcements[[#This Row],[Reinforcement]]="","",φ_v*0.5*Reinforcements[[#This Row],[F''y]]*Reinforcements[[#This Row],[Gross Area (in2)]])</f>
        <v/>
      </c>
      <c r="DM73"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127"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127"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129" t="str">
        <f>IF(OR(Reinforcements[[#This Row],[Type]]="plate",Reinforcements[[#This Row],[Type]]="solid round"),"N/A",Reinforcements[[#This Row],[B (in)]])</f>
        <v/>
      </c>
      <c r="EB73" s="127" t="str">
        <f>IF(OR(Reinforcements[[#This Row],[Type]]="plate",Reinforcements[[#This Row],[Type]]="solid round"),"N/A",Reinforcements[[#This Row],[H (in)]])</f>
        <v/>
      </c>
      <c r="EC73" s="127" t="e">
        <f>IF(OR(Reinforcements[[#This Row],[Type]]="plate",Reinforcements[[#This Row],[Type]]="solid round"),"N/A",Reinforcements[[#This Row],[B (in)]]-Reinforcements[[#This Row],['[Channel'] Flange Thickness (in)]])</f>
        <v>#VALUE!</v>
      </c>
      <c r="ED73" s="127" t="str">
        <f>IF(OR(Reinforcements[[#This Row],[Type]]="plate",Reinforcements[[#This Row],[Type]]="solid round"),"N/A",Reinforcements[[#This Row],['[Channel']Web Thickness (in)]])</f>
        <v/>
      </c>
      <c r="EE73" s="127" t="str">
        <f>IF(OR(Reinforcements[[#This Row],[Type]]="plate",Reinforcements[[#This Row],[Type]]="solid round"),"N/A",Reinforcements[[#This Row],['[Channel'] Flange Thickness (in)]])</f>
        <v/>
      </c>
      <c r="EF73" s="127" t="str">
        <f>IF(Reinforcements[[#This Row],[Type]]="channel",Reinforcements[[#This Row],[Channel Flange Width, b]]/Reinforcements[[#This Row],[Channel flange thickness, tf]],"N/A")</f>
        <v>N/A</v>
      </c>
      <c r="EG73" s="127" t="str">
        <f>IF(Reinforcements[[#This Row],[Type]]="channel",Reinforcements[[#This Row],[Channel inside depth, T]]/Reinforcements[[#This Row],[Channel web thickness, tw]],"N/A")</f>
        <v>N/A</v>
      </c>
      <c r="EH73" s="6">
        <f>29000</f>
        <v>29000</v>
      </c>
      <c r="EI73" s="127" t="str">
        <f>IF(Reinforcements[[#This Row],[Type]]="channel",0.56*SQRT(Reinforcements[[#This Row],[E, (ksi)]]/Reinforcements[[#This Row],[Fy, (ksi)]]),"N/A")</f>
        <v>N/A</v>
      </c>
      <c r="EJ73" s="127" t="str">
        <f>IF(Reinforcements[[#This Row],[Type]]="channel",1.49*SQRT(Reinforcements[[#This Row],[E, (ksi)]]/Reinforcements[[#This Row],[Fy, (ksi)]]),"N/A")</f>
        <v>N/A</v>
      </c>
      <c r="EK73" s="127" t="e">
        <f>VLOOKUP(Reinforcements[[#This Row],[Material]],Materials!$B$2:$C$30,2,FALSE)</f>
        <v>#N/A</v>
      </c>
      <c r="EL73" s="127" t="e">
        <f>Reinforcements[[#This Row],[Lu (in)]]*Reinforcements[[#This Row],[Effective Length Factor Kx]]</f>
        <v>#VALUE!</v>
      </c>
      <c r="EM73" s="127" t="e">
        <f>Reinforcements[[#This Row],[Lu (in)]]*Reinforcements[[#This Row],[Effective Length Factor Ky]]</f>
        <v>#VALUE!</v>
      </c>
      <c r="EN73" s="127" t="str">
        <f>Reinforcements[[#This Row],[rx]]</f>
        <v/>
      </c>
      <c r="EO73" s="127" t="str">
        <f>Reinforcements[[#This Row],[ry]]</f>
        <v/>
      </c>
      <c r="EP73" s="127" t="e">
        <f>Reinforcements[[#This Row],[Lcx (in)]]/Reinforcements[[#This Row],[rx (in)]]</f>
        <v>#VALUE!</v>
      </c>
      <c r="EQ73" s="127" t="e">
        <f>Reinforcements[[#This Row],[Lcy (in)]]/Reinforcements[[#This Row],[ry (in)]]</f>
        <v>#VALUE!</v>
      </c>
      <c r="ER73" s="127" t="e">
        <f>((PI()^2)*Reinforcements[[#This Row],[E, (ksi)]])/(Reinforcements[[#This Row],[Lcx/rx]]^2)</f>
        <v>#VALUE!</v>
      </c>
      <c r="ES73" s="127" t="e">
        <f>((PI()^2)*Reinforcements[[#This Row],[E, (ksi)]])/(Reinforcements[[#This Row],[Lcy/ry]]^2)</f>
        <v>#VALUE!</v>
      </c>
      <c r="ET73" s="127" t="e">
        <f>4.71*(SQRT(Reinforcements[[#This Row],[E, (ksi)]]/Reinforcements[[#This Row],[Fy, (ksi)]]))</f>
        <v>#N/A</v>
      </c>
      <c r="EU73" s="127" t="e">
        <f>IF(Reinforcements[[#This Row],[Lcx/rx]]&lt;=Reinforcements[[#This Row],[Fcr Limit]],(0.658^(Reinforcements[[#This Row],[Fy, (ksi)]]/Reinforcements[[#This Row],[Fex, FB (ksi)]]))*Reinforcements[[#This Row],[Fy, (ksi)]],0.877*Reinforcements[[#This Row],[Fex, FB (ksi)]])</f>
        <v>#VALUE!</v>
      </c>
      <c r="EV73" s="127" t="e">
        <f>IF(Reinforcements[[#This Row],[Lcy/ry]]&lt;=Reinforcements[[#This Row],[Fcr Limit]],(0.658^(Reinforcements[[#This Row],[Fy, (ksi)]]/Reinforcements[[#This Row],[Fey, FB (ksi)]]))*Reinforcements[[#This Row],[Fy, (ksi)]],0.877*Reinforcements[[#This Row],[Fey, FB (ksi)]])</f>
        <v>#VALUE!</v>
      </c>
      <c r="EW73" s="127" t="e">
        <f>Reinforcements[[#This Row],[Fcrx (ksi)]]*Reinforcements[[#This Row],[Gross Area (in2)]]</f>
        <v>#VALUE!</v>
      </c>
      <c r="EX73" s="127" t="e">
        <f>Reinforcements[[#This Row],[Fcry (ksi)]]*Reinforcements[[#This Row],[Gross Area (in2)]]</f>
        <v>#VALUE!</v>
      </c>
      <c r="EY73" s="127" t="str">
        <f>IF(Reinforcements[[#This Row],[Type]]="channel",0,"N/A")</f>
        <v>N/A</v>
      </c>
      <c r="EZ73" s="127" t="str">
        <f>IF(Reinforcements[[#This Row],[Type]]="channel",Reinforcements[[#This Row],[Channel Flange Width, b]]-(0.5*Reinforcements[[#This Row],[Channel web thickness, tw]]),"N/A")</f>
        <v>N/A</v>
      </c>
      <c r="FA73" s="127" t="str">
        <f>IF(Reinforcements[[#This Row],[Type]]="channel",Reinforcements[[#This Row],[Channel Height, h]]-Reinforcements[[#This Row],[Channel flange thickness, tf]],"N/A")</f>
        <v>N/A</v>
      </c>
      <c r="FB73" s="127" t="str">
        <f>IF(Reinforcements[[#This Row],[Type]]="channel",Reinforcements[[#This Row],[Channel web thickness, tw]],"N/A")</f>
        <v>N/A</v>
      </c>
      <c r="FC73" s="127" t="str">
        <f>IF(Reinforcements[[#This Row],[Type]]="channel",((3*Reinforcements[[#This Row],[b]]^2)/(Reinforcements[[#This Row],[h]]+(6*Reinforcements[[#This Row],[b]])))-Reinforcements[[#This Row],[t]]/2,"N/A")</f>
        <v>N/A</v>
      </c>
      <c r="FD73" s="127" t="str">
        <f>Reinforcements[[#This Row],[Pole Face to Centroid (in)]]</f>
        <v/>
      </c>
      <c r="FE73" s="127" t="str">
        <f>IF(Reinforcements[[#This Row],[Type]]="channel",Reinforcements[[#This Row],[x(bar)]]+Reinforcements[[#This Row],['[Channel'] e0 (in)]],"N/A")</f>
        <v>N/A</v>
      </c>
      <c r="FF73" s="127" t="str">
        <f>IF(Reinforcements[[#This Row],[Type]]="channel",Reinforcements[[#This Row],[Ix]],"N/A")</f>
        <v>N/A</v>
      </c>
      <c r="FG73" s="127" t="str">
        <f>IF(Reinforcements[[#This Row],[Type]]="channel",Reinforcements[[#This Row],[Iy]],"N/A")</f>
        <v>N/A</v>
      </c>
      <c r="FH73" s="127" t="str">
        <f>IF(Reinforcements[[#This Row],[Type]]="channel",Reinforcements[[#This Row],[Gross Area (in2)]],"N/A")</f>
        <v>N/A</v>
      </c>
      <c r="FI73" s="127" t="str">
        <f>IF(Reinforcements[[#This Row],[Type]]="channel",(Reinforcements[[#This Row],[xo]]^2)+((Reinforcements[[#This Row],[Ix (FTB)]]+Reinforcements[[#This Row],[Iy (FTB)]])/Reinforcements[[#This Row],[Ag]]),"N/A")</f>
        <v>N/A</v>
      </c>
      <c r="FJ73" s="127" t="str">
        <f>IF(Reinforcements[[#This Row],[Type]]="channel",Reinforcements[[#This Row],[Lu (in)]],"N/A")</f>
        <v>N/A</v>
      </c>
      <c r="FK73" s="127" t="str">
        <f>IF(Reinforcements[[#This Row],[Type]]="channel",Reinforcements[[#This Row],[Effective Length Factor Kx]],"N/A")</f>
        <v>N/A</v>
      </c>
      <c r="FL73" s="127" t="str">
        <f>IF(Reinforcements[[#This Row],[Type]]="channel",Reinforcements[[#This Row],[Kz]]*Reinforcements[[#This Row],[Lz]],"N/A")</f>
        <v>N/A</v>
      </c>
      <c r="FM73" s="127" t="str">
        <f>IF(Reinforcements[[#This Row],[Type]]="channel",(((Reinforcements[[#This Row],[t]]^3)/3)*(Reinforcements[[#This Row],[h]]+(2*Reinforcements[[#This Row],[b]]))),"N/A")</f>
        <v>N/A</v>
      </c>
      <c r="FN73" s="127" t="str">
        <f>IF(Reinforcements[[#This Row],[Type]]="channel",(1-(((Reinforcements[[#This Row],[xo]]^2)+(Reinforcements[[#This Row],[yo]]^2))/Reinforcements[[#This Row],[ro^2(bar)]])),"N/A")</f>
        <v>N/A</v>
      </c>
      <c r="FO73" s="127">
        <v>11200</v>
      </c>
      <c r="FP73" s="127" t="str">
        <f>IF(Reinforcements[[#This Row],[Type]]="channel",(((Reinforcements[[#This Row],[h]]^2)*(Reinforcements[[#This Row],[b]]^3)*Reinforcements[[#This Row],[t]])/12)*(((2*Reinforcements[[#This Row],[h]])+(3*Reinforcements[[#This Row],[b]]))/(Reinforcements[[#This Row],[h]]+(6*Reinforcements[[#This Row],[b]]))),"N/A")</f>
        <v>N/A</v>
      </c>
      <c r="FQ73" s="127" t="str">
        <f>IF(Reinforcements[[#This Row],[Type]]="Channel",((((PI()^2)*Reinforcements[[#This Row],[E, (ksi)]]*Reinforcements[[#This Row],['[Channel'] CW (in6)]])/(Reinforcements[[#This Row],[Lcz]]^2))+(Reinforcements[[#This Row],[G]]*Reinforcements[[#This Row],['[Channel'] J (in4)]]))*(1/(Reinforcements[[#This Row],[Ag]]*Reinforcements[[#This Row],[ro^2(bar)]])),"N/A")</f>
        <v>N/A</v>
      </c>
      <c r="FR73" s="127" t="str">
        <f>IF(Reinforcements[[#This Row],[Type]]="channel",((PI()^2)*Reinforcements[[#This Row],[E, (ksi)]])/(Reinforcements[[#This Row],[Lcy/ry]]^2),"N/A")</f>
        <v>N/A</v>
      </c>
      <c r="FS73" s="127" t="str">
        <f>IF(Reinforcements[[#This Row],[Type]]="channel",((Reinforcements[[#This Row],[Fey]]+Reinforcements[[#This Row],[Fez]])/(2*Reinforcements[[#This Row],[H2]]))*(1-SQRT(1-((4*Reinforcements[[#This Row],[Fey]]*Reinforcements[[#This Row],[Fez]]*Reinforcements[[#This Row],[H2]])/(Reinforcements[[#This Row],[Fey]]+Reinforcements[[#This Row],[Fez]])^2))),"N/A")</f>
        <v>N/A</v>
      </c>
      <c r="FT73" s="127" t="str">
        <f>IF(Reinforcements[[#This Row],[Type]]="channel",IF(Reinforcements[[#This Row],[Lcx/rx]]&gt;(4.71*SQRT(Reinforcements[[#This Row],[E, (ksi)]]/Reinforcements[[#This Row],[Fy, (ksi)]])),0.877*Reinforcements[[#This Row],[Fe (FTB)]],0.658^(Reinforcements[[#This Row],[Fy, (ksi)]]/Reinforcements[[#This Row],[Fe (FTB)]])*Reinforcements[[#This Row],[Fy, (ksi)]]),"N/A")</f>
        <v>N/A</v>
      </c>
      <c r="FU73" s="127" t="str">
        <f>IF(Reinforcements[[#This Row],[Type]]="channel",MIN(Reinforcements[[#This Row],[Fcr(FTB)]],Reinforcements[[#This Row],[Fcry (ksi)]]),"N/A")</f>
        <v>N/A</v>
      </c>
      <c r="FV73" s="127">
        <v>0.22</v>
      </c>
      <c r="FW73" s="127">
        <v>1.49</v>
      </c>
      <c r="FX73" s="127" t="str">
        <f>IF(Reinforcements[[#This Row],[Type]]="channel",((Reinforcements[[#This Row],[c2]]*(Reinforcements[[#This Row],[λrf]]/Reinforcements[[#This Row],[λf]]))^2)*Reinforcements[[#This Row],[Fy, (ksi)]],"N/A")</f>
        <v>N/A</v>
      </c>
      <c r="FY73" s="127" t="str">
        <f>IF(Reinforcements[[#This Row],[Type]]="channel",((Reinforcements[[#This Row],[c2]]*(Reinforcements[[#This Row],[λrw]]/Reinforcements[[#This Row],[λw]]))^2)*Reinforcements[[#This Row],[Fy, (ksi)]],"N/A")</f>
        <v>N/A</v>
      </c>
      <c r="FZ73"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127" t="str">
        <f>IF(Reinforcements[[#This Row],[Type]]="channel",Reinforcements[[#This Row],[Fcr]]*Reinforcements[[#This Row],[Ae]],"N/A")</f>
        <v>N/A</v>
      </c>
      <c r="GD73" s="50" t="str">
        <f>IF(Reinforcements[[#This Row],[Reinforcement]]="","",φ_c*Reinforcements[[#This Row],[Pnx, FB (kip)]])</f>
        <v/>
      </c>
      <c r="GE73" s="50" t="str">
        <f>IF(Reinforcements[[#This Row],[Reinforcement]]="","",IF(Reinforcements[[#This Row],[Type]]="channel",φ_c*Reinforcements[[#This Row],[Pn]],φ_c*Reinforcements[[#This Row],[Pny, FB (kip)]]))</f>
        <v/>
      </c>
      <c r="GF73" s="50" t="str">
        <f>Reinforcements[[#This Row],[Rev. G Tension Yield Capacity (kips)]]</f>
        <v/>
      </c>
      <c r="GG73" s="50" t="str">
        <f>Reinforcements[[#This Row],[Rev. G Tension Rupture Capacity (kips)]]</f>
        <v/>
      </c>
      <c r="GH73" s="50" t="str">
        <f>Reinforcements[[#This Row],[Rev. G Shear Capacity (kips)]]</f>
        <v/>
      </c>
      <c r="GI73" s="50" t="str">
        <f>IFERROR((Reinforcements[[#This Row],['# of End Connection Bolts          (Bottom)]]-1)*Reinforcements[[#This Row],[End Connection Bolt Spacing (in) (B)]],"-")</f>
        <v>-</v>
      </c>
      <c r="GJ73" s="50" t="str">
        <f>IFERROR(IF(VLOOKUP(Reinforcements[[#This Row],[Bottom End Connection Bolt Type]],Bolts[],COLUMN(Bolts[[#Headers],[Rev. H Apply Connection Length Reduction Factor (Rb)?]])-1,FALSE)="Yes",(IF(Reinforcements[[#This Row],[Lb(bottom)]]&lt;=16,1,IF(Reinforcements[[#This Row],[Lb(bottom)]]&gt;38,0.75,0.9))),1),"-")</f>
        <v>-</v>
      </c>
      <c r="GK73"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50" t="str">
        <f>IFERROR(IF(Reinforcements[[#This Row],[Top End Connection Same?]]="Yes",Reinforcements[[#This Row],[Lb(bottom)]],(Reinforcements[[#This Row],['# of End Connection Bolts          (Top)]]-1)*Reinforcements[[#This Row],[End Connection Bolt Spacing (in) (T)]]),"-")</f>
        <v>-</v>
      </c>
      <c r="GM73" s="50" t="str">
        <f>IFERROR(IF(VLOOKUP(Reinforcements[[#This Row],[Top End Connection Bolt Type]],Bolts[],COLUMN(Bolts[[#Headers],[Rev. H Apply Connection Length Reduction Factor (Rb)?]])-1,FALSE)=TRUE,(IF(Reinforcements[[#This Row],[Lb(top)]]&lt;=16,1,IF(Reinforcements[[#This Row],[Lb(top)]]&gt;38,0.75,0.9))),1),"-")</f>
        <v>-</v>
      </c>
      <c r="GN73"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50" t="str">
        <f>Reinforcements[[#This Row],[Rev. G Bolt-Shaft Bearing Capacity (Bottom)                No Deformation          (*t*Fu kips)]]</f>
        <v>-</v>
      </c>
      <c r="GP73" s="50" t="str">
        <f>Reinforcements[[#This Row],[Rev. G Bolt-Shaft Bearing Capacity (Bottom)                   Deformation          (*t*Fu kips)]]</f>
        <v>-</v>
      </c>
      <c r="GQ73" s="50" t="str">
        <f>Reinforcements[[#This Row],[Rev. G Bolt-Shaft Bearing Capacity (Top)                    No Deformation          (*t*Fu kips)]]</f>
        <v>-</v>
      </c>
      <c r="GR73" s="50" t="str">
        <f>Reinforcements[[#This Row],[Rev. G Bolt-Shaft Bearing Capacity (Top)                        Deformation          (*t*Fu kips)]]</f>
        <v>-</v>
      </c>
      <c r="GS73" s="50" t="str">
        <f>Reinforcements[[#This Row],[Rev. G Bolt-Reinf. Bearing Capacity (Bottom)            No Deformation (kips)]]</f>
        <v>-</v>
      </c>
      <c r="GT73" s="50" t="str">
        <f>Reinforcements[[#This Row],[Rev. G Bolt-Reinf. Bearing Capacity (Bottom)               Deformation (kips)]]</f>
        <v>-</v>
      </c>
      <c r="GU73" s="50" t="str">
        <f>Reinforcements[[#This Row],[Rev. G Bolt-Reinf. Bearing Capacity (Top)                  No Deformation (kips)]]</f>
        <v>-</v>
      </c>
      <c r="GV73" s="50" t="str">
        <f>Reinforcements[[#This Row],[Rev. G Bolt-Reinf. Bearing Capacity (Top)               Deformation (kips)]]</f>
        <v>-</v>
      </c>
      <c r="GW73" s="50" t="str">
        <f>Reinforcements[[#This Row],[Rev. G Bottom Transverse Weld Strength]]</f>
        <v/>
      </c>
      <c r="GX73" s="50" t="str">
        <f>Reinforcements[[#This Row],[Rev. G Bottom Longitudinal Weld Strength]]</f>
        <v/>
      </c>
      <c r="GY73" s="50" t="str">
        <f>Reinforcements[[#This Row],[Rev. G Top Transverse Weld Strength]]</f>
        <v/>
      </c>
      <c r="GZ73" s="50" t="str">
        <f>Reinforcements[[#This Row],[Rev. G Top Longitudinal Weld Strength]]</f>
        <v/>
      </c>
      <c r="HA73">
        <v>71</v>
      </c>
      <c r="HB73"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94"/>
      <c r="C74" s="94"/>
      <c r="D74" s="127" t="str">
        <f>IF(Reinforcements[[#This Row],[Type]]="","",IF(Reinforcements[[#This Row],[Type]]="solid round","-",""))</f>
        <v/>
      </c>
      <c r="E74" s="127" t="str">
        <f>IF(Reinforcements[[#This Row],[Type]]="","",IF(Reinforcements[[#This Row],[Type]]="solid round","-",""))</f>
        <v/>
      </c>
      <c r="F74" s="127" t="str">
        <f>IF(Reinforcements[[#This Row],[Type]]="","",IF(Reinforcements[[#This Row],[Type]]="solid round","","n/a"))</f>
        <v/>
      </c>
      <c r="G74" s="127" t="str">
        <f>IF(Reinforcements[[#This Row],[Type]]="","",IF(Reinforcements[[#This Row],[Type]]&lt;&gt;"channel","n/a",""))</f>
        <v/>
      </c>
      <c r="H74" s="127" t="str">
        <f>IF(Reinforcements[[#This Row],[Type]]="","",IF(Reinforcements[[#This Row],[Type]]&lt;&gt;"channel","n/a",""))</f>
        <v/>
      </c>
      <c r="I74" s="140" t="str">
        <f>IF(Reinforcements[[#This Row],[Type]]="","",IF(Reinforcements[[#This Row],[Type]]&lt;&gt;"channel","n/a",Reinforcements[[#This Row],[eo]]))</f>
        <v/>
      </c>
      <c r="J74" s="140" t="str">
        <f>IF(Reinforcements[[#This Row],[Type]]="","",IF(Reinforcements[[#This Row],[Type]]&lt;&gt;"channel","n/a",Reinforcements[[#This Row],[J]]))</f>
        <v/>
      </c>
      <c r="K74" s="140" t="str">
        <f>IF(Reinforcements[[#This Row],[Type]]="","",IF(Reinforcements[[#This Row],[Type]]&lt;&gt;"channel","n/a",Reinforcements[[#This Row],[Cw]]))</f>
        <v/>
      </c>
      <c r="L74" s="127" t="str">
        <f>IFERROR(IF(Reinforcements[[#This Row],[Type]]="","",IF(Reinforcements[[#This Row],[Type]]="plate",Reinforcements[[#This Row],[B (in)]]*Reinforcements[[#This Row],[H (in)]],IF(Reinforcements[[#This Row],[Type]]="solid round",PI()/4*Reinforcements[[#This Row],[Diameter (in)]]^2,""))),"")</f>
        <v/>
      </c>
      <c r="M74" s="127" t="str">
        <f>IFERROR(IF(Reinforcements[[#This Row],[Type]]="","",IF(Reinforcements[[#This Row],[Type]]="plate",Reinforcements[[#This Row],[H (in)]]/2,"")),"")</f>
        <v/>
      </c>
      <c r="N74" s="128"/>
      <c r="O74" s="129"/>
      <c r="P74" s="135" t="str">
        <f>IFERROR(IF(Reinforcements[[#This Row],[Type]]="","",IF(Reinforcements[[#This Row],[Type]]="plate",Reinforcements[[#This Row],[B (in)]]*Reinforcements[[#This Row],[H (in)]]^3/12,IF(Reinforcements[[#This Row],[Type]]="solid round",PI()/64*Reinforcements[[#This Row],[Diameter (in)]]^4,""))),"")</f>
        <v/>
      </c>
      <c r="Q74" s="135" t="str">
        <f>IF(Reinforcements[[#This Row],[Reinforcement]]="","",SQRT(Reinforcements[[#This Row],[Ix]]/Reinforcements[[#This Row],[Gross Area (in2)]]))</f>
        <v/>
      </c>
      <c r="R74" s="135" t="str">
        <f>IFERROR(IF(Reinforcements[[#This Row],[Type]]="","",IF(Reinforcements[[#This Row],[Type]]="plate",Reinforcements[[#This Row],[B (in)]]^3*Reinforcements[[#This Row],[H (in)]]/12,IF(Reinforcements[[#This Row],[Type]]="solid round",PI()/64*Reinforcements[[#This Row],[Diameter (in)]]^4,""))),"")</f>
        <v/>
      </c>
      <c r="S74" s="135" t="str">
        <f>IF(Reinforcements[[#This Row],[Reinforcement]]="","",SQRT(Reinforcements[[#This Row],[Iy]]/Reinforcements[[#This Row],[Gross Area (in2)]]))</f>
        <v/>
      </c>
      <c r="T74" s="127"/>
      <c r="U74" s="127" t="str">
        <f>IF(Reinforcements[[#This Row],[Lu (in)]]="","",IF(Reinforcements[[#This Row],[Lu (in)]]=0,1,""))</f>
        <v/>
      </c>
      <c r="V74" s="127" t="str">
        <f>IF(Reinforcements[[#This Row],[Lu (in)]]="","",IF(Reinforcements[[#This Row],[Lu (in)]]=0,1,""))</f>
        <v/>
      </c>
      <c r="W74" s="127" t="str">
        <f>IF(Reinforcements[[#This Row],[Type]]="","",IF(Reinforcements[[#This Row],[Type]]="solid round",0,IF(Reinforcements[[#This Row],[Type]]="arbitrary","n/a","")))</f>
        <v/>
      </c>
      <c r="X74" s="127" t="str">
        <f>IF(Reinforcements[[#This Row],[Bolt Hole Size (in)]]="","",IF(Reinforcements[[#This Row],[Bolt Hole Size (in)]]="n/a","n/a",Reinforcements[[#This Row],[Bolt Hole Size (in)]]*25.4))</f>
        <v/>
      </c>
      <c r="Y74"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127" t="str">
        <f>IFERROR(IF(Reinforcements[[#This Row],[Reinforcement]]="","",IF(OR(Reinforcements[[#This Row],[Type]]="plate",Reinforcements[[#This Row],[Type]]="solid round"),1,IF(Reinforcements[[#This Row],[Type]]="arbitrary","",1-Reinforcements[[#This Row],[Pole Face to Centroid (in)]]/Reinforcements[[#This Row],[Connection Length (in) '[Channels']]]))),"")</f>
        <v/>
      </c>
      <c r="AA74" s="74"/>
      <c r="AB74" s="74" t="str">
        <f>IF(Reinforcements[[#This Row],[Reinforcement]]="","",IF(Reinforcements[[#This Row],[Bottom End Connection Type]]&lt;&gt;"Capacity Input","-",""))</f>
        <v/>
      </c>
      <c r="AC74" s="74" t="str">
        <f>IF(Reinforcements[[#This Row],[Reinforcement]]="","",IF(Reinforcements[[#This Row],[Bottom End Connection Type]]&lt;&gt;"Capacity Input","-",""))</f>
        <v/>
      </c>
      <c r="AD74" s="74" t="str">
        <f>IF(Reinforcements[[#This Row],[Reinforcement]]="","",IF(Reinforcements[[#This Row],[Bottom End Connection Type]]&lt;&gt;"Capacity Input","-",""))</f>
        <v/>
      </c>
      <c r="AE74" s="74" t="str">
        <f>IF(Reinforcements[[#This Row],[Reinforcement]]="","",IF(Reinforcements[[#This Row],[Bottom End Connection Type]]&lt;&gt;"Bolted","-",""))</f>
        <v/>
      </c>
      <c r="AF74" s="127" t="str">
        <f>IF(Reinforcements[[#This Row],[Reinforcement]]="","",IF(Reinforcements[[#This Row],[Bottom End Connection Type]]&lt;&gt;"Bolted","-",""))</f>
        <v/>
      </c>
      <c r="AG74" s="127" t="str">
        <f>IF(Reinforcements[[#This Row],[Reinforcement]]="","",IF(Reinforcements[[#This Row],[Bottom End Connection Type]]="","-",IF(Reinforcements[[#This Row],[Bottom End Connection Type]]&lt;&gt;"Bolted","-","")))</f>
        <v/>
      </c>
      <c r="AH74" s="127" t="str">
        <f>IF(Reinforcements[[#This Row],[Reinforcement]]="","",IF(Reinforcements[[#This Row],[Bottom End Connection Type]]="","-",IF(Reinforcements[[#This Row],[Bottom End Connection Type]]&lt;&gt;"Bolted","-","")))</f>
        <v/>
      </c>
      <c r="AI74" s="127" t="str">
        <f>IF(Reinforcements[[#This Row],[Reinforcement]]="","",IF(Reinforcements[[#This Row],[Bottom End Connection Type]]="","-",IF(Reinforcements[[#This Row],[Bottom End Connection Type]]&lt;&gt;"Bolted","-","")))</f>
        <v/>
      </c>
      <c r="AJ74" s="127" t="e">
        <f>Reinforcements[[#This Row],[End Connection Edge Distance (in) (B)]]-(Reinforcements[[#This Row],[Bolt Hole Size (in)]]+1/16)/2</f>
        <v>#VALUE!</v>
      </c>
      <c r="AK74" s="127" t="e">
        <f>Reinforcements[[#This Row],[End Connection Bolt Spacing (in) (B)]]-(Reinforcements[[#This Row],[Bolt Hole Size (in)]]+1/16)</f>
        <v>#VALUE!</v>
      </c>
      <c r="AL74" s="127" t="str">
        <f>Reinforcements[[#This Row],[End Connection Edge Distance (in) (B)]]</f>
        <v/>
      </c>
      <c r="AM74" s="127" t="str">
        <f>Reinforcements[[#This Row],[End Connection Bolt Spacing (in) (B)]]</f>
        <v/>
      </c>
      <c r="AN74" s="127" t="str">
        <f>IF(Reinforcements[[#This Row],[Reinforcement]]="","",IF(OR(Reinforcements[[#This Row],[Bottom End Connection Type]]="Bolted",Reinforcements[[#This Row],[Bottom End Connection Type]]=""),"-",""))</f>
        <v/>
      </c>
      <c r="AO74" s="129" t="str">
        <f>IF(Reinforcements[[#This Row],[Reinforcement]]="","",IF(Reinforcements[[#This Row],[Bottom End Connection Type]]&lt;&gt;"Welded","-",""))</f>
        <v/>
      </c>
      <c r="AP74" s="129" t="str">
        <f>IF(Reinforcements[[#This Row],[Reinforcement]]="","",IF(Reinforcements[[#This Row],[Bottom End Connection Type]]&lt;&gt;"Welded","-",""))</f>
        <v/>
      </c>
      <c r="AQ74" s="129" t="str">
        <f>IF(Reinforcements[[#This Row],[Reinforcement]]="","",IF(OR(Reinforcements[[#This Row],[Bottom End Connection Type]]&lt;&gt;"Welded",Reinforcements[[#This Row],[Bottom Transverse (Horizontal) Weld]]="None"),"-",""))</f>
        <v/>
      </c>
      <c r="AR74"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129" t="str">
        <f>IF(Reinforcements[[#This Row],[Reinforcement]]="","",IF(OR(Reinforcements[[#This Row],[Bottom Transverse (Horizontal) Weld]]="None",Reinforcements[[#This Row],[Bottom End Connection Type]]&lt;&gt;"Welded"),"-",""))</f>
        <v/>
      </c>
      <c r="AU74"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129" t="str">
        <f>IF(Reinforcements[[#This Row],[Reinforcement]]="","",IF(OR(Reinforcements[[#This Row],[Bottom End Connection Type]]&lt;&gt;"Welded",Reinforcements[[#This Row],[Bottom End Connection Type]]=""),"-",""))</f>
        <v/>
      </c>
      <c r="AW74" s="129" t="str">
        <f>IF(Reinforcements[[#This Row],[Reinforcement]]="","",IF(OR(Reinforcements[[#This Row],[Bottom End Connection Type]]&lt;&gt;"Welded",Reinforcements[[#This Row],[Bottom Longitudinal (Vertical) Weld]]="None",Reinforcements[[#This Row],[Bottom Longitudinal (Vertical) Weld]]=""),"-",""))</f>
        <v/>
      </c>
      <c r="AX74" s="129" t="str">
        <f>IF(Reinforcements[[#This Row],[Reinforcement]]="","",IF(OR(Reinforcements[[#This Row],[Bottom End Connection Type]]&lt;&gt;"Welded",Reinforcements[[#This Row],[Bottom Longitudinal (Vertical) Weld]]="None",Reinforcements[[#This Row],[Bottom Longitudinal (Vertical) Weld]]=""),"-",""))</f>
        <v/>
      </c>
      <c r="AY74" s="127" t="str">
        <f>IF(Reinforcements[[#This Row],[Reinforcement]]="","",IF(OR(Reinforcements[[#This Row],[Bottom End Connection Type]]&lt;&gt;"Welded",Reinforcements[[#This Row],[Bottom Longitudinal (Vertical) Weld]]="None"),"-",SQRT(2)/2*Reinforcements[[#This Row],[Bottom Longitudinal Weld Fillet Size (in)]]))</f>
        <v/>
      </c>
      <c r="AZ74" s="127"/>
      <c r="BA74" s="74" t="str">
        <f>IF(Reinforcements[[#This Row],[Top End Connection Same?]]="Yes",Reinforcements[[#This Row],[Bottom End Connection Type]],"")</f>
        <v/>
      </c>
      <c r="BB74" s="74" t="str">
        <f>IF(Reinforcements[[#This Row],[Reinforcement]]="","",IF(Reinforcements[[#This Row],[Top End Connection Same?]]="Yes",Reinforcements[[#This Row],[Rev. F Bottom Connection Capacity (kips)]],IF(Reinforcements[[#This Row],[Reinforcement]]="","",IF(Reinforcements[[#This Row],[Top End Connection Type]]&lt;&gt;"Capacity Input","-",""))))</f>
        <v/>
      </c>
      <c r="BC74" s="74" t="str">
        <f>IF(Reinforcements[[#This Row],[Reinforcement]]="","",IF(Reinforcements[[#This Row],[Top End Connection Same?]]="Yes",Reinforcements[[#This Row],[Rev. G Bottom Connection Capacity (kips)]],IF(Reinforcements[[#This Row],[Reinforcement]]="","",IF(Reinforcements[[#This Row],[Top End Connection Type]]&lt;&gt;"Capacity Input","-",""))))</f>
        <v/>
      </c>
      <c r="BD74" s="74" t="str">
        <f>IF(Reinforcements[[#This Row],[Reinforcement]]="","",IF(Reinforcements[[#This Row],[Top End Connection Same?]]="Yes",Reinforcements[[#This Row],[Rev. G Bottom Connection Capacity (kips)]],IF(Reinforcements[[#This Row],[Reinforcement]]="","",IF(Reinforcements[[#This Row],[Top End Connection Type]]&lt;&gt;"Capacity Input","-",""))))</f>
        <v/>
      </c>
      <c r="BE74" s="74" t="str">
        <f>IF(Reinforcements[[#This Row],[Reinforcement]]="","",IF(Reinforcements[[#This Row],[Top End Connection Same?]]="Yes",Reinforcements[[#This Row],[Bottom End Connection Bolt Type]],IF(Reinforcements[[#This Row],[Top End Connection Type]]&lt;&gt;"Bolted","-","")))</f>
        <v/>
      </c>
      <c r="BF74" s="127" t="str">
        <f>IF(Reinforcements[[#This Row],[Reinforcement]]="","",IF(Reinforcements[[#This Row],[Top End Connection Same?]]="Yes",Reinforcements[[#This Row],[Threads Included (N) or Excluded (X) (Bottom)]],IF(Reinforcements[[#This Row],[Top End Connection Type]]&lt;&gt;"Bolted","-","")))</f>
        <v/>
      </c>
      <c r="BG74" s="127" t="str">
        <f>IF(Reinforcements[[#This Row],[Reinforcement]]="","",IF(Reinforcements[[#This Row],[Top End Connection Same?]]="Yes",Reinforcements[[#This Row],['# of End Connection Bolts          (Bottom)]],IF(Reinforcements[[#This Row],[Top End Connection Type]]&lt;&gt;"Bolted","-","")))</f>
        <v/>
      </c>
      <c r="BH74" s="127" t="str">
        <f>IF(Reinforcements[[#This Row],[Reinforcement]]="","",IF(Reinforcements[[#This Row],[Top End Connection Same?]]="Yes",Reinforcements[[#This Row],[End Connection Bolt Spacing (in) (B)]],IF(Reinforcements[[#This Row],[Top End Connection Type]]&lt;&gt;"Bolted","-","")))</f>
        <v/>
      </c>
      <c r="BI74" s="127" t="str">
        <f>IF(Reinforcements[[#This Row],[Reinforcement]]="","",IF(Reinforcements[[#This Row],[Top End Connection Same?]]="Yes",Reinforcements[[#This Row],[End Connection Edge Distance (in) (B)]],IF(Reinforcements[[#This Row],[Top End Connection Type]]&lt;&gt;"Bolted","-","")))</f>
        <v/>
      </c>
      <c r="BJ74" s="127" t="e">
        <f>Reinforcements[[#This Row],[End Connection Edge Distance (in) (T)]]-(Reinforcements[[#This Row],[Bolt Hole Size (in)]]+1/16)/2</f>
        <v>#VALUE!</v>
      </c>
      <c r="BK74" s="127" t="e">
        <f>Reinforcements[[#This Row],[End Connection Bolt Spacing (in) (T)]]-(Reinforcements[[#This Row],[Bolt Hole Size (in)]]+1/16)</f>
        <v>#VALUE!</v>
      </c>
      <c r="BL74" s="127" t="str">
        <f>Reinforcements[[#This Row],[End Connection Edge Distance (in) (T)]]</f>
        <v/>
      </c>
      <c r="BM74" s="127" t="str">
        <f>Reinforcements[[#This Row],[End Connection Bolt Spacing (in) (T)]]</f>
        <v/>
      </c>
      <c r="BN74" s="127" t="str">
        <f>IF(Reinforcements[[#This Row],[Reinforcement]]="","",IF(Reinforcements[[#This Row],[Top End Connection Same?]]="Yes",Reinforcements[[#This Row],[Bottom Connected to Flange/Base Plate?]],IF(Reinforcements[[#This Row],[Top End Connection Type]]="Bolted","-","")))</f>
        <v/>
      </c>
      <c r="BO74" s="127" t="str">
        <f>IF(Reinforcements[[#This Row],[Reinforcement]]="","",IF(Reinforcements[[#This Row],[Top End Connection Same?]]="Yes",Reinforcements[[#This Row],[Bottom Weld Grade (ksi)]],IF(OR(Reinforcements[[#This Row],[Top End Connection Type]]&lt;&gt;"Welded",Reinforcements[[#This Row],[Top End Connection Type]]=""),"-","")))</f>
        <v/>
      </c>
      <c r="BP74" s="127" t="str">
        <f>IF($AZ74="Yes",AP74,IF(Reinforcements[[#This Row],[Reinforcement]]="","",IF(OR(Reinforcements[[#This Row],[Top End Connection Type]]&lt;&gt;"Welded",Reinforcements[[#This Row],[Top End Connection Type]]=""),"-","")))</f>
        <v/>
      </c>
      <c r="BQ74" s="127" t="str">
        <f>IF(Reinforcements[[#This Row],[Reinforcement]]="","",IF($AZ74="Yes",AQ74,IF(OR(Reinforcements[[#This Row],[Top End Connection Type]]&lt;&gt;"Welded",Reinforcements[[#This Row],[Top Transverse (Horizontal) Weld]]="none",Reinforcements[[#This Row],[Top Transverse (Horizontal) Weld]]=""),"-","")))</f>
        <v/>
      </c>
      <c r="BR74" s="127"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127"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127" t="str">
        <f>IF(Reinforcements[[#This Row],[Reinforcement]]="","",IF($AZ74="Yes",AT74,IF(OR(Reinforcements[[#This Row],[Top Transverse (Horizontal) Weld]]="none",Reinforcements[[#This Row],[Top End Connection Type]]&lt;&gt;"Welded",Reinforcements[[#This Row],[Top Transverse (Horizontal) Weld]]=""),"-","")))</f>
        <v/>
      </c>
      <c r="BU74" s="127"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127" t="str">
        <f>IF($AZ74="Yes",AV74,IF(Reinforcements[[#This Row],[Reinforcement]]="","",IF(OR(Reinforcements[[#This Row],[Top End Connection Type]]&lt;&gt;"Welded",Reinforcements[[#This Row],[Top End Connection Type]]=""),"-","")))</f>
        <v/>
      </c>
      <c r="BW74" s="127"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127"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127" t="str">
        <f>IF($AZ74="Yes",AY74,IF(Reinforcements[[#This Row],[Reinforcement]]="","",IF(OR(Reinforcements[[#This Row],[Top End Connection Type]]&lt;&gt;"Welded",Reinforcements[[#This Row],[Top Longitudinal (Vertical) Weld]]="none"),"-",SQRT(2)/2*Reinforcements[[#This Row],[Top Longitudinal Weld Fillet Size (in)]])))</f>
        <v/>
      </c>
      <c r="BZ74"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4"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127" t="str">
        <f>IFERROR(IF(Reinforcements[[#This Row],[Type]]="","",Reinforcements[[#This Row],[Effective B (in)]]*Reinforcements[[#This Row],[Effective H (in)]]^3/12),"")</f>
        <v/>
      </c>
      <c r="CF74" s="127" t="str">
        <f>IFERROR(IF(Reinforcements[[#This Row],[Type]]="","",Reinforcements[[#This Row],[Effective B (in)]]^3*Reinforcements[[#This Row],[Effective H (in)]]/12),"")</f>
        <v/>
      </c>
      <c r="CG74" s="140" t="e">
        <f>SQRT(2*PI()^2*29000/VLOOKUP(Reinforcements[[#This Row],[Material]],Materials[],2,FALSE))</f>
        <v>#N/A</v>
      </c>
      <c r="CH74"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135" t="e">
        <f>Reinforcements[[#This Row],[Effective Length Factor Kx]]*Reinforcements[[#This Row],[Lu (in)]]/(Reinforcements[[#This Row],[rx]]*PI())*SQRT(VLOOKUP(Reinforcements[[#This Row],[Material]],Materials[],2,FALSE)/29000)</f>
        <v>#VALUE!</v>
      </c>
      <c r="CK74" s="135" t="e">
        <f>Reinforcements[[#This Row],[Effective Length Factor Ky]]*Reinforcements[[#This Row],[Lu (in)]]/(Reinforcements[[#This Row],[ry]]*PI())*SQRT(VLOOKUP(Reinforcements[[#This Row],[Material]],Materials[],2,FALSE)/29000)</f>
        <v>#VALUE!</v>
      </c>
      <c r="CL74" s="135" t="e">
        <f>IF(Reinforcements[[#This Row],[λcx]]&lt;=1.5,0.658^(Reinforcements[[#This Row],[λcx]]^2)*Reinforcements[[#This Row],[F''y]],0.877/(Reinforcements[[#This Row],[λcx]]^2)*Reinforcements[[#This Row],[F''y]])</f>
        <v>#VALUE!</v>
      </c>
      <c r="CM74" s="135" t="e">
        <f>IF(Reinforcements[[#This Row],[λcy]]&lt;=1.5,0.658^(Reinforcements[[#This Row],[λcy]]^2)*Reinforcements[[#This Row],[F''y]],0.877/(Reinforcements[[#This Row],[λcy]]^2)*Reinforcements[[#This Row],[F''y]])</f>
        <v>#VALUE!</v>
      </c>
      <c r="CN74" s="127" t="e">
        <f>VLOOKUP(Reinforcements[[#This Row],[Material]],Materials[],2,FALSE)</f>
        <v>#N/A</v>
      </c>
      <c r="CO74" s="140" t="str">
        <f>IF(Reinforcements[[#This Row],[Reinforcement]]="","",Reinforcements[[#This Row],[Fax]]*Reinforcements[[#This Row],[Gross Area (in2)]])</f>
        <v/>
      </c>
      <c r="CP74" s="140" t="str">
        <f>IF(Reinforcements[[#This Row],[Reinforcement]]="","",Reinforcements[[#This Row],[Fay]]*Reinforcements[[#This Row],[Gross Area (in2)]])</f>
        <v/>
      </c>
      <c r="CQ74" s="140" t="str">
        <f>IF(Reinforcements[[#This Row],[Reinforcement]]="","",0.6*VLOOKUP(Reinforcements[[#This Row],[Material]],Materials[],2,FALSE)*Reinforcements[[#This Row],[Gross Area (in2)]])</f>
        <v/>
      </c>
      <c r="CR74" s="140" t="str">
        <f>IF(Reinforcements[[#This Row],[Reinforcement]]="","",0.5*VLOOKUP(Reinforcements[[#This Row],[Material]],Materials[],3,FALSE)*Reinforcements[[#This Row],[Net Area (in2)]]*Reinforcements[[#This Row],[Shear Lag (U)]])</f>
        <v/>
      </c>
      <c r="CS74" s="140" t="str">
        <f>IF(Reinforcements[[#This Row],[Reinforcement]]="","",0.4*VLOOKUP(Reinforcements[[#This Row],[Material]],Materials[],2,FALSE)*Reinforcements[[#This Row],[Gross Area (in2)]])</f>
        <v/>
      </c>
      <c r="CT74"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127"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127"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140" t="str">
        <f>IF(Reinforcements[[#This Row],[Reinforcement]]="","",φ_c*Reinforcements[[#This Row],[Fcr,x]]*Reinforcements[[#This Row],[Gross Area (in2)]])</f>
        <v/>
      </c>
      <c r="DI74" s="140" t="str">
        <f>IF(Reinforcements[[#This Row],[Reinforcement]]="","",φ_c*Reinforcements[[#This Row],[Fcr,y]]*Reinforcements[[#This Row],[Gross Area (in2)]])</f>
        <v/>
      </c>
      <c r="DJ74" s="140" t="str">
        <f>IF(Reinforcements[[#This Row],[Reinforcement]]="","",φ_t_y*VLOOKUP(Reinforcements[[#This Row],[Material]],Materials[],2,FALSE)*Reinforcements[[#This Row],[Gross Area (in2)]])</f>
        <v/>
      </c>
      <c r="DK74" s="140" t="str">
        <f>IF(Reinforcements[[#This Row],[Reinforcement]]="","",φ_t_r*VLOOKUP(Reinforcements[[#This Row],[Material]],Materials[],3,FALSE)*Reinforcements[[#This Row],[Net Area (in2)]]*Reinforcements[[#This Row],[Shear Lag (U)]])</f>
        <v/>
      </c>
      <c r="DL74" s="140" t="str">
        <f>IF(Reinforcements[[#This Row],[Reinforcement]]="","",φ_v*0.5*Reinforcements[[#This Row],[F''y]]*Reinforcements[[#This Row],[Gross Area (in2)]])</f>
        <v/>
      </c>
      <c r="DM74"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127"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127"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129" t="str">
        <f>IF(OR(Reinforcements[[#This Row],[Type]]="plate",Reinforcements[[#This Row],[Type]]="solid round"),"N/A",Reinforcements[[#This Row],[B (in)]])</f>
        <v/>
      </c>
      <c r="EB74" s="127" t="str">
        <f>IF(OR(Reinforcements[[#This Row],[Type]]="plate",Reinforcements[[#This Row],[Type]]="solid round"),"N/A",Reinforcements[[#This Row],[H (in)]])</f>
        <v/>
      </c>
      <c r="EC74" s="127" t="e">
        <f>IF(OR(Reinforcements[[#This Row],[Type]]="plate",Reinforcements[[#This Row],[Type]]="solid round"),"N/A",Reinforcements[[#This Row],[B (in)]]-Reinforcements[[#This Row],['[Channel'] Flange Thickness (in)]])</f>
        <v>#VALUE!</v>
      </c>
      <c r="ED74" s="127" t="str">
        <f>IF(OR(Reinforcements[[#This Row],[Type]]="plate",Reinforcements[[#This Row],[Type]]="solid round"),"N/A",Reinforcements[[#This Row],['[Channel']Web Thickness (in)]])</f>
        <v/>
      </c>
      <c r="EE74" s="127" t="str">
        <f>IF(OR(Reinforcements[[#This Row],[Type]]="plate",Reinforcements[[#This Row],[Type]]="solid round"),"N/A",Reinforcements[[#This Row],['[Channel'] Flange Thickness (in)]])</f>
        <v/>
      </c>
      <c r="EF74" s="127" t="str">
        <f>IF(Reinforcements[[#This Row],[Type]]="channel",Reinforcements[[#This Row],[Channel Flange Width, b]]/Reinforcements[[#This Row],[Channel flange thickness, tf]],"N/A")</f>
        <v>N/A</v>
      </c>
      <c r="EG74" s="127" t="str">
        <f>IF(Reinforcements[[#This Row],[Type]]="channel",Reinforcements[[#This Row],[Channel inside depth, T]]/Reinforcements[[#This Row],[Channel web thickness, tw]],"N/A")</f>
        <v>N/A</v>
      </c>
      <c r="EH74" s="6">
        <f>29000</f>
        <v>29000</v>
      </c>
      <c r="EI74" s="127" t="str">
        <f>IF(Reinforcements[[#This Row],[Type]]="channel",0.56*SQRT(Reinforcements[[#This Row],[E, (ksi)]]/Reinforcements[[#This Row],[Fy, (ksi)]]),"N/A")</f>
        <v>N/A</v>
      </c>
      <c r="EJ74" s="127" t="str">
        <f>IF(Reinforcements[[#This Row],[Type]]="channel",1.49*SQRT(Reinforcements[[#This Row],[E, (ksi)]]/Reinforcements[[#This Row],[Fy, (ksi)]]),"N/A")</f>
        <v>N/A</v>
      </c>
      <c r="EK74" s="127" t="e">
        <f>VLOOKUP(Reinforcements[[#This Row],[Material]],Materials!$B$2:$C$30,2,FALSE)</f>
        <v>#N/A</v>
      </c>
      <c r="EL74" s="127" t="e">
        <f>Reinforcements[[#This Row],[Lu (in)]]*Reinforcements[[#This Row],[Effective Length Factor Kx]]</f>
        <v>#VALUE!</v>
      </c>
      <c r="EM74" s="127" t="e">
        <f>Reinforcements[[#This Row],[Lu (in)]]*Reinforcements[[#This Row],[Effective Length Factor Ky]]</f>
        <v>#VALUE!</v>
      </c>
      <c r="EN74" s="127" t="str">
        <f>Reinforcements[[#This Row],[rx]]</f>
        <v/>
      </c>
      <c r="EO74" s="127" t="str">
        <f>Reinforcements[[#This Row],[ry]]</f>
        <v/>
      </c>
      <c r="EP74" s="127" t="e">
        <f>Reinforcements[[#This Row],[Lcx (in)]]/Reinforcements[[#This Row],[rx (in)]]</f>
        <v>#VALUE!</v>
      </c>
      <c r="EQ74" s="127" t="e">
        <f>Reinforcements[[#This Row],[Lcy (in)]]/Reinforcements[[#This Row],[ry (in)]]</f>
        <v>#VALUE!</v>
      </c>
      <c r="ER74" s="127" t="e">
        <f>((PI()^2)*Reinforcements[[#This Row],[E, (ksi)]])/(Reinforcements[[#This Row],[Lcx/rx]]^2)</f>
        <v>#VALUE!</v>
      </c>
      <c r="ES74" s="127" t="e">
        <f>((PI()^2)*Reinforcements[[#This Row],[E, (ksi)]])/(Reinforcements[[#This Row],[Lcy/ry]]^2)</f>
        <v>#VALUE!</v>
      </c>
      <c r="ET74" s="127" t="e">
        <f>4.71*(SQRT(Reinforcements[[#This Row],[E, (ksi)]]/Reinforcements[[#This Row],[Fy, (ksi)]]))</f>
        <v>#N/A</v>
      </c>
      <c r="EU74" s="127" t="e">
        <f>IF(Reinforcements[[#This Row],[Lcx/rx]]&lt;=Reinforcements[[#This Row],[Fcr Limit]],(0.658^(Reinforcements[[#This Row],[Fy, (ksi)]]/Reinforcements[[#This Row],[Fex, FB (ksi)]]))*Reinforcements[[#This Row],[Fy, (ksi)]],0.877*Reinforcements[[#This Row],[Fex, FB (ksi)]])</f>
        <v>#VALUE!</v>
      </c>
      <c r="EV74" s="127" t="e">
        <f>IF(Reinforcements[[#This Row],[Lcy/ry]]&lt;=Reinforcements[[#This Row],[Fcr Limit]],(0.658^(Reinforcements[[#This Row],[Fy, (ksi)]]/Reinforcements[[#This Row],[Fey, FB (ksi)]]))*Reinforcements[[#This Row],[Fy, (ksi)]],0.877*Reinforcements[[#This Row],[Fey, FB (ksi)]])</f>
        <v>#VALUE!</v>
      </c>
      <c r="EW74" s="127" t="e">
        <f>Reinforcements[[#This Row],[Fcrx (ksi)]]*Reinforcements[[#This Row],[Gross Area (in2)]]</f>
        <v>#VALUE!</v>
      </c>
      <c r="EX74" s="127" t="e">
        <f>Reinforcements[[#This Row],[Fcry (ksi)]]*Reinforcements[[#This Row],[Gross Area (in2)]]</f>
        <v>#VALUE!</v>
      </c>
      <c r="EY74" s="127" t="str">
        <f>IF(Reinforcements[[#This Row],[Type]]="channel",0,"N/A")</f>
        <v>N/A</v>
      </c>
      <c r="EZ74" s="127" t="str">
        <f>IF(Reinforcements[[#This Row],[Type]]="channel",Reinforcements[[#This Row],[Channel Flange Width, b]]-(0.5*Reinforcements[[#This Row],[Channel web thickness, tw]]),"N/A")</f>
        <v>N/A</v>
      </c>
      <c r="FA74" s="127" t="str">
        <f>IF(Reinforcements[[#This Row],[Type]]="channel",Reinforcements[[#This Row],[Channel Height, h]]-Reinforcements[[#This Row],[Channel flange thickness, tf]],"N/A")</f>
        <v>N/A</v>
      </c>
      <c r="FB74" s="127" t="str">
        <f>IF(Reinforcements[[#This Row],[Type]]="channel",Reinforcements[[#This Row],[Channel web thickness, tw]],"N/A")</f>
        <v>N/A</v>
      </c>
      <c r="FC74" s="127" t="str">
        <f>IF(Reinforcements[[#This Row],[Type]]="channel",((3*Reinforcements[[#This Row],[b]]^2)/(Reinforcements[[#This Row],[h]]+(6*Reinforcements[[#This Row],[b]])))-Reinforcements[[#This Row],[t]]/2,"N/A")</f>
        <v>N/A</v>
      </c>
      <c r="FD74" s="127" t="str">
        <f>Reinforcements[[#This Row],[Pole Face to Centroid (in)]]</f>
        <v/>
      </c>
      <c r="FE74" s="127" t="str">
        <f>IF(Reinforcements[[#This Row],[Type]]="channel",Reinforcements[[#This Row],[x(bar)]]+Reinforcements[[#This Row],['[Channel'] e0 (in)]],"N/A")</f>
        <v>N/A</v>
      </c>
      <c r="FF74" s="127" t="str">
        <f>IF(Reinforcements[[#This Row],[Type]]="channel",Reinforcements[[#This Row],[Ix]],"N/A")</f>
        <v>N/A</v>
      </c>
      <c r="FG74" s="127" t="str">
        <f>IF(Reinforcements[[#This Row],[Type]]="channel",Reinforcements[[#This Row],[Iy]],"N/A")</f>
        <v>N/A</v>
      </c>
      <c r="FH74" s="127" t="str">
        <f>IF(Reinforcements[[#This Row],[Type]]="channel",Reinforcements[[#This Row],[Gross Area (in2)]],"N/A")</f>
        <v>N/A</v>
      </c>
      <c r="FI74" s="127" t="str">
        <f>IF(Reinforcements[[#This Row],[Type]]="channel",(Reinforcements[[#This Row],[xo]]^2)+((Reinforcements[[#This Row],[Ix (FTB)]]+Reinforcements[[#This Row],[Iy (FTB)]])/Reinforcements[[#This Row],[Ag]]),"N/A")</f>
        <v>N/A</v>
      </c>
      <c r="FJ74" s="127" t="str">
        <f>IF(Reinforcements[[#This Row],[Type]]="channel",Reinforcements[[#This Row],[Lu (in)]],"N/A")</f>
        <v>N/A</v>
      </c>
      <c r="FK74" s="127" t="str">
        <f>IF(Reinforcements[[#This Row],[Type]]="channel",Reinforcements[[#This Row],[Effective Length Factor Kx]],"N/A")</f>
        <v>N/A</v>
      </c>
      <c r="FL74" s="127" t="str">
        <f>IF(Reinforcements[[#This Row],[Type]]="channel",Reinforcements[[#This Row],[Kz]]*Reinforcements[[#This Row],[Lz]],"N/A")</f>
        <v>N/A</v>
      </c>
      <c r="FM74" s="127" t="str">
        <f>IF(Reinforcements[[#This Row],[Type]]="channel",(((Reinforcements[[#This Row],[t]]^3)/3)*(Reinforcements[[#This Row],[h]]+(2*Reinforcements[[#This Row],[b]]))),"N/A")</f>
        <v>N/A</v>
      </c>
      <c r="FN74" s="127" t="str">
        <f>IF(Reinforcements[[#This Row],[Type]]="channel",(1-(((Reinforcements[[#This Row],[xo]]^2)+(Reinforcements[[#This Row],[yo]]^2))/Reinforcements[[#This Row],[ro^2(bar)]])),"N/A")</f>
        <v>N/A</v>
      </c>
      <c r="FO74" s="127">
        <v>11200</v>
      </c>
      <c r="FP74" s="127" t="str">
        <f>IF(Reinforcements[[#This Row],[Type]]="channel",(((Reinforcements[[#This Row],[h]]^2)*(Reinforcements[[#This Row],[b]]^3)*Reinforcements[[#This Row],[t]])/12)*(((2*Reinforcements[[#This Row],[h]])+(3*Reinforcements[[#This Row],[b]]))/(Reinforcements[[#This Row],[h]]+(6*Reinforcements[[#This Row],[b]]))),"N/A")</f>
        <v>N/A</v>
      </c>
      <c r="FQ74" s="127" t="str">
        <f>IF(Reinforcements[[#This Row],[Type]]="Channel",((((PI()^2)*Reinforcements[[#This Row],[E, (ksi)]]*Reinforcements[[#This Row],['[Channel'] CW (in6)]])/(Reinforcements[[#This Row],[Lcz]]^2))+(Reinforcements[[#This Row],[G]]*Reinforcements[[#This Row],['[Channel'] J (in4)]]))*(1/(Reinforcements[[#This Row],[Ag]]*Reinforcements[[#This Row],[ro^2(bar)]])),"N/A")</f>
        <v>N/A</v>
      </c>
      <c r="FR74" s="127" t="str">
        <f>IF(Reinforcements[[#This Row],[Type]]="channel",((PI()^2)*Reinforcements[[#This Row],[E, (ksi)]])/(Reinforcements[[#This Row],[Lcy/ry]]^2),"N/A")</f>
        <v>N/A</v>
      </c>
      <c r="FS74" s="127" t="str">
        <f>IF(Reinforcements[[#This Row],[Type]]="channel",((Reinforcements[[#This Row],[Fey]]+Reinforcements[[#This Row],[Fez]])/(2*Reinforcements[[#This Row],[H2]]))*(1-SQRT(1-((4*Reinforcements[[#This Row],[Fey]]*Reinforcements[[#This Row],[Fez]]*Reinforcements[[#This Row],[H2]])/(Reinforcements[[#This Row],[Fey]]+Reinforcements[[#This Row],[Fez]])^2))),"N/A")</f>
        <v>N/A</v>
      </c>
      <c r="FT74" s="127" t="str">
        <f>IF(Reinforcements[[#This Row],[Type]]="channel",IF(Reinforcements[[#This Row],[Lcx/rx]]&gt;(4.71*SQRT(Reinforcements[[#This Row],[E, (ksi)]]/Reinforcements[[#This Row],[Fy, (ksi)]])),0.877*Reinforcements[[#This Row],[Fe (FTB)]],0.658^(Reinforcements[[#This Row],[Fy, (ksi)]]/Reinforcements[[#This Row],[Fe (FTB)]])*Reinforcements[[#This Row],[Fy, (ksi)]]),"N/A")</f>
        <v>N/A</v>
      </c>
      <c r="FU74" s="127" t="str">
        <f>IF(Reinforcements[[#This Row],[Type]]="channel",MIN(Reinforcements[[#This Row],[Fcr(FTB)]],Reinforcements[[#This Row],[Fcry (ksi)]]),"N/A")</f>
        <v>N/A</v>
      </c>
      <c r="FV74" s="127">
        <v>0.22</v>
      </c>
      <c r="FW74" s="127">
        <v>1.49</v>
      </c>
      <c r="FX74" s="127" t="str">
        <f>IF(Reinforcements[[#This Row],[Type]]="channel",((Reinforcements[[#This Row],[c2]]*(Reinforcements[[#This Row],[λrf]]/Reinforcements[[#This Row],[λf]]))^2)*Reinforcements[[#This Row],[Fy, (ksi)]],"N/A")</f>
        <v>N/A</v>
      </c>
      <c r="FY74" s="127" t="str">
        <f>IF(Reinforcements[[#This Row],[Type]]="channel",((Reinforcements[[#This Row],[c2]]*(Reinforcements[[#This Row],[λrw]]/Reinforcements[[#This Row],[λw]]))^2)*Reinforcements[[#This Row],[Fy, (ksi)]],"N/A")</f>
        <v>N/A</v>
      </c>
      <c r="FZ74"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127" t="str">
        <f>IF(Reinforcements[[#This Row],[Type]]="channel",Reinforcements[[#This Row],[Fcr]]*Reinforcements[[#This Row],[Ae]],"N/A")</f>
        <v>N/A</v>
      </c>
      <c r="GD74" s="50" t="str">
        <f>IF(Reinforcements[[#This Row],[Reinforcement]]="","",φ_c*Reinforcements[[#This Row],[Pnx, FB (kip)]])</f>
        <v/>
      </c>
      <c r="GE74" s="50" t="str">
        <f>IF(Reinforcements[[#This Row],[Reinforcement]]="","",IF(Reinforcements[[#This Row],[Type]]="channel",φ_c*Reinforcements[[#This Row],[Pn]],φ_c*Reinforcements[[#This Row],[Pny, FB (kip)]]))</f>
        <v/>
      </c>
      <c r="GF74" s="50" t="str">
        <f>Reinforcements[[#This Row],[Rev. G Tension Yield Capacity (kips)]]</f>
        <v/>
      </c>
      <c r="GG74" s="50" t="str">
        <f>Reinforcements[[#This Row],[Rev. G Tension Rupture Capacity (kips)]]</f>
        <v/>
      </c>
      <c r="GH74" s="50" t="str">
        <f>Reinforcements[[#This Row],[Rev. G Shear Capacity (kips)]]</f>
        <v/>
      </c>
      <c r="GI74" s="50" t="str">
        <f>IFERROR((Reinforcements[[#This Row],['# of End Connection Bolts          (Bottom)]]-1)*Reinforcements[[#This Row],[End Connection Bolt Spacing (in) (B)]],"-")</f>
        <v>-</v>
      </c>
      <c r="GJ74" s="50" t="str">
        <f>IFERROR(IF(VLOOKUP(Reinforcements[[#This Row],[Bottom End Connection Bolt Type]],Bolts[],COLUMN(Bolts[[#Headers],[Rev. H Apply Connection Length Reduction Factor (Rb)?]])-1,FALSE)="Yes",(IF(Reinforcements[[#This Row],[Lb(bottom)]]&lt;=16,1,IF(Reinforcements[[#This Row],[Lb(bottom)]]&gt;38,0.75,0.9))),1),"-")</f>
        <v>-</v>
      </c>
      <c r="GK74"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50" t="str">
        <f>IFERROR(IF(Reinforcements[[#This Row],[Top End Connection Same?]]="Yes",Reinforcements[[#This Row],[Lb(bottom)]],(Reinforcements[[#This Row],['# of End Connection Bolts          (Top)]]-1)*Reinforcements[[#This Row],[End Connection Bolt Spacing (in) (T)]]),"-")</f>
        <v>-</v>
      </c>
      <c r="GM74" s="50" t="str">
        <f>IFERROR(IF(VLOOKUP(Reinforcements[[#This Row],[Top End Connection Bolt Type]],Bolts[],COLUMN(Bolts[[#Headers],[Rev. H Apply Connection Length Reduction Factor (Rb)?]])-1,FALSE)=TRUE,(IF(Reinforcements[[#This Row],[Lb(top)]]&lt;=16,1,IF(Reinforcements[[#This Row],[Lb(top)]]&gt;38,0.75,0.9))),1),"-")</f>
        <v>-</v>
      </c>
      <c r="GN74"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50" t="str">
        <f>Reinforcements[[#This Row],[Rev. G Bolt-Shaft Bearing Capacity (Bottom)                No Deformation          (*t*Fu kips)]]</f>
        <v>-</v>
      </c>
      <c r="GP74" s="50" t="str">
        <f>Reinforcements[[#This Row],[Rev. G Bolt-Shaft Bearing Capacity (Bottom)                   Deformation          (*t*Fu kips)]]</f>
        <v>-</v>
      </c>
      <c r="GQ74" s="50" t="str">
        <f>Reinforcements[[#This Row],[Rev. G Bolt-Shaft Bearing Capacity (Top)                    No Deformation          (*t*Fu kips)]]</f>
        <v>-</v>
      </c>
      <c r="GR74" s="50" t="str">
        <f>Reinforcements[[#This Row],[Rev. G Bolt-Shaft Bearing Capacity (Top)                        Deformation          (*t*Fu kips)]]</f>
        <v>-</v>
      </c>
      <c r="GS74" s="50" t="str">
        <f>Reinforcements[[#This Row],[Rev. G Bolt-Reinf. Bearing Capacity (Bottom)            No Deformation (kips)]]</f>
        <v>-</v>
      </c>
      <c r="GT74" s="50" t="str">
        <f>Reinforcements[[#This Row],[Rev. G Bolt-Reinf. Bearing Capacity (Bottom)               Deformation (kips)]]</f>
        <v>-</v>
      </c>
      <c r="GU74" s="50" t="str">
        <f>Reinforcements[[#This Row],[Rev. G Bolt-Reinf. Bearing Capacity (Top)                  No Deformation (kips)]]</f>
        <v>-</v>
      </c>
      <c r="GV74" s="50" t="str">
        <f>Reinforcements[[#This Row],[Rev. G Bolt-Reinf. Bearing Capacity (Top)               Deformation (kips)]]</f>
        <v>-</v>
      </c>
      <c r="GW74" s="50" t="str">
        <f>Reinforcements[[#This Row],[Rev. G Bottom Transverse Weld Strength]]</f>
        <v/>
      </c>
      <c r="GX74" s="50" t="str">
        <f>Reinforcements[[#This Row],[Rev. G Bottom Longitudinal Weld Strength]]</f>
        <v/>
      </c>
      <c r="GY74" s="50" t="str">
        <f>Reinforcements[[#This Row],[Rev. G Top Transverse Weld Strength]]</f>
        <v/>
      </c>
      <c r="GZ74" s="50" t="str">
        <f>Reinforcements[[#This Row],[Rev. G Top Longitudinal Weld Strength]]</f>
        <v/>
      </c>
      <c r="HA74">
        <v>72</v>
      </c>
      <c r="HB74"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94"/>
      <c r="C75" s="94"/>
      <c r="D75" s="127" t="str">
        <f>IF(Reinforcements[[#This Row],[Type]]="","",IF(Reinforcements[[#This Row],[Type]]="solid round","-",""))</f>
        <v/>
      </c>
      <c r="E75" s="127" t="str">
        <f>IF(Reinforcements[[#This Row],[Type]]="","",IF(Reinforcements[[#This Row],[Type]]="solid round","-",""))</f>
        <v/>
      </c>
      <c r="F75" s="127" t="str">
        <f>IF(Reinforcements[[#This Row],[Type]]="","",IF(Reinforcements[[#This Row],[Type]]="solid round","","n/a"))</f>
        <v/>
      </c>
      <c r="G75" s="127" t="str">
        <f>IF(Reinforcements[[#This Row],[Type]]="","",IF(Reinforcements[[#This Row],[Type]]&lt;&gt;"channel","n/a",""))</f>
        <v/>
      </c>
      <c r="H75" s="127" t="str">
        <f>IF(Reinforcements[[#This Row],[Type]]="","",IF(Reinforcements[[#This Row],[Type]]&lt;&gt;"channel","n/a",""))</f>
        <v/>
      </c>
      <c r="I75" s="140" t="str">
        <f>IF(Reinforcements[[#This Row],[Type]]="","",IF(Reinforcements[[#This Row],[Type]]&lt;&gt;"channel","n/a",Reinforcements[[#This Row],[eo]]))</f>
        <v/>
      </c>
      <c r="J75" s="140" t="str">
        <f>IF(Reinforcements[[#This Row],[Type]]="","",IF(Reinforcements[[#This Row],[Type]]&lt;&gt;"channel","n/a",Reinforcements[[#This Row],[J]]))</f>
        <v/>
      </c>
      <c r="K75" s="140" t="str">
        <f>IF(Reinforcements[[#This Row],[Type]]="","",IF(Reinforcements[[#This Row],[Type]]&lt;&gt;"channel","n/a",Reinforcements[[#This Row],[Cw]]))</f>
        <v/>
      </c>
      <c r="L75" s="127" t="str">
        <f>IFERROR(IF(Reinforcements[[#This Row],[Type]]="","",IF(Reinforcements[[#This Row],[Type]]="plate",Reinforcements[[#This Row],[B (in)]]*Reinforcements[[#This Row],[H (in)]],IF(Reinforcements[[#This Row],[Type]]="solid round",PI()/4*Reinforcements[[#This Row],[Diameter (in)]]^2,""))),"")</f>
        <v/>
      </c>
      <c r="M75" s="127" t="str">
        <f>IFERROR(IF(Reinforcements[[#This Row],[Type]]="","",IF(Reinforcements[[#This Row],[Type]]="plate",Reinforcements[[#This Row],[H (in)]]/2,"")),"")</f>
        <v/>
      </c>
      <c r="N75" s="128"/>
      <c r="O75" s="129"/>
      <c r="P75" s="135" t="str">
        <f>IFERROR(IF(Reinforcements[[#This Row],[Type]]="","",IF(Reinforcements[[#This Row],[Type]]="plate",Reinforcements[[#This Row],[B (in)]]*Reinforcements[[#This Row],[H (in)]]^3/12,IF(Reinforcements[[#This Row],[Type]]="solid round",PI()/64*Reinforcements[[#This Row],[Diameter (in)]]^4,""))),"")</f>
        <v/>
      </c>
      <c r="Q75" s="135" t="str">
        <f>IF(Reinforcements[[#This Row],[Reinforcement]]="","",SQRT(Reinforcements[[#This Row],[Ix]]/Reinforcements[[#This Row],[Gross Area (in2)]]))</f>
        <v/>
      </c>
      <c r="R75" s="135" t="str">
        <f>IFERROR(IF(Reinforcements[[#This Row],[Type]]="","",IF(Reinforcements[[#This Row],[Type]]="plate",Reinforcements[[#This Row],[B (in)]]^3*Reinforcements[[#This Row],[H (in)]]/12,IF(Reinforcements[[#This Row],[Type]]="solid round",PI()/64*Reinforcements[[#This Row],[Diameter (in)]]^4,""))),"")</f>
        <v/>
      </c>
      <c r="S75" s="135" t="str">
        <f>IF(Reinforcements[[#This Row],[Reinforcement]]="","",SQRT(Reinforcements[[#This Row],[Iy]]/Reinforcements[[#This Row],[Gross Area (in2)]]))</f>
        <v/>
      </c>
      <c r="T75" s="127"/>
      <c r="U75" s="127" t="str">
        <f>IF(Reinforcements[[#This Row],[Lu (in)]]="","",IF(Reinforcements[[#This Row],[Lu (in)]]=0,1,""))</f>
        <v/>
      </c>
      <c r="V75" s="127" t="str">
        <f>IF(Reinforcements[[#This Row],[Lu (in)]]="","",IF(Reinforcements[[#This Row],[Lu (in)]]=0,1,""))</f>
        <v/>
      </c>
      <c r="W75" s="127" t="str">
        <f>IF(Reinforcements[[#This Row],[Type]]="","",IF(Reinforcements[[#This Row],[Type]]="solid round",0,IF(Reinforcements[[#This Row],[Type]]="arbitrary","n/a","")))</f>
        <v/>
      </c>
      <c r="X75" s="127" t="str">
        <f>IF(Reinforcements[[#This Row],[Bolt Hole Size (in)]]="","",IF(Reinforcements[[#This Row],[Bolt Hole Size (in)]]="n/a","n/a",Reinforcements[[#This Row],[Bolt Hole Size (in)]]*25.4))</f>
        <v/>
      </c>
      <c r="Y75"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127" t="str">
        <f>IFERROR(IF(Reinforcements[[#This Row],[Reinforcement]]="","",IF(OR(Reinforcements[[#This Row],[Type]]="plate",Reinforcements[[#This Row],[Type]]="solid round"),1,IF(Reinforcements[[#This Row],[Type]]="arbitrary","",1-Reinforcements[[#This Row],[Pole Face to Centroid (in)]]/Reinforcements[[#This Row],[Connection Length (in) '[Channels']]]))),"")</f>
        <v/>
      </c>
      <c r="AA75" s="74"/>
      <c r="AB75" s="74" t="str">
        <f>IF(Reinforcements[[#This Row],[Reinforcement]]="","",IF(Reinforcements[[#This Row],[Bottom End Connection Type]]&lt;&gt;"Capacity Input","-",""))</f>
        <v/>
      </c>
      <c r="AC75" s="74" t="str">
        <f>IF(Reinforcements[[#This Row],[Reinforcement]]="","",IF(Reinforcements[[#This Row],[Bottom End Connection Type]]&lt;&gt;"Capacity Input","-",""))</f>
        <v/>
      </c>
      <c r="AD75" s="74" t="str">
        <f>IF(Reinforcements[[#This Row],[Reinforcement]]="","",IF(Reinforcements[[#This Row],[Bottom End Connection Type]]&lt;&gt;"Capacity Input","-",""))</f>
        <v/>
      </c>
      <c r="AE75" s="74" t="str">
        <f>IF(Reinforcements[[#This Row],[Reinforcement]]="","",IF(Reinforcements[[#This Row],[Bottom End Connection Type]]&lt;&gt;"Bolted","-",""))</f>
        <v/>
      </c>
      <c r="AF75" s="127" t="str">
        <f>IF(Reinforcements[[#This Row],[Reinforcement]]="","",IF(Reinforcements[[#This Row],[Bottom End Connection Type]]&lt;&gt;"Bolted","-",""))</f>
        <v/>
      </c>
      <c r="AG75" s="127" t="str">
        <f>IF(Reinforcements[[#This Row],[Reinforcement]]="","",IF(Reinforcements[[#This Row],[Bottom End Connection Type]]="","-",IF(Reinforcements[[#This Row],[Bottom End Connection Type]]&lt;&gt;"Bolted","-","")))</f>
        <v/>
      </c>
      <c r="AH75" s="127" t="str">
        <f>IF(Reinforcements[[#This Row],[Reinforcement]]="","",IF(Reinforcements[[#This Row],[Bottom End Connection Type]]="","-",IF(Reinforcements[[#This Row],[Bottom End Connection Type]]&lt;&gt;"Bolted","-","")))</f>
        <v/>
      </c>
      <c r="AI75" s="127" t="str">
        <f>IF(Reinforcements[[#This Row],[Reinforcement]]="","",IF(Reinforcements[[#This Row],[Bottom End Connection Type]]="","-",IF(Reinforcements[[#This Row],[Bottom End Connection Type]]&lt;&gt;"Bolted","-","")))</f>
        <v/>
      </c>
      <c r="AJ75" s="127" t="e">
        <f>Reinforcements[[#This Row],[End Connection Edge Distance (in) (B)]]-(Reinforcements[[#This Row],[Bolt Hole Size (in)]]+1/16)/2</f>
        <v>#VALUE!</v>
      </c>
      <c r="AK75" s="127" t="e">
        <f>Reinforcements[[#This Row],[End Connection Bolt Spacing (in) (B)]]-(Reinforcements[[#This Row],[Bolt Hole Size (in)]]+1/16)</f>
        <v>#VALUE!</v>
      </c>
      <c r="AL75" s="127" t="str">
        <f>Reinforcements[[#This Row],[End Connection Edge Distance (in) (B)]]</f>
        <v/>
      </c>
      <c r="AM75" s="127" t="str">
        <f>Reinforcements[[#This Row],[End Connection Bolt Spacing (in) (B)]]</f>
        <v/>
      </c>
      <c r="AN75" s="127" t="str">
        <f>IF(Reinforcements[[#This Row],[Reinforcement]]="","",IF(OR(Reinforcements[[#This Row],[Bottom End Connection Type]]="Bolted",Reinforcements[[#This Row],[Bottom End Connection Type]]=""),"-",""))</f>
        <v/>
      </c>
      <c r="AO75" s="129" t="str">
        <f>IF(Reinforcements[[#This Row],[Reinforcement]]="","",IF(Reinforcements[[#This Row],[Bottom End Connection Type]]&lt;&gt;"Welded","-",""))</f>
        <v/>
      </c>
      <c r="AP75" s="129" t="str">
        <f>IF(Reinforcements[[#This Row],[Reinforcement]]="","",IF(Reinforcements[[#This Row],[Bottom End Connection Type]]&lt;&gt;"Welded","-",""))</f>
        <v/>
      </c>
      <c r="AQ75" s="129" t="str">
        <f>IF(Reinforcements[[#This Row],[Reinforcement]]="","",IF(OR(Reinforcements[[#This Row],[Bottom End Connection Type]]&lt;&gt;"Welded",Reinforcements[[#This Row],[Bottom Transverse (Horizontal) Weld]]="None"),"-",""))</f>
        <v/>
      </c>
      <c r="AR75"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129" t="str">
        <f>IF(Reinforcements[[#This Row],[Reinforcement]]="","",IF(OR(Reinforcements[[#This Row],[Bottom Transverse (Horizontal) Weld]]="None",Reinforcements[[#This Row],[Bottom End Connection Type]]&lt;&gt;"Welded"),"-",""))</f>
        <v/>
      </c>
      <c r="AU75"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129" t="str">
        <f>IF(Reinforcements[[#This Row],[Reinforcement]]="","",IF(OR(Reinforcements[[#This Row],[Bottom End Connection Type]]&lt;&gt;"Welded",Reinforcements[[#This Row],[Bottom End Connection Type]]=""),"-",""))</f>
        <v/>
      </c>
      <c r="AW75" s="129" t="str">
        <f>IF(Reinforcements[[#This Row],[Reinforcement]]="","",IF(OR(Reinforcements[[#This Row],[Bottom End Connection Type]]&lt;&gt;"Welded",Reinforcements[[#This Row],[Bottom Longitudinal (Vertical) Weld]]="None",Reinforcements[[#This Row],[Bottom Longitudinal (Vertical) Weld]]=""),"-",""))</f>
        <v/>
      </c>
      <c r="AX75" s="129" t="str">
        <f>IF(Reinforcements[[#This Row],[Reinforcement]]="","",IF(OR(Reinforcements[[#This Row],[Bottom End Connection Type]]&lt;&gt;"Welded",Reinforcements[[#This Row],[Bottom Longitudinal (Vertical) Weld]]="None",Reinforcements[[#This Row],[Bottom Longitudinal (Vertical) Weld]]=""),"-",""))</f>
        <v/>
      </c>
      <c r="AY75" s="127" t="str">
        <f>IF(Reinforcements[[#This Row],[Reinforcement]]="","",IF(OR(Reinforcements[[#This Row],[Bottom End Connection Type]]&lt;&gt;"Welded",Reinforcements[[#This Row],[Bottom Longitudinal (Vertical) Weld]]="None"),"-",SQRT(2)/2*Reinforcements[[#This Row],[Bottom Longitudinal Weld Fillet Size (in)]]))</f>
        <v/>
      </c>
      <c r="AZ75" s="127"/>
      <c r="BA75" s="74" t="str">
        <f>IF(Reinforcements[[#This Row],[Top End Connection Same?]]="Yes",Reinforcements[[#This Row],[Bottom End Connection Type]],"")</f>
        <v/>
      </c>
      <c r="BB75" s="74" t="str">
        <f>IF(Reinforcements[[#This Row],[Reinforcement]]="","",IF(Reinforcements[[#This Row],[Top End Connection Same?]]="Yes",Reinforcements[[#This Row],[Rev. F Bottom Connection Capacity (kips)]],IF(Reinforcements[[#This Row],[Reinforcement]]="","",IF(Reinforcements[[#This Row],[Top End Connection Type]]&lt;&gt;"Capacity Input","-",""))))</f>
        <v/>
      </c>
      <c r="BC75" s="74" t="str">
        <f>IF(Reinforcements[[#This Row],[Reinforcement]]="","",IF(Reinforcements[[#This Row],[Top End Connection Same?]]="Yes",Reinforcements[[#This Row],[Rev. G Bottom Connection Capacity (kips)]],IF(Reinforcements[[#This Row],[Reinforcement]]="","",IF(Reinforcements[[#This Row],[Top End Connection Type]]&lt;&gt;"Capacity Input","-",""))))</f>
        <v/>
      </c>
      <c r="BD75" s="74" t="str">
        <f>IF(Reinforcements[[#This Row],[Reinforcement]]="","",IF(Reinforcements[[#This Row],[Top End Connection Same?]]="Yes",Reinforcements[[#This Row],[Rev. G Bottom Connection Capacity (kips)]],IF(Reinforcements[[#This Row],[Reinforcement]]="","",IF(Reinforcements[[#This Row],[Top End Connection Type]]&lt;&gt;"Capacity Input","-",""))))</f>
        <v/>
      </c>
      <c r="BE75" s="74" t="str">
        <f>IF(Reinforcements[[#This Row],[Reinforcement]]="","",IF(Reinforcements[[#This Row],[Top End Connection Same?]]="Yes",Reinforcements[[#This Row],[Bottom End Connection Bolt Type]],IF(Reinforcements[[#This Row],[Top End Connection Type]]&lt;&gt;"Bolted","-","")))</f>
        <v/>
      </c>
      <c r="BF75" s="127" t="str">
        <f>IF(Reinforcements[[#This Row],[Reinforcement]]="","",IF(Reinforcements[[#This Row],[Top End Connection Same?]]="Yes",Reinforcements[[#This Row],[Threads Included (N) or Excluded (X) (Bottom)]],IF(Reinforcements[[#This Row],[Top End Connection Type]]&lt;&gt;"Bolted","-","")))</f>
        <v/>
      </c>
      <c r="BG75" s="127" t="str">
        <f>IF(Reinforcements[[#This Row],[Reinforcement]]="","",IF(Reinforcements[[#This Row],[Top End Connection Same?]]="Yes",Reinforcements[[#This Row],['# of End Connection Bolts          (Bottom)]],IF(Reinforcements[[#This Row],[Top End Connection Type]]&lt;&gt;"Bolted","-","")))</f>
        <v/>
      </c>
      <c r="BH75" s="127" t="str">
        <f>IF(Reinforcements[[#This Row],[Reinforcement]]="","",IF(Reinforcements[[#This Row],[Top End Connection Same?]]="Yes",Reinforcements[[#This Row],[End Connection Bolt Spacing (in) (B)]],IF(Reinforcements[[#This Row],[Top End Connection Type]]&lt;&gt;"Bolted","-","")))</f>
        <v/>
      </c>
      <c r="BI75" s="127" t="str">
        <f>IF(Reinforcements[[#This Row],[Reinforcement]]="","",IF(Reinforcements[[#This Row],[Top End Connection Same?]]="Yes",Reinforcements[[#This Row],[End Connection Edge Distance (in) (B)]],IF(Reinforcements[[#This Row],[Top End Connection Type]]&lt;&gt;"Bolted","-","")))</f>
        <v/>
      </c>
      <c r="BJ75" s="127" t="e">
        <f>Reinforcements[[#This Row],[End Connection Edge Distance (in) (T)]]-(Reinforcements[[#This Row],[Bolt Hole Size (in)]]+1/16)/2</f>
        <v>#VALUE!</v>
      </c>
      <c r="BK75" s="127" t="e">
        <f>Reinforcements[[#This Row],[End Connection Bolt Spacing (in) (T)]]-(Reinforcements[[#This Row],[Bolt Hole Size (in)]]+1/16)</f>
        <v>#VALUE!</v>
      </c>
      <c r="BL75" s="127" t="str">
        <f>Reinforcements[[#This Row],[End Connection Edge Distance (in) (T)]]</f>
        <v/>
      </c>
      <c r="BM75" s="127" t="str">
        <f>Reinforcements[[#This Row],[End Connection Bolt Spacing (in) (T)]]</f>
        <v/>
      </c>
      <c r="BN75" s="127" t="str">
        <f>IF(Reinforcements[[#This Row],[Reinforcement]]="","",IF(Reinforcements[[#This Row],[Top End Connection Same?]]="Yes",Reinforcements[[#This Row],[Bottom Connected to Flange/Base Plate?]],IF(Reinforcements[[#This Row],[Top End Connection Type]]="Bolted","-","")))</f>
        <v/>
      </c>
      <c r="BO75" s="127" t="str">
        <f>IF(Reinforcements[[#This Row],[Reinforcement]]="","",IF(Reinforcements[[#This Row],[Top End Connection Same?]]="Yes",Reinforcements[[#This Row],[Bottom Weld Grade (ksi)]],IF(OR(Reinforcements[[#This Row],[Top End Connection Type]]&lt;&gt;"Welded",Reinforcements[[#This Row],[Top End Connection Type]]=""),"-","")))</f>
        <v/>
      </c>
      <c r="BP75" s="127" t="str">
        <f>IF($AZ75="Yes",AP75,IF(Reinforcements[[#This Row],[Reinforcement]]="","",IF(OR(Reinforcements[[#This Row],[Top End Connection Type]]&lt;&gt;"Welded",Reinforcements[[#This Row],[Top End Connection Type]]=""),"-","")))</f>
        <v/>
      </c>
      <c r="BQ75" s="127" t="str">
        <f>IF(Reinforcements[[#This Row],[Reinforcement]]="","",IF($AZ75="Yes",AQ75,IF(OR(Reinforcements[[#This Row],[Top End Connection Type]]&lt;&gt;"Welded",Reinforcements[[#This Row],[Top Transverse (Horizontal) Weld]]="none",Reinforcements[[#This Row],[Top Transverse (Horizontal) Weld]]=""),"-","")))</f>
        <v/>
      </c>
      <c r="BR75" s="127"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127"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127" t="str">
        <f>IF(Reinforcements[[#This Row],[Reinforcement]]="","",IF($AZ75="Yes",AT75,IF(OR(Reinforcements[[#This Row],[Top Transverse (Horizontal) Weld]]="none",Reinforcements[[#This Row],[Top End Connection Type]]&lt;&gt;"Welded",Reinforcements[[#This Row],[Top Transverse (Horizontal) Weld]]=""),"-","")))</f>
        <v/>
      </c>
      <c r="BU75" s="127"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127" t="str">
        <f>IF($AZ75="Yes",AV75,IF(Reinforcements[[#This Row],[Reinforcement]]="","",IF(OR(Reinforcements[[#This Row],[Top End Connection Type]]&lt;&gt;"Welded",Reinforcements[[#This Row],[Top End Connection Type]]=""),"-","")))</f>
        <v/>
      </c>
      <c r="BW75" s="127"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127"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127" t="str">
        <f>IF($AZ75="Yes",AY75,IF(Reinforcements[[#This Row],[Reinforcement]]="","",IF(OR(Reinforcements[[#This Row],[Top End Connection Type]]&lt;&gt;"Welded",Reinforcements[[#This Row],[Top Longitudinal (Vertical) Weld]]="none"),"-",SQRT(2)/2*Reinforcements[[#This Row],[Top Longitudinal Weld Fillet Size (in)]])))</f>
        <v/>
      </c>
      <c r="BZ75"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5"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127" t="str">
        <f>IFERROR(IF(Reinforcements[[#This Row],[Type]]="","",Reinforcements[[#This Row],[Effective B (in)]]*Reinforcements[[#This Row],[Effective H (in)]]^3/12),"")</f>
        <v/>
      </c>
      <c r="CF75" s="127" t="str">
        <f>IFERROR(IF(Reinforcements[[#This Row],[Type]]="","",Reinforcements[[#This Row],[Effective B (in)]]^3*Reinforcements[[#This Row],[Effective H (in)]]/12),"")</f>
        <v/>
      </c>
      <c r="CG75" s="140" t="e">
        <f>SQRT(2*PI()^2*29000/VLOOKUP(Reinforcements[[#This Row],[Material]],Materials[],2,FALSE))</f>
        <v>#N/A</v>
      </c>
      <c r="CH75"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135" t="e">
        <f>Reinforcements[[#This Row],[Effective Length Factor Kx]]*Reinforcements[[#This Row],[Lu (in)]]/(Reinforcements[[#This Row],[rx]]*PI())*SQRT(VLOOKUP(Reinforcements[[#This Row],[Material]],Materials[],2,FALSE)/29000)</f>
        <v>#VALUE!</v>
      </c>
      <c r="CK75" s="135" t="e">
        <f>Reinforcements[[#This Row],[Effective Length Factor Ky]]*Reinforcements[[#This Row],[Lu (in)]]/(Reinforcements[[#This Row],[ry]]*PI())*SQRT(VLOOKUP(Reinforcements[[#This Row],[Material]],Materials[],2,FALSE)/29000)</f>
        <v>#VALUE!</v>
      </c>
      <c r="CL75" s="135" t="e">
        <f>IF(Reinforcements[[#This Row],[λcx]]&lt;=1.5,0.658^(Reinforcements[[#This Row],[λcx]]^2)*Reinforcements[[#This Row],[F''y]],0.877/(Reinforcements[[#This Row],[λcx]]^2)*Reinforcements[[#This Row],[F''y]])</f>
        <v>#VALUE!</v>
      </c>
      <c r="CM75" s="135" t="e">
        <f>IF(Reinforcements[[#This Row],[λcy]]&lt;=1.5,0.658^(Reinforcements[[#This Row],[λcy]]^2)*Reinforcements[[#This Row],[F''y]],0.877/(Reinforcements[[#This Row],[λcy]]^2)*Reinforcements[[#This Row],[F''y]])</f>
        <v>#VALUE!</v>
      </c>
      <c r="CN75" s="127" t="e">
        <f>VLOOKUP(Reinforcements[[#This Row],[Material]],Materials[],2,FALSE)</f>
        <v>#N/A</v>
      </c>
      <c r="CO75" s="140" t="str">
        <f>IF(Reinforcements[[#This Row],[Reinforcement]]="","",Reinforcements[[#This Row],[Fax]]*Reinforcements[[#This Row],[Gross Area (in2)]])</f>
        <v/>
      </c>
      <c r="CP75" s="140" t="str">
        <f>IF(Reinforcements[[#This Row],[Reinforcement]]="","",Reinforcements[[#This Row],[Fay]]*Reinforcements[[#This Row],[Gross Area (in2)]])</f>
        <v/>
      </c>
      <c r="CQ75" s="140" t="str">
        <f>IF(Reinforcements[[#This Row],[Reinforcement]]="","",0.6*VLOOKUP(Reinforcements[[#This Row],[Material]],Materials[],2,FALSE)*Reinforcements[[#This Row],[Gross Area (in2)]])</f>
        <v/>
      </c>
      <c r="CR75" s="140" t="str">
        <f>IF(Reinforcements[[#This Row],[Reinforcement]]="","",0.5*VLOOKUP(Reinforcements[[#This Row],[Material]],Materials[],3,FALSE)*Reinforcements[[#This Row],[Net Area (in2)]]*Reinforcements[[#This Row],[Shear Lag (U)]])</f>
        <v/>
      </c>
      <c r="CS75" s="140" t="str">
        <f>IF(Reinforcements[[#This Row],[Reinforcement]]="","",0.4*VLOOKUP(Reinforcements[[#This Row],[Material]],Materials[],2,FALSE)*Reinforcements[[#This Row],[Gross Area (in2)]])</f>
        <v/>
      </c>
      <c r="CT75"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127"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127"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140" t="str">
        <f>IF(Reinforcements[[#This Row],[Reinforcement]]="","",φ_c*Reinforcements[[#This Row],[Fcr,x]]*Reinforcements[[#This Row],[Gross Area (in2)]])</f>
        <v/>
      </c>
      <c r="DI75" s="140" t="str">
        <f>IF(Reinforcements[[#This Row],[Reinforcement]]="","",φ_c*Reinforcements[[#This Row],[Fcr,y]]*Reinforcements[[#This Row],[Gross Area (in2)]])</f>
        <v/>
      </c>
      <c r="DJ75" s="140" t="str">
        <f>IF(Reinforcements[[#This Row],[Reinforcement]]="","",φ_t_y*VLOOKUP(Reinforcements[[#This Row],[Material]],Materials[],2,FALSE)*Reinforcements[[#This Row],[Gross Area (in2)]])</f>
        <v/>
      </c>
      <c r="DK75" s="140" t="str">
        <f>IF(Reinforcements[[#This Row],[Reinforcement]]="","",φ_t_r*VLOOKUP(Reinforcements[[#This Row],[Material]],Materials[],3,FALSE)*Reinforcements[[#This Row],[Net Area (in2)]]*Reinforcements[[#This Row],[Shear Lag (U)]])</f>
        <v/>
      </c>
      <c r="DL75" s="140" t="str">
        <f>IF(Reinforcements[[#This Row],[Reinforcement]]="","",φ_v*0.5*Reinforcements[[#This Row],[F''y]]*Reinforcements[[#This Row],[Gross Area (in2)]])</f>
        <v/>
      </c>
      <c r="DM75"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127"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127"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129" t="str">
        <f>IF(OR(Reinforcements[[#This Row],[Type]]="plate",Reinforcements[[#This Row],[Type]]="solid round"),"N/A",Reinforcements[[#This Row],[B (in)]])</f>
        <v/>
      </c>
      <c r="EB75" s="127" t="str">
        <f>IF(OR(Reinforcements[[#This Row],[Type]]="plate",Reinforcements[[#This Row],[Type]]="solid round"),"N/A",Reinforcements[[#This Row],[H (in)]])</f>
        <v/>
      </c>
      <c r="EC75" s="127" t="e">
        <f>IF(OR(Reinforcements[[#This Row],[Type]]="plate",Reinforcements[[#This Row],[Type]]="solid round"),"N/A",Reinforcements[[#This Row],[B (in)]]-Reinforcements[[#This Row],['[Channel'] Flange Thickness (in)]])</f>
        <v>#VALUE!</v>
      </c>
      <c r="ED75" s="127" t="str">
        <f>IF(OR(Reinforcements[[#This Row],[Type]]="plate",Reinforcements[[#This Row],[Type]]="solid round"),"N/A",Reinforcements[[#This Row],['[Channel']Web Thickness (in)]])</f>
        <v/>
      </c>
      <c r="EE75" s="127" t="str">
        <f>IF(OR(Reinforcements[[#This Row],[Type]]="plate",Reinforcements[[#This Row],[Type]]="solid round"),"N/A",Reinforcements[[#This Row],['[Channel'] Flange Thickness (in)]])</f>
        <v/>
      </c>
      <c r="EF75" s="127" t="str">
        <f>IF(Reinforcements[[#This Row],[Type]]="channel",Reinforcements[[#This Row],[Channel Flange Width, b]]/Reinforcements[[#This Row],[Channel flange thickness, tf]],"N/A")</f>
        <v>N/A</v>
      </c>
      <c r="EG75" s="127" t="str">
        <f>IF(Reinforcements[[#This Row],[Type]]="channel",Reinforcements[[#This Row],[Channel inside depth, T]]/Reinforcements[[#This Row],[Channel web thickness, tw]],"N/A")</f>
        <v>N/A</v>
      </c>
      <c r="EH75" s="6">
        <f>29000</f>
        <v>29000</v>
      </c>
      <c r="EI75" s="127" t="str">
        <f>IF(Reinforcements[[#This Row],[Type]]="channel",0.56*SQRT(Reinforcements[[#This Row],[E, (ksi)]]/Reinforcements[[#This Row],[Fy, (ksi)]]),"N/A")</f>
        <v>N/A</v>
      </c>
      <c r="EJ75" s="127" t="str">
        <f>IF(Reinforcements[[#This Row],[Type]]="channel",1.49*SQRT(Reinforcements[[#This Row],[E, (ksi)]]/Reinforcements[[#This Row],[Fy, (ksi)]]),"N/A")</f>
        <v>N/A</v>
      </c>
      <c r="EK75" s="127" t="e">
        <f>VLOOKUP(Reinforcements[[#This Row],[Material]],Materials!$B$2:$C$30,2,FALSE)</f>
        <v>#N/A</v>
      </c>
      <c r="EL75" s="127" t="e">
        <f>Reinforcements[[#This Row],[Lu (in)]]*Reinforcements[[#This Row],[Effective Length Factor Kx]]</f>
        <v>#VALUE!</v>
      </c>
      <c r="EM75" s="127" t="e">
        <f>Reinforcements[[#This Row],[Lu (in)]]*Reinforcements[[#This Row],[Effective Length Factor Ky]]</f>
        <v>#VALUE!</v>
      </c>
      <c r="EN75" s="127" t="str">
        <f>Reinforcements[[#This Row],[rx]]</f>
        <v/>
      </c>
      <c r="EO75" s="127" t="str">
        <f>Reinforcements[[#This Row],[ry]]</f>
        <v/>
      </c>
      <c r="EP75" s="127" t="e">
        <f>Reinforcements[[#This Row],[Lcx (in)]]/Reinforcements[[#This Row],[rx (in)]]</f>
        <v>#VALUE!</v>
      </c>
      <c r="EQ75" s="127" t="e">
        <f>Reinforcements[[#This Row],[Lcy (in)]]/Reinforcements[[#This Row],[ry (in)]]</f>
        <v>#VALUE!</v>
      </c>
      <c r="ER75" s="127" t="e">
        <f>((PI()^2)*Reinforcements[[#This Row],[E, (ksi)]])/(Reinforcements[[#This Row],[Lcx/rx]]^2)</f>
        <v>#VALUE!</v>
      </c>
      <c r="ES75" s="127" t="e">
        <f>((PI()^2)*Reinforcements[[#This Row],[E, (ksi)]])/(Reinforcements[[#This Row],[Lcy/ry]]^2)</f>
        <v>#VALUE!</v>
      </c>
      <c r="ET75" s="127" t="e">
        <f>4.71*(SQRT(Reinforcements[[#This Row],[E, (ksi)]]/Reinforcements[[#This Row],[Fy, (ksi)]]))</f>
        <v>#N/A</v>
      </c>
      <c r="EU75" s="127" t="e">
        <f>IF(Reinforcements[[#This Row],[Lcx/rx]]&lt;=Reinforcements[[#This Row],[Fcr Limit]],(0.658^(Reinforcements[[#This Row],[Fy, (ksi)]]/Reinforcements[[#This Row],[Fex, FB (ksi)]]))*Reinforcements[[#This Row],[Fy, (ksi)]],0.877*Reinforcements[[#This Row],[Fex, FB (ksi)]])</f>
        <v>#VALUE!</v>
      </c>
      <c r="EV75" s="127" t="e">
        <f>IF(Reinforcements[[#This Row],[Lcy/ry]]&lt;=Reinforcements[[#This Row],[Fcr Limit]],(0.658^(Reinforcements[[#This Row],[Fy, (ksi)]]/Reinforcements[[#This Row],[Fey, FB (ksi)]]))*Reinforcements[[#This Row],[Fy, (ksi)]],0.877*Reinforcements[[#This Row],[Fey, FB (ksi)]])</f>
        <v>#VALUE!</v>
      </c>
      <c r="EW75" s="127" t="e">
        <f>Reinforcements[[#This Row],[Fcrx (ksi)]]*Reinforcements[[#This Row],[Gross Area (in2)]]</f>
        <v>#VALUE!</v>
      </c>
      <c r="EX75" s="127" t="e">
        <f>Reinforcements[[#This Row],[Fcry (ksi)]]*Reinforcements[[#This Row],[Gross Area (in2)]]</f>
        <v>#VALUE!</v>
      </c>
      <c r="EY75" s="127" t="str">
        <f>IF(Reinforcements[[#This Row],[Type]]="channel",0,"N/A")</f>
        <v>N/A</v>
      </c>
      <c r="EZ75" s="127" t="str">
        <f>IF(Reinforcements[[#This Row],[Type]]="channel",Reinforcements[[#This Row],[Channel Flange Width, b]]-(0.5*Reinforcements[[#This Row],[Channel web thickness, tw]]),"N/A")</f>
        <v>N/A</v>
      </c>
      <c r="FA75" s="127" t="str">
        <f>IF(Reinforcements[[#This Row],[Type]]="channel",Reinforcements[[#This Row],[Channel Height, h]]-Reinforcements[[#This Row],[Channel flange thickness, tf]],"N/A")</f>
        <v>N/A</v>
      </c>
      <c r="FB75" s="127" t="str">
        <f>IF(Reinforcements[[#This Row],[Type]]="channel",Reinforcements[[#This Row],[Channel web thickness, tw]],"N/A")</f>
        <v>N/A</v>
      </c>
      <c r="FC75" s="127" t="str">
        <f>IF(Reinforcements[[#This Row],[Type]]="channel",((3*Reinforcements[[#This Row],[b]]^2)/(Reinforcements[[#This Row],[h]]+(6*Reinforcements[[#This Row],[b]])))-Reinforcements[[#This Row],[t]]/2,"N/A")</f>
        <v>N/A</v>
      </c>
      <c r="FD75" s="127" t="str">
        <f>Reinforcements[[#This Row],[Pole Face to Centroid (in)]]</f>
        <v/>
      </c>
      <c r="FE75" s="127" t="str">
        <f>IF(Reinforcements[[#This Row],[Type]]="channel",Reinforcements[[#This Row],[x(bar)]]+Reinforcements[[#This Row],['[Channel'] e0 (in)]],"N/A")</f>
        <v>N/A</v>
      </c>
      <c r="FF75" s="127" t="str">
        <f>IF(Reinforcements[[#This Row],[Type]]="channel",Reinforcements[[#This Row],[Ix]],"N/A")</f>
        <v>N/A</v>
      </c>
      <c r="FG75" s="127" t="str">
        <f>IF(Reinforcements[[#This Row],[Type]]="channel",Reinforcements[[#This Row],[Iy]],"N/A")</f>
        <v>N/A</v>
      </c>
      <c r="FH75" s="127" t="str">
        <f>IF(Reinforcements[[#This Row],[Type]]="channel",Reinforcements[[#This Row],[Gross Area (in2)]],"N/A")</f>
        <v>N/A</v>
      </c>
      <c r="FI75" s="127" t="str">
        <f>IF(Reinforcements[[#This Row],[Type]]="channel",(Reinforcements[[#This Row],[xo]]^2)+((Reinforcements[[#This Row],[Ix (FTB)]]+Reinforcements[[#This Row],[Iy (FTB)]])/Reinforcements[[#This Row],[Ag]]),"N/A")</f>
        <v>N/A</v>
      </c>
      <c r="FJ75" s="127" t="str">
        <f>IF(Reinforcements[[#This Row],[Type]]="channel",Reinforcements[[#This Row],[Lu (in)]],"N/A")</f>
        <v>N/A</v>
      </c>
      <c r="FK75" s="127" t="str">
        <f>IF(Reinforcements[[#This Row],[Type]]="channel",Reinforcements[[#This Row],[Effective Length Factor Kx]],"N/A")</f>
        <v>N/A</v>
      </c>
      <c r="FL75" s="127" t="str">
        <f>IF(Reinforcements[[#This Row],[Type]]="channel",Reinforcements[[#This Row],[Kz]]*Reinforcements[[#This Row],[Lz]],"N/A")</f>
        <v>N/A</v>
      </c>
      <c r="FM75" s="127" t="str">
        <f>IF(Reinforcements[[#This Row],[Type]]="channel",(((Reinforcements[[#This Row],[t]]^3)/3)*(Reinforcements[[#This Row],[h]]+(2*Reinforcements[[#This Row],[b]]))),"N/A")</f>
        <v>N/A</v>
      </c>
      <c r="FN75" s="127" t="str">
        <f>IF(Reinforcements[[#This Row],[Type]]="channel",(1-(((Reinforcements[[#This Row],[xo]]^2)+(Reinforcements[[#This Row],[yo]]^2))/Reinforcements[[#This Row],[ro^2(bar)]])),"N/A")</f>
        <v>N/A</v>
      </c>
      <c r="FO75" s="127">
        <v>11200</v>
      </c>
      <c r="FP75" s="127" t="str">
        <f>IF(Reinforcements[[#This Row],[Type]]="channel",(((Reinforcements[[#This Row],[h]]^2)*(Reinforcements[[#This Row],[b]]^3)*Reinforcements[[#This Row],[t]])/12)*(((2*Reinforcements[[#This Row],[h]])+(3*Reinforcements[[#This Row],[b]]))/(Reinforcements[[#This Row],[h]]+(6*Reinforcements[[#This Row],[b]]))),"N/A")</f>
        <v>N/A</v>
      </c>
      <c r="FQ75" s="127" t="str">
        <f>IF(Reinforcements[[#This Row],[Type]]="Channel",((((PI()^2)*Reinforcements[[#This Row],[E, (ksi)]]*Reinforcements[[#This Row],['[Channel'] CW (in6)]])/(Reinforcements[[#This Row],[Lcz]]^2))+(Reinforcements[[#This Row],[G]]*Reinforcements[[#This Row],['[Channel'] J (in4)]]))*(1/(Reinforcements[[#This Row],[Ag]]*Reinforcements[[#This Row],[ro^2(bar)]])),"N/A")</f>
        <v>N/A</v>
      </c>
      <c r="FR75" s="127" t="str">
        <f>IF(Reinforcements[[#This Row],[Type]]="channel",((PI()^2)*Reinforcements[[#This Row],[E, (ksi)]])/(Reinforcements[[#This Row],[Lcy/ry]]^2),"N/A")</f>
        <v>N/A</v>
      </c>
      <c r="FS75" s="127" t="str">
        <f>IF(Reinforcements[[#This Row],[Type]]="channel",((Reinforcements[[#This Row],[Fey]]+Reinforcements[[#This Row],[Fez]])/(2*Reinforcements[[#This Row],[H2]]))*(1-SQRT(1-((4*Reinforcements[[#This Row],[Fey]]*Reinforcements[[#This Row],[Fez]]*Reinforcements[[#This Row],[H2]])/(Reinforcements[[#This Row],[Fey]]+Reinforcements[[#This Row],[Fez]])^2))),"N/A")</f>
        <v>N/A</v>
      </c>
      <c r="FT75" s="127" t="str">
        <f>IF(Reinforcements[[#This Row],[Type]]="channel",IF(Reinforcements[[#This Row],[Lcx/rx]]&gt;(4.71*SQRT(Reinforcements[[#This Row],[E, (ksi)]]/Reinforcements[[#This Row],[Fy, (ksi)]])),0.877*Reinforcements[[#This Row],[Fe (FTB)]],0.658^(Reinforcements[[#This Row],[Fy, (ksi)]]/Reinforcements[[#This Row],[Fe (FTB)]])*Reinforcements[[#This Row],[Fy, (ksi)]]),"N/A")</f>
        <v>N/A</v>
      </c>
      <c r="FU75" s="127" t="str">
        <f>IF(Reinforcements[[#This Row],[Type]]="channel",MIN(Reinforcements[[#This Row],[Fcr(FTB)]],Reinforcements[[#This Row],[Fcry (ksi)]]),"N/A")</f>
        <v>N/A</v>
      </c>
      <c r="FV75" s="127">
        <v>0.22</v>
      </c>
      <c r="FW75" s="127">
        <v>1.49</v>
      </c>
      <c r="FX75" s="127" t="str">
        <f>IF(Reinforcements[[#This Row],[Type]]="channel",((Reinforcements[[#This Row],[c2]]*(Reinforcements[[#This Row],[λrf]]/Reinforcements[[#This Row],[λf]]))^2)*Reinforcements[[#This Row],[Fy, (ksi)]],"N/A")</f>
        <v>N/A</v>
      </c>
      <c r="FY75" s="127" t="str">
        <f>IF(Reinforcements[[#This Row],[Type]]="channel",((Reinforcements[[#This Row],[c2]]*(Reinforcements[[#This Row],[λrw]]/Reinforcements[[#This Row],[λw]]))^2)*Reinforcements[[#This Row],[Fy, (ksi)]],"N/A")</f>
        <v>N/A</v>
      </c>
      <c r="FZ75"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127" t="str">
        <f>IF(Reinforcements[[#This Row],[Type]]="channel",Reinforcements[[#This Row],[Fcr]]*Reinforcements[[#This Row],[Ae]],"N/A")</f>
        <v>N/A</v>
      </c>
      <c r="GD75" s="50" t="str">
        <f>IF(Reinforcements[[#This Row],[Reinforcement]]="","",φ_c*Reinforcements[[#This Row],[Pnx, FB (kip)]])</f>
        <v/>
      </c>
      <c r="GE75" s="50" t="str">
        <f>IF(Reinforcements[[#This Row],[Reinforcement]]="","",IF(Reinforcements[[#This Row],[Type]]="channel",φ_c*Reinforcements[[#This Row],[Pn]],φ_c*Reinforcements[[#This Row],[Pny, FB (kip)]]))</f>
        <v/>
      </c>
      <c r="GF75" s="50" t="str">
        <f>Reinforcements[[#This Row],[Rev. G Tension Yield Capacity (kips)]]</f>
        <v/>
      </c>
      <c r="GG75" s="50" t="str">
        <f>Reinforcements[[#This Row],[Rev. G Tension Rupture Capacity (kips)]]</f>
        <v/>
      </c>
      <c r="GH75" s="50" t="str">
        <f>Reinforcements[[#This Row],[Rev. G Shear Capacity (kips)]]</f>
        <v/>
      </c>
      <c r="GI75" s="50" t="str">
        <f>IFERROR((Reinforcements[[#This Row],['# of End Connection Bolts          (Bottom)]]-1)*Reinforcements[[#This Row],[End Connection Bolt Spacing (in) (B)]],"-")</f>
        <v>-</v>
      </c>
      <c r="GJ75" s="50" t="str">
        <f>IFERROR(IF(VLOOKUP(Reinforcements[[#This Row],[Bottom End Connection Bolt Type]],Bolts[],COLUMN(Bolts[[#Headers],[Rev. H Apply Connection Length Reduction Factor (Rb)?]])-1,FALSE)="Yes",(IF(Reinforcements[[#This Row],[Lb(bottom)]]&lt;=16,1,IF(Reinforcements[[#This Row],[Lb(bottom)]]&gt;38,0.75,0.9))),1),"-")</f>
        <v>-</v>
      </c>
      <c r="GK75"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50" t="str">
        <f>IFERROR(IF(Reinforcements[[#This Row],[Top End Connection Same?]]="Yes",Reinforcements[[#This Row],[Lb(bottom)]],(Reinforcements[[#This Row],['# of End Connection Bolts          (Top)]]-1)*Reinforcements[[#This Row],[End Connection Bolt Spacing (in) (T)]]),"-")</f>
        <v>-</v>
      </c>
      <c r="GM75" s="50" t="str">
        <f>IFERROR(IF(VLOOKUP(Reinforcements[[#This Row],[Top End Connection Bolt Type]],Bolts[],COLUMN(Bolts[[#Headers],[Rev. H Apply Connection Length Reduction Factor (Rb)?]])-1,FALSE)=TRUE,(IF(Reinforcements[[#This Row],[Lb(top)]]&lt;=16,1,IF(Reinforcements[[#This Row],[Lb(top)]]&gt;38,0.75,0.9))),1),"-")</f>
        <v>-</v>
      </c>
      <c r="GN75"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50" t="str">
        <f>Reinforcements[[#This Row],[Rev. G Bolt-Shaft Bearing Capacity (Bottom)                No Deformation          (*t*Fu kips)]]</f>
        <v>-</v>
      </c>
      <c r="GP75" s="50" t="str">
        <f>Reinforcements[[#This Row],[Rev. G Bolt-Shaft Bearing Capacity (Bottom)                   Deformation          (*t*Fu kips)]]</f>
        <v>-</v>
      </c>
      <c r="GQ75" s="50" t="str">
        <f>Reinforcements[[#This Row],[Rev. G Bolt-Shaft Bearing Capacity (Top)                    No Deformation          (*t*Fu kips)]]</f>
        <v>-</v>
      </c>
      <c r="GR75" s="50" t="str">
        <f>Reinforcements[[#This Row],[Rev. G Bolt-Shaft Bearing Capacity (Top)                        Deformation          (*t*Fu kips)]]</f>
        <v>-</v>
      </c>
      <c r="GS75" s="50" t="str">
        <f>Reinforcements[[#This Row],[Rev. G Bolt-Reinf. Bearing Capacity (Bottom)            No Deformation (kips)]]</f>
        <v>-</v>
      </c>
      <c r="GT75" s="50" t="str">
        <f>Reinforcements[[#This Row],[Rev. G Bolt-Reinf. Bearing Capacity (Bottom)               Deformation (kips)]]</f>
        <v>-</v>
      </c>
      <c r="GU75" s="50" t="str">
        <f>Reinforcements[[#This Row],[Rev. G Bolt-Reinf. Bearing Capacity (Top)                  No Deformation (kips)]]</f>
        <v>-</v>
      </c>
      <c r="GV75" s="50" t="str">
        <f>Reinforcements[[#This Row],[Rev. G Bolt-Reinf. Bearing Capacity (Top)               Deformation (kips)]]</f>
        <v>-</v>
      </c>
      <c r="GW75" s="50" t="str">
        <f>Reinforcements[[#This Row],[Rev. G Bottom Transverse Weld Strength]]</f>
        <v/>
      </c>
      <c r="GX75" s="50" t="str">
        <f>Reinforcements[[#This Row],[Rev. G Bottom Longitudinal Weld Strength]]</f>
        <v/>
      </c>
      <c r="GY75" s="50" t="str">
        <f>Reinforcements[[#This Row],[Rev. G Top Transverse Weld Strength]]</f>
        <v/>
      </c>
      <c r="GZ75" s="50" t="str">
        <f>Reinforcements[[#This Row],[Rev. G Top Longitudinal Weld Strength]]</f>
        <v/>
      </c>
      <c r="HA75">
        <v>73</v>
      </c>
      <c r="HB7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94"/>
      <c r="C76" s="94"/>
      <c r="D76" s="127" t="str">
        <f>IF(Reinforcements[[#This Row],[Type]]="","",IF(Reinforcements[[#This Row],[Type]]="solid round","-",""))</f>
        <v/>
      </c>
      <c r="E76" s="127" t="str">
        <f>IF(Reinforcements[[#This Row],[Type]]="","",IF(Reinforcements[[#This Row],[Type]]="solid round","-",""))</f>
        <v/>
      </c>
      <c r="F76" s="127" t="str">
        <f>IF(Reinforcements[[#This Row],[Type]]="","",IF(Reinforcements[[#This Row],[Type]]="solid round","","n/a"))</f>
        <v/>
      </c>
      <c r="G76" s="127" t="str">
        <f>IF(Reinforcements[[#This Row],[Type]]="","",IF(Reinforcements[[#This Row],[Type]]&lt;&gt;"channel","n/a",""))</f>
        <v/>
      </c>
      <c r="H76" s="127" t="str">
        <f>IF(Reinforcements[[#This Row],[Type]]="","",IF(Reinforcements[[#This Row],[Type]]&lt;&gt;"channel","n/a",""))</f>
        <v/>
      </c>
      <c r="I76" s="140" t="str">
        <f>IF(Reinforcements[[#This Row],[Type]]="","",IF(Reinforcements[[#This Row],[Type]]&lt;&gt;"channel","n/a",Reinforcements[[#This Row],[eo]]))</f>
        <v/>
      </c>
      <c r="J76" s="140" t="str">
        <f>IF(Reinforcements[[#This Row],[Type]]="","",IF(Reinforcements[[#This Row],[Type]]&lt;&gt;"channel","n/a",Reinforcements[[#This Row],[J]]))</f>
        <v/>
      </c>
      <c r="K76" s="140" t="str">
        <f>IF(Reinforcements[[#This Row],[Type]]="","",IF(Reinforcements[[#This Row],[Type]]&lt;&gt;"channel","n/a",Reinforcements[[#This Row],[Cw]]))</f>
        <v/>
      </c>
      <c r="L76" s="127" t="str">
        <f>IFERROR(IF(Reinforcements[[#This Row],[Type]]="","",IF(Reinforcements[[#This Row],[Type]]="plate",Reinforcements[[#This Row],[B (in)]]*Reinforcements[[#This Row],[H (in)]],IF(Reinforcements[[#This Row],[Type]]="solid round",PI()/4*Reinforcements[[#This Row],[Diameter (in)]]^2,""))),"")</f>
        <v/>
      </c>
      <c r="M76" s="127" t="str">
        <f>IFERROR(IF(Reinforcements[[#This Row],[Type]]="","",IF(Reinforcements[[#This Row],[Type]]="plate",Reinforcements[[#This Row],[H (in)]]/2,"")),"")</f>
        <v/>
      </c>
      <c r="N76" s="128"/>
      <c r="O76" s="129"/>
      <c r="P76" s="135" t="str">
        <f>IFERROR(IF(Reinforcements[[#This Row],[Type]]="","",IF(Reinforcements[[#This Row],[Type]]="plate",Reinforcements[[#This Row],[B (in)]]*Reinforcements[[#This Row],[H (in)]]^3/12,IF(Reinforcements[[#This Row],[Type]]="solid round",PI()/64*Reinforcements[[#This Row],[Diameter (in)]]^4,""))),"")</f>
        <v/>
      </c>
      <c r="Q76" s="135" t="str">
        <f>IF(Reinforcements[[#This Row],[Reinforcement]]="","",SQRT(Reinforcements[[#This Row],[Ix]]/Reinforcements[[#This Row],[Gross Area (in2)]]))</f>
        <v/>
      </c>
      <c r="R76" s="135" t="str">
        <f>IFERROR(IF(Reinforcements[[#This Row],[Type]]="","",IF(Reinforcements[[#This Row],[Type]]="plate",Reinforcements[[#This Row],[B (in)]]^3*Reinforcements[[#This Row],[H (in)]]/12,IF(Reinforcements[[#This Row],[Type]]="solid round",PI()/64*Reinforcements[[#This Row],[Diameter (in)]]^4,""))),"")</f>
        <v/>
      </c>
      <c r="S76" s="135" t="str">
        <f>IF(Reinforcements[[#This Row],[Reinforcement]]="","",SQRT(Reinforcements[[#This Row],[Iy]]/Reinforcements[[#This Row],[Gross Area (in2)]]))</f>
        <v/>
      </c>
      <c r="T76" s="127"/>
      <c r="U76" s="127" t="str">
        <f>IF(Reinforcements[[#This Row],[Lu (in)]]="","",IF(Reinforcements[[#This Row],[Lu (in)]]=0,1,""))</f>
        <v/>
      </c>
      <c r="V76" s="127" t="str">
        <f>IF(Reinforcements[[#This Row],[Lu (in)]]="","",IF(Reinforcements[[#This Row],[Lu (in)]]=0,1,""))</f>
        <v/>
      </c>
      <c r="W76" s="127" t="str">
        <f>IF(Reinforcements[[#This Row],[Type]]="","",IF(Reinforcements[[#This Row],[Type]]="solid round",0,IF(Reinforcements[[#This Row],[Type]]="arbitrary","n/a","")))</f>
        <v/>
      </c>
      <c r="X76" s="127" t="str">
        <f>IF(Reinforcements[[#This Row],[Bolt Hole Size (in)]]="","",IF(Reinforcements[[#This Row],[Bolt Hole Size (in)]]="n/a","n/a",Reinforcements[[#This Row],[Bolt Hole Size (in)]]*25.4))</f>
        <v/>
      </c>
      <c r="Y76"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127" t="str">
        <f>IFERROR(IF(Reinforcements[[#This Row],[Reinforcement]]="","",IF(OR(Reinforcements[[#This Row],[Type]]="plate",Reinforcements[[#This Row],[Type]]="solid round"),1,IF(Reinforcements[[#This Row],[Type]]="arbitrary","",1-Reinforcements[[#This Row],[Pole Face to Centroid (in)]]/Reinforcements[[#This Row],[Connection Length (in) '[Channels']]]))),"")</f>
        <v/>
      </c>
      <c r="AA76" s="74"/>
      <c r="AB76" s="74" t="str">
        <f>IF(Reinforcements[[#This Row],[Reinforcement]]="","",IF(Reinforcements[[#This Row],[Bottom End Connection Type]]&lt;&gt;"Capacity Input","-",""))</f>
        <v/>
      </c>
      <c r="AC76" s="74" t="str">
        <f>IF(Reinforcements[[#This Row],[Reinforcement]]="","",IF(Reinforcements[[#This Row],[Bottom End Connection Type]]&lt;&gt;"Capacity Input","-",""))</f>
        <v/>
      </c>
      <c r="AD76" s="74" t="str">
        <f>IF(Reinforcements[[#This Row],[Reinforcement]]="","",IF(Reinforcements[[#This Row],[Bottom End Connection Type]]&lt;&gt;"Capacity Input","-",""))</f>
        <v/>
      </c>
      <c r="AE76" s="74" t="str">
        <f>IF(Reinforcements[[#This Row],[Reinforcement]]="","",IF(Reinforcements[[#This Row],[Bottom End Connection Type]]&lt;&gt;"Bolted","-",""))</f>
        <v/>
      </c>
      <c r="AF76" s="127" t="str">
        <f>IF(Reinforcements[[#This Row],[Reinforcement]]="","",IF(Reinforcements[[#This Row],[Bottom End Connection Type]]&lt;&gt;"Bolted","-",""))</f>
        <v/>
      </c>
      <c r="AG76" s="127" t="str">
        <f>IF(Reinforcements[[#This Row],[Reinforcement]]="","",IF(Reinforcements[[#This Row],[Bottom End Connection Type]]="","-",IF(Reinforcements[[#This Row],[Bottom End Connection Type]]&lt;&gt;"Bolted","-","")))</f>
        <v/>
      </c>
      <c r="AH76" s="127" t="str">
        <f>IF(Reinforcements[[#This Row],[Reinforcement]]="","",IF(Reinforcements[[#This Row],[Bottom End Connection Type]]="","-",IF(Reinforcements[[#This Row],[Bottom End Connection Type]]&lt;&gt;"Bolted","-","")))</f>
        <v/>
      </c>
      <c r="AI76" s="127" t="str">
        <f>IF(Reinforcements[[#This Row],[Reinforcement]]="","",IF(Reinforcements[[#This Row],[Bottom End Connection Type]]="","-",IF(Reinforcements[[#This Row],[Bottom End Connection Type]]&lt;&gt;"Bolted","-","")))</f>
        <v/>
      </c>
      <c r="AJ76" s="127" t="e">
        <f>Reinforcements[[#This Row],[End Connection Edge Distance (in) (B)]]-(Reinforcements[[#This Row],[Bolt Hole Size (in)]]+1/16)/2</f>
        <v>#VALUE!</v>
      </c>
      <c r="AK76" s="127" t="e">
        <f>Reinforcements[[#This Row],[End Connection Bolt Spacing (in) (B)]]-(Reinforcements[[#This Row],[Bolt Hole Size (in)]]+1/16)</f>
        <v>#VALUE!</v>
      </c>
      <c r="AL76" s="127" t="str">
        <f>Reinforcements[[#This Row],[End Connection Edge Distance (in) (B)]]</f>
        <v/>
      </c>
      <c r="AM76" s="127" t="str">
        <f>Reinforcements[[#This Row],[End Connection Bolt Spacing (in) (B)]]</f>
        <v/>
      </c>
      <c r="AN76" s="127" t="str">
        <f>IF(Reinforcements[[#This Row],[Reinforcement]]="","",IF(OR(Reinforcements[[#This Row],[Bottom End Connection Type]]="Bolted",Reinforcements[[#This Row],[Bottom End Connection Type]]=""),"-",""))</f>
        <v/>
      </c>
      <c r="AO76" s="129" t="str">
        <f>IF(Reinforcements[[#This Row],[Reinforcement]]="","",IF(Reinforcements[[#This Row],[Bottom End Connection Type]]&lt;&gt;"Welded","-",""))</f>
        <v/>
      </c>
      <c r="AP76" s="129" t="str">
        <f>IF(Reinforcements[[#This Row],[Reinforcement]]="","",IF(Reinforcements[[#This Row],[Bottom End Connection Type]]&lt;&gt;"Welded","-",""))</f>
        <v/>
      </c>
      <c r="AQ76" s="129" t="str">
        <f>IF(Reinforcements[[#This Row],[Reinforcement]]="","",IF(OR(Reinforcements[[#This Row],[Bottom End Connection Type]]&lt;&gt;"Welded",Reinforcements[[#This Row],[Bottom Transverse (Horizontal) Weld]]="None"),"-",""))</f>
        <v/>
      </c>
      <c r="AR76"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129" t="str">
        <f>IF(Reinforcements[[#This Row],[Reinforcement]]="","",IF(OR(Reinforcements[[#This Row],[Bottom Transverse (Horizontal) Weld]]="None",Reinforcements[[#This Row],[Bottom End Connection Type]]&lt;&gt;"Welded"),"-",""))</f>
        <v/>
      </c>
      <c r="AU76"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129" t="str">
        <f>IF(Reinforcements[[#This Row],[Reinforcement]]="","",IF(OR(Reinforcements[[#This Row],[Bottom End Connection Type]]&lt;&gt;"Welded",Reinforcements[[#This Row],[Bottom End Connection Type]]=""),"-",""))</f>
        <v/>
      </c>
      <c r="AW76" s="129" t="str">
        <f>IF(Reinforcements[[#This Row],[Reinforcement]]="","",IF(OR(Reinforcements[[#This Row],[Bottom End Connection Type]]&lt;&gt;"Welded",Reinforcements[[#This Row],[Bottom Longitudinal (Vertical) Weld]]="None",Reinforcements[[#This Row],[Bottom Longitudinal (Vertical) Weld]]=""),"-",""))</f>
        <v/>
      </c>
      <c r="AX76" s="129" t="str">
        <f>IF(Reinforcements[[#This Row],[Reinforcement]]="","",IF(OR(Reinforcements[[#This Row],[Bottom End Connection Type]]&lt;&gt;"Welded",Reinforcements[[#This Row],[Bottom Longitudinal (Vertical) Weld]]="None",Reinforcements[[#This Row],[Bottom Longitudinal (Vertical) Weld]]=""),"-",""))</f>
        <v/>
      </c>
      <c r="AY76" s="127" t="str">
        <f>IF(Reinforcements[[#This Row],[Reinforcement]]="","",IF(OR(Reinforcements[[#This Row],[Bottom End Connection Type]]&lt;&gt;"Welded",Reinforcements[[#This Row],[Bottom Longitudinal (Vertical) Weld]]="None"),"-",SQRT(2)/2*Reinforcements[[#This Row],[Bottom Longitudinal Weld Fillet Size (in)]]))</f>
        <v/>
      </c>
      <c r="AZ76" s="127"/>
      <c r="BA76" s="74" t="str">
        <f>IF(Reinforcements[[#This Row],[Top End Connection Same?]]="Yes",Reinforcements[[#This Row],[Bottom End Connection Type]],"")</f>
        <v/>
      </c>
      <c r="BB76" s="74" t="str">
        <f>IF(Reinforcements[[#This Row],[Reinforcement]]="","",IF(Reinforcements[[#This Row],[Top End Connection Same?]]="Yes",Reinforcements[[#This Row],[Rev. F Bottom Connection Capacity (kips)]],IF(Reinforcements[[#This Row],[Reinforcement]]="","",IF(Reinforcements[[#This Row],[Top End Connection Type]]&lt;&gt;"Capacity Input","-",""))))</f>
        <v/>
      </c>
      <c r="BC76" s="74" t="str">
        <f>IF(Reinforcements[[#This Row],[Reinforcement]]="","",IF(Reinforcements[[#This Row],[Top End Connection Same?]]="Yes",Reinforcements[[#This Row],[Rev. G Bottom Connection Capacity (kips)]],IF(Reinforcements[[#This Row],[Reinforcement]]="","",IF(Reinforcements[[#This Row],[Top End Connection Type]]&lt;&gt;"Capacity Input","-",""))))</f>
        <v/>
      </c>
      <c r="BD76" s="74" t="str">
        <f>IF(Reinforcements[[#This Row],[Reinforcement]]="","",IF(Reinforcements[[#This Row],[Top End Connection Same?]]="Yes",Reinforcements[[#This Row],[Rev. G Bottom Connection Capacity (kips)]],IF(Reinforcements[[#This Row],[Reinforcement]]="","",IF(Reinforcements[[#This Row],[Top End Connection Type]]&lt;&gt;"Capacity Input","-",""))))</f>
        <v/>
      </c>
      <c r="BE76" s="74" t="str">
        <f>IF(Reinforcements[[#This Row],[Reinforcement]]="","",IF(Reinforcements[[#This Row],[Top End Connection Same?]]="Yes",Reinforcements[[#This Row],[Bottom End Connection Bolt Type]],IF(Reinforcements[[#This Row],[Top End Connection Type]]&lt;&gt;"Bolted","-","")))</f>
        <v/>
      </c>
      <c r="BF76" s="127" t="str">
        <f>IF(Reinforcements[[#This Row],[Reinforcement]]="","",IF(Reinforcements[[#This Row],[Top End Connection Same?]]="Yes",Reinforcements[[#This Row],[Threads Included (N) or Excluded (X) (Bottom)]],IF(Reinforcements[[#This Row],[Top End Connection Type]]&lt;&gt;"Bolted","-","")))</f>
        <v/>
      </c>
      <c r="BG76" s="127" t="str">
        <f>IF(Reinforcements[[#This Row],[Reinforcement]]="","",IF(Reinforcements[[#This Row],[Top End Connection Same?]]="Yes",Reinforcements[[#This Row],['# of End Connection Bolts          (Bottom)]],IF(Reinforcements[[#This Row],[Top End Connection Type]]&lt;&gt;"Bolted","-","")))</f>
        <v/>
      </c>
      <c r="BH76" s="127" t="str">
        <f>IF(Reinforcements[[#This Row],[Reinforcement]]="","",IF(Reinforcements[[#This Row],[Top End Connection Same?]]="Yes",Reinforcements[[#This Row],[End Connection Bolt Spacing (in) (B)]],IF(Reinforcements[[#This Row],[Top End Connection Type]]&lt;&gt;"Bolted","-","")))</f>
        <v/>
      </c>
      <c r="BI76" s="127" t="str">
        <f>IF(Reinforcements[[#This Row],[Reinforcement]]="","",IF(Reinforcements[[#This Row],[Top End Connection Same?]]="Yes",Reinforcements[[#This Row],[End Connection Edge Distance (in) (B)]],IF(Reinforcements[[#This Row],[Top End Connection Type]]&lt;&gt;"Bolted","-","")))</f>
        <v/>
      </c>
      <c r="BJ76" s="127" t="e">
        <f>Reinforcements[[#This Row],[End Connection Edge Distance (in) (T)]]-(Reinforcements[[#This Row],[Bolt Hole Size (in)]]+1/16)/2</f>
        <v>#VALUE!</v>
      </c>
      <c r="BK76" s="127" t="e">
        <f>Reinforcements[[#This Row],[End Connection Bolt Spacing (in) (T)]]-(Reinforcements[[#This Row],[Bolt Hole Size (in)]]+1/16)</f>
        <v>#VALUE!</v>
      </c>
      <c r="BL76" s="127" t="str">
        <f>Reinforcements[[#This Row],[End Connection Edge Distance (in) (T)]]</f>
        <v/>
      </c>
      <c r="BM76" s="127" t="str">
        <f>Reinforcements[[#This Row],[End Connection Bolt Spacing (in) (T)]]</f>
        <v/>
      </c>
      <c r="BN76" s="127" t="str">
        <f>IF(Reinforcements[[#This Row],[Reinforcement]]="","",IF(Reinforcements[[#This Row],[Top End Connection Same?]]="Yes",Reinforcements[[#This Row],[Bottom Connected to Flange/Base Plate?]],IF(Reinforcements[[#This Row],[Top End Connection Type]]="Bolted","-","")))</f>
        <v/>
      </c>
      <c r="BO76" s="127" t="str">
        <f>IF(Reinforcements[[#This Row],[Reinforcement]]="","",IF(Reinforcements[[#This Row],[Top End Connection Same?]]="Yes",Reinforcements[[#This Row],[Bottom Weld Grade (ksi)]],IF(OR(Reinforcements[[#This Row],[Top End Connection Type]]&lt;&gt;"Welded",Reinforcements[[#This Row],[Top End Connection Type]]=""),"-","")))</f>
        <v/>
      </c>
      <c r="BP76" s="127" t="str">
        <f>IF($AZ76="Yes",AP76,IF(Reinforcements[[#This Row],[Reinforcement]]="","",IF(OR(Reinforcements[[#This Row],[Top End Connection Type]]&lt;&gt;"Welded",Reinforcements[[#This Row],[Top End Connection Type]]=""),"-","")))</f>
        <v/>
      </c>
      <c r="BQ76" s="127" t="str">
        <f>IF(Reinforcements[[#This Row],[Reinforcement]]="","",IF($AZ76="Yes",AQ76,IF(OR(Reinforcements[[#This Row],[Top End Connection Type]]&lt;&gt;"Welded",Reinforcements[[#This Row],[Top Transverse (Horizontal) Weld]]="none",Reinforcements[[#This Row],[Top Transverse (Horizontal) Weld]]=""),"-","")))</f>
        <v/>
      </c>
      <c r="BR76" s="127"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127"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127" t="str">
        <f>IF(Reinforcements[[#This Row],[Reinforcement]]="","",IF($AZ76="Yes",AT76,IF(OR(Reinforcements[[#This Row],[Top Transverse (Horizontal) Weld]]="none",Reinforcements[[#This Row],[Top End Connection Type]]&lt;&gt;"Welded",Reinforcements[[#This Row],[Top Transverse (Horizontal) Weld]]=""),"-","")))</f>
        <v/>
      </c>
      <c r="BU76" s="127"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127" t="str">
        <f>IF($AZ76="Yes",AV76,IF(Reinforcements[[#This Row],[Reinforcement]]="","",IF(OR(Reinforcements[[#This Row],[Top End Connection Type]]&lt;&gt;"Welded",Reinforcements[[#This Row],[Top End Connection Type]]=""),"-","")))</f>
        <v/>
      </c>
      <c r="BW76" s="127"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127"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127" t="str">
        <f>IF($AZ76="Yes",AY76,IF(Reinforcements[[#This Row],[Reinforcement]]="","",IF(OR(Reinforcements[[#This Row],[Top End Connection Type]]&lt;&gt;"Welded",Reinforcements[[#This Row],[Top Longitudinal (Vertical) Weld]]="none"),"-",SQRT(2)/2*Reinforcements[[#This Row],[Top Longitudinal Weld Fillet Size (in)]])))</f>
        <v/>
      </c>
      <c r="BZ76"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6"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127" t="str">
        <f>IFERROR(IF(Reinforcements[[#This Row],[Type]]="","",Reinforcements[[#This Row],[Effective B (in)]]*Reinforcements[[#This Row],[Effective H (in)]]^3/12),"")</f>
        <v/>
      </c>
      <c r="CF76" s="127" t="str">
        <f>IFERROR(IF(Reinforcements[[#This Row],[Type]]="","",Reinforcements[[#This Row],[Effective B (in)]]^3*Reinforcements[[#This Row],[Effective H (in)]]/12),"")</f>
        <v/>
      </c>
      <c r="CG76" s="140" t="e">
        <f>SQRT(2*PI()^2*29000/VLOOKUP(Reinforcements[[#This Row],[Material]],Materials[],2,FALSE))</f>
        <v>#N/A</v>
      </c>
      <c r="CH76"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135" t="e">
        <f>Reinforcements[[#This Row],[Effective Length Factor Kx]]*Reinforcements[[#This Row],[Lu (in)]]/(Reinforcements[[#This Row],[rx]]*PI())*SQRT(VLOOKUP(Reinforcements[[#This Row],[Material]],Materials[],2,FALSE)/29000)</f>
        <v>#VALUE!</v>
      </c>
      <c r="CK76" s="135" t="e">
        <f>Reinforcements[[#This Row],[Effective Length Factor Ky]]*Reinforcements[[#This Row],[Lu (in)]]/(Reinforcements[[#This Row],[ry]]*PI())*SQRT(VLOOKUP(Reinforcements[[#This Row],[Material]],Materials[],2,FALSE)/29000)</f>
        <v>#VALUE!</v>
      </c>
      <c r="CL76" s="135" t="e">
        <f>IF(Reinforcements[[#This Row],[λcx]]&lt;=1.5,0.658^(Reinforcements[[#This Row],[λcx]]^2)*Reinforcements[[#This Row],[F''y]],0.877/(Reinforcements[[#This Row],[λcx]]^2)*Reinforcements[[#This Row],[F''y]])</f>
        <v>#VALUE!</v>
      </c>
      <c r="CM76" s="135" t="e">
        <f>IF(Reinforcements[[#This Row],[λcy]]&lt;=1.5,0.658^(Reinforcements[[#This Row],[λcy]]^2)*Reinforcements[[#This Row],[F''y]],0.877/(Reinforcements[[#This Row],[λcy]]^2)*Reinforcements[[#This Row],[F''y]])</f>
        <v>#VALUE!</v>
      </c>
      <c r="CN76" s="127" t="e">
        <f>VLOOKUP(Reinforcements[[#This Row],[Material]],Materials[],2,FALSE)</f>
        <v>#N/A</v>
      </c>
      <c r="CO76" s="140" t="str">
        <f>IF(Reinforcements[[#This Row],[Reinforcement]]="","",Reinforcements[[#This Row],[Fax]]*Reinforcements[[#This Row],[Gross Area (in2)]])</f>
        <v/>
      </c>
      <c r="CP76" s="140" t="str">
        <f>IF(Reinforcements[[#This Row],[Reinforcement]]="","",Reinforcements[[#This Row],[Fay]]*Reinforcements[[#This Row],[Gross Area (in2)]])</f>
        <v/>
      </c>
      <c r="CQ76" s="140" t="str">
        <f>IF(Reinforcements[[#This Row],[Reinforcement]]="","",0.6*VLOOKUP(Reinforcements[[#This Row],[Material]],Materials[],2,FALSE)*Reinforcements[[#This Row],[Gross Area (in2)]])</f>
        <v/>
      </c>
      <c r="CR76" s="140" t="str">
        <f>IF(Reinforcements[[#This Row],[Reinforcement]]="","",0.5*VLOOKUP(Reinforcements[[#This Row],[Material]],Materials[],3,FALSE)*Reinforcements[[#This Row],[Net Area (in2)]]*Reinforcements[[#This Row],[Shear Lag (U)]])</f>
        <v/>
      </c>
      <c r="CS76" s="140" t="str">
        <f>IF(Reinforcements[[#This Row],[Reinforcement]]="","",0.4*VLOOKUP(Reinforcements[[#This Row],[Material]],Materials[],2,FALSE)*Reinforcements[[#This Row],[Gross Area (in2)]])</f>
        <v/>
      </c>
      <c r="CT76"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127"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127"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140" t="str">
        <f>IF(Reinforcements[[#This Row],[Reinforcement]]="","",φ_c*Reinforcements[[#This Row],[Fcr,x]]*Reinforcements[[#This Row],[Gross Area (in2)]])</f>
        <v/>
      </c>
      <c r="DI76" s="140" t="str">
        <f>IF(Reinforcements[[#This Row],[Reinforcement]]="","",φ_c*Reinforcements[[#This Row],[Fcr,y]]*Reinforcements[[#This Row],[Gross Area (in2)]])</f>
        <v/>
      </c>
      <c r="DJ76" s="140" t="str">
        <f>IF(Reinforcements[[#This Row],[Reinforcement]]="","",φ_t_y*VLOOKUP(Reinforcements[[#This Row],[Material]],Materials[],2,FALSE)*Reinforcements[[#This Row],[Gross Area (in2)]])</f>
        <v/>
      </c>
      <c r="DK76" s="140" t="str">
        <f>IF(Reinforcements[[#This Row],[Reinforcement]]="","",φ_t_r*VLOOKUP(Reinforcements[[#This Row],[Material]],Materials[],3,FALSE)*Reinforcements[[#This Row],[Net Area (in2)]]*Reinforcements[[#This Row],[Shear Lag (U)]])</f>
        <v/>
      </c>
      <c r="DL76" s="140" t="str">
        <f>IF(Reinforcements[[#This Row],[Reinforcement]]="","",φ_v*0.5*Reinforcements[[#This Row],[F''y]]*Reinforcements[[#This Row],[Gross Area (in2)]])</f>
        <v/>
      </c>
      <c r="DM76"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127"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127"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129" t="str">
        <f>IF(OR(Reinforcements[[#This Row],[Type]]="plate",Reinforcements[[#This Row],[Type]]="solid round"),"N/A",Reinforcements[[#This Row],[B (in)]])</f>
        <v/>
      </c>
      <c r="EB76" s="127" t="str">
        <f>IF(OR(Reinforcements[[#This Row],[Type]]="plate",Reinforcements[[#This Row],[Type]]="solid round"),"N/A",Reinforcements[[#This Row],[H (in)]])</f>
        <v/>
      </c>
      <c r="EC76" s="127" t="e">
        <f>IF(OR(Reinforcements[[#This Row],[Type]]="plate",Reinforcements[[#This Row],[Type]]="solid round"),"N/A",Reinforcements[[#This Row],[B (in)]]-Reinforcements[[#This Row],['[Channel'] Flange Thickness (in)]])</f>
        <v>#VALUE!</v>
      </c>
      <c r="ED76" s="127" t="str">
        <f>IF(OR(Reinforcements[[#This Row],[Type]]="plate",Reinforcements[[#This Row],[Type]]="solid round"),"N/A",Reinforcements[[#This Row],['[Channel']Web Thickness (in)]])</f>
        <v/>
      </c>
      <c r="EE76" s="127" t="str">
        <f>IF(OR(Reinforcements[[#This Row],[Type]]="plate",Reinforcements[[#This Row],[Type]]="solid round"),"N/A",Reinforcements[[#This Row],['[Channel'] Flange Thickness (in)]])</f>
        <v/>
      </c>
      <c r="EF76" s="127" t="str">
        <f>IF(Reinforcements[[#This Row],[Type]]="channel",Reinforcements[[#This Row],[Channel Flange Width, b]]/Reinforcements[[#This Row],[Channel flange thickness, tf]],"N/A")</f>
        <v>N/A</v>
      </c>
      <c r="EG76" s="127" t="str">
        <f>IF(Reinforcements[[#This Row],[Type]]="channel",Reinforcements[[#This Row],[Channel inside depth, T]]/Reinforcements[[#This Row],[Channel web thickness, tw]],"N/A")</f>
        <v>N/A</v>
      </c>
      <c r="EH76" s="6">
        <f>29000</f>
        <v>29000</v>
      </c>
      <c r="EI76" s="127" t="str">
        <f>IF(Reinforcements[[#This Row],[Type]]="channel",0.56*SQRT(Reinforcements[[#This Row],[E, (ksi)]]/Reinforcements[[#This Row],[Fy, (ksi)]]),"N/A")</f>
        <v>N/A</v>
      </c>
      <c r="EJ76" s="127" t="str">
        <f>IF(Reinforcements[[#This Row],[Type]]="channel",1.49*SQRT(Reinforcements[[#This Row],[E, (ksi)]]/Reinforcements[[#This Row],[Fy, (ksi)]]),"N/A")</f>
        <v>N/A</v>
      </c>
      <c r="EK76" s="127" t="e">
        <f>VLOOKUP(Reinforcements[[#This Row],[Material]],Materials!$B$2:$C$30,2,FALSE)</f>
        <v>#N/A</v>
      </c>
      <c r="EL76" s="127" t="e">
        <f>Reinforcements[[#This Row],[Lu (in)]]*Reinforcements[[#This Row],[Effective Length Factor Kx]]</f>
        <v>#VALUE!</v>
      </c>
      <c r="EM76" s="127" t="e">
        <f>Reinforcements[[#This Row],[Lu (in)]]*Reinforcements[[#This Row],[Effective Length Factor Ky]]</f>
        <v>#VALUE!</v>
      </c>
      <c r="EN76" s="127" t="str">
        <f>Reinforcements[[#This Row],[rx]]</f>
        <v/>
      </c>
      <c r="EO76" s="127" t="str">
        <f>Reinforcements[[#This Row],[ry]]</f>
        <v/>
      </c>
      <c r="EP76" s="127" t="e">
        <f>Reinforcements[[#This Row],[Lcx (in)]]/Reinforcements[[#This Row],[rx (in)]]</f>
        <v>#VALUE!</v>
      </c>
      <c r="EQ76" s="127" t="e">
        <f>Reinforcements[[#This Row],[Lcy (in)]]/Reinforcements[[#This Row],[ry (in)]]</f>
        <v>#VALUE!</v>
      </c>
      <c r="ER76" s="127" t="e">
        <f>((PI()^2)*Reinforcements[[#This Row],[E, (ksi)]])/(Reinforcements[[#This Row],[Lcx/rx]]^2)</f>
        <v>#VALUE!</v>
      </c>
      <c r="ES76" s="127" t="e">
        <f>((PI()^2)*Reinforcements[[#This Row],[E, (ksi)]])/(Reinforcements[[#This Row],[Lcy/ry]]^2)</f>
        <v>#VALUE!</v>
      </c>
      <c r="ET76" s="127" t="e">
        <f>4.71*(SQRT(Reinforcements[[#This Row],[E, (ksi)]]/Reinforcements[[#This Row],[Fy, (ksi)]]))</f>
        <v>#N/A</v>
      </c>
      <c r="EU76" s="127" t="e">
        <f>IF(Reinforcements[[#This Row],[Lcx/rx]]&lt;=Reinforcements[[#This Row],[Fcr Limit]],(0.658^(Reinforcements[[#This Row],[Fy, (ksi)]]/Reinforcements[[#This Row],[Fex, FB (ksi)]]))*Reinforcements[[#This Row],[Fy, (ksi)]],0.877*Reinforcements[[#This Row],[Fex, FB (ksi)]])</f>
        <v>#VALUE!</v>
      </c>
      <c r="EV76" s="127" t="e">
        <f>IF(Reinforcements[[#This Row],[Lcy/ry]]&lt;=Reinforcements[[#This Row],[Fcr Limit]],(0.658^(Reinforcements[[#This Row],[Fy, (ksi)]]/Reinforcements[[#This Row],[Fey, FB (ksi)]]))*Reinforcements[[#This Row],[Fy, (ksi)]],0.877*Reinforcements[[#This Row],[Fey, FB (ksi)]])</f>
        <v>#VALUE!</v>
      </c>
      <c r="EW76" s="127" t="e">
        <f>Reinforcements[[#This Row],[Fcrx (ksi)]]*Reinforcements[[#This Row],[Gross Area (in2)]]</f>
        <v>#VALUE!</v>
      </c>
      <c r="EX76" s="127" t="e">
        <f>Reinforcements[[#This Row],[Fcry (ksi)]]*Reinforcements[[#This Row],[Gross Area (in2)]]</f>
        <v>#VALUE!</v>
      </c>
      <c r="EY76" s="127" t="str">
        <f>IF(Reinforcements[[#This Row],[Type]]="channel",0,"N/A")</f>
        <v>N/A</v>
      </c>
      <c r="EZ76" s="127" t="str">
        <f>IF(Reinforcements[[#This Row],[Type]]="channel",Reinforcements[[#This Row],[Channel Flange Width, b]]-(0.5*Reinforcements[[#This Row],[Channel web thickness, tw]]),"N/A")</f>
        <v>N/A</v>
      </c>
      <c r="FA76" s="127" t="str">
        <f>IF(Reinforcements[[#This Row],[Type]]="channel",Reinforcements[[#This Row],[Channel Height, h]]-Reinforcements[[#This Row],[Channel flange thickness, tf]],"N/A")</f>
        <v>N/A</v>
      </c>
      <c r="FB76" s="127" t="str">
        <f>IF(Reinforcements[[#This Row],[Type]]="channel",Reinforcements[[#This Row],[Channel web thickness, tw]],"N/A")</f>
        <v>N/A</v>
      </c>
      <c r="FC76" s="127" t="str">
        <f>IF(Reinforcements[[#This Row],[Type]]="channel",((3*Reinforcements[[#This Row],[b]]^2)/(Reinforcements[[#This Row],[h]]+(6*Reinforcements[[#This Row],[b]])))-Reinforcements[[#This Row],[t]]/2,"N/A")</f>
        <v>N/A</v>
      </c>
      <c r="FD76" s="127" t="str">
        <f>Reinforcements[[#This Row],[Pole Face to Centroid (in)]]</f>
        <v/>
      </c>
      <c r="FE76" s="127" t="str">
        <f>IF(Reinforcements[[#This Row],[Type]]="channel",Reinforcements[[#This Row],[x(bar)]]+Reinforcements[[#This Row],['[Channel'] e0 (in)]],"N/A")</f>
        <v>N/A</v>
      </c>
      <c r="FF76" s="127" t="str">
        <f>IF(Reinforcements[[#This Row],[Type]]="channel",Reinforcements[[#This Row],[Ix]],"N/A")</f>
        <v>N/A</v>
      </c>
      <c r="FG76" s="127" t="str">
        <f>IF(Reinforcements[[#This Row],[Type]]="channel",Reinforcements[[#This Row],[Iy]],"N/A")</f>
        <v>N/A</v>
      </c>
      <c r="FH76" s="127" t="str">
        <f>IF(Reinforcements[[#This Row],[Type]]="channel",Reinforcements[[#This Row],[Gross Area (in2)]],"N/A")</f>
        <v>N/A</v>
      </c>
      <c r="FI76" s="127" t="str">
        <f>IF(Reinforcements[[#This Row],[Type]]="channel",(Reinforcements[[#This Row],[xo]]^2)+((Reinforcements[[#This Row],[Ix (FTB)]]+Reinforcements[[#This Row],[Iy (FTB)]])/Reinforcements[[#This Row],[Ag]]),"N/A")</f>
        <v>N/A</v>
      </c>
      <c r="FJ76" s="127" t="str">
        <f>IF(Reinforcements[[#This Row],[Type]]="channel",Reinforcements[[#This Row],[Lu (in)]],"N/A")</f>
        <v>N/A</v>
      </c>
      <c r="FK76" s="127" t="str">
        <f>IF(Reinforcements[[#This Row],[Type]]="channel",Reinforcements[[#This Row],[Effective Length Factor Kx]],"N/A")</f>
        <v>N/A</v>
      </c>
      <c r="FL76" s="127" t="str">
        <f>IF(Reinforcements[[#This Row],[Type]]="channel",Reinforcements[[#This Row],[Kz]]*Reinforcements[[#This Row],[Lz]],"N/A")</f>
        <v>N/A</v>
      </c>
      <c r="FM76" s="127" t="str">
        <f>IF(Reinforcements[[#This Row],[Type]]="channel",(((Reinforcements[[#This Row],[t]]^3)/3)*(Reinforcements[[#This Row],[h]]+(2*Reinforcements[[#This Row],[b]]))),"N/A")</f>
        <v>N/A</v>
      </c>
      <c r="FN76" s="127" t="str">
        <f>IF(Reinforcements[[#This Row],[Type]]="channel",(1-(((Reinforcements[[#This Row],[xo]]^2)+(Reinforcements[[#This Row],[yo]]^2))/Reinforcements[[#This Row],[ro^2(bar)]])),"N/A")</f>
        <v>N/A</v>
      </c>
      <c r="FO76" s="127">
        <v>11200</v>
      </c>
      <c r="FP76" s="127" t="str">
        <f>IF(Reinforcements[[#This Row],[Type]]="channel",(((Reinforcements[[#This Row],[h]]^2)*(Reinforcements[[#This Row],[b]]^3)*Reinforcements[[#This Row],[t]])/12)*(((2*Reinforcements[[#This Row],[h]])+(3*Reinforcements[[#This Row],[b]]))/(Reinforcements[[#This Row],[h]]+(6*Reinforcements[[#This Row],[b]]))),"N/A")</f>
        <v>N/A</v>
      </c>
      <c r="FQ76" s="127" t="str">
        <f>IF(Reinforcements[[#This Row],[Type]]="Channel",((((PI()^2)*Reinforcements[[#This Row],[E, (ksi)]]*Reinforcements[[#This Row],['[Channel'] CW (in6)]])/(Reinforcements[[#This Row],[Lcz]]^2))+(Reinforcements[[#This Row],[G]]*Reinforcements[[#This Row],['[Channel'] J (in4)]]))*(1/(Reinforcements[[#This Row],[Ag]]*Reinforcements[[#This Row],[ro^2(bar)]])),"N/A")</f>
        <v>N/A</v>
      </c>
      <c r="FR76" s="127" t="str">
        <f>IF(Reinforcements[[#This Row],[Type]]="channel",((PI()^2)*Reinforcements[[#This Row],[E, (ksi)]])/(Reinforcements[[#This Row],[Lcy/ry]]^2),"N/A")</f>
        <v>N/A</v>
      </c>
      <c r="FS76" s="127" t="str">
        <f>IF(Reinforcements[[#This Row],[Type]]="channel",((Reinforcements[[#This Row],[Fey]]+Reinforcements[[#This Row],[Fez]])/(2*Reinforcements[[#This Row],[H2]]))*(1-SQRT(1-((4*Reinforcements[[#This Row],[Fey]]*Reinforcements[[#This Row],[Fez]]*Reinforcements[[#This Row],[H2]])/(Reinforcements[[#This Row],[Fey]]+Reinforcements[[#This Row],[Fez]])^2))),"N/A")</f>
        <v>N/A</v>
      </c>
      <c r="FT76" s="127" t="str">
        <f>IF(Reinforcements[[#This Row],[Type]]="channel",IF(Reinforcements[[#This Row],[Lcx/rx]]&gt;(4.71*SQRT(Reinforcements[[#This Row],[E, (ksi)]]/Reinforcements[[#This Row],[Fy, (ksi)]])),0.877*Reinforcements[[#This Row],[Fe (FTB)]],0.658^(Reinforcements[[#This Row],[Fy, (ksi)]]/Reinforcements[[#This Row],[Fe (FTB)]])*Reinforcements[[#This Row],[Fy, (ksi)]]),"N/A")</f>
        <v>N/A</v>
      </c>
      <c r="FU76" s="127" t="str">
        <f>IF(Reinforcements[[#This Row],[Type]]="channel",MIN(Reinforcements[[#This Row],[Fcr(FTB)]],Reinforcements[[#This Row],[Fcry (ksi)]]),"N/A")</f>
        <v>N/A</v>
      </c>
      <c r="FV76" s="127">
        <v>0.22</v>
      </c>
      <c r="FW76" s="127">
        <v>1.49</v>
      </c>
      <c r="FX76" s="127" t="str">
        <f>IF(Reinforcements[[#This Row],[Type]]="channel",((Reinforcements[[#This Row],[c2]]*(Reinforcements[[#This Row],[λrf]]/Reinforcements[[#This Row],[λf]]))^2)*Reinforcements[[#This Row],[Fy, (ksi)]],"N/A")</f>
        <v>N/A</v>
      </c>
      <c r="FY76" s="127" t="str">
        <f>IF(Reinforcements[[#This Row],[Type]]="channel",((Reinforcements[[#This Row],[c2]]*(Reinforcements[[#This Row],[λrw]]/Reinforcements[[#This Row],[λw]]))^2)*Reinforcements[[#This Row],[Fy, (ksi)]],"N/A")</f>
        <v>N/A</v>
      </c>
      <c r="FZ76"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127" t="str">
        <f>IF(Reinforcements[[#This Row],[Type]]="channel",Reinforcements[[#This Row],[Fcr]]*Reinforcements[[#This Row],[Ae]],"N/A")</f>
        <v>N/A</v>
      </c>
      <c r="GD76" s="50" t="str">
        <f>IF(Reinforcements[[#This Row],[Reinforcement]]="","",φ_c*Reinforcements[[#This Row],[Pnx, FB (kip)]])</f>
        <v/>
      </c>
      <c r="GE76" s="50" t="str">
        <f>IF(Reinforcements[[#This Row],[Reinforcement]]="","",IF(Reinforcements[[#This Row],[Type]]="channel",φ_c*Reinforcements[[#This Row],[Pn]],φ_c*Reinforcements[[#This Row],[Pny, FB (kip)]]))</f>
        <v/>
      </c>
      <c r="GF76" s="50" t="str">
        <f>Reinforcements[[#This Row],[Rev. G Tension Yield Capacity (kips)]]</f>
        <v/>
      </c>
      <c r="GG76" s="50" t="str">
        <f>Reinforcements[[#This Row],[Rev. G Tension Rupture Capacity (kips)]]</f>
        <v/>
      </c>
      <c r="GH76" s="50" t="str">
        <f>Reinforcements[[#This Row],[Rev. G Shear Capacity (kips)]]</f>
        <v/>
      </c>
      <c r="GI76" s="50" t="str">
        <f>IFERROR((Reinforcements[[#This Row],['# of End Connection Bolts          (Bottom)]]-1)*Reinforcements[[#This Row],[End Connection Bolt Spacing (in) (B)]],"-")</f>
        <v>-</v>
      </c>
      <c r="GJ76" s="50" t="str">
        <f>IFERROR(IF(VLOOKUP(Reinforcements[[#This Row],[Bottom End Connection Bolt Type]],Bolts[],COLUMN(Bolts[[#Headers],[Rev. H Apply Connection Length Reduction Factor (Rb)?]])-1,FALSE)="Yes",(IF(Reinforcements[[#This Row],[Lb(bottom)]]&lt;=16,1,IF(Reinforcements[[#This Row],[Lb(bottom)]]&gt;38,0.75,0.9))),1),"-")</f>
        <v>-</v>
      </c>
      <c r="GK76"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50" t="str">
        <f>IFERROR(IF(Reinforcements[[#This Row],[Top End Connection Same?]]="Yes",Reinforcements[[#This Row],[Lb(bottom)]],(Reinforcements[[#This Row],['# of End Connection Bolts          (Top)]]-1)*Reinforcements[[#This Row],[End Connection Bolt Spacing (in) (T)]]),"-")</f>
        <v>-</v>
      </c>
      <c r="GM76" s="50" t="str">
        <f>IFERROR(IF(VLOOKUP(Reinforcements[[#This Row],[Top End Connection Bolt Type]],Bolts[],COLUMN(Bolts[[#Headers],[Rev. H Apply Connection Length Reduction Factor (Rb)?]])-1,FALSE)=TRUE,(IF(Reinforcements[[#This Row],[Lb(top)]]&lt;=16,1,IF(Reinforcements[[#This Row],[Lb(top)]]&gt;38,0.75,0.9))),1),"-")</f>
        <v>-</v>
      </c>
      <c r="GN76"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50" t="str">
        <f>Reinforcements[[#This Row],[Rev. G Bolt-Shaft Bearing Capacity (Bottom)                No Deformation          (*t*Fu kips)]]</f>
        <v>-</v>
      </c>
      <c r="GP76" s="50" t="str">
        <f>Reinforcements[[#This Row],[Rev. G Bolt-Shaft Bearing Capacity (Bottom)                   Deformation          (*t*Fu kips)]]</f>
        <v>-</v>
      </c>
      <c r="GQ76" s="50" t="str">
        <f>Reinforcements[[#This Row],[Rev. G Bolt-Shaft Bearing Capacity (Top)                    No Deformation          (*t*Fu kips)]]</f>
        <v>-</v>
      </c>
      <c r="GR76" s="50" t="str">
        <f>Reinforcements[[#This Row],[Rev. G Bolt-Shaft Bearing Capacity (Top)                        Deformation          (*t*Fu kips)]]</f>
        <v>-</v>
      </c>
      <c r="GS76" s="50" t="str">
        <f>Reinforcements[[#This Row],[Rev. G Bolt-Reinf. Bearing Capacity (Bottom)            No Deformation (kips)]]</f>
        <v>-</v>
      </c>
      <c r="GT76" s="50" t="str">
        <f>Reinforcements[[#This Row],[Rev. G Bolt-Reinf. Bearing Capacity (Bottom)               Deformation (kips)]]</f>
        <v>-</v>
      </c>
      <c r="GU76" s="50" t="str">
        <f>Reinforcements[[#This Row],[Rev. G Bolt-Reinf. Bearing Capacity (Top)                  No Deformation (kips)]]</f>
        <v>-</v>
      </c>
      <c r="GV76" s="50" t="str">
        <f>Reinforcements[[#This Row],[Rev. G Bolt-Reinf. Bearing Capacity (Top)               Deformation (kips)]]</f>
        <v>-</v>
      </c>
      <c r="GW76" s="50" t="str">
        <f>Reinforcements[[#This Row],[Rev. G Bottom Transverse Weld Strength]]</f>
        <v/>
      </c>
      <c r="GX76" s="50" t="str">
        <f>Reinforcements[[#This Row],[Rev. G Bottom Longitudinal Weld Strength]]</f>
        <v/>
      </c>
      <c r="GY76" s="50" t="str">
        <f>Reinforcements[[#This Row],[Rev. G Top Transverse Weld Strength]]</f>
        <v/>
      </c>
      <c r="GZ76" s="50" t="str">
        <f>Reinforcements[[#This Row],[Rev. G Top Longitudinal Weld Strength]]</f>
        <v/>
      </c>
      <c r="HA76">
        <v>74</v>
      </c>
      <c r="HB7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94"/>
      <c r="C77" s="94"/>
      <c r="D77" s="127" t="str">
        <f>IF(Reinforcements[[#This Row],[Type]]="","",IF(Reinforcements[[#This Row],[Type]]="solid round","-",""))</f>
        <v/>
      </c>
      <c r="E77" s="127" t="str">
        <f>IF(Reinforcements[[#This Row],[Type]]="","",IF(Reinforcements[[#This Row],[Type]]="solid round","-",""))</f>
        <v/>
      </c>
      <c r="F77" s="127" t="str">
        <f>IF(Reinforcements[[#This Row],[Type]]="","",IF(Reinforcements[[#This Row],[Type]]="solid round","","n/a"))</f>
        <v/>
      </c>
      <c r="G77" s="127" t="str">
        <f>IF(Reinforcements[[#This Row],[Type]]="","",IF(Reinforcements[[#This Row],[Type]]&lt;&gt;"channel","n/a",""))</f>
        <v/>
      </c>
      <c r="H77" s="127" t="str">
        <f>IF(Reinforcements[[#This Row],[Type]]="","",IF(Reinforcements[[#This Row],[Type]]&lt;&gt;"channel","n/a",""))</f>
        <v/>
      </c>
      <c r="I77" s="140" t="str">
        <f>IF(Reinforcements[[#This Row],[Type]]="","",IF(Reinforcements[[#This Row],[Type]]&lt;&gt;"channel","n/a",Reinforcements[[#This Row],[eo]]))</f>
        <v/>
      </c>
      <c r="J77" s="140" t="str">
        <f>IF(Reinforcements[[#This Row],[Type]]="","",IF(Reinforcements[[#This Row],[Type]]&lt;&gt;"channel","n/a",Reinforcements[[#This Row],[J]]))</f>
        <v/>
      </c>
      <c r="K77" s="140" t="str">
        <f>IF(Reinforcements[[#This Row],[Type]]="","",IF(Reinforcements[[#This Row],[Type]]&lt;&gt;"channel","n/a",Reinforcements[[#This Row],[Cw]]))</f>
        <v/>
      </c>
      <c r="L77" s="127" t="str">
        <f>IFERROR(IF(Reinforcements[[#This Row],[Type]]="","",IF(Reinforcements[[#This Row],[Type]]="plate",Reinforcements[[#This Row],[B (in)]]*Reinforcements[[#This Row],[H (in)]],IF(Reinforcements[[#This Row],[Type]]="solid round",PI()/4*Reinforcements[[#This Row],[Diameter (in)]]^2,""))),"")</f>
        <v/>
      </c>
      <c r="M77" s="127" t="str">
        <f>IFERROR(IF(Reinforcements[[#This Row],[Type]]="","",IF(Reinforcements[[#This Row],[Type]]="plate",Reinforcements[[#This Row],[H (in)]]/2,"")),"")</f>
        <v/>
      </c>
      <c r="N77" s="128"/>
      <c r="O77" s="129"/>
      <c r="P77" s="135" t="str">
        <f>IFERROR(IF(Reinforcements[[#This Row],[Type]]="","",IF(Reinforcements[[#This Row],[Type]]="plate",Reinforcements[[#This Row],[B (in)]]*Reinforcements[[#This Row],[H (in)]]^3/12,IF(Reinforcements[[#This Row],[Type]]="solid round",PI()/64*Reinforcements[[#This Row],[Diameter (in)]]^4,""))),"")</f>
        <v/>
      </c>
      <c r="Q77" s="135" t="str">
        <f>IF(Reinforcements[[#This Row],[Reinforcement]]="","",SQRT(Reinforcements[[#This Row],[Ix]]/Reinforcements[[#This Row],[Gross Area (in2)]]))</f>
        <v/>
      </c>
      <c r="R77" s="135" t="str">
        <f>IFERROR(IF(Reinforcements[[#This Row],[Type]]="","",IF(Reinforcements[[#This Row],[Type]]="plate",Reinforcements[[#This Row],[B (in)]]^3*Reinforcements[[#This Row],[H (in)]]/12,IF(Reinforcements[[#This Row],[Type]]="solid round",PI()/64*Reinforcements[[#This Row],[Diameter (in)]]^4,""))),"")</f>
        <v/>
      </c>
      <c r="S77" s="135" t="str">
        <f>IF(Reinforcements[[#This Row],[Reinforcement]]="","",SQRT(Reinforcements[[#This Row],[Iy]]/Reinforcements[[#This Row],[Gross Area (in2)]]))</f>
        <v/>
      </c>
      <c r="T77" s="127"/>
      <c r="U77" s="127" t="str">
        <f>IF(Reinforcements[[#This Row],[Lu (in)]]="","",IF(Reinforcements[[#This Row],[Lu (in)]]=0,1,""))</f>
        <v/>
      </c>
      <c r="V77" s="127" t="str">
        <f>IF(Reinforcements[[#This Row],[Lu (in)]]="","",IF(Reinforcements[[#This Row],[Lu (in)]]=0,1,""))</f>
        <v/>
      </c>
      <c r="W77" s="127" t="str">
        <f>IF(Reinforcements[[#This Row],[Type]]="","",IF(Reinforcements[[#This Row],[Type]]="solid round",0,IF(Reinforcements[[#This Row],[Type]]="arbitrary","n/a","")))</f>
        <v/>
      </c>
      <c r="X77" s="127" t="str">
        <f>IF(Reinforcements[[#This Row],[Bolt Hole Size (in)]]="","",IF(Reinforcements[[#This Row],[Bolt Hole Size (in)]]="n/a","n/a",Reinforcements[[#This Row],[Bolt Hole Size (in)]]*25.4))</f>
        <v/>
      </c>
      <c r="Y77"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127" t="str">
        <f>IFERROR(IF(Reinforcements[[#This Row],[Reinforcement]]="","",IF(OR(Reinforcements[[#This Row],[Type]]="plate",Reinforcements[[#This Row],[Type]]="solid round"),1,IF(Reinforcements[[#This Row],[Type]]="arbitrary","",1-Reinforcements[[#This Row],[Pole Face to Centroid (in)]]/Reinforcements[[#This Row],[Connection Length (in) '[Channels']]]))),"")</f>
        <v/>
      </c>
      <c r="AA77" s="74"/>
      <c r="AB77" s="74" t="str">
        <f>IF(Reinforcements[[#This Row],[Reinforcement]]="","",IF(Reinforcements[[#This Row],[Bottom End Connection Type]]&lt;&gt;"Capacity Input","-",""))</f>
        <v/>
      </c>
      <c r="AC77" s="74" t="str">
        <f>IF(Reinforcements[[#This Row],[Reinforcement]]="","",IF(Reinforcements[[#This Row],[Bottom End Connection Type]]&lt;&gt;"Capacity Input","-",""))</f>
        <v/>
      </c>
      <c r="AD77" s="74" t="str">
        <f>IF(Reinforcements[[#This Row],[Reinforcement]]="","",IF(Reinforcements[[#This Row],[Bottom End Connection Type]]&lt;&gt;"Capacity Input","-",""))</f>
        <v/>
      </c>
      <c r="AE77" s="74" t="str">
        <f>IF(Reinforcements[[#This Row],[Reinforcement]]="","",IF(Reinforcements[[#This Row],[Bottom End Connection Type]]&lt;&gt;"Bolted","-",""))</f>
        <v/>
      </c>
      <c r="AF77" s="127" t="str">
        <f>IF(Reinforcements[[#This Row],[Reinforcement]]="","",IF(Reinforcements[[#This Row],[Bottom End Connection Type]]&lt;&gt;"Bolted","-",""))</f>
        <v/>
      </c>
      <c r="AG77" s="127" t="str">
        <f>IF(Reinforcements[[#This Row],[Reinforcement]]="","",IF(Reinforcements[[#This Row],[Bottom End Connection Type]]="","-",IF(Reinforcements[[#This Row],[Bottom End Connection Type]]&lt;&gt;"Bolted","-","")))</f>
        <v/>
      </c>
      <c r="AH77" s="127" t="str">
        <f>IF(Reinforcements[[#This Row],[Reinforcement]]="","",IF(Reinforcements[[#This Row],[Bottom End Connection Type]]="","-",IF(Reinforcements[[#This Row],[Bottom End Connection Type]]&lt;&gt;"Bolted","-","")))</f>
        <v/>
      </c>
      <c r="AI77" s="127" t="str">
        <f>IF(Reinforcements[[#This Row],[Reinforcement]]="","",IF(Reinforcements[[#This Row],[Bottom End Connection Type]]="","-",IF(Reinforcements[[#This Row],[Bottom End Connection Type]]&lt;&gt;"Bolted","-","")))</f>
        <v/>
      </c>
      <c r="AJ77" s="127" t="e">
        <f>Reinforcements[[#This Row],[End Connection Edge Distance (in) (B)]]-(Reinforcements[[#This Row],[Bolt Hole Size (in)]]+1/16)/2</f>
        <v>#VALUE!</v>
      </c>
      <c r="AK77" s="127" t="e">
        <f>Reinforcements[[#This Row],[End Connection Bolt Spacing (in) (B)]]-(Reinforcements[[#This Row],[Bolt Hole Size (in)]]+1/16)</f>
        <v>#VALUE!</v>
      </c>
      <c r="AL77" s="127" t="str">
        <f>Reinforcements[[#This Row],[End Connection Edge Distance (in) (B)]]</f>
        <v/>
      </c>
      <c r="AM77" s="127" t="str">
        <f>Reinforcements[[#This Row],[End Connection Bolt Spacing (in) (B)]]</f>
        <v/>
      </c>
      <c r="AN77" s="127" t="str">
        <f>IF(Reinforcements[[#This Row],[Reinforcement]]="","",IF(OR(Reinforcements[[#This Row],[Bottom End Connection Type]]="Bolted",Reinforcements[[#This Row],[Bottom End Connection Type]]=""),"-",""))</f>
        <v/>
      </c>
      <c r="AO77" s="129" t="str">
        <f>IF(Reinforcements[[#This Row],[Reinforcement]]="","",IF(Reinforcements[[#This Row],[Bottom End Connection Type]]&lt;&gt;"Welded","-",""))</f>
        <v/>
      </c>
      <c r="AP77" s="129" t="str">
        <f>IF(Reinforcements[[#This Row],[Reinforcement]]="","",IF(Reinforcements[[#This Row],[Bottom End Connection Type]]&lt;&gt;"Welded","-",""))</f>
        <v/>
      </c>
      <c r="AQ77" s="129" t="str">
        <f>IF(Reinforcements[[#This Row],[Reinforcement]]="","",IF(OR(Reinforcements[[#This Row],[Bottom End Connection Type]]&lt;&gt;"Welded",Reinforcements[[#This Row],[Bottom Transverse (Horizontal) Weld]]="None"),"-",""))</f>
        <v/>
      </c>
      <c r="AR77"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129" t="str">
        <f>IF(Reinforcements[[#This Row],[Reinforcement]]="","",IF(OR(Reinforcements[[#This Row],[Bottom Transverse (Horizontal) Weld]]="None",Reinforcements[[#This Row],[Bottom End Connection Type]]&lt;&gt;"Welded"),"-",""))</f>
        <v/>
      </c>
      <c r="AU77"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129" t="str">
        <f>IF(Reinforcements[[#This Row],[Reinforcement]]="","",IF(OR(Reinforcements[[#This Row],[Bottom End Connection Type]]&lt;&gt;"Welded",Reinforcements[[#This Row],[Bottom End Connection Type]]=""),"-",""))</f>
        <v/>
      </c>
      <c r="AW77" s="129" t="str">
        <f>IF(Reinforcements[[#This Row],[Reinforcement]]="","",IF(OR(Reinforcements[[#This Row],[Bottom End Connection Type]]&lt;&gt;"Welded",Reinforcements[[#This Row],[Bottom Longitudinal (Vertical) Weld]]="None",Reinforcements[[#This Row],[Bottom Longitudinal (Vertical) Weld]]=""),"-",""))</f>
        <v/>
      </c>
      <c r="AX77" s="129" t="str">
        <f>IF(Reinforcements[[#This Row],[Reinforcement]]="","",IF(OR(Reinforcements[[#This Row],[Bottom End Connection Type]]&lt;&gt;"Welded",Reinforcements[[#This Row],[Bottom Longitudinal (Vertical) Weld]]="None",Reinforcements[[#This Row],[Bottom Longitudinal (Vertical) Weld]]=""),"-",""))</f>
        <v/>
      </c>
      <c r="AY77" s="127" t="str">
        <f>IF(Reinforcements[[#This Row],[Reinforcement]]="","",IF(OR(Reinforcements[[#This Row],[Bottom End Connection Type]]&lt;&gt;"Welded",Reinforcements[[#This Row],[Bottom Longitudinal (Vertical) Weld]]="None"),"-",SQRT(2)/2*Reinforcements[[#This Row],[Bottom Longitudinal Weld Fillet Size (in)]]))</f>
        <v/>
      </c>
      <c r="AZ77" s="127"/>
      <c r="BA77" s="74" t="str">
        <f>IF(Reinforcements[[#This Row],[Top End Connection Same?]]="Yes",Reinforcements[[#This Row],[Bottom End Connection Type]],"")</f>
        <v/>
      </c>
      <c r="BB77" s="74" t="str">
        <f>IF(Reinforcements[[#This Row],[Reinforcement]]="","",IF(Reinforcements[[#This Row],[Top End Connection Same?]]="Yes",Reinforcements[[#This Row],[Rev. F Bottom Connection Capacity (kips)]],IF(Reinforcements[[#This Row],[Reinforcement]]="","",IF(Reinforcements[[#This Row],[Top End Connection Type]]&lt;&gt;"Capacity Input","-",""))))</f>
        <v/>
      </c>
      <c r="BC77" s="74" t="str">
        <f>IF(Reinforcements[[#This Row],[Reinforcement]]="","",IF(Reinforcements[[#This Row],[Top End Connection Same?]]="Yes",Reinforcements[[#This Row],[Rev. G Bottom Connection Capacity (kips)]],IF(Reinforcements[[#This Row],[Reinforcement]]="","",IF(Reinforcements[[#This Row],[Top End Connection Type]]&lt;&gt;"Capacity Input","-",""))))</f>
        <v/>
      </c>
      <c r="BD77" s="74" t="str">
        <f>IF(Reinforcements[[#This Row],[Reinforcement]]="","",IF(Reinforcements[[#This Row],[Top End Connection Same?]]="Yes",Reinforcements[[#This Row],[Rev. G Bottom Connection Capacity (kips)]],IF(Reinforcements[[#This Row],[Reinforcement]]="","",IF(Reinforcements[[#This Row],[Top End Connection Type]]&lt;&gt;"Capacity Input","-",""))))</f>
        <v/>
      </c>
      <c r="BE77" s="74" t="str">
        <f>IF(Reinforcements[[#This Row],[Reinforcement]]="","",IF(Reinforcements[[#This Row],[Top End Connection Same?]]="Yes",Reinforcements[[#This Row],[Bottom End Connection Bolt Type]],IF(Reinforcements[[#This Row],[Top End Connection Type]]&lt;&gt;"Bolted","-","")))</f>
        <v/>
      </c>
      <c r="BF77" s="127" t="str">
        <f>IF(Reinforcements[[#This Row],[Reinforcement]]="","",IF(Reinforcements[[#This Row],[Top End Connection Same?]]="Yes",Reinforcements[[#This Row],[Threads Included (N) or Excluded (X) (Bottom)]],IF(Reinforcements[[#This Row],[Top End Connection Type]]&lt;&gt;"Bolted","-","")))</f>
        <v/>
      </c>
      <c r="BG77" s="127" t="str">
        <f>IF(Reinforcements[[#This Row],[Reinforcement]]="","",IF(Reinforcements[[#This Row],[Top End Connection Same?]]="Yes",Reinforcements[[#This Row],['# of End Connection Bolts          (Bottom)]],IF(Reinforcements[[#This Row],[Top End Connection Type]]&lt;&gt;"Bolted","-","")))</f>
        <v/>
      </c>
      <c r="BH77" s="127" t="str">
        <f>IF(Reinforcements[[#This Row],[Reinforcement]]="","",IF(Reinforcements[[#This Row],[Top End Connection Same?]]="Yes",Reinforcements[[#This Row],[End Connection Bolt Spacing (in) (B)]],IF(Reinforcements[[#This Row],[Top End Connection Type]]&lt;&gt;"Bolted","-","")))</f>
        <v/>
      </c>
      <c r="BI77" s="127" t="str">
        <f>IF(Reinforcements[[#This Row],[Reinforcement]]="","",IF(Reinforcements[[#This Row],[Top End Connection Same?]]="Yes",Reinforcements[[#This Row],[End Connection Edge Distance (in) (B)]],IF(Reinforcements[[#This Row],[Top End Connection Type]]&lt;&gt;"Bolted","-","")))</f>
        <v/>
      </c>
      <c r="BJ77" s="127" t="e">
        <f>Reinforcements[[#This Row],[End Connection Edge Distance (in) (T)]]-(Reinforcements[[#This Row],[Bolt Hole Size (in)]]+1/16)/2</f>
        <v>#VALUE!</v>
      </c>
      <c r="BK77" s="127" t="e">
        <f>Reinforcements[[#This Row],[End Connection Bolt Spacing (in) (T)]]-(Reinforcements[[#This Row],[Bolt Hole Size (in)]]+1/16)</f>
        <v>#VALUE!</v>
      </c>
      <c r="BL77" s="127" t="str">
        <f>Reinforcements[[#This Row],[End Connection Edge Distance (in) (T)]]</f>
        <v/>
      </c>
      <c r="BM77" s="127" t="str">
        <f>Reinforcements[[#This Row],[End Connection Bolt Spacing (in) (T)]]</f>
        <v/>
      </c>
      <c r="BN77" s="127" t="str">
        <f>IF(Reinforcements[[#This Row],[Reinforcement]]="","",IF(Reinforcements[[#This Row],[Top End Connection Same?]]="Yes",Reinforcements[[#This Row],[Bottom Connected to Flange/Base Plate?]],IF(Reinforcements[[#This Row],[Top End Connection Type]]="Bolted","-","")))</f>
        <v/>
      </c>
      <c r="BO77" s="127" t="str">
        <f>IF(Reinforcements[[#This Row],[Reinforcement]]="","",IF(Reinforcements[[#This Row],[Top End Connection Same?]]="Yes",Reinforcements[[#This Row],[Bottom Weld Grade (ksi)]],IF(OR(Reinforcements[[#This Row],[Top End Connection Type]]&lt;&gt;"Welded",Reinforcements[[#This Row],[Top End Connection Type]]=""),"-","")))</f>
        <v/>
      </c>
      <c r="BP77" s="127" t="str">
        <f>IF($AZ77="Yes",AP77,IF(Reinforcements[[#This Row],[Reinforcement]]="","",IF(OR(Reinforcements[[#This Row],[Top End Connection Type]]&lt;&gt;"Welded",Reinforcements[[#This Row],[Top End Connection Type]]=""),"-","")))</f>
        <v/>
      </c>
      <c r="BQ77" s="127" t="str">
        <f>IF(Reinforcements[[#This Row],[Reinforcement]]="","",IF($AZ77="Yes",AQ77,IF(OR(Reinforcements[[#This Row],[Top End Connection Type]]&lt;&gt;"Welded",Reinforcements[[#This Row],[Top Transverse (Horizontal) Weld]]="none",Reinforcements[[#This Row],[Top Transverse (Horizontal) Weld]]=""),"-","")))</f>
        <v/>
      </c>
      <c r="BR77" s="127"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127"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127" t="str">
        <f>IF(Reinforcements[[#This Row],[Reinforcement]]="","",IF($AZ77="Yes",AT77,IF(OR(Reinforcements[[#This Row],[Top Transverse (Horizontal) Weld]]="none",Reinforcements[[#This Row],[Top End Connection Type]]&lt;&gt;"Welded",Reinforcements[[#This Row],[Top Transverse (Horizontal) Weld]]=""),"-","")))</f>
        <v/>
      </c>
      <c r="BU77" s="127"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127" t="str">
        <f>IF($AZ77="Yes",AV77,IF(Reinforcements[[#This Row],[Reinforcement]]="","",IF(OR(Reinforcements[[#This Row],[Top End Connection Type]]&lt;&gt;"Welded",Reinforcements[[#This Row],[Top End Connection Type]]=""),"-","")))</f>
        <v/>
      </c>
      <c r="BW77" s="127"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127"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127" t="str">
        <f>IF($AZ77="Yes",AY77,IF(Reinforcements[[#This Row],[Reinforcement]]="","",IF(OR(Reinforcements[[#This Row],[Top End Connection Type]]&lt;&gt;"Welded",Reinforcements[[#This Row],[Top Longitudinal (Vertical) Weld]]="none"),"-",SQRT(2)/2*Reinforcements[[#This Row],[Top Longitudinal Weld Fillet Size (in)]])))</f>
        <v/>
      </c>
      <c r="BZ77"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7"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127" t="str">
        <f>IFERROR(IF(Reinforcements[[#This Row],[Type]]="","",Reinforcements[[#This Row],[Effective B (in)]]*Reinforcements[[#This Row],[Effective H (in)]]^3/12),"")</f>
        <v/>
      </c>
      <c r="CF77" s="127" t="str">
        <f>IFERROR(IF(Reinforcements[[#This Row],[Type]]="","",Reinforcements[[#This Row],[Effective B (in)]]^3*Reinforcements[[#This Row],[Effective H (in)]]/12),"")</f>
        <v/>
      </c>
      <c r="CG77" s="140" t="e">
        <f>SQRT(2*PI()^2*29000/VLOOKUP(Reinforcements[[#This Row],[Material]],Materials[],2,FALSE))</f>
        <v>#N/A</v>
      </c>
      <c r="CH77"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135" t="e">
        <f>Reinforcements[[#This Row],[Effective Length Factor Kx]]*Reinforcements[[#This Row],[Lu (in)]]/(Reinforcements[[#This Row],[rx]]*PI())*SQRT(VLOOKUP(Reinforcements[[#This Row],[Material]],Materials[],2,FALSE)/29000)</f>
        <v>#VALUE!</v>
      </c>
      <c r="CK77" s="135" t="e">
        <f>Reinforcements[[#This Row],[Effective Length Factor Ky]]*Reinforcements[[#This Row],[Lu (in)]]/(Reinforcements[[#This Row],[ry]]*PI())*SQRT(VLOOKUP(Reinforcements[[#This Row],[Material]],Materials[],2,FALSE)/29000)</f>
        <v>#VALUE!</v>
      </c>
      <c r="CL77" s="135" t="e">
        <f>IF(Reinforcements[[#This Row],[λcx]]&lt;=1.5,0.658^(Reinforcements[[#This Row],[λcx]]^2)*Reinforcements[[#This Row],[F''y]],0.877/(Reinforcements[[#This Row],[λcx]]^2)*Reinforcements[[#This Row],[F''y]])</f>
        <v>#VALUE!</v>
      </c>
      <c r="CM77" s="135" t="e">
        <f>IF(Reinforcements[[#This Row],[λcy]]&lt;=1.5,0.658^(Reinforcements[[#This Row],[λcy]]^2)*Reinforcements[[#This Row],[F''y]],0.877/(Reinforcements[[#This Row],[λcy]]^2)*Reinforcements[[#This Row],[F''y]])</f>
        <v>#VALUE!</v>
      </c>
      <c r="CN77" s="127" t="e">
        <f>VLOOKUP(Reinforcements[[#This Row],[Material]],Materials[],2,FALSE)</f>
        <v>#N/A</v>
      </c>
      <c r="CO77" s="140" t="str">
        <f>IF(Reinforcements[[#This Row],[Reinforcement]]="","",Reinforcements[[#This Row],[Fax]]*Reinforcements[[#This Row],[Gross Area (in2)]])</f>
        <v/>
      </c>
      <c r="CP77" s="140" t="str">
        <f>IF(Reinforcements[[#This Row],[Reinforcement]]="","",Reinforcements[[#This Row],[Fay]]*Reinforcements[[#This Row],[Gross Area (in2)]])</f>
        <v/>
      </c>
      <c r="CQ77" s="140" t="str">
        <f>IF(Reinforcements[[#This Row],[Reinforcement]]="","",0.6*VLOOKUP(Reinforcements[[#This Row],[Material]],Materials[],2,FALSE)*Reinforcements[[#This Row],[Gross Area (in2)]])</f>
        <v/>
      </c>
      <c r="CR77" s="140" t="str">
        <f>IF(Reinforcements[[#This Row],[Reinforcement]]="","",0.5*VLOOKUP(Reinforcements[[#This Row],[Material]],Materials[],3,FALSE)*Reinforcements[[#This Row],[Net Area (in2)]]*Reinforcements[[#This Row],[Shear Lag (U)]])</f>
        <v/>
      </c>
      <c r="CS77" s="140" t="str">
        <f>IF(Reinforcements[[#This Row],[Reinforcement]]="","",0.4*VLOOKUP(Reinforcements[[#This Row],[Material]],Materials[],2,FALSE)*Reinforcements[[#This Row],[Gross Area (in2)]])</f>
        <v/>
      </c>
      <c r="CT77"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127"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127"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140" t="str">
        <f>IF(Reinforcements[[#This Row],[Reinforcement]]="","",φ_c*Reinforcements[[#This Row],[Fcr,x]]*Reinforcements[[#This Row],[Gross Area (in2)]])</f>
        <v/>
      </c>
      <c r="DI77" s="140" t="str">
        <f>IF(Reinforcements[[#This Row],[Reinforcement]]="","",φ_c*Reinforcements[[#This Row],[Fcr,y]]*Reinforcements[[#This Row],[Gross Area (in2)]])</f>
        <v/>
      </c>
      <c r="DJ77" s="140" t="str">
        <f>IF(Reinforcements[[#This Row],[Reinforcement]]="","",φ_t_y*VLOOKUP(Reinforcements[[#This Row],[Material]],Materials[],2,FALSE)*Reinforcements[[#This Row],[Gross Area (in2)]])</f>
        <v/>
      </c>
      <c r="DK77" s="140" t="str">
        <f>IF(Reinforcements[[#This Row],[Reinforcement]]="","",φ_t_r*VLOOKUP(Reinforcements[[#This Row],[Material]],Materials[],3,FALSE)*Reinforcements[[#This Row],[Net Area (in2)]]*Reinforcements[[#This Row],[Shear Lag (U)]])</f>
        <v/>
      </c>
      <c r="DL77" s="140" t="str">
        <f>IF(Reinforcements[[#This Row],[Reinforcement]]="","",φ_v*0.5*Reinforcements[[#This Row],[F''y]]*Reinforcements[[#This Row],[Gross Area (in2)]])</f>
        <v/>
      </c>
      <c r="DM77"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127"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127"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129" t="str">
        <f>IF(OR(Reinforcements[[#This Row],[Type]]="plate",Reinforcements[[#This Row],[Type]]="solid round"),"N/A",Reinforcements[[#This Row],[B (in)]])</f>
        <v/>
      </c>
      <c r="EB77" s="127" t="str">
        <f>IF(OR(Reinforcements[[#This Row],[Type]]="plate",Reinforcements[[#This Row],[Type]]="solid round"),"N/A",Reinforcements[[#This Row],[H (in)]])</f>
        <v/>
      </c>
      <c r="EC77" s="127" t="e">
        <f>IF(OR(Reinforcements[[#This Row],[Type]]="plate",Reinforcements[[#This Row],[Type]]="solid round"),"N/A",Reinforcements[[#This Row],[B (in)]]-Reinforcements[[#This Row],['[Channel'] Flange Thickness (in)]])</f>
        <v>#VALUE!</v>
      </c>
      <c r="ED77" s="127" t="str">
        <f>IF(OR(Reinforcements[[#This Row],[Type]]="plate",Reinforcements[[#This Row],[Type]]="solid round"),"N/A",Reinforcements[[#This Row],['[Channel']Web Thickness (in)]])</f>
        <v/>
      </c>
      <c r="EE77" s="127" t="str">
        <f>IF(OR(Reinforcements[[#This Row],[Type]]="plate",Reinforcements[[#This Row],[Type]]="solid round"),"N/A",Reinforcements[[#This Row],['[Channel'] Flange Thickness (in)]])</f>
        <v/>
      </c>
      <c r="EF77" s="127" t="str">
        <f>IF(Reinforcements[[#This Row],[Type]]="channel",Reinforcements[[#This Row],[Channel Flange Width, b]]/Reinforcements[[#This Row],[Channel flange thickness, tf]],"N/A")</f>
        <v>N/A</v>
      </c>
      <c r="EG77" s="127" t="str">
        <f>IF(Reinforcements[[#This Row],[Type]]="channel",Reinforcements[[#This Row],[Channel inside depth, T]]/Reinforcements[[#This Row],[Channel web thickness, tw]],"N/A")</f>
        <v>N/A</v>
      </c>
      <c r="EH77" s="6">
        <f>29000</f>
        <v>29000</v>
      </c>
      <c r="EI77" s="127" t="str">
        <f>IF(Reinforcements[[#This Row],[Type]]="channel",0.56*SQRT(Reinforcements[[#This Row],[E, (ksi)]]/Reinforcements[[#This Row],[Fy, (ksi)]]),"N/A")</f>
        <v>N/A</v>
      </c>
      <c r="EJ77" s="127" t="str">
        <f>IF(Reinforcements[[#This Row],[Type]]="channel",1.49*SQRT(Reinforcements[[#This Row],[E, (ksi)]]/Reinforcements[[#This Row],[Fy, (ksi)]]),"N/A")</f>
        <v>N/A</v>
      </c>
      <c r="EK77" s="127" t="e">
        <f>VLOOKUP(Reinforcements[[#This Row],[Material]],Materials!$B$2:$C$30,2,FALSE)</f>
        <v>#N/A</v>
      </c>
      <c r="EL77" s="127" t="e">
        <f>Reinforcements[[#This Row],[Lu (in)]]*Reinforcements[[#This Row],[Effective Length Factor Kx]]</f>
        <v>#VALUE!</v>
      </c>
      <c r="EM77" s="127" t="e">
        <f>Reinforcements[[#This Row],[Lu (in)]]*Reinforcements[[#This Row],[Effective Length Factor Ky]]</f>
        <v>#VALUE!</v>
      </c>
      <c r="EN77" s="127" t="str">
        <f>Reinforcements[[#This Row],[rx]]</f>
        <v/>
      </c>
      <c r="EO77" s="127" t="str">
        <f>Reinforcements[[#This Row],[ry]]</f>
        <v/>
      </c>
      <c r="EP77" s="127" t="e">
        <f>Reinforcements[[#This Row],[Lcx (in)]]/Reinforcements[[#This Row],[rx (in)]]</f>
        <v>#VALUE!</v>
      </c>
      <c r="EQ77" s="127" t="e">
        <f>Reinforcements[[#This Row],[Lcy (in)]]/Reinforcements[[#This Row],[ry (in)]]</f>
        <v>#VALUE!</v>
      </c>
      <c r="ER77" s="127" t="e">
        <f>((PI()^2)*Reinforcements[[#This Row],[E, (ksi)]])/(Reinforcements[[#This Row],[Lcx/rx]]^2)</f>
        <v>#VALUE!</v>
      </c>
      <c r="ES77" s="127" t="e">
        <f>((PI()^2)*Reinforcements[[#This Row],[E, (ksi)]])/(Reinforcements[[#This Row],[Lcy/ry]]^2)</f>
        <v>#VALUE!</v>
      </c>
      <c r="ET77" s="127" t="e">
        <f>4.71*(SQRT(Reinforcements[[#This Row],[E, (ksi)]]/Reinforcements[[#This Row],[Fy, (ksi)]]))</f>
        <v>#N/A</v>
      </c>
      <c r="EU77" s="127" t="e">
        <f>IF(Reinforcements[[#This Row],[Lcx/rx]]&lt;=Reinforcements[[#This Row],[Fcr Limit]],(0.658^(Reinforcements[[#This Row],[Fy, (ksi)]]/Reinforcements[[#This Row],[Fex, FB (ksi)]]))*Reinforcements[[#This Row],[Fy, (ksi)]],0.877*Reinforcements[[#This Row],[Fex, FB (ksi)]])</f>
        <v>#VALUE!</v>
      </c>
      <c r="EV77" s="127" t="e">
        <f>IF(Reinforcements[[#This Row],[Lcy/ry]]&lt;=Reinforcements[[#This Row],[Fcr Limit]],(0.658^(Reinforcements[[#This Row],[Fy, (ksi)]]/Reinforcements[[#This Row],[Fey, FB (ksi)]]))*Reinforcements[[#This Row],[Fy, (ksi)]],0.877*Reinforcements[[#This Row],[Fey, FB (ksi)]])</f>
        <v>#VALUE!</v>
      </c>
      <c r="EW77" s="127" t="e">
        <f>Reinforcements[[#This Row],[Fcrx (ksi)]]*Reinforcements[[#This Row],[Gross Area (in2)]]</f>
        <v>#VALUE!</v>
      </c>
      <c r="EX77" s="127" t="e">
        <f>Reinforcements[[#This Row],[Fcry (ksi)]]*Reinforcements[[#This Row],[Gross Area (in2)]]</f>
        <v>#VALUE!</v>
      </c>
      <c r="EY77" s="127" t="str">
        <f>IF(Reinforcements[[#This Row],[Type]]="channel",0,"N/A")</f>
        <v>N/A</v>
      </c>
      <c r="EZ77" s="127" t="str">
        <f>IF(Reinforcements[[#This Row],[Type]]="channel",Reinforcements[[#This Row],[Channel Flange Width, b]]-(0.5*Reinforcements[[#This Row],[Channel web thickness, tw]]),"N/A")</f>
        <v>N/A</v>
      </c>
      <c r="FA77" s="127" t="str">
        <f>IF(Reinforcements[[#This Row],[Type]]="channel",Reinforcements[[#This Row],[Channel Height, h]]-Reinforcements[[#This Row],[Channel flange thickness, tf]],"N/A")</f>
        <v>N/A</v>
      </c>
      <c r="FB77" s="127" t="str">
        <f>IF(Reinforcements[[#This Row],[Type]]="channel",Reinforcements[[#This Row],[Channel web thickness, tw]],"N/A")</f>
        <v>N/A</v>
      </c>
      <c r="FC77" s="127" t="str">
        <f>IF(Reinforcements[[#This Row],[Type]]="channel",((3*Reinforcements[[#This Row],[b]]^2)/(Reinforcements[[#This Row],[h]]+(6*Reinforcements[[#This Row],[b]])))-Reinforcements[[#This Row],[t]]/2,"N/A")</f>
        <v>N/A</v>
      </c>
      <c r="FD77" s="127" t="str">
        <f>Reinforcements[[#This Row],[Pole Face to Centroid (in)]]</f>
        <v/>
      </c>
      <c r="FE77" s="127" t="str">
        <f>IF(Reinforcements[[#This Row],[Type]]="channel",Reinforcements[[#This Row],[x(bar)]]+Reinforcements[[#This Row],['[Channel'] e0 (in)]],"N/A")</f>
        <v>N/A</v>
      </c>
      <c r="FF77" s="127" t="str">
        <f>IF(Reinforcements[[#This Row],[Type]]="channel",Reinforcements[[#This Row],[Ix]],"N/A")</f>
        <v>N/A</v>
      </c>
      <c r="FG77" s="127" t="str">
        <f>IF(Reinforcements[[#This Row],[Type]]="channel",Reinforcements[[#This Row],[Iy]],"N/A")</f>
        <v>N/A</v>
      </c>
      <c r="FH77" s="127" t="str">
        <f>IF(Reinforcements[[#This Row],[Type]]="channel",Reinforcements[[#This Row],[Gross Area (in2)]],"N/A")</f>
        <v>N/A</v>
      </c>
      <c r="FI77" s="127" t="str">
        <f>IF(Reinforcements[[#This Row],[Type]]="channel",(Reinforcements[[#This Row],[xo]]^2)+((Reinforcements[[#This Row],[Ix (FTB)]]+Reinforcements[[#This Row],[Iy (FTB)]])/Reinforcements[[#This Row],[Ag]]),"N/A")</f>
        <v>N/A</v>
      </c>
      <c r="FJ77" s="127" t="str">
        <f>IF(Reinforcements[[#This Row],[Type]]="channel",Reinforcements[[#This Row],[Lu (in)]],"N/A")</f>
        <v>N/A</v>
      </c>
      <c r="FK77" s="127" t="str">
        <f>IF(Reinforcements[[#This Row],[Type]]="channel",Reinforcements[[#This Row],[Effective Length Factor Kx]],"N/A")</f>
        <v>N/A</v>
      </c>
      <c r="FL77" s="127" t="str">
        <f>IF(Reinforcements[[#This Row],[Type]]="channel",Reinforcements[[#This Row],[Kz]]*Reinforcements[[#This Row],[Lz]],"N/A")</f>
        <v>N/A</v>
      </c>
      <c r="FM77" s="127" t="str">
        <f>IF(Reinforcements[[#This Row],[Type]]="channel",(((Reinforcements[[#This Row],[t]]^3)/3)*(Reinforcements[[#This Row],[h]]+(2*Reinforcements[[#This Row],[b]]))),"N/A")</f>
        <v>N/A</v>
      </c>
      <c r="FN77" s="127" t="str">
        <f>IF(Reinforcements[[#This Row],[Type]]="channel",(1-(((Reinforcements[[#This Row],[xo]]^2)+(Reinforcements[[#This Row],[yo]]^2))/Reinforcements[[#This Row],[ro^2(bar)]])),"N/A")</f>
        <v>N/A</v>
      </c>
      <c r="FO77" s="127">
        <v>11200</v>
      </c>
      <c r="FP77" s="127" t="str">
        <f>IF(Reinforcements[[#This Row],[Type]]="channel",(((Reinforcements[[#This Row],[h]]^2)*(Reinforcements[[#This Row],[b]]^3)*Reinforcements[[#This Row],[t]])/12)*(((2*Reinforcements[[#This Row],[h]])+(3*Reinforcements[[#This Row],[b]]))/(Reinforcements[[#This Row],[h]]+(6*Reinforcements[[#This Row],[b]]))),"N/A")</f>
        <v>N/A</v>
      </c>
      <c r="FQ77" s="127" t="str">
        <f>IF(Reinforcements[[#This Row],[Type]]="Channel",((((PI()^2)*Reinforcements[[#This Row],[E, (ksi)]]*Reinforcements[[#This Row],['[Channel'] CW (in6)]])/(Reinforcements[[#This Row],[Lcz]]^2))+(Reinforcements[[#This Row],[G]]*Reinforcements[[#This Row],['[Channel'] J (in4)]]))*(1/(Reinforcements[[#This Row],[Ag]]*Reinforcements[[#This Row],[ro^2(bar)]])),"N/A")</f>
        <v>N/A</v>
      </c>
      <c r="FR77" s="127" t="str">
        <f>IF(Reinforcements[[#This Row],[Type]]="channel",((PI()^2)*Reinforcements[[#This Row],[E, (ksi)]])/(Reinforcements[[#This Row],[Lcy/ry]]^2),"N/A")</f>
        <v>N/A</v>
      </c>
      <c r="FS77" s="127" t="str">
        <f>IF(Reinforcements[[#This Row],[Type]]="channel",((Reinforcements[[#This Row],[Fey]]+Reinforcements[[#This Row],[Fez]])/(2*Reinforcements[[#This Row],[H2]]))*(1-SQRT(1-((4*Reinforcements[[#This Row],[Fey]]*Reinforcements[[#This Row],[Fez]]*Reinforcements[[#This Row],[H2]])/(Reinforcements[[#This Row],[Fey]]+Reinforcements[[#This Row],[Fez]])^2))),"N/A")</f>
        <v>N/A</v>
      </c>
      <c r="FT77" s="127" t="str">
        <f>IF(Reinforcements[[#This Row],[Type]]="channel",IF(Reinforcements[[#This Row],[Lcx/rx]]&gt;(4.71*SQRT(Reinforcements[[#This Row],[E, (ksi)]]/Reinforcements[[#This Row],[Fy, (ksi)]])),0.877*Reinforcements[[#This Row],[Fe (FTB)]],0.658^(Reinforcements[[#This Row],[Fy, (ksi)]]/Reinforcements[[#This Row],[Fe (FTB)]])*Reinforcements[[#This Row],[Fy, (ksi)]]),"N/A")</f>
        <v>N/A</v>
      </c>
      <c r="FU77" s="127" t="str">
        <f>IF(Reinforcements[[#This Row],[Type]]="channel",MIN(Reinforcements[[#This Row],[Fcr(FTB)]],Reinforcements[[#This Row],[Fcry (ksi)]]),"N/A")</f>
        <v>N/A</v>
      </c>
      <c r="FV77" s="127">
        <v>0.22</v>
      </c>
      <c r="FW77" s="127">
        <v>1.49</v>
      </c>
      <c r="FX77" s="127" t="str">
        <f>IF(Reinforcements[[#This Row],[Type]]="channel",((Reinforcements[[#This Row],[c2]]*(Reinforcements[[#This Row],[λrf]]/Reinforcements[[#This Row],[λf]]))^2)*Reinforcements[[#This Row],[Fy, (ksi)]],"N/A")</f>
        <v>N/A</v>
      </c>
      <c r="FY77" s="127" t="str">
        <f>IF(Reinforcements[[#This Row],[Type]]="channel",((Reinforcements[[#This Row],[c2]]*(Reinforcements[[#This Row],[λrw]]/Reinforcements[[#This Row],[λw]]))^2)*Reinforcements[[#This Row],[Fy, (ksi)]],"N/A")</f>
        <v>N/A</v>
      </c>
      <c r="FZ77"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127" t="str">
        <f>IF(Reinforcements[[#This Row],[Type]]="channel",Reinforcements[[#This Row],[Fcr]]*Reinforcements[[#This Row],[Ae]],"N/A")</f>
        <v>N/A</v>
      </c>
      <c r="GD77" s="50" t="str">
        <f>IF(Reinforcements[[#This Row],[Reinforcement]]="","",φ_c*Reinforcements[[#This Row],[Pnx, FB (kip)]])</f>
        <v/>
      </c>
      <c r="GE77" s="50" t="str">
        <f>IF(Reinforcements[[#This Row],[Reinforcement]]="","",IF(Reinforcements[[#This Row],[Type]]="channel",φ_c*Reinforcements[[#This Row],[Pn]],φ_c*Reinforcements[[#This Row],[Pny, FB (kip)]]))</f>
        <v/>
      </c>
      <c r="GF77" s="50" t="str">
        <f>Reinforcements[[#This Row],[Rev. G Tension Yield Capacity (kips)]]</f>
        <v/>
      </c>
      <c r="GG77" s="50" t="str">
        <f>Reinforcements[[#This Row],[Rev. G Tension Rupture Capacity (kips)]]</f>
        <v/>
      </c>
      <c r="GH77" s="50" t="str">
        <f>Reinforcements[[#This Row],[Rev. G Shear Capacity (kips)]]</f>
        <v/>
      </c>
      <c r="GI77" s="50" t="str">
        <f>IFERROR((Reinforcements[[#This Row],['# of End Connection Bolts          (Bottom)]]-1)*Reinforcements[[#This Row],[End Connection Bolt Spacing (in) (B)]],"-")</f>
        <v>-</v>
      </c>
      <c r="GJ77" s="50" t="str">
        <f>IFERROR(IF(VLOOKUP(Reinforcements[[#This Row],[Bottom End Connection Bolt Type]],Bolts[],COLUMN(Bolts[[#Headers],[Rev. H Apply Connection Length Reduction Factor (Rb)?]])-1,FALSE)="Yes",(IF(Reinforcements[[#This Row],[Lb(bottom)]]&lt;=16,1,IF(Reinforcements[[#This Row],[Lb(bottom)]]&gt;38,0.75,0.9))),1),"-")</f>
        <v>-</v>
      </c>
      <c r="GK77"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50" t="str">
        <f>IFERROR(IF(Reinforcements[[#This Row],[Top End Connection Same?]]="Yes",Reinforcements[[#This Row],[Lb(bottom)]],(Reinforcements[[#This Row],['# of End Connection Bolts          (Top)]]-1)*Reinforcements[[#This Row],[End Connection Bolt Spacing (in) (T)]]),"-")</f>
        <v>-</v>
      </c>
      <c r="GM77" s="50" t="str">
        <f>IFERROR(IF(VLOOKUP(Reinforcements[[#This Row],[Top End Connection Bolt Type]],Bolts[],COLUMN(Bolts[[#Headers],[Rev. H Apply Connection Length Reduction Factor (Rb)?]])-1,FALSE)=TRUE,(IF(Reinforcements[[#This Row],[Lb(top)]]&lt;=16,1,IF(Reinforcements[[#This Row],[Lb(top)]]&gt;38,0.75,0.9))),1),"-")</f>
        <v>-</v>
      </c>
      <c r="GN77"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50" t="str">
        <f>Reinforcements[[#This Row],[Rev. G Bolt-Shaft Bearing Capacity (Bottom)                No Deformation          (*t*Fu kips)]]</f>
        <v>-</v>
      </c>
      <c r="GP77" s="50" t="str">
        <f>Reinforcements[[#This Row],[Rev. G Bolt-Shaft Bearing Capacity (Bottom)                   Deformation          (*t*Fu kips)]]</f>
        <v>-</v>
      </c>
      <c r="GQ77" s="50" t="str">
        <f>Reinforcements[[#This Row],[Rev. G Bolt-Shaft Bearing Capacity (Top)                    No Deformation          (*t*Fu kips)]]</f>
        <v>-</v>
      </c>
      <c r="GR77" s="50" t="str">
        <f>Reinforcements[[#This Row],[Rev. G Bolt-Shaft Bearing Capacity (Top)                        Deformation          (*t*Fu kips)]]</f>
        <v>-</v>
      </c>
      <c r="GS77" s="50" t="str">
        <f>Reinforcements[[#This Row],[Rev. G Bolt-Reinf. Bearing Capacity (Bottom)            No Deformation (kips)]]</f>
        <v>-</v>
      </c>
      <c r="GT77" s="50" t="str">
        <f>Reinforcements[[#This Row],[Rev. G Bolt-Reinf. Bearing Capacity (Bottom)               Deformation (kips)]]</f>
        <v>-</v>
      </c>
      <c r="GU77" s="50" t="str">
        <f>Reinforcements[[#This Row],[Rev. G Bolt-Reinf. Bearing Capacity (Top)                  No Deformation (kips)]]</f>
        <v>-</v>
      </c>
      <c r="GV77" s="50" t="str">
        <f>Reinforcements[[#This Row],[Rev. G Bolt-Reinf. Bearing Capacity (Top)               Deformation (kips)]]</f>
        <v>-</v>
      </c>
      <c r="GW77" s="50" t="str">
        <f>Reinforcements[[#This Row],[Rev. G Bottom Transverse Weld Strength]]</f>
        <v/>
      </c>
      <c r="GX77" s="50" t="str">
        <f>Reinforcements[[#This Row],[Rev. G Bottom Longitudinal Weld Strength]]</f>
        <v/>
      </c>
      <c r="GY77" s="50" t="str">
        <f>Reinforcements[[#This Row],[Rev. G Top Transverse Weld Strength]]</f>
        <v/>
      </c>
      <c r="GZ77" s="50" t="str">
        <f>Reinforcements[[#This Row],[Rev. G Top Longitudinal Weld Strength]]</f>
        <v/>
      </c>
      <c r="HA77">
        <v>75</v>
      </c>
      <c r="HB77"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94"/>
      <c r="C78" s="94"/>
      <c r="D78" s="127" t="str">
        <f>IF(Reinforcements[[#This Row],[Type]]="","",IF(Reinforcements[[#This Row],[Type]]="solid round","-",""))</f>
        <v/>
      </c>
      <c r="E78" s="127" t="str">
        <f>IF(Reinforcements[[#This Row],[Type]]="","",IF(Reinforcements[[#This Row],[Type]]="solid round","-",""))</f>
        <v/>
      </c>
      <c r="F78" s="127" t="str">
        <f>IF(Reinforcements[[#This Row],[Type]]="","",IF(Reinforcements[[#This Row],[Type]]="solid round","","n/a"))</f>
        <v/>
      </c>
      <c r="G78" s="127" t="str">
        <f>IF(Reinforcements[[#This Row],[Type]]="","",IF(Reinforcements[[#This Row],[Type]]&lt;&gt;"channel","n/a",""))</f>
        <v/>
      </c>
      <c r="H78" s="127" t="str">
        <f>IF(Reinforcements[[#This Row],[Type]]="","",IF(Reinforcements[[#This Row],[Type]]&lt;&gt;"channel","n/a",""))</f>
        <v/>
      </c>
      <c r="I78" s="140" t="str">
        <f>IF(Reinforcements[[#This Row],[Type]]="","",IF(Reinforcements[[#This Row],[Type]]&lt;&gt;"channel","n/a",Reinforcements[[#This Row],[eo]]))</f>
        <v/>
      </c>
      <c r="J78" s="140" t="str">
        <f>IF(Reinforcements[[#This Row],[Type]]="","",IF(Reinforcements[[#This Row],[Type]]&lt;&gt;"channel","n/a",Reinforcements[[#This Row],[J]]))</f>
        <v/>
      </c>
      <c r="K78" s="140" t="str">
        <f>IF(Reinforcements[[#This Row],[Type]]="","",IF(Reinforcements[[#This Row],[Type]]&lt;&gt;"channel","n/a",Reinforcements[[#This Row],[Cw]]))</f>
        <v/>
      </c>
      <c r="L78" s="127" t="str">
        <f>IFERROR(IF(Reinforcements[[#This Row],[Type]]="","",IF(Reinforcements[[#This Row],[Type]]="plate",Reinforcements[[#This Row],[B (in)]]*Reinforcements[[#This Row],[H (in)]],IF(Reinforcements[[#This Row],[Type]]="solid round",PI()/4*Reinforcements[[#This Row],[Diameter (in)]]^2,""))),"")</f>
        <v/>
      </c>
      <c r="M78" s="127" t="str">
        <f>IFERROR(IF(Reinforcements[[#This Row],[Type]]="","",IF(Reinforcements[[#This Row],[Type]]="plate",Reinforcements[[#This Row],[H (in)]]/2,"")),"")</f>
        <v/>
      </c>
      <c r="N78" s="128"/>
      <c r="O78" s="129"/>
      <c r="P78" s="135" t="str">
        <f>IFERROR(IF(Reinforcements[[#This Row],[Type]]="","",IF(Reinforcements[[#This Row],[Type]]="plate",Reinforcements[[#This Row],[B (in)]]*Reinforcements[[#This Row],[H (in)]]^3/12,IF(Reinforcements[[#This Row],[Type]]="solid round",PI()/64*Reinforcements[[#This Row],[Diameter (in)]]^4,""))),"")</f>
        <v/>
      </c>
      <c r="Q78" s="135" t="str">
        <f>IF(Reinforcements[[#This Row],[Reinforcement]]="","",SQRT(Reinforcements[[#This Row],[Ix]]/Reinforcements[[#This Row],[Gross Area (in2)]]))</f>
        <v/>
      </c>
      <c r="R78" s="135" t="str">
        <f>IFERROR(IF(Reinforcements[[#This Row],[Type]]="","",IF(Reinforcements[[#This Row],[Type]]="plate",Reinforcements[[#This Row],[B (in)]]^3*Reinforcements[[#This Row],[H (in)]]/12,IF(Reinforcements[[#This Row],[Type]]="solid round",PI()/64*Reinforcements[[#This Row],[Diameter (in)]]^4,""))),"")</f>
        <v/>
      </c>
      <c r="S78" s="135" t="str">
        <f>IF(Reinforcements[[#This Row],[Reinforcement]]="","",SQRT(Reinforcements[[#This Row],[Iy]]/Reinforcements[[#This Row],[Gross Area (in2)]]))</f>
        <v/>
      </c>
      <c r="T78" s="127"/>
      <c r="U78" s="127" t="str">
        <f>IF(Reinforcements[[#This Row],[Lu (in)]]="","",IF(Reinforcements[[#This Row],[Lu (in)]]=0,1,""))</f>
        <v/>
      </c>
      <c r="V78" s="127" t="str">
        <f>IF(Reinforcements[[#This Row],[Lu (in)]]="","",IF(Reinforcements[[#This Row],[Lu (in)]]=0,1,""))</f>
        <v/>
      </c>
      <c r="W78" s="127" t="str">
        <f>IF(Reinforcements[[#This Row],[Type]]="","",IF(Reinforcements[[#This Row],[Type]]="solid round",0,IF(Reinforcements[[#This Row],[Type]]="arbitrary","n/a","")))</f>
        <v/>
      </c>
      <c r="X78" s="127" t="str">
        <f>IF(Reinforcements[[#This Row],[Bolt Hole Size (in)]]="","",IF(Reinforcements[[#This Row],[Bolt Hole Size (in)]]="n/a","n/a",Reinforcements[[#This Row],[Bolt Hole Size (in)]]*25.4))</f>
        <v/>
      </c>
      <c r="Y78"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127" t="str">
        <f>IFERROR(IF(Reinforcements[[#This Row],[Reinforcement]]="","",IF(OR(Reinforcements[[#This Row],[Type]]="plate",Reinforcements[[#This Row],[Type]]="solid round"),1,IF(Reinforcements[[#This Row],[Type]]="arbitrary","",1-Reinforcements[[#This Row],[Pole Face to Centroid (in)]]/Reinforcements[[#This Row],[Connection Length (in) '[Channels']]]))),"")</f>
        <v/>
      </c>
      <c r="AA78" s="74"/>
      <c r="AB78" s="74" t="str">
        <f>IF(Reinforcements[[#This Row],[Reinforcement]]="","",IF(Reinforcements[[#This Row],[Bottom End Connection Type]]&lt;&gt;"Capacity Input","-",""))</f>
        <v/>
      </c>
      <c r="AC78" s="74" t="str">
        <f>IF(Reinforcements[[#This Row],[Reinforcement]]="","",IF(Reinforcements[[#This Row],[Bottom End Connection Type]]&lt;&gt;"Capacity Input","-",""))</f>
        <v/>
      </c>
      <c r="AD78" s="74" t="str">
        <f>IF(Reinforcements[[#This Row],[Reinforcement]]="","",IF(Reinforcements[[#This Row],[Bottom End Connection Type]]&lt;&gt;"Capacity Input","-",""))</f>
        <v/>
      </c>
      <c r="AE78" s="74" t="str">
        <f>IF(Reinforcements[[#This Row],[Reinforcement]]="","",IF(Reinforcements[[#This Row],[Bottom End Connection Type]]&lt;&gt;"Bolted","-",""))</f>
        <v/>
      </c>
      <c r="AF78" s="127" t="str">
        <f>IF(Reinforcements[[#This Row],[Reinforcement]]="","",IF(Reinforcements[[#This Row],[Bottom End Connection Type]]&lt;&gt;"Bolted","-",""))</f>
        <v/>
      </c>
      <c r="AG78" s="127" t="str">
        <f>IF(Reinforcements[[#This Row],[Reinforcement]]="","",IF(Reinforcements[[#This Row],[Bottom End Connection Type]]="","-",IF(Reinforcements[[#This Row],[Bottom End Connection Type]]&lt;&gt;"Bolted","-","")))</f>
        <v/>
      </c>
      <c r="AH78" s="127" t="str">
        <f>IF(Reinforcements[[#This Row],[Reinforcement]]="","",IF(Reinforcements[[#This Row],[Bottom End Connection Type]]="","-",IF(Reinforcements[[#This Row],[Bottom End Connection Type]]&lt;&gt;"Bolted","-","")))</f>
        <v/>
      </c>
      <c r="AI78" s="127" t="str">
        <f>IF(Reinforcements[[#This Row],[Reinforcement]]="","",IF(Reinforcements[[#This Row],[Bottom End Connection Type]]="","-",IF(Reinforcements[[#This Row],[Bottom End Connection Type]]&lt;&gt;"Bolted","-","")))</f>
        <v/>
      </c>
      <c r="AJ78" s="127" t="e">
        <f>Reinforcements[[#This Row],[End Connection Edge Distance (in) (B)]]-(Reinforcements[[#This Row],[Bolt Hole Size (in)]]+1/16)/2</f>
        <v>#VALUE!</v>
      </c>
      <c r="AK78" s="127" t="e">
        <f>Reinforcements[[#This Row],[End Connection Bolt Spacing (in) (B)]]-(Reinforcements[[#This Row],[Bolt Hole Size (in)]]+1/16)</f>
        <v>#VALUE!</v>
      </c>
      <c r="AL78" s="127" t="str">
        <f>Reinforcements[[#This Row],[End Connection Edge Distance (in) (B)]]</f>
        <v/>
      </c>
      <c r="AM78" s="127" t="str">
        <f>Reinforcements[[#This Row],[End Connection Bolt Spacing (in) (B)]]</f>
        <v/>
      </c>
      <c r="AN78" s="127" t="str">
        <f>IF(Reinforcements[[#This Row],[Reinforcement]]="","",IF(OR(Reinforcements[[#This Row],[Bottom End Connection Type]]="Bolted",Reinforcements[[#This Row],[Bottom End Connection Type]]=""),"-",""))</f>
        <v/>
      </c>
      <c r="AO78" s="129" t="str">
        <f>IF(Reinforcements[[#This Row],[Reinforcement]]="","",IF(Reinforcements[[#This Row],[Bottom End Connection Type]]&lt;&gt;"Welded","-",""))</f>
        <v/>
      </c>
      <c r="AP78" s="129" t="str">
        <f>IF(Reinforcements[[#This Row],[Reinforcement]]="","",IF(Reinforcements[[#This Row],[Bottom End Connection Type]]&lt;&gt;"Welded","-",""))</f>
        <v/>
      </c>
      <c r="AQ78" s="129" t="str">
        <f>IF(Reinforcements[[#This Row],[Reinforcement]]="","",IF(OR(Reinforcements[[#This Row],[Bottom End Connection Type]]&lt;&gt;"Welded",Reinforcements[[#This Row],[Bottom Transverse (Horizontal) Weld]]="None"),"-",""))</f>
        <v/>
      </c>
      <c r="AR78"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129" t="str">
        <f>IF(Reinforcements[[#This Row],[Reinforcement]]="","",IF(OR(Reinforcements[[#This Row],[Bottom Transverse (Horizontal) Weld]]="None",Reinforcements[[#This Row],[Bottom End Connection Type]]&lt;&gt;"Welded"),"-",""))</f>
        <v/>
      </c>
      <c r="AU78"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129" t="str">
        <f>IF(Reinforcements[[#This Row],[Reinforcement]]="","",IF(OR(Reinforcements[[#This Row],[Bottom End Connection Type]]&lt;&gt;"Welded",Reinforcements[[#This Row],[Bottom End Connection Type]]=""),"-",""))</f>
        <v/>
      </c>
      <c r="AW78" s="129" t="str">
        <f>IF(Reinforcements[[#This Row],[Reinforcement]]="","",IF(OR(Reinforcements[[#This Row],[Bottom End Connection Type]]&lt;&gt;"Welded",Reinforcements[[#This Row],[Bottom Longitudinal (Vertical) Weld]]="None",Reinforcements[[#This Row],[Bottom Longitudinal (Vertical) Weld]]=""),"-",""))</f>
        <v/>
      </c>
      <c r="AX78" s="129" t="str">
        <f>IF(Reinforcements[[#This Row],[Reinforcement]]="","",IF(OR(Reinforcements[[#This Row],[Bottom End Connection Type]]&lt;&gt;"Welded",Reinforcements[[#This Row],[Bottom Longitudinal (Vertical) Weld]]="None",Reinforcements[[#This Row],[Bottom Longitudinal (Vertical) Weld]]=""),"-",""))</f>
        <v/>
      </c>
      <c r="AY78" s="127" t="str">
        <f>IF(Reinforcements[[#This Row],[Reinforcement]]="","",IF(OR(Reinforcements[[#This Row],[Bottom End Connection Type]]&lt;&gt;"Welded",Reinforcements[[#This Row],[Bottom Longitudinal (Vertical) Weld]]="None"),"-",SQRT(2)/2*Reinforcements[[#This Row],[Bottom Longitudinal Weld Fillet Size (in)]]))</f>
        <v/>
      </c>
      <c r="AZ78" s="127"/>
      <c r="BA78" s="74" t="str">
        <f>IF(Reinforcements[[#This Row],[Top End Connection Same?]]="Yes",Reinforcements[[#This Row],[Bottom End Connection Type]],"")</f>
        <v/>
      </c>
      <c r="BB78" s="74" t="str">
        <f>IF(Reinforcements[[#This Row],[Reinforcement]]="","",IF(Reinforcements[[#This Row],[Top End Connection Same?]]="Yes",Reinforcements[[#This Row],[Rev. F Bottom Connection Capacity (kips)]],IF(Reinforcements[[#This Row],[Reinforcement]]="","",IF(Reinforcements[[#This Row],[Top End Connection Type]]&lt;&gt;"Capacity Input","-",""))))</f>
        <v/>
      </c>
      <c r="BC78" s="74" t="str">
        <f>IF(Reinforcements[[#This Row],[Reinforcement]]="","",IF(Reinforcements[[#This Row],[Top End Connection Same?]]="Yes",Reinforcements[[#This Row],[Rev. G Bottom Connection Capacity (kips)]],IF(Reinforcements[[#This Row],[Reinforcement]]="","",IF(Reinforcements[[#This Row],[Top End Connection Type]]&lt;&gt;"Capacity Input","-",""))))</f>
        <v/>
      </c>
      <c r="BD78" s="74" t="str">
        <f>IF(Reinforcements[[#This Row],[Reinforcement]]="","",IF(Reinforcements[[#This Row],[Top End Connection Same?]]="Yes",Reinforcements[[#This Row],[Rev. G Bottom Connection Capacity (kips)]],IF(Reinforcements[[#This Row],[Reinforcement]]="","",IF(Reinforcements[[#This Row],[Top End Connection Type]]&lt;&gt;"Capacity Input","-",""))))</f>
        <v/>
      </c>
      <c r="BE78" s="74" t="str">
        <f>IF(Reinforcements[[#This Row],[Reinforcement]]="","",IF(Reinforcements[[#This Row],[Top End Connection Same?]]="Yes",Reinforcements[[#This Row],[Bottom End Connection Bolt Type]],IF(Reinforcements[[#This Row],[Top End Connection Type]]&lt;&gt;"Bolted","-","")))</f>
        <v/>
      </c>
      <c r="BF78" s="127" t="str">
        <f>IF(Reinforcements[[#This Row],[Reinforcement]]="","",IF(Reinforcements[[#This Row],[Top End Connection Same?]]="Yes",Reinforcements[[#This Row],[Threads Included (N) or Excluded (X) (Bottom)]],IF(Reinforcements[[#This Row],[Top End Connection Type]]&lt;&gt;"Bolted","-","")))</f>
        <v/>
      </c>
      <c r="BG78" s="127" t="str">
        <f>IF(Reinforcements[[#This Row],[Reinforcement]]="","",IF(Reinforcements[[#This Row],[Top End Connection Same?]]="Yes",Reinforcements[[#This Row],['# of End Connection Bolts          (Bottom)]],IF(Reinforcements[[#This Row],[Top End Connection Type]]&lt;&gt;"Bolted","-","")))</f>
        <v/>
      </c>
      <c r="BH78" s="127" t="str">
        <f>IF(Reinforcements[[#This Row],[Reinforcement]]="","",IF(Reinforcements[[#This Row],[Top End Connection Same?]]="Yes",Reinforcements[[#This Row],[End Connection Bolt Spacing (in) (B)]],IF(Reinforcements[[#This Row],[Top End Connection Type]]&lt;&gt;"Bolted","-","")))</f>
        <v/>
      </c>
      <c r="BI78" s="127" t="str">
        <f>IF(Reinforcements[[#This Row],[Reinforcement]]="","",IF(Reinforcements[[#This Row],[Top End Connection Same?]]="Yes",Reinforcements[[#This Row],[End Connection Edge Distance (in) (B)]],IF(Reinforcements[[#This Row],[Top End Connection Type]]&lt;&gt;"Bolted","-","")))</f>
        <v/>
      </c>
      <c r="BJ78" s="127" t="e">
        <f>Reinforcements[[#This Row],[End Connection Edge Distance (in) (T)]]-(Reinforcements[[#This Row],[Bolt Hole Size (in)]]+1/16)/2</f>
        <v>#VALUE!</v>
      </c>
      <c r="BK78" s="127" t="e">
        <f>Reinforcements[[#This Row],[End Connection Bolt Spacing (in) (T)]]-(Reinforcements[[#This Row],[Bolt Hole Size (in)]]+1/16)</f>
        <v>#VALUE!</v>
      </c>
      <c r="BL78" s="127" t="str">
        <f>Reinforcements[[#This Row],[End Connection Edge Distance (in) (T)]]</f>
        <v/>
      </c>
      <c r="BM78" s="127" t="str">
        <f>Reinforcements[[#This Row],[End Connection Bolt Spacing (in) (T)]]</f>
        <v/>
      </c>
      <c r="BN78" s="127" t="str">
        <f>IF(Reinforcements[[#This Row],[Reinforcement]]="","",IF(Reinforcements[[#This Row],[Top End Connection Same?]]="Yes",Reinforcements[[#This Row],[Bottom Connected to Flange/Base Plate?]],IF(Reinforcements[[#This Row],[Top End Connection Type]]="Bolted","-","")))</f>
        <v/>
      </c>
      <c r="BO78" s="127" t="str">
        <f>IF(Reinforcements[[#This Row],[Reinforcement]]="","",IF(Reinforcements[[#This Row],[Top End Connection Same?]]="Yes",Reinforcements[[#This Row],[Bottom Weld Grade (ksi)]],IF(OR(Reinforcements[[#This Row],[Top End Connection Type]]&lt;&gt;"Welded",Reinforcements[[#This Row],[Top End Connection Type]]=""),"-","")))</f>
        <v/>
      </c>
      <c r="BP78" s="127" t="str">
        <f>IF($AZ78="Yes",AP78,IF(Reinforcements[[#This Row],[Reinforcement]]="","",IF(OR(Reinforcements[[#This Row],[Top End Connection Type]]&lt;&gt;"Welded",Reinforcements[[#This Row],[Top End Connection Type]]=""),"-","")))</f>
        <v/>
      </c>
      <c r="BQ78" s="127" t="str">
        <f>IF(Reinforcements[[#This Row],[Reinforcement]]="","",IF($AZ78="Yes",AQ78,IF(OR(Reinforcements[[#This Row],[Top End Connection Type]]&lt;&gt;"Welded",Reinforcements[[#This Row],[Top Transverse (Horizontal) Weld]]="none",Reinforcements[[#This Row],[Top Transverse (Horizontal) Weld]]=""),"-","")))</f>
        <v/>
      </c>
      <c r="BR78" s="127"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127"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127" t="str">
        <f>IF(Reinforcements[[#This Row],[Reinforcement]]="","",IF($AZ78="Yes",AT78,IF(OR(Reinforcements[[#This Row],[Top Transverse (Horizontal) Weld]]="none",Reinforcements[[#This Row],[Top End Connection Type]]&lt;&gt;"Welded",Reinforcements[[#This Row],[Top Transverse (Horizontal) Weld]]=""),"-","")))</f>
        <v/>
      </c>
      <c r="BU78" s="127"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127" t="str">
        <f>IF($AZ78="Yes",AV78,IF(Reinforcements[[#This Row],[Reinforcement]]="","",IF(OR(Reinforcements[[#This Row],[Top End Connection Type]]&lt;&gt;"Welded",Reinforcements[[#This Row],[Top End Connection Type]]=""),"-","")))</f>
        <v/>
      </c>
      <c r="BW78" s="127"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127"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127" t="str">
        <f>IF($AZ78="Yes",AY78,IF(Reinforcements[[#This Row],[Reinforcement]]="","",IF(OR(Reinforcements[[#This Row],[Top End Connection Type]]&lt;&gt;"Welded",Reinforcements[[#This Row],[Top Longitudinal (Vertical) Weld]]="none"),"-",SQRT(2)/2*Reinforcements[[#This Row],[Top Longitudinal Weld Fillet Size (in)]])))</f>
        <v/>
      </c>
      <c r="BZ78"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8"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127" t="str">
        <f>IFERROR(IF(Reinforcements[[#This Row],[Type]]="","",Reinforcements[[#This Row],[Effective B (in)]]*Reinforcements[[#This Row],[Effective H (in)]]^3/12),"")</f>
        <v/>
      </c>
      <c r="CF78" s="127" t="str">
        <f>IFERROR(IF(Reinforcements[[#This Row],[Type]]="","",Reinforcements[[#This Row],[Effective B (in)]]^3*Reinforcements[[#This Row],[Effective H (in)]]/12),"")</f>
        <v/>
      </c>
      <c r="CG78" s="140" t="e">
        <f>SQRT(2*PI()^2*29000/VLOOKUP(Reinforcements[[#This Row],[Material]],Materials[],2,FALSE))</f>
        <v>#N/A</v>
      </c>
      <c r="CH78"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135" t="e">
        <f>Reinforcements[[#This Row],[Effective Length Factor Kx]]*Reinforcements[[#This Row],[Lu (in)]]/(Reinforcements[[#This Row],[rx]]*PI())*SQRT(VLOOKUP(Reinforcements[[#This Row],[Material]],Materials[],2,FALSE)/29000)</f>
        <v>#VALUE!</v>
      </c>
      <c r="CK78" s="135" t="e">
        <f>Reinforcements[[#This Row],[Effective Length Factor Ky]]*Reinforcements[[#This Row],[Lu (in)]]/(Reinforcements[[#This Row],[ry]]*PI())*SQRT(VLOOKUP(Reinforcements[[#This Row],[Material]],Materials[],2,FALSE)/29000)</f>
        <v>#VALUE!</v>
      </c>
      <c r="CL78" s="135" t="e">
        <f>IF(Reinforcements[[#This Row],[λcx]]&lt;=1.5,0.658^(Reinforcements[[#This Row],[λcx]]^2)*Reinforcements[[#This Row],[F''y]],0.877/(Reinforcements[[#This Row],[λcx]]^2)*Reinforcements[[#This Row],[F''y]])</f>
        <v>#VALUE!</v>
      </c>
      <c r="CM78" s="135" t="e">
        <f>IF(Reinforcements[[#This Row],[λcy]]&lt;=1.5,0.658^(Reinforcements[[#This Row],[λcy]]^2)*Reinforcements[[#This Row],[F''y]],0.877/(Reinforcements[[#This Row],[λcy]]^2)*Reinforcements[[#This Row],[F''y]])</f>
        <v>#VALUE!</v>
      </c>
      <c r="CN78" s="127" t="e">
        <f>VLOOKUP(Reinforcements[[#This Row],[Material]],Materials[],2,FALSE)</f>
        <v>#N/A</v>
      </c>
      <c r="CO78" s="140" t="str">
        <f>IF(Reinforcements[[#This Row],[Reinforcement]]="","",Reinforcements[[#This Row],[Fax]]*Reinforcements[[#This Row],[Gross Area (in2)]])</f>
        <v/>
      </c>
      <c r="CP78" s="140" t="str">
        <f>IF(Reinforcements[[#This Row],[Reinforcement]]="","",Reinforcements[[#This Row],[Fay]]*Reinforcements[[#This Row],[Gross Area (in2)]])</f>
        <v/>
      </c>
      <c r="CQ78" s="140" t="str">
        <f>IF(Reinforcements[[#This Row],[Reinforcement]]="","",0.6*VLOOKUP(Reinforcements[[#This Row],[Material]],Materials[],2,FALSE)*Reinforcements[[#This Row],[Gross Area (in2)]])</f>
        <v/>
      </c>
      <c r="CR78" s="140" t="str">
        <f>IF(Reinforcements[[#This Row],[Reinforcement]]="","",0.5*VLOOKUP(Reinforcements[[#This Row],[Material]],Materials[],3,FALSE)*Reinforcements[[#This Row],[Net Area (in2)]]*Reinforcements[[#This Row],[Shear Lag (U)]])</f>
        <v/>
      </c>
      <c r="CS78" s="140" t="str">
        <f>IF(Reinforcements[[#This Row],[Reinforcement]]="","",0.4*VLOOKUP(Reinforcements[[#This Row],[Material]],Materials[],2,FALSE)*Reinforcements[[#This Row],[Gross Area (in2)]])</f>
        <v/>
      </c>
      <c r="CT78"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127"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127"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140" t="str">
        <f>IF(Reinforcements[[#This Row],[Reinforcement]]="","",φ_c*Reinforcements[[#This Row],[Fcr,x]]*Reinforcements[[#This Row],[Gross Area (in2)]])</f>
        <v/>
      </c>
      <c r="DI78" s="140" t="str">
        <f>IF(Reinforcements[[#This Row],[Reinforcement]]="","",φ_c*Reinforcements[[#This Row],[Fcr,y]]*Reinforcements[[#This Row],[Gross Area (in2)]])</f>
        <v/>
      </c>
      <c r="DJ78" s="140" t="str">
        <f>IF(Reinforcements[[#This Row],[Reinforcement]]="","",φ_t_y*VLOOKUP(Reinforcements[[#This Row],[Material]],Materials[],2,FALSE)*Reinforcements[[#This Row],[Gross Area (in2)]])</f>
        <v/>
      </c>
      <c r="DK78" s="140" t="str">
        <f>IF(Reinforcements[[#This Row],[Reinforcement]]="","",φ_t_r*VLOOKUP(Reinforcements[[#This Row],[Material]],Materials[],3,FALSE)*Reinforcements[[#This Row],[Net Area (in2)]]*Reinforcements[[#This Row],[Shear Lag (U)]])</f>
        <v/>
      </c>
      <c r="DL78" s="140" t="str">
        <f>IF(Reinforcements[[#This Row],[Reinforcement]]="","",φ_v*0.5*Reinforcements[[#This Row],[F''y]]*Reinforcements[[#This Row],[Gross Area (in2)]])</f>
        <v/>
      </c>
      <c r="DM78"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127"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127"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129" t="str">
        <f>IF(OR(Reinforcements[[#This Row],[Type]]="plate",Reinforcements[[#This Row],[Type]]="solid round"),"N/A",Reinforcements[[#This Row],[B (in)]])</f>
        <v/>
      </c>
      <c r="EB78" s="127" t="str">
        <f>IF(OR(Reinforcements[[#This Row],[Type]]="plate",Reinforcements[[#This Row],[Type]]="solid round"),"N/A",Reinforcements[[#This Row],[H (in)]])</f>
        <v/>
      </c>
      <c r="EC78" s="127" t="e">
        <f>IF(OR(Reinforcements[[#This Row],[Type]]="plate",Reinforcements[[#This Row],[Type]]="solid round"),"N/A",Reinforcements[[#This Row],[B (in)]]-Reinforcements[[#This Row],['[Channel'] Flange Thickness (in)]])</f>
        <v>#VALUE!</v>
      </c>
      <c r="ED78" s="127" t="str">
        <f>IF(OR(Reinforcements[[#This Row],[Type]]="plate",Reinforcements[[#This Row],[Type]]="solid round"),"N/A",Reinforcements[[#This Row],['[Channel']Web Thickness (in)]])</f>
        <v/>
      </c>
      <c r="EE78" s="127" t="str">
        <f>IF(OR(Reinforcements[[#This Row],[Type]]="plate",Reinforcements[[#This Row],[Type]]="solid round"),"N/A",Reinforcements[[#This Row],['[Channel'] Flange Thickness (in)]])</f>
        <v/>
      </c>
      <c r="EF78" s="127" t="str">
        <f>IF(Reinforcements[[#This Row],[Type]]="channel",Reinforcements[[#This Row],[Channel Flange Width, b]]/Reinforcements[[#This Row],[Channel flange thickness, tf]],"N/A")</f>
        <v>N/A</v>
      </c>
      <c r="EG78" s="127" t="str">
        <f>IF(Reinforcements[[#This Row],[Type]]="channel",Reinforcements[[#This Row],[Channel inside depth, T]]/Reinforcements[[#This Row],[Channel web thickness, tw]],"N/A")</f>
        <v>N/A</v>
      </c>
      <c r="EH78" s="6">
        <f>29000</f>
        <v>29000</v>
      </c>
      <c r="EI78" s="127" t="str">
        <f>IF(Reinforcements[[#This Row],[Type]]="channel",0.56*SQRT(Reinforcements[[#This Row],[E, (ksi)]]/Reinforcements[[#This Row],[Fy, (ksi)]]),"N/A")</f>
        <v>N/A</v>
      </c>
      <c r="EJ78" s="127" t="str">
        <f>IF(Reinforcements[[#This Row],[Type]]="channel",1.49*SQRT(Reinforcements[[#This Row],[E, (ksi)]]/Reinforcements[[#This Row],[Fy, (ksi)]]),"N/A")</f>
        <v>N/A</v>
      </c>
      <c r="EK78" s="127" t="e">
        <f>VLOOKUP(Reinforcements[[#This Row],[Material]],Materials!$B$2:$C$30,2,FALSE)</f>
        <v>#N/A</v>
      </c>
      <c r="EL78" s="127" t="e">
        <f>Reinforcements[[#This Row],[Lu (in)]]*Reinforcements[[#This Row],[Effective Length Factor Kx]]</f>
        <v>#VALUE!</v>
      </c>
      <c r="EM78" s="127" t="e">
        <f>Reinforcements[[#This Row],[Lu (in)]]*Reinforcements[[#This Row],[Effective Length Factor Ky]]</f>
        <v>#VALUE!</v>
      </c>
      <c r="EN78" s="127" t="str">
        <f>Reinforcements[[#This Row],[rx]]</f>
        <v/>
      </c>
      <c r="EO78" s="127" t="str">
        <f>Reinforcements[[#This Row],[ry]]</f>
        <v/>
      </c>
      <c r="EP78" s="127" t="e">
        <f>Reinforcements[[#This Row],[Lcx (in)]]/Reinforcements[[#This Row],[rx (in)]]</f>
        <v>#VALUE!</v>
      </c>
      <c r="EQ78" s="127" t="e">
        <f>Reinforcements[[#This Row],[Lcy (in)]]/Reinforcements[[#This Row],[ry (in)]]</f>
        <v>#VALUE!</v>
      </c>
      <c r="ER78" s="127" t="e">
        <f>((PI()^2)*Reinforcements[[#This Row],[E, (ksi)]])/(Reinforcements[[#This Row],[Lcx/rx]]^2)</f>
        <v>#VALUE!</v>
      </c>
      <c r="ES78" s="127" t="e">
        <f>((PI()^2)*Reinforcements[[#This Row],[E, (ksi)]])/(Reinforcements[[#This Row],[Lcy/ry]]^2)</f>
        <v>#VALUE!</v>
      </c>
      <c r="ET78" s="127" t="e">
        <f>4.71*(SQRT(Reinforcements[[#This Row],[E, (ksi)]]/Reinforcements[[#This Row],[Fy, (ksi)]]))</f>
        <v>#N/A</v>
      </c>
      <c r="EU78" s="127" t="e">
        <f>IF(Reinforcements[[#This Row],[Lcx/rx]]&lt;=Reinforcements[[#This Row],[Fcr Limit]],(0.658^(Reinforcements[[#This Row],[Fy, (ksi)]]/Reinforcements[[#This Row],[Fex, FB (ksi)]]))*Reinforcements[[#This Row],[Fy, (ksi)]],0.877*Reinforcements[[#This Row],[Fex, FB (ksi)]])</f>
        <v>#VALUE!</v>
      </c>
      <c r="EV78" s="127" t="e">
        <f>IF(Reinforcements[[#This Row],[Lcy/ry]]&lt;=Reinforcements[[#This Row],[Fcr Limit]],(0.658^(Reinforcements[[#This Row],[Fy, (ksi)]]/Reinforcements[[#This Row],[Fey, FB (ksi)]]))*Reinforcements[[#This Row],[Fy, (ksi)]],0.877*Reinforcements[[#This Row],[Fey, FB (ksi)]])</f>
        <v>#VALUE!</v>
      </c>
      <c r="EW78" s="127" t="e">
        <f>Reinforcements[[#This Row],[Fcrx (ksi)]]*Reinforcements[[#This Row],[Gross Area (in2)]]</f>
        <v>#VALUE!</v>
      </c>
      <c r="EX78" s="127" t="e">
        <f>Reinforcements[[#This Row],[Fcry (ksi)]]*Reinforcements[[#This Row],[Gross Area (in2)]]</f>
        <v>#VALUE!</v>
      </c>
      <c r="EY78" s="127" t="str">
        <f>IF(Reinforcements[[#This Row],[Type]]="channel",0,"N/A")</f>
        <v>N/A</v>
      </c>
      <c r="EZ78" s="127" t="str">
        <f>IF(Reinforcements[[#This Row],[Type]]="channel",Reinforcements[[#This Row],[Channel Flange Width, b]]-(0.5*Reinforcements[[#This Row],[Channel web thickness, tw]]),"N/A")</f>
        <v>N/A</v>
      </c>
      <c r="FA78" s="127" t="str">
        <f>IF(Reinforcements[[#This Row],[Type]]="channel",Reinforcements[[#This Row],[Channel Height, h]]-Reinforcements[[#This Row],[Channel flange thickness, tf]],"N/A")</f>
        <v>N/A</v>
      </c>
      <c r="FB78" s="127" t="str">
        <f>IF(Reinforcements[[#This Row],[Type]]="channel",Reinforcements[[#This Row],[Channel web thickness, tw]],"N/A")</f>
        <v>N/A</v>
      </c>
      <c r="FC78" s="127" t="str">
        <f>IF(Reinforcements[[#This Row],[Type]]="channel",((3*Reinforcements[[#This Row],[b]]^2)/(Reinforcements[[#This Row],[h]]+(6*Reinforcements[[#This Row],[b]])))-Reinforcements[[#This Row],[t]]/2,"N/A")</f>
        <v>N/A</v>
      </c>
      <c r="FD78" s="127" t="str">
        <f>Reinforcements[[#This Row],[Pole Face to Centroid (in)]]</f>
        <v/>
      </c>
      <c r="FE78" s="127" t="str">
        <f>IF(Reinforcements[[#This Row],[Type]]="channel",Reinforcements[[#This Row],[x(bar)]]+Reinforcements[[#This Row],['[Channel'] e0 (in)]],"N/A")</f>
        <v>N/A</v>
      </c>
      <c r="FF78" s="127" t="str">
        <f>IF(Reinforcements[[#This Row],[Type]]="channel",Reinforcements[[#This Row],[Ix]],"N/A")</f>
        <v>N/A</v>
      </c>
      <c r="FG78" s="127" t="str">
        <f>IF(Reinforcements[[#This Row],[Type]]="channel",Reinforcements[[#This Row],[Iy]],"N/A")</f>
        <v>N/A</v>
      </c>
      <c r="FH78" s="127" t="str">
        <f>IF(Reinforcements[[#This Row],[Type]]="channel",Reinforcements[[#This Row],[Gross Area (in2)]],"N/A")</f>
        <v>N/A</v>
      </c>
      <c r="FI78" s="127" t="str">
        <f>IF(Reinforcements[[#This Row],[Type]]="channel",(Reinforcements[[#This Row],[xo]]^2)+((Reinforcements[[#This Row],[Ix (FTB)]]+Reinforcements[[#This Row],[Iy (FTB)]])/Reinforcements[[#This Row],[Ag]]),"N/A")</f>
        <v>N/A</v>
      </c>
      <c r="FJ78" s="127" t="str">
        <f>IF(Reinforcements[[#This Row],[Type]]="channel",Reinforcements[[#This Row],[Lu (in)]],"N/A")</f>
        <v>N/A</v>
      </c>
      <c r="FK78" s="127" t="str">
        <f>IF(Reinforcements[[#This Row],[Type]]="channel",Reinforcements[[#This Row],[Effective Length Factor Kx]],"N/A")</f>
        <v>N/A</v>
      </c>
      <c r="FL78" s="127" t="str">
        <f>IF(Reinforcements[[#This Row],[Type]]="channel",Reinforcements[[#This Row],[Kz]]*Reinforcements[[#This Row],[Lz]],"N/A")</f>
        <v>N/A</v>
      </c>
      <c r="FM78" s="127" t="str">
        <f>IF(Reinforcements[[#This Row],[Type]]="channel",(((Reinforcements[[#This Row],[t]]^3)/3)*(Reinforcements[[#This Row],[h]]+(2*Reinforcements[[#This Row],[b]]))),"N/A")</f>
        <v>N/A</v>
      </c>
      <c r="FN78" s="127" t="str">
        <f>IF(Reinforcements[[#This Row],[Type]]="channel",(1-(((Reinforcements[[#This Row],[xo]]^2)+(Reinforcements[[#This Row],[yo]]^2))/Reinforcements[[#This Row],[ro^2(bar)]])),"N/A")</f>
        <v>N/A</v>
      </c>
      <c r="FO78" s="127">
        <v>11200</v>
      </c>
      <c r="FP78" s="127" t="str">
        <f>IF(Reinforcements[[#This Row],[Type]]="channel",(((Reinforcements[[#This Row],[h]]^2)*(Reinforcements[[#This Row],[b]]^3)*Reinforcements[[#This Row],[t]])/12)*(((2*Reinforcements[[#This Row],[h]])+(3*Reinforcements[[#This Row],[b]]))/(Reinforcements[[#This Row],[h]]+(6*Reinforcements[[#This Row],[b]]))),"N/A")</f>
        <v>N/A</v>
      </c>
      <c r="FQ78" s="127" t="str">
        <f>IF(Reinforcements[[#This Row],[Type]]="Channel",((((PI()^2)*Reinforcements[[#This Row],[E, (ksi)]]*Reinforcements[[#This Row],['[Channel'] CW (in6)]])/(Reinforcements[[#This Row],[Lcz]]^2))+(Reinforcements[[#This Row],[G]]*Reinforcements[[#This Row],['[Channel'] J (in4)]]))*(1/(Reinforcements[[#This Row],[Ag]]*Reinforcements[[#This Row],[ro^2(bar)]])),"N/A")</f>
        <v>N/A</v>
      </c>
      <c r="FR78" s="127" t="str">
        <f>IF(Reinforcements[[#This Row],[Type]]="channel",((PI()^2)*Reinforcements[[#This Row],[E, (ksi)]])/(Reinforcements[[#This Row],[Lcy/ry]]^2),"N/A")</f>
        <v>N/A</v>
      </c>
      <c r="FS78" s="127" t="str">
        <f>IF(Reinforcements[[#This Row],[Type]]="channel",((Reinforcements[[#This Row],[Fey]]+Reinforcements[[#This Row],[Fez]])/(2*Reinforcements[[#This Row],[H2]]))*(1-SQRT(1-((4*Reinforcements[[#This Row],[Fey]]*Reinforcements[[#This Row],[Fez]]*Reinforcements[[#This Row],[H2]])/(Reinforcements[[#This Row],[Fey]]+Reinforcements[[#This Row],[Fez]])^2))),"N/A")</f>
        <v>N/A</v>
      </c>
      <c r="FT78" s="127" t="str">
        <f>IF(Reinforcements[[#This Row],[Type]]="channel",IF(Reinforcements[[#This Row],[Lcx/rx]]&gt;(4.71*SQRT(Reinforcements[[#This Row],[E, (ksi)]]/Reinforcements[[#This Row],[Fy, (ksi)]])),0.877*Reinforcements[[#This Row],[Fe (FTB)]],0.658^(Reinforcements[[#This Row],[Fy, (ksi)]]/Reinforcements[[#This Row],[Fe (FTB)]])*Reinforcements[[#This Row],[Fy, (ksi)]]),"N/A")</f>
        <v>N/A</v>
      </c>
      <c r="FU78" s="127" t="str">
        <f>IF(Reinforcements[[#This Row],[Type]]="channel",MIN(Reinforcements[[#This Row],[Fcr(FTB)]],Reinforcements[[#This Row],[Fcry (ksi)]]),"N/A")</f>
        <v>N/A</v>
      </c>
      <c r="FV78" s="127">
        <v>0.22</v>
      </c>
      <c r="FW78" s="127">
        <v>1.49</v>
      </c>
      <c r="FX78" s="127" t="str">
        <f>IF(Reinforcements[[#This Row],[Type]]="channel",((Reinforcements[[#This Row],[c2]]*(Reinforcements[[#This Row],[λrf]]/Reinforcements[[#This Row],[λf]]))^2)*Reinforcements[[#This Row],[Fy, (ksi)]],"N/A")</f>
        <v>N/A</v>
      </c>
      <c r="FY78" s="127" t="str">
        <f>IF(Reinforcements[[#This Row],[Type]]="channel",((Reinforcements[[#This Row],[c2]]*(Reinforcements[[#This Row],[λrw]]/Reinforcements[[#This Row],[λw]]))^2)*Reinforcements[[#This Row],[Fy, (ksi)]],"N/A")</f>
        <v>N/A</v>
      </c>
      <c r="FZ78"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127" t="str">
        <f>IF(Reinforcements[[#This Row],[Type]]="channel",Reinforcements[[#This Row],[Fcr]]*Reinforcements[[#This Row],[Ae]],"N/A")</f>
        <v>N/A</v>
      </c>
      <c r="GD78" s="50" t="str">
        <f>IF(Reinforcements[[#This Row],[Reinforcement]]="","",φ_c*Reinforcements[[#This Row],[Pnx, FB (kip)]])</f>
        <v/>
      </c>
      <c r="GE78" s="50" t="str">
        <f>IF(Reinforcements[[#This Row],[Reinforcement]]="","",IF(Reinforcements[[#This Row],[Type]]="channel",φ_c*Reinforcements[[#This Row],[Pn]],φ_c*Reinforcements[[#This Row],[Pny, FB (kip)]]))</f>
        <v/>
      </c>
      <c r="GF78" s="50" t="str">
        <f>Reinforcements[[#This Row],[Rev. G Tension Yield Capacity (kips)]]</f>
        <v/>
      </c>
      <c r="GG78" s="50" t="str">
        <f>Reinforcements[[#This Row],[Rev. G Tension Rupture Capacity (kips)]]</f>
        <v/>
      </c>
      <c r="GH78" s="50" t="str">
        <f>Reinforcements[[#This Row],[Rev. G Shear Capacity (kips)]]</f>
        <v/>
      </c>
      <c r="GI78" s="50" t="str">
        <f>IFERROR((Reinforcements[[#This Row],['# of End Connection Bolts          (Bottom)]]-1)*Reinforcements[[#This Row],[End Connection Bolt Spacing (in) (B)]],"-")</f>
        <v>-</v>
      </c>
      <c r="GJ78" s="50" t="str">
        <f>IFERROR(IF(VLOOKUP(Reinforcements[[#This Row],[Bottom End Connection Bolt Type]],Bolts[],COLUMN(Bolts[[#Headers],[Rev. H Apply Connection Length Reduction Factor (Rb)?]])-1,FALSE)="Yes",(IF(Reinforcements[[#This Row],[Lb(bottom)]]&lt;=16,1,IF(Reinforcements[[#This Row],[Lb(bottom)]]&gt;38,0.75,0.9))),1),"-")</f>
        <v>-</v>
      </c>
      <c r="GK78"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50" t="str">
        <f>IFERROR(IF(Reinforcements[[#This Row],[Top End Connection Same?]]="Yes",Reinforcements[[#This Row],[Lb(bottom)]],(Reinforcements[[#This Row],['# of End Connection Bolts          (Top)]]-1)*Reinforcements[[#This Row],[End Connection Bolt Spacing (in) (T)]]),"-")</f>
        <v>-</v>
      </c>
      <c r="GM78" s="50" t="str">
        <f>IFERROR(IF(VLOOKUP(Reinforcements[[#This Row],[Top End Connection Bolt Type]],Bolts[],COLUMN(Bolts[[#Headers],[Rev. H Apply Connection Length Reduction Factor (Rb)?]])-1,FALSE)=TRUE,(IF(Reinforcements[[#This Row],[Lb(top)]]&lt;=16,1,IF(Reinforcements[[#This Row],[Lb(top)]]&gt;38,0.75,0.9))),1),"-")</f>
        <v>-</v>
      </c>
      <c r="GN78"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50" t="str">
        <f>Reinforcements[[#This Row],[Rev. G Bolt-Shaft Bearing Capacity (Bottom)                No Deformation          (*t*Fu kips)]]</f>
        <v>-</v>
      </c>
      <c r="GP78" s="50" t="str">
        <f>Reinforcements[[#This Row],[Rev. G Bolt-Shaft Bearing Capacity (Bottom)                   Deformation          (*t*Fu kips)]]</f>
        <v>-</v>
      </c>
      <c r="GQ78" s="50" t="str">
        <f>Reinforcements[[#This Row],[Rev. G Bolt-Shaft Bearing Capacity (Top)                    No Deformation          (*t*Fu kips)]]</f>
        <v>-</v>
      </c>
      <c r="GR78" s="50" t="str">
        <f>Reinforcements[[#This Row],[Rev. G Bolt-Shaft Bearing Capacity (Top)                        Deformation          (*t*Fu kips)]]</f>
        <v>-</v>
      </c>
      <c r="GS78" s="50" t="str">
        <f>Reinforcements[[#This Row],[Rev. G Bolt-Reinf. Bearing Capacity (Bottom)            No Deformation (kips)]]</f>
        <v>-</v>
      </c>
      <c r="GT78" s="50" t="str">
        <f>Reinforcements[[#This Row],[Rev. G Bolt-Reinf. Bearing Capacity (Bottom)               Deformation (kips)]]</f>
        <v>-</v>
      </c>
      <c r="GU78" s="50" t="str">
        <f>Reinforcements[[#This Row],[Rev. G Bolt-Reinf. Bearing Capacity (Top)                  No Deformation (kips)]]</f>
        <v>-</v>
      </c>
      <c r="GV78" s="50" t="str">
        <f>Reinforcements[[#This Row],[Rev. G Bolt-Reinf. Bearing Capacity (Top)               Deformation (kips)]]</f>
        <v>-</v>
      </c>
      <c r="GW78" s="50" t="str">
        <f>Reinforcements[[#This Row],[Rev. G Bottom Transverse Weld Strength]]</f>
        <v/>
      </c>
      <c r="GX78" s="50" t="str">
        <f>Reinforcements[[#This Row],[Rev. G Bottom Longitudinal Weld Strength]]</f>
        <v/>
      </c>
      <c r="GY78" s="50" t="str">
        <f>Reinforcements[[#This Row],[Rev. G Top Transverse Weld Strength]]</f>
        <v/>
      </c>
      <c r="GZ78" s="50" t="str">
        <f>Reinforcements[[#This Row],[Rev. G Top Longitudinal Weld Strength]]</f>
        <v/>
      </c>
      <c r="HA78">
        <v>76</v>
      </c>
      <c r="HB78"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94"/>
      <c r="C79" s="94"/>
      <c r="D79" s="127" t="str">
        <f>IF(Reinforcements[[#This Row],[Type]]="","",IF(Reinforcements[[#This Row],[Type]]="solid round","-",""))</f>
        <v/>
      </c>
      <c r="E79" s="127" t="str">
        <f>IF(Reinforcements[[#This Row],[Type]]="","",IF(Reinforcements[[#This Row],[Type]]="solid round","-",""))</f>
        <v/>
      </c>
      <c r="F79" s="127" t="str">
        <f>IF(Reinforcements[[#This Row],[Type]]="","",IF(Reinforcements[[#This Row],[Type]]="solid round","","n/a"))</f>
        <v/>
      </c>
      <c r="G79" s="127" t="str">
        <f>IF(Reinforcements[[#This Row],[Type]]="","",IF(Reinforcements[[#This Row],[Type]]&lt;&gt;"channel","n/a",""))</f>
        <v/>
      </c>
      <c r="H79" s="127" t="str">
        <f>IF(Reinforcements[[#This Row],[Type]]="","",IF(Reinforcements[[#This Row],[Type]]&lt;&gt;"channel","n/a",""))</f>
        <v/>
      </c>
      <c r="I79" s="140" t="str">
        <f>IF(Reinforcements[[#This Row],[Type]]="","",IF(Reinforcements[[#This Row],[Type]]&lt;&gt;"channel","n/a",Reinforcements[[#This Row],[eo]]))</f>
        <v/>
      </c>
      <c r="J79" s="140" t="str">
        <f>IF(Reinforcements[[#This Row],[Type]]="","",IF(Reinforcements[[#This Row],[Type]]&lt;&gt;"channel","n/a",Reinforcements[[#This Row],[J]]))</f>
        <v/>
      </c>
      <c r="K79" s="140" t="str">
        <f>IF(Reinforcements[[#This Row],[Type]]="","",IF(Reinforcements[[#This Row],[Type]]&lt;&gt;"channel","n/a",Reinforcements[[#This Row],[Cw]]))</f>
        <v/>
      </c>
      <c r="L79" s="127" t="str">
        <f>IFERROR(IF(Reinforcements[[#This Row],[Type]]="","",IF(Reinforcements[[#This Row],[Type]]="plate",Reinforcements[[#This Row],[B (in)]]*Reinforcements[[#This Row],[H (in)]],IF(Reinforcements[[#This Row],[Type]]="solid round",PI()/4*Reinforcements[[#This Row],[Diameter (in)]]^2,""))),"")</f>
        <v/>
      </c>
      <c r="M79" s="127" t="str">
        <f>IFERROR(IF(Reinforcements[[#This Row],[Type]]="","",IF(Reinforcements[[#This Row],[Type]]="plate",Reinforcements[[#This Row],[H (in)]]/2,"")),"")</f>
        <v/>
      </c>
      <c r="N79" s="128"/>
      <c r="O79" s="129"/>
      <c r="P79" s="135" t="str">
        <f>IFERROR(IF(Reinforcements[[#This Row],[Type]]="","",IF(Reinforcements[[#This Row],[Type]]="plate",Reinforcements[[#This Row],[B (in)]]*Reinforcements[[#This Row],[H (in)]]^3/12,IF(Reinforcements[[#This Row],[Type]]="solid round",PI()/64*Reinforcements[[#This Row],[Diameter (in)]]^4,""))),"")</f>
        <v/>
      </c>
      <c r="Q79" s="135" t="str">
        <f>IF(Reinforcements[[#This Row],[Reinforcement]]="","",SQRT(Reinforcements[[#This Row],[Ix]]/Reinforcements[[#This Row],[Gross Area (in2)]]))</f>
        <v/>
      </c>
      <c r="R79" s="135" t="str">
        <f>IFERROR(IF(Reinforcements[[#This Row],[Type]]="","",IF(Reinforcements[[#This Row],[Type]]="plate",Reinforcements[[#This Row],[B (in)]]^3*Reinforcements[[#This Row],[H (in)]]/12,IF(Reinforcements[[#This Row],[Type]]="solid round",PI()/64*Reinforcements[[#This Row],[Diameter (in)]]^4,""))),"")</f>
        <v/>
      </c>
      <c r="S79" s="135" t="str">
        <f>IF(Reinforcements[[#This Row],[Reinforcement]]="","",SQRT(Reinforcements[[#This Row],[Iy]]/Reinforcements[[#This Row],[Gross Area (in2)]]))</f>
        <v/>
      </c>
      <c r="T79" s="127"/>
      <c r="U79" s="127" t="str">
        <f>IF(Reinforcements[[#This Row],[Lu (in)]]="","",IF(Reinforcements[[#This Row],[Lu (in)]]=0,1,""))</f>
        <v/>
      </c>
      <c r="V79" s="127" t="str">
        <f>IF(Reinforcements[[#This Row],[Lu (in)]]="","",IF(Reinforcements[[#This Row],[Lu (in)]]=0,1,""))</f>
        <v/>
      </c>
      <c r="W79" s="127" t="str">
        <f>IF(Reinforcements[[#This Row],[Type]]="","",IF(Reinforcements[[#This Row],[Type]]="solid round",0,IF(Reinforcements[[#This Row],[Type]]="arbitrary","n/a","")))</f>
        <v/>
      </c>
      <c r="X79" s="127" t="str">
        <f>IF(Reinforcements[[#This Row],[Bolt Hole Size (in)]]="","",IF(Reinforcements[[#This Row],[Bolt Hole Size (in)]]="n/a","n/a",Reinforcements[[#This Row],[Bolt Hole Size (in)]]*25.4))</f>
        <v/>
      </c>
      <c r="Y79"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127" t="str">
        <f>IFERROR(IF(Reinforcements[[#This Row],[Reinforcement]]="","",IF(OR(Reinforcements[[#This Row],[Type]]="plate",Reinforcements[[#This Row],[Type]]="solid round"),1,IF(Reinforcements[[#This Row],[Type]]="arbitrary","",1-Reinforcements[[#This Row],[Pole Face to Centroid (in)]]/Reinforcements[[#This Row],[Connection Length (in) '[Channels']]]))),"")</f>
        <v/>
      </c>
      <c r="AA79" s="74"/>
      <c r="AB79" s="74" t="str">
        <f>IF(Reinforcements[[#This Row],[Reinforcement]]="","",IF(Reinforcements[[#This Row],[Bottom End Connection Type]]&lt;&gt;"Capacity Input","-",""))</f>
        <v/>
      </c>
      <c r="AC79" s="74" t="str">
        <f>IF(Reinforcements[[#This Row],[Reinforcement]]="","",IF(Reinforcements[[#This Row],[Bottom End Connection Type]]&lt;&gt;"Capacity Input","-",""))</f>
        <v/>
      </c>
      <c r="AD79" s="74" t="str">
        <f>IF(Reinforcements[[#This Row],[Reinforcement]]="","",IF(Reinforcements[[#This Row],[Bottom End Connection Type]]&lt;&gt;"Capacity Input","-",""))</f>
        <v/>
      </c>
      <c r="AE79" s="74" t="str">
        <f>IF(Reinforcements[[#This Row],[Reinforcement]]="","",IF(Reinforcements[[#This Row],[Bottom End Connection Type]]&lt;&gt;"Bolted","-",""))</f>
        <v/>
      </c>
      <c r="AF79" s="127" t="str">
        <f>IF(Reinforcements[[#This Row],[Reinforcement]]="","",IF(Reinforcements[[#This Row],[Bottom End Connection Type]]&lt;&gt;"Bolted","-",""))</f>
        <v/>
      </c>
      <c r="AG79" s="127" t="str">
        <f>IF(Reinforcements[[#This Row],[Reinforcement]]="","",IF(Reinforcements[[#This Row],[Bottom End Connection Type]]="","-",IF(Reinforcements[[#This Row],[Bottom End Connection Type]]&lt;&gt;"Bolted","-","")))</f>
        <v/>
      </c>
      <c r="AH79" s="127" t="str">
        <f>IF(Reinforcements[[#This Row],[Reinforcement]]="","",IF(Reinforcements[[#This Row],[Bottom End Connection Type]]="","-",IF(Reinforcements[[#This Row],[Bottom End Connection Type]]&lt;&gt;"Bolted","-","")))</f>
        <v/>
      </c>
      <c r="AI79" s="127" t="str">
        <f>IF(Reinforcements[[#This Row],[Reinforcement]]="","",IF(Reinforcements[[#This Row],[Bottom End Connection Type]]="","-",IF(Reinforcements[[#This Row],[Bottom End Connection Type]]&lt;&gt;"Bolted","-","")))</f>
        <v/>
      </c>
      <c r="AJ79" s="127" t="e">
        <f>Reinforcements[[#This Row],[End Connection Edge Distance (in) (B)]]-(Reinforcements[[#This Row],[Bolt Hole Size (in)]]+1/16)/2</f>
        <v>#VALUE!</v>
      </c>
      <c r="AK79" s="127" t="e">
        <f>Reinforcements[[#This Row],[End Connection Bolt Spacing (in) (B)]]-(Reinforcements[[#This Row],[Bolt Hole Size (in)]]+1/16)</f>
        <v>#VALUE!</v>
      </c>
      <c r="AL79" s="127" t="str">
        <f>Reinforcements[[#This Row],[End Connection Edge Distance (in) (B)]]</f>
        <v/>
      </c>
      <c r="AM79" s="127" t="str">
        <f>Reinforcements[[#This Row],[End Connection Bolt Spacing (in) (B)]]</f>
        <v/>
      </c>
      <c r="AN79" s="127" t="str">
        <f>IF(Reinforcements[[#This Row],[Reinforcement]]="","",IF(OR(Reinforcements[[#This Row],[Bottom End Connection Type]]="Bolted",Reinforcements[[#This Row],[Bottom End Connection Type]]=""),"-",""))</f>
        <v/>
      </c>
      <c r="AO79" s="129" t="str">
        <f>IF(Reinforcements[[#This Row],[Reinforcement]]="","",IF(Reinforcements[[#This Row],[Bottom End Connection Type]]&lt;&gt;"Welded","-",""))</f>
        <v/>
      </c>
      <c r="AP79" s="129" t="str">
        <f>IF(Reinforcements[[#This Row],[Reinforcement]]="","",IF(Reinforcements[[#This Row],[Bottom End Connection Type]]&lt;&gt;"Welded","-",""))</f>
        <v/>
      </c>
      <c r="AQ79" s="129" t="str">
        <f>IF(Reinforcements[[#This Row],[Reinforcement]]="","",IF(OR(Reinforcements[[#This Row],[Bottom End Connection Type]]&lt;&gt;"Welded",Reinforcements[[#This Row],[Bottom Transverse (Horizontal) Weld]]="None"),"-",""))</f>
        <v/>
      </c>
      <c r="AR79"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129" t="str">
        <f>IF(Reinforcements[[#This Row],[Reinforcement]]="","",IF(OR(Reinforcements[[#This Row],[Bottom Transverse (Horizontal) Weld]]="None",Reinforcements[[#This Row],[Bottom End Connection Type]]&lt;&gt;"Welded"),"-",""))</f>
        <v/>
      </c>
      <c r="AU79"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129" t="str">
        <f>IF(Reinforcements[[#This Row],[Reinforcement]]="","",IF(OR(Reinforcements[[#This Row],[Bottom End Connection Type]]&lt;&gt;"Welded",Reinforcements[[#This Row],[Bottom End Connection Type]]=""),"-",""))</f>
        <v/>
      </c>
      <c r="AW79" s="129" t="str">
        <f>IF(Reinforcements[[#This Row],[Reinforcement]]="","",IF(OR(Reinforcements[[#This Row],[Bottom End Connection Type]]&lt;&gt;"Welded",Reinforcements[[#This Row],[Bottom Longitudinal (Vertical) Weld]]="None",Reinforcements[[#This Row],[Bottom Longitudinal (Vertical) Weld]]=""),"-",""))</f>
        <v/>
      </c>
      <c r="AX79" s="129" t="str">
        <f>IF(Reinforcements[[#This Row],[Reinforcement]]="","",IF(OR(Reinforcements[[#This Row],[Bottom End Connection Type]]&lt;&gt;"Welded",Reinforcements[[#This Row],[Bottom Longitudinal (Vertical) Weld]]="None",Reinforcements[[#This Row],[Bottom Longitudinal (Vertical) Weld]]=""),"-",""))</f>
        <v/>
      </c>
      <c r="AY79" s="127" t="str">
        <f>IF(Reinforcements[[#This Row],[Reinforcement]]="","",IF(OR(Reinforcements[[#This Row],[Bottom End Connection Type]]&lt;&gt;"Welded",Reinforcements[[#This Row],[Bottom Longitudinal (Vertical) Weld]]="None"),"-",SQRT(2)/2*Reinforcements[[#This Row],[Bottom Longitudinal Weld Fillet Size (in)]]))</f>
        <v/>
      </c>
      <c r="AZ79" s="127"/>
      <c r="BA79" s="74" t="str">
        <f>IF(Reinforcements[[#This Row],[Top End Connection Same?]]="Yes",Reinforcements[[#This Row],[Bottom End Connection Type]],"")</f>
        <v/>
      </c>
      <c r="BB79" s="74" t="str">
        <f>IF(Reinforcements[[#This Row],[Reinforcement]]="","",IF(Reinforcements[[#This Row],[Top End Connection Same?]]="Yes",Reinforcements[[#This Row],[Rev. F Bottom Connection Capacity (kips)]],IF(Reinforcements[[#This Row],[Reinforcement]]="","",IF(Reinforcements[[#This Row],[Top End Connection Type]]&lt;&gt;"Capacity Input","-",""))))</f>
        <v/>
      </c>
      <c r="BC79" s="74" t="str">
        <f>IF(Reinforcements[[#This Row],[Reinforcement]]="","",IF(Reinforcements[[#This Row],[Top End Connection Same?]]="Yes",Reinforcements[[#This Row],[Rev. G Bottom Connection Capacity (kips)]],IF(Reinforcements[[#This Row],[Reinforcement]]="","",IF(Reinforcements[[#This Row],[Top End Connection Type]]&lt;&gt;"Capacity Input","-",""))))</f>
        <v/>
      </c>
      <c r="BD79" s="74" t="str">
        <f>IF(Reinforcements[[#This Row],[Reinforcement]]="","",IF(Reinforcements[[#This Row],[Top End Connection Same?]]="Yes",Reinforcements[[#This Row],[Rev. G Bottom Connection Capacity (kips)]],IF(Reinforcements[[#This Row],[Reinforcement]]="","",IF(Reinforcements[[#This Row],[Top End Connection Type]]&lt;&gt;"Capacity Input","-",""))))</f>
        <v/>
      </c>
      <c r="BE79" s="74" t="str">
        <f>IF(Reinforcements[[#This Row],[Reinforcement]]="","",IF(Reinforcements[[#This Row],[Top End Connection Same?]]="Yes",Reinforcements[[#This Row],[Bottom End Connection Bolt Type]],IF(Reinforcements[[#This Row],[Top End Connection Type]]&lt;&gt;"Bolted","-","")))</f>
        <v/>
      </c>
      <c r="BF79" s="127" t="str">
        <f>IF(Reinforcements[[#This Row],[Reinforcement]]="","",IF(Reinforcements[[#This Row],[Top End Connection Same?]]="Yes",Reinforcements[[#This Row],[Threads Included (N) or Excluded (X) (Bottom)]],IF(Reinforcements[[#This Row],[Top End Connection Type]]&lt;&gt;"Bolted","-","")))</f>
        <v/>
      </c>
      <c r="BG79" s="127" t="str">
        <f>IF(Reinforcements[[#This Row],[Reinforcement]]="","",IF(Reinforcements[[#This Row],[Top End Connection Same?]]="Yes",Reinforcements[[#This Row],['# of End Connection Bolts          (Bottom)]],IF(Reinforcements[[#This Row],[Top End Connection Type]]&lt;&gt;"Bolted","-","")))</f>
        <v/>
      </c>
      <c r="BH79" s="127" t="str">
        <f>IF(Reinforcements[[#This Row],[Reinforcement]]="","",IF(Reinforcements[[#This Row],[Top End Connection Same?]]="Yes",Reinforcements[[#This Row],[End Connection Bolt Spacing (in) (B)]],IF(Reinforcements[[#This Row],[Top End Connection Type]]&lt;&gt;"Bolted","-","")))</f>
        <v/>
      </c>
      <c r="BI79" s="127" t="str">
        <f>IF(Reinforcements[[#This Row],[Reinforcement]]="","",IF(Reinforcements[[#This Row],[Top End Connection Same?]]="Yes",Reinforcements[[#This Row],[End Connection Edge Distance (in) (B)]],IF(Reinforcements[[#This Row],[Top End Connection Type]]&lt;&gt;"Bolted","-","")))</f>
        <v/>
      </c>
      <c r="BJ79" s="127" t="e">
        <f>Reinforcements[[#This Row],[End Connection Edge Distance (in) (T)]]-(Reinforcements[[#This Row],[Bolt Hole Size (in)]]+1/16)/2</f>
        <v>#VALUE!</v>
      </c>
      <c r="BK79" s="127" t="e">
        <f>Reinforcements[[#This Row],[End Connection Bolt Spacing (in) (T)]]-(Reinforcements[[#This Row],[Bolt Hole Size (in)]]+1/16)</f>
        <v>#VALUE!</v>
      </c>
      <c r="BL79" s="127" t="str">
        <f>Reinforcements[[#This Row],[End Connection Edge Distance (in) (T)]]</f>
        <v/>
      </c>
      <c r="BM79" s="127" t="str">
        <f>Reinforcements[[#This Row],[End Connection Bolt Spacing (in) (T)]]</f>
        <v/>
      </c>
      <c r="BN79" s="127" t="str">
        <f>IF(Reinforcements[[#This Row],[Reinforcement]]="","",IF(Reinforcements[[#This Row],[Top End Connection Same?]]="Yes",Reinforcements[[#This Row],[Bottom Connected to Flange/Base Plate?]],IF(Reinforcements[[#This Row],[Top End Connection Type]]="Bolted","-","")))</f>
        <v/>
      </c>
      <c r="BO79" s="127" t="str">
        <f>IF(Reinforcements[[#This Row],[Reinforcement]]="","",IF(Reinforcements[[#This Row],[Top End Connection Same?]]="Yes",Reinforcements[[#This Row],[Bottom Weld Grade (ksi)]],IF(OR(Reinforcements[[#This Row],[Top End Connection Type]]&lt;&gt;"Welded",Reinforcements[[#This Row],[Top End Connection Type]]=""),"-","")))</f>
        <v/>
      </c>
      <c r="BP79" s="127" t="str">
        <f>IF($AZ79="Yes",AP79,IF(Reinforcements[[#This Row],[Reinforcement]]="","",IF(OR(Reinforcements[[#This Row],[Top End Connection Type]]&lt;&gt;"Welded",Reinforcements[[#This Row],[Top End Connection Type]]=""),"-","")))</f>
        <v/>
      </c>
      <c r="BQ79" s="127" t="str">
        <f>IF(Reinforcements[[#This Row],[Reinforcement]]="","",IF($AZ79="Yes",AQ79,IF(OR(Reinforcements[[#This Row],[Top End Connection Type]]&lt;&gt;"Welded",Reinforcements[[#This Row],[Top Transverse (Horizontal) Weld]]="none",Reinforcements[[#This Row],[Top Transverse (Horizontal) Weld]]=""),"-","")))</f>
        <v/>
      </c>
      <c r="BR79" s="127"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127"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127" t="str">
        <f>IF(Reinforcements[[#This Row],[Reinforcement]]="","",IF($AZ79="Yes",AT79,IF(OR(Reinforcements[[#This Row],[Top Transverse (Horizontal) Weld]]="none",Reinforcements[[#This Row],[Top End Connection Type]]&lt;&gt;"Welded",Reinforcements[[#This Row],[Top Transverse (Horizontal) Weld]]=""),"-","")))</f>
        <v/>
      </c>
      <c r="BU79" s="127"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127" t="str">
        <f>IF($AZ79="Yes",AV79,IF(Reinforcements[[#This Row],[Reinforcement]]="","",IF(OR(Reinforcements[[#This Row],[Top End Connection Type]]&lt;&gt;"Welded",Reinforcements[[#This Row],[Top End Connection Type]]=""),"-","")))</f>
        <v/>
      </c>
      <c r="BW79" s="127"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127"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127" t="str">
        <f>IF($AZ79="Yes",AY79,IF(Reinforcements[[#This Row],[Reinforcement]]="","",IF(OR(Reinforcements[[#This Row],[Top End Connection Type]]&lt;&gt;"Welded",Reinforcements[[#This Row],[Top Longitudinal (Vertical) Weld]]="none"),"-",SQRT(2)/2*Reinforcements[[#This Row],[Top Longitudinal Weld Fillet Size (in)]])))</f>
        <v/>
      </c>
      <c r="BZ79"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9"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127" t="str">
        <f>IFERROR(IF(Reinforcements[[#This Row],[Type]]="","",Reinforcements[[#This Row],[Effective B (in)]]*Reinforcements[[#This Row],[Effective H (in)]]^3/12),"")</f>
        <v/>
      </c>
      <c r="CF79" s="127" t="str">
        <f>IFERROR(IF(Reinforcements[[#This Row],[Type]]="","",Reinforcements[[#This Row],[Effective B (in)]]^3*Reinforcements[[#This Row],[Effective H (in)]]/12),"")</f>
        <v/>
      </c>
      <c r="CG79" s="140" t="e">
        <f>SQRT(2*PI()^2*29000/VLOOKUP(Reinforcements[[#This Row],[Material]],Materials[],2,FALSE))</f>
        <v>#N/A</v>
      </c>
      <c r="CH79"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135" t="e">
        <f>Reinforcements[[#This Row],[Effective Length Factor Kx]]*Reinforcements[[#This Row],[Lu (in)]]/(Reinforcements[[#This Row],[rx]]*PI())*SQRT(VLOOKUP(Reinforcements[[#This Row],[Material]],Materials[],2,FALSE)/29000)</f>
        <v>#VALUE!</v>
      </c>
      <c r="CK79" s="135" t="e">
        <f>Reinforcements[[#This Row],[Effective Length Factor Ky]]*Reinforcements[[#This Row],[Lu (in)]]/(Reinforcements[[#This Row],[ry]]*PI())*SQRT(VLOOKUP(Reinforcements[[#This Row],[Material]],Materials[],2,FALSE)/29000)</f>
        <v>#VALUE!</v>
      </c>
      <c r="CL79" s="135" t="e">
        <f>IF(Reinforcements[[#This Row],[λcx]]&lt;=1.5,0.658^(Reinforcements[[#This Row],[λcx]]^2)*Reinforcements[[#This Row],[F''y]],0.877/(Reinforcements[[#This Row],[λcx]]^2)*Reinforcements[[#This Row],[F''y]])</f>
        <v>#VALUE!</v>
      </c>
      <c r="CM79" s="135" t="e">
        <f>IF(Reinforcements[[#This Row],[λcy]]&lt;=1.5,0.658^(Reinforcements[[#This Row],[λcy]]^2)*Reinforcements[[#This Row],[F''y]],0.877/(Reinforcements[[#This Row],[λcy]]^2)*Reinforcements[[#This Row],[F''y]])</f>
        <v>#VALUE!</v>
      </c>
      <c r="CN79" s="127" t="e">
        <f>VLOOKUP(Reinforcements[[#This Row],[Material]],Materials[],2,FALSE)</f>
        <v>#N/A</v>
      </c>
      <c r="CO79" s="140" t="str">
        <f>IF(Reinforcements[[#This Row],[Reinforcement]]="","",Reinforcements[[#This Row],[Fax]]*Reinforcements[[#This Row],[Gross Area (in2)]])</f>
        <v/>
      </c>
      <c r="CP79" s="140" t="str">
        <f>IF(Reinforcements[[#This Row],[Reinforcement]]="","",Reinforcements[[#This Row],[Fay]]*Reinforcements[[#This Row],[Gross Area (in2)]])</f>
        <v/>
      </c>
      <c r="CQ79" s="140" t="str">
        <f>IF(Reinforcements[[#This Row],[Reinforcement]]="","",0.6*VLOOKUP(Reinforcements[[#This Row],[Material]],Materials[],2,FALSE)*Reinforcements[[#This Row],[Gross Area (in2)]])</f>
        <v/>
      </c>
      <c r="CR79" s="140" t="str">
        <f>IF(Reinforcements[[#This Row],[Reinforcement]]="","",0.5*VLOOKUP(Reinforcements[[#This Row],[Material]],Materials[],3,FALSE)*Reinforcements[[#This Row],[Net Area (in2)]]*Reinforcements[[#This Row],[Shear Lag (U)]])</f>
        <v/>
      </c>
      <c r="CS79" s="140" t="str">
        <f>IF(Reinforcements[[#This Row],[Reinforcement]]="","",0.4*VLOOKUP(Reinforcements[[#This Row],[Material]],Materials[],2,FALSE)*Reinforcements[[#This Row],[Gross Area (in2)]])</f>
        <v/>
      </c>
      <c r="CT79"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127"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127"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140" t="str">
        <f>IF(Reinforcements[[#This Row],[Reinforcement]]="","",φ_c*Reinforcements[[#This Row],[Fcr,x]]*Reinforcements[[#This Row],[Gross Area (in2)]])</f>
        <v/>
      </c>
      <c r="DI79" s="140" t="str">
        <f>IF(Reinforcements[[#This Row],[Reinforcement]]="","",φ_c*Reinforcements[[#This Row],[Fcr,y]]*Reinforcements[[#This Row],[Gross Area (in2)]])</f>
        <v/>
      </c>
      <c r="DJ79" s="140" t="str">
        <f>IF(Reinforcements[[#This Row],[Reinforcement]]="","",φ_t_y*VLOOKUP(Reinforcements[[#This Row],[Material]],Materials[],2,FALSE)*Reinforcements[[#This Row],[Gross Area (in2)]])</f>
        <v/>
      </c>
      <c r="DK79" s="140" t="str">
        <f>IF(Reinforcements[[#This Row],[Reinforcement]]="","",φ_t_r*VLOOKUP(Reinforcements[[#This Row],[Material]],Materials[],3,FALSE)*Reinforcements[[#This Row],[Net Area (in2)]]*Reinforcements[[#This Row],[Shear Lag (U)]])</f>
        <v/>
      </c>
      <c r="DL79" s="140" t="str">
        <f>IF(Reinforcements[[#This Row],[Reinforcement]]="","",φ_v*0.5*Reinforcements[[#This Row],[F''y]]*Reinforcements[[#This Row],[Gross Area (in2)]])</f>
        <v/>
      </c>
      <c r="DM79"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127"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127"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129" t="str">
        <f>IF(OR(Reinforcements[[#This Row],[Type]]="plate",Reinforcements[[#This Row],[Type]]="solid round"),"N/A",Reinforcements[[#This Row],[B (in)]])</f>
        <v/>
      </c>
      <c r="EB79" s="127" t="str">
        <f>IF(OR(Reinforcements[[#This Row],[Type]]="plate",Reinforcements[[#This Row],[Type]]="solid round"),"N/A",Reinforcements[[#This Row],[H (in)]])</f>
        <v/>
      </c>
      <c r="EC79" s="127" t="e">
        <f>IF(OR(Reinforcements[[#This Row],[Type]]="plate",Reinforcements[[#This Row],[Type]]="solid round"),"N/A",Reinforcements[[#This Row],[B (in)]]-Reinforcements[[#This Row],['[Channel'] Flange Thickness (in)]])</f>
        <v>#VALUE!</v>
      </c>
      <c r="ED79" s="127" t="str">
        <f>IF(OR(Reinforcements[[#This Row],[Type]]="plate",Reinforcements[[#This Row],[Type]]="solid round"),"N/A",Reinforcements[[#This Row],['[Channel']Web Thickness (in)]])</f>
        <v/>
      </c>
      <c r="EE79" s="127" t="str">
        <f>IF(OR(Reinforcements[[#This Row],[Type]]="plate",Reinforcements[[#This Row],[Type]]="solid round"),"N/A",Reinforcements[[#This Row],['[Channel'] Flange Thickness (in)]])</f>
        <v/>
      </c>
      <c r="EF79" s="127" t="str">
        <f>IF(Reinforcements[[#This Row],[Type]]="channel",Reinforcements[[#This Row],[Channel Flange Width, b]]/Reinforcements[[#This Row],[Channel flange thickness, tf]],"N/A")</f>
        <v>N/A</v>
      </c>
      <c r="EG79" s="127" t="str">
        <f>IF(Reinforcements[[#This Row],[Type]]="channel",Reinforcements[[#This Row],[Channel inside depth, T]]/Reinforcements[[#This Row],[Channel web thickness, tw]],"N/A")</f>
        <v>N/A</v>
      </c>
      <c r="EH79" s="6">
        <f>29000</f>
        <v>29000</v>
      </c>
      <c r="EI79" s="127" t="str">
        <f>IF(Reinforcements[[#This Row],[Type]]="channel",0.56*SQRT(Reinforcements[[#This Row],[E, (ksi)]]/Reinforcements[[#This Row],[Fy, (ksi)]]),"N/A")</f>
        <v>N/A</v>
      </c>
      <c r="EJ79" s="127" t="str">
        <f>IF(Reinforcements[[#This Row],[Type]]="channel",1.49*SQRT(Reinforcements[[#This Row],[E, (ksi)]]/Reinforcements[[#This Row],[Fy, (ksi)]]),"N/A")</f>
        <v>N/A</v>
      </c>
      <c r="EK79" s="127" t="e">
        <f>VLOOKUP(Reinforcements[[#This Row],[Material]],Materials!$B$2:$C$30,2,FALSE)</f>
        <v>#N/A</v>
      </c>
      <c r="EL79" s="127" t="e">
        <f>Reinforcements[[#This Row],[Lu (in)]]*Reinforcements[[#This Row],[Effective Length Factor Kx]]</f>
        <v>#VALUE!</v>
      </c>
      <c r="EM79" s="127" t="e">
        <f>Reinforcements[[#This Row],[Lu (in)]]*Reinforcements[[#This Row],[Effective Length Factor Ky]]</f>
        <v>#VALUE!</v>
      </c>
      <c r="EN79" s="127" t="str">
        <f>Reinforcements[[#This Row],[rx]]</f>
        <v/>
      </c>
      <c r="EO79" s="127" t="str">
        <f>Reinforcements[[#This Row],[ry]]</f>
        <v/>
      </c>
      <c r="EP79" s="127" t="e">
        <f>Reinforcements[[#This Row],[Lcx (in)]]/Reinforcements[[#This Row],[rx (in)]]</f>
        <v>#VALUE!</v>
      </c>
      <c r="EQ79" s="127" t="e">
        <f>Reinforcements[[#This Row],[Lcy (in)]]/Reinforcements[[#This Row],[ry (in)]]</f>
        <v>#VALUE!</v>
      </c>
      <c r="ER79" s="127" t="e">
        <f>((PI()^2)*Reinforcements[[#This Row],[E, (ksi)]])/(Reinforcements[[#This Row],[Lcx/rx]]^2)</f>
        <v>#VALUE!</v>
      </c>
      <c r="ES79" s="127" t="e">
        <f>((PI()^2)*Reinforcements[[#This Row],[E, (ksi)]])/(Reinforcements[[#This Row],[Lcy/ry]]^2)</f>
        <v>#VALUE!</v>
      </c>
      <c r="ET79" s="127" t="e">
        <f>4.71*(SQRT(Reinforcements[[#This Row],[E, (ksi)]]/Reinforcements[[#This Row],[Fy, (ksi)]]))</f>
        <v>#N/A</v>
      </c>
      <c r="EU79" s="127" t="e">
        <f>IF(Reinforcements[[#This Row],[Lcx/rx]]&lt;=Reinforcements[[#This Row],[Fcr Limit]],(0.658^(Reinforcements[[#This Row],[Fy, (ksi)]]/Reinforcements[[#This Row],[Fex, FB (ksi)]]))*Reinforcements[[#This Row],[Fy, (ksi)]],0.877*Reinforcements[[#This Row],[Fex, FB (ksi)]])</f>
        <v>#VALUE!</v>
      </c>
      <c r="EV79" s="127" t="e">
        <f>IF(Reinforcements[[#This Row],[Lcy/ry]]&lt;=Reinforcements[[#This Row],[Fcr Limit]],(0.658^(Reinforcements[[#This Row],[Fy, (ksi)]]/Reinforcements[[#This Row],[Fey, FB (ksi)]]))*Reinforcements[[#This Row],[Fy, (ksi)]],0.877*Reinforcements[[#This Row],[Fey, FB (ksi)]])</f>
        <v>#VALUE!</v>
      </c>
      <c r="EW79" s="127" t="e">
        <f>Reinforcements[[#This Row],[Fcrx (ksi)]]*Reinforcements[[#This Row],[Gross Area (in2)]]</f>
        <v>#VALUE!</v>
      </c>
      <c r="EX79" s="127" t="e">
        <f>Reinforcements[[#This Row],[Fcry (ksi)]]*Reinforcements[[#This Row],[Gross Area (in2)]]</f>
        <v>#VALUE!</v>
      </c>
      <c r="EY79" s="127" t="str">
        <f>IF(Reinforcements[[#This Row],[Type]]="channel",0,"N/A")</f>
        <v>N/A</v>
      </c>
      <c r="EZ79" s="127" t="str">
        <f>IF(Reinforcements[[#This Row],[Type]]="channel",Reinforcements[[#This Row],[Channel Flange Width, b]]-(0.5*Reinforcements[[#This Row],[Channel web thickness, tw]]),"N/A")</f>
        <v>N/A</v>
      </c>
      <c r="FA79" s="127" t="str">
        <f>IF(Reinforcements[[#This Row],[Type]]="channel",Reinforcements[[#This Row],[Channel Height, h]]-Reinforcements[[#This Row],[Channel flange thickness, tf]],"N/A")</f>
        <v>N/A</v>
      </c>
      <c r="FB79" s="127" t="str">
        <f>IF(Reinforcements[[#This Row],[Type]]="channel",Reinforcements[[#This Row],[Channel web thickness, tw]],"N/A")</f>
        <v>N/A</v>
      </c>
      <c r="FC79" s="127" t="str">
        <f>IF(Reinforcements[[#This Row],[Type]]="channel",((3*Reinforcements[[#This Row],[b]]^2)/(Reinforcements[[#This Row],[h]]+(6*Reinforcements[[#This Row],[b]])))-Reinforcements[[#This Row],[t]]/2,"N/A")</f>
        <v>N/A</v>
      </c>
      <c r="FD79" s="127" t="str">
        <f>Reinforcements[[#This Row],[Pole Face to Centroid (in)]]</f>
        <v/>
      </c>
      <c r="FE79" s="127" t="str">
        <f>IF(Reinforcements[[#This Row],[Type]]="channel",Reinforcements[[#This Row],[x(bar)]]+Reinforcements[[#This Row],['[Channel'] e0 (in)]],"N/A")</f>
        <v>N/A</v>
      </c>
      <c r="FF79" s="127" t="str">
        <f>IF(Reinforcements[[#This Row],[Type]]="channel",Reinforcements[[#This Row],[Ix]],"N/A")</f>
        <v>N/A</v>
      </c>
      <c r="FG79" s="127" t="str">
        <f>IF(Reinforcements[[#This Row],[Type]]="channel",Reinforcements[[#This Row],[Iy]],"N/A")</f>
        <v>N/A</v>
      </c>
      <c r="FH79" s="127" t="str">
        <f>IF(Reinforcements[[#This Row],[Type]]="channel",Reinforcements[[#This Row],[Gross Area (in2)]],"N/A")</f>
        <v>N/A</v>
      </c>
      <c r="FI79" s="127" t="str">
        <f>IF(Reinforcements[[#This Row],[Type]]="channel",(Reinforcements[[#This Row],[xo]]^2)+((Reinforcements[[#This Row],[Ix (FTB)]]+Reinforcements[[#This Row],[Iy (FTB)]])/Reinforcements[[#This Row],[Ag]]),"N/A")</f>
        <v>N/A</v>
      </c>
      <c r="FJ79" s="127" t="str">
        <f>IF(Reinforcements[[#This Row],[Type]]="channel",Reinforcements[[#This Row],[Lu (in)]],"N/A")</f>
        <v>N/A</v>
      </c>
      <c r="FK79" s="127" t="str">
        <f>IF(Reinforcements[[#This Row],[Type]]="channel",Reinforcements[[#This Row],[Effective Length Factor Kx]],"N/A")</f>
        <v>N/A</v>
      </c>
      <c r="FL79" s="127" t="str">
        <f>IF(Reinforcements[[#This Row],[Type]]="channel",Reinforcements[[#This Row],[Kz]]*Reinforcements[[#This Row],[Lz]],"N/A")</f>
        <v>N/A</v>
      </c>
      <c r="FM79" s="127" t="str">
        <f>IF(Reinforcements[[#This Row],[Type]]="channel",(((Reinforcements[[#This Row],[t]]^3)/3)*(Reinforcements[[#This Row],[h]]+(2*Reinforcements[[#This Row],[b]]))),"N/A")</f>
        <v>N/A</v>
      </c>
      <c r="FN79" s="127" t="str">
        <f>IF(Reinforcements[[#This Row],[Type]]="channel",(1-(((Reinforcements[[#This Row],[xo]]^2)+(Reinforcements[[#This Row],[yo]]^2))/Reinforcements[[#This Row],[ro^2(bar)]])),"N/A")</f>
        <v>N/A</v>
      </c>
      <c r="FO79" s="127">
        <v>11200</v>
      </c>
      <c r="FP79" s="127" t="str">
        <f>IF(Reinforcements[[#This Row],[Type]]="channel",(((Reinforcements[[#This Row],[h]]^2)*(Reinforcements[[#This Row],[b]]^3)*Reinforcements[[#This Row],[t]])/12)*(((2*Reinforcements[[#This Row],[h]])+(3*Reinforcements[[#This Row],[b]]))/(Reinforcements[[#This Row],[h]]+(6*Reinforcements[[#This Row],[b]]))),"N/A")</f>
        <v>N/A</v>
      </c>
      <c r="FQ79" s="127" t="str">
        <f>IF(Reinforcements[[#This Row],[Type]]="Channel",((((PI()^2)*Reinforcements[[#This Row],[E, (ksi)]]*Reinforcements[[#This Row],['[Channel'] CW (in6)]])/(Reinforcements[[#This Row],[Lcz]]^2))+(Reinforcements[[#This Row],[G]]*Reinforcements[[#This Row],['[Channel'] J (in4)]]))*(1/(Reinforcements[[#This Row],[Ag]]*Reinforcements[[#This Row],[ro^2(bar)]])),"N/A")</f>
        <v>N/A</v>
      </c>
      <c r="FR79" s="127" t="str">
        <f>IF(Reinforcements[[#This Row],[Type]]="channel",((PI()^2)*Reinforcements[[#This Row],[E, (ksi)]])/(Reinforcements[[#This Row],[Lcy/ry]]^2),"N/A")</f>
        <v>N/A</v>
      </c>
      <c r="FS79" s="127" t="str">
        <f>IF(Reinforcements[[#This Row],[Type]]="channel",((Reinforcements[[#This Row],[Fey]]+Reinforcements[[#This Row],[Fez]])/(2*Reinforcements[[#This Row],[H2]]))*(1-SQRT(1-((4*Reinforcements[[#This Row],[Fey]]*Reinforcements[[#This Row],[Fez]]*Reinforcements[[#This Row],[H2]])/(Reinforcements[[#This Row],[Fey]]+Reinforcements[[#This Row],[Fez]])^2))),"N/A")</f>
        <v>N/A</v>
      </c>
      <c r="FT79" s="127" t="str">
        <f>IF(Reinforcements[[#This Row],[Type]]="channel",IF(Reinforcements[[#This Row],[Lcx/rx]]&gt;(4.71*SQRT(Reinforcements[[#This Row],[E, (ksi)]]/Reinforcements[[#This Row],[Fy, (ksi)]])),0.877*Reinforcements[[#This Row],[Fe (FTB)]],0.658^(Reinforcements[[#This Row],[Fy, (ksi)]]/Reinforcements[[#This Row],[Fe (FTB)]])*Reinforcements[[#This Row],[Fy, (ksi)]]),"N/A")</f>
        <v>N/A</v>
      </c>
      <c r="FU79" s="127" t="str">
        <f>IF(Reinforcements[[#This Row],[Type]]="channel",MIN(Reinforcements[[#This Row],[Fcr(FTB)]],Reinforcements[[#This Row],[Fcry (ksi)]]),"N/A")</f>
        <v>N/A</v>
      </c>
      <c r="FV79" s="127">
        <v>0.22</v>
      </c>
      <c r="FW79" s="127">
        <v>1.49</v>
      </c>
      <c r="FX79" s="127" t="str">
        <f>IF(Reinforcements[[#This Row],[Type]]="channel",((Reinforcements[[#This Row],[c2]]*(Reinforcements[[#This Row],[λrf]]/Reinforcements[[#This Row],[λf]]))^2)*Reinforcements[[#This Row],[Fy, (ksi)]],"N/A")</f>
        <v>N/A</v>
      </c>
      <c r="FY79" s="127" t="str">
        <f>IF(Reinforcements[[#This Row],[Type]]="channel",((Reinforcements[[#This Row],[c2]]*(Reinforcements[[#This Row],[λrw]]/Reinforcements[[#This Row],[λw]]))^2)*Reinforcements[[#This Row],[Fy, (ksi)]],"N/A")</f>
        <v>N/A</v>
      </c>
      <c r="FZ79"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127" t="str">
        <f>IF(Reinforcements[[#This Row],[Type]]="channel",Reinforcements[[#This Row],[Fcr]]*Reinforcements[[#This Row],[Ae]],"N/A")</f>
        <v>N/A</v>
      </c>
      <c r="GD79" s="50" t="str">
        <f>IF(Reinforcements[[#This Row],[Reinforcement]]="","",φ_c*Reinforcements[[#This Row],[Pnx, FB (kip)]])</f>
        <v/>
      </c>
      <c r="GE79" s="50" t="str">
        <f>IF(Reinforcements[[#This Row],[Reinforcement]]="","",IF(Reinforcements[[#This Row],[Type]]="channel",φ_c*Reinforcements[[#This Row],[Pn]],φ_c*Reinforcements[[#This Row],[Pny, FB (kip)]]))</f>
        <v/>
      </c>
      <c r="GF79" s="50" t="str">
        <f>Reinforcements[[#This Row],[Rev. G Tension Yield Capacity (kips)]]</f>
        <v/>
      </c>
      <c r="GG79" s="50" t="str">
        <f>Reinforcements[[#This Row],[Rev. G Tension Rupture Capacity (kips)]]</f>
        <v/>
      </c>
      <c r="GH79" s="50" t="str">
        <f>Reinforcements[[#This Row],[Rev. G Shear Capacity (kips)]]</f>
        <v/>
      </c>
      <c r="GI79" s="50" t="str">
        <f>IFERROR((Reinforcements[[#This Row],['# of End Connection Bolts          (Bottom)]]-1)*Reinforcements[[#This Row],[End Connection Bolt Spacing (in) (B)]],"-")</f>
        <v>-</v>
      </c>
      <c r="GJ79" s="50" t="str">
        <f>IFERROR(IF(VLOOKUP(Reinforcements[[#This Row],[Bottom End Connection Bolt Type]],Bolts[],COLUMN(Bolts[[#Headers],[Rev. H Apply Connection Length Reduction Factor (Rb)?]])-1,FALSE)="Yes",(IF(Reinforcements[[#This Row],[Lb(bottom)]]&lt;=16,1,IF(Reinforcements[[#This Row],[Lb(bottom)]]&gt;38,0.75,0.9))),1),"-")</f>
        <v>-</v>
      </c>
      <c r="GK79"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50" t="str">
        <f>IFERROR(IF(Reinforcements[[#This Row],[Top End Connection Same?]]="Yes",Reinforcements[[#This Row],[Lb(bottom)]],(Reinforcements[[#This Row],['# of End Connection Bolts          (Top)]]-1)*Reinforcements[[#This Row],[End Connection Bolt Spacing (in) (T)]]),"-")</f>
        <v>-</v>
      </c>
      <c r="GM79" s="50" t="str">
        <f>IFERROR(IF(VLOOKUP(Reinforcements[[#This Row],[Top End Connection Bolt Type]],Bolts[],COLUMN(Bolts[[#Headers],[Rev. H Apply Connection Length Reduction Factor (Rb)?]])-1,FALSE)=TRUE,(IF(Reinforcements[[#This Row],[Lb(top)]]&lt;=16,1,IF(Reinforcements[[#This Row],[Lb(top)]]&gt;38,0.75,0.9))),1),"-")</f>
        <v>-</v>
      </c>
      <c r="GN79"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50" t="str">
        <f>Reinforcements[[#This Row],[Rev. G Bolt-Shaft Bearing Capacity (Bottom)                No Deformation          (*t*Fu kips)]]</f>
        <v>-</v>
      </c>
      <c r="GP79" s="50" t="str">
        <f>Reinforcements[[#This Row],[Rev. G Bolt-Shaft Bearing Capacity (Bottom)                   Deformation          (*t*Fu kips)]]</f>
        <v>-</v>
      </c>
      <c r="GQ79" s="50" t="str">
        <f>Reinforcements[[#This Row],[Rev. G Bolt-Shaft Bearing Capacity (Top)                    No Deformation          (*t*Fu kips)]]</f>
        <v>-</v>
      </c>
      <c r="GR79" s="50" t="str">
        <f>Reinforcements[[#This Row],[Rev. G Bolt-Shaft Bearing Capacity (Top)                        Deformation          (*t*Fu kips)]]</f>
        <v>-</v>
      </c>
      <c r="GS79" s="50" t="str">
        <f>Reinforcements[[#This Row],[Rev. G Bolt-Reinf. Bearing Capacity (Bottom)            No Deformation (kips)]]</f>
        <v>-</v>
      </c>
      <c r="GT79" s="50" t="str">
        <f>Reinforcements[[#This Row],[Rev. G Bolt-Reinf. Bearing Capacity (Bottom)               Deformation (kips)]]</f>
        <v>-</v>
      </c>
      <c r="GU79" s="50" t="str">
        <f>Reinforcements[[#This Row],[Rev. G Bolt-Reinf. Bearing Capacity (Top)                  No Deformation (kips)]]</f>
        <v>-</v>
      </c>
      <c r="GV79" s="50" t="str">
        <f>Reinforcements[[#This Row],[Rev. G Bolt-Reinf. Bearing Capacity (Top)               Deformation (kips)]]</f>
        <v>-</v>
      </c>
      <c r="GW79" s="50" t="str">
        <f>Reinforcements[[#This Row],[Rev. G Bottom Transverse Weld Strength]]</f>
        <v/>
      </c>
      <c r="GX79" s="50" t="str">
        <f>Reinforcements[[#This Row],[Rev. G Bottom Longitudinal Weld Strength]]</f>
        <v/>
      </c>
      <c r="GY79" s="50" t="str">
        <f>Reinforcements[[#This Row],[Rev. G Top Transverse Weld Strength]]</f>
        <v/>
      </c>
      <c r="GZ79" s="50" t="str">
        <f>Reinforcements[[#This Row],[Rev. G Top Longitudinal Weld Strength]]</f>
        <v/>
      </c>
      <c r="HA79">
        <v>77</v>
      </c>
      <c r="HB79"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94"/>
      <c r="C80" s="94"/>
      <c r="D80" s="127" t="str">
        <f>IF(Reinforcements[[#This Row],[Type]]="","",IF(Reinforcements[[#This Row],[Type]]="solid round","-",""))</f>
        <v/>
      </c>
      <c r="E80" s="127" t="str">
        <f>IF(Reinforcements[[#This Row],[Type]]="","",IF(Reinforcements[[#This Row],[Type]]="solid round","-",""))</f>
        <v/>
      </c>
      <c r="F80" s="127" t="str">
        <f>IF(Reinforcements[[#This Row],[Type]]="","",IF(Reinforcements[[#This Row],[Type]]="solid round","","n/a"))</f>
        <v/>
      </c>
      <c r="G80" s="127" t="str">
        <f>IF(Reinforcements[[#This Row],[Type]]="","",IF(Reinforcements[[#This Row],[Type]]&lt;&gt;"channel","n/a",""))</f>
        <v/>
      </c>
      <c r="H80" s="127" t="str">
        <f>IF(Reinforcements[[#This Row],[Type]]="","",IF(Reinforcements[[#This Row],[Type]]&lt;&gt;"channel","n/a",""))</f>
        <v/>
      </c>
      <c r="I80" s="140" t="str">
        <f>IF(Reinforcements[[#This Row],[Type]]="","",IF(Reinforcements[[#This Row],[Type]]&lt;&gt;"channel","n/a",Reinforcements[[#This Row],[eo]]))</f>
        <v/>
      </c>
      <c r="J80" s="140" t="str">
        <f>IF(Reinforcements[[#This Row],[Type]]="","",IF(Reinforcements[[#This Row],[Type]]&lt;&gt;"channel","n/a",Reinforcements[[#This Row],[J]]))</f>
        <v/>
      </c>
      <c r="K80" s="140" t="str">
        <f>IF(Reinforcements[[#This Row],[Type]]="","",IF(Reinforcements[[#This Row],[Type]]&lt;&gt;"channel","n/a",Reinforcements[[#This Row],[Cw]]))</f>
        <v/>
      </c>
      <c r="L80" s="127" t="str">
        <f>IFERROR(IF(Reinforcements[[#This Row],[Type]]="","",IF(Reinforcements[[#This Row],[Type]]="plate",Reinforcements[[#This Row],[B (in)]]*Reinforcements[[#This Row],[H (in)]],IF(Reinforcements[[#This Row],[Type]]="solid round",PI()/4*Reinforcements[[#This Row],[Diameter (in)]]^2,""))),"")</f>
        <v/>
      </c>
      <c r="M80" s="127" t="str">
        <f>IFERROR(IF(Reinforcements[[#This Row],[Type]]="","",IF(Reinforcements[[#This Row],[Type]]="plate",Reinforcements[[#This Row],[H (in)]]/2,"")),"")</f>
        <v/>
      </c>
      <c r="N80" s="128"/>
      <c r="O80" s="129"/>
      <c r="P80" s="135" t="str">
        <f>IFERROR(IF(Reinforcements[[#This Row],[Type]]="","",IF(Reinforcements[[#This Row],[Type]]="plate",Reinforcements[[#This Row],[B (in)]]*Reinforcements[[#This Row],[H (in)]]^3/12,IF(Reinforcements[[#This Row],[Type]]="solid round",PI()/64*Reinforcements[[#This Row],[Diameter (in)]]^4,""))),"")</f>
        <v/>
      </c>
      <c r="Q80" s="135" t="str">
        <f>IF(Reinforcements[[#This Row],[Reinforcement]]="","",SQRT(Reinforcements[[#This Row],[Ix]]/Reinforcements[[#This Row],[Gross Area (in2)]]))</f>
        <v/>
      </c>
      <c r="R80" s="135" t="str">
        <f>IFERROR(IF(Reinforcements[[#This Row],[Type]]="","",IF(Reinforcements[[#This Row],[Type]]="plate",Reinforcements[[#This Row],[B (in)]]^3*Reinforcements[[#This Row],[H (in)]]/12,IF(Reinforcements[[#This Row],[Type]]="solid round",PI()/64*Reinforcements[[#This Row],[Diameter (in)]]^4,""))),"")</f>
        <v/>
      </c>
      <c r="S80" s="135" t="str">
        <f>IF(Reinforcements[[#This Row],[Reinforcement]]="","",SQRT(Reinforcements[[#This Row],[Iy]]/Reinforcements[[#This Row],[Gross Area (in2)]]))</f>
        <v/>
      </c>
      <c r="T80" s="127"/>
      <c r="U80" s="127" t="str">
        <f>IF(Reinforcements[[#This Row],[Lu (in)]]="","",IF(Reinforcements[[#This Row],[Lu (in)]]=0,1,""))</f>
        <v/>
      </c>
      <c r="V80" s="127" t="str">
        <f>IF(Reinforcements[[#This Row],[Lu (in)]]="","",IF(Reinforcements[[#This Row],[Lu (in)]]=0,1,""))</f>
        <v/>
      </c>
      <c r="W80" s="127" t="str">
        <f>IF(Reinforcements[[#This Row],[Type]]="","",IF(Reinforcements[[#This Row],[Type]]="solid round",0,IF(Reinforcements[[#This Row],[Type]]="arbitrary","n/a","")))</f>
        <v/>
      </c>
      <c r="X80" s="127" t="str">
        <f>IF(Reinforcements[[#This Row],[Bolt Hole Size (in)]]="","",IF(Reinforcements[[#This Row],[Bolt Hole Size (in)]]="n/a","n/a",Reinforcements[[#This Row],[Bolt Hole Size (in)]]*25.4))</f>
        <v/>
      </c>
      <c r="Y80"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127" t="str">
        <f>IFERROR(IF(Reinforcements[[#This Row],[Reinforcement]]="","",IF(OR(Reinforcements[[#This Row],[Type]]="plate",Reinforcements[[#This Row],[Type]]="solid round"),1,IF(Reinforcements[[#This Row],[Type]]="arbitrary","",1-Reinforcements[[#This Row],[Pole Face to Centroid (in)]]/Reinforcements[[#This Row],[Connection Length (in) '[Channels']]]))),"")</f>
        <v/>
      </c>
      <c r="AA80" s="74"/>
      <c r="AB80" s="74" t="str">
        <f>IF(Reinforcements[[#This Row],[Reinforcement]]="","",IF(Reinforcements[[#This Row],[Bottom End Connection Type]]&lt;&gt;"Capacity Input","-",""))</f>
        <v/>
      </c>
      <c r="AC80" s="74" t="str">
        <f>IF(Reinforcements[[#This Row],[Reinforcement]]="","",IF(Reinforcements[[#This Row],[Bottom End Connection Type]]&lt;&gt;"Capacity Input","-",""))</f>
        <v/>
      </c>
      <c r="AD80" s="74" t="str">
        <f>IF(Reinforcements[[#This Row],[Reinforcement]]="","",IF(Reinforcements[[#This Row],[Bottom End Connection Type]]&lt;&gt;"Capacity Input","-",""))</f>
        <v/>
      </c>
      <c r="AE80" s="74" t="str">
        <f>IF(Reinforcements[[#This Row],[Reinforcement]]="","",IF(Reinforcements[[#This Row],[Bottom End Connection Type]]&lt;&gt;"Bolted","-",""))</f>
        <v/>
      </c>
      <c r="AF80" s="127" t="str">
        <f>IF(Reinforcements[[#This Row],[Reinforcement]]="","",IF(Reinforcements[[#This Row],[Bottom End Connection Type]]&lt;&gt;"Bolted","-",""))</f>
        <v/>
      </c>
      <c r="AG80" s="127" t="str">
        <f>IF(Reinforcements[[#This Row],[Reinforcement]]="","",IF(Reinforcements[[#This Row],[Bottom End Connection Type]]="","-",IF(Reinforcements[[#This Row],[Bottom End Connection Type]]&lt;&gt;"Bolted","-","")))</f>
        <v/>
      </c>
      <c r="AH80" s="127" t="str">
        <f>IF(Reinforcements[[#This Row],[Reinforcement]]="","",IF(Reinforcements[[#This Row],[Bottom End Connection Type]]="","-",IF(Reinforcements[[#This Row],[Bottom End Connection Type]]&lt;&gt;"Bolted","-","")))</f>
        <v/>
      </c>
      <c r="AI80" s="127" t="str">
        <f>IF(Reinforcements[[#This Row],[Reinforcement]]="","",IF(Reinforcements[[#This Row],[Bottom End Connection Type]]="","-",IF(Reinforcements[[#This Row],[Bottom End Connection Type]]&lt;&gt;"Bolted","-","")))</f>
        <v/>
      </c>
      <c r="AJ80" s="127" t="e">
        <f>Reinforcements[[#This Row],[End Connection Edge Distance (in) (B)]]-(Reinforcements[[#This Row],[Bolt Hole Size (in)]]+1/16)/2</f>
        <v>#VALUE!</v>
      </c>
      <c r="AK80" s="127" t="e">
        <f>Reinforcements[[#This Row],[End Connection Bolt Spacing (in) (B)]]-(Reinforcements[[#This Row],[Bolt Hole Size (in)]]+1/16)</f>
        <v>#VALUE!</v>
      </c>
      <c r="AL80" s="127" t="str">
        <f>Reinforcements[[#This Row],[End Connection Edge Distance (in) (B)]]</f>
        <v/>
      </c>
      <c r="AM80" s="127" t="str">
        <f>Reinforcements[[#This Row],[End Connection Bolt Spacing (in) (B)]]</f>
        <v/>
      </c>
      <c r="AN80" s="127" t="str">
        <f>IF(Reinforcements[[#This Row],[Reinforcement]]="","",IF(OR(Reinforcements[[#This Row],[Bottom End Connection Type]]="Bolted",Reinforcements[[#This Row],[Bottom End Connection Type]]=""),"-",""))</f>
        <v/>
      </c>
      <c r="AO80" s="129" t="str">
        <f>IF(Reinforcements[[#This Row],[Reinforcement]]="","",IF(Reinforcements[[#This Row],[Bottom End Connection Type]]&lt;&gt;"Welded","-",""))</f>
        <v/>
      </c>
      <c r="AP80" s="129" t="str">
        <f>IF(Reinforcements[[#This Row],[Reinforcement]]="","",IF(Reinforcements[[#This Row],[Bottom End Connection Type]]&lt;&gt;"Welded","-",""))</f>
        <v/>
      </c>
      <c r="AQ80" s="129" t="str">
        <f>IF(Reinforcements[[#This Row],[Reinforcement]]="","",IF(OR(Reinforcements[[#This Row],[Bottom End Connection Type]]&lt;&gt;"Welded",Reinforcements[[#This Row],[Bottom Transverse (Horizontal) Weld]]="None"),"-",""))</f>
        <v/>
      </c>
      <c r="AR80"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129" t="str">
        <f>IF(Reinforcements[[#This Row],[Reinforcement]]="","",IF(OR(Reinforcements[[#This Row],[Bottom Transverse (Horizontal) Weld]]="None",Reinforcements[[#This Row],[Bottom End Connection Type]]&lt;&gt;"Welded"),"-",""))</f>
        <v/>
      </c>
      <c r="AU80"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129" t="str">
        <f>IF(Reinforcements[[#This Row],[Reinforcement]]="","",IF(OR(Reinforcements[[#This Row],[Bottom End Connection Type]]&lt;&gt;"Welded",Reinforcements[[#This Row],[Bottom End Connection Type]]=""),"-",""))</f>
        <v/>
      </c>
      <c r="AW80" s="129" t="str">
        <f>IF(Reinforcements[[#This Row],[Reinforcement]]="","",IF(OR(Reinforcements[[#This Row],[Bottom End Connection Type]]&lt;&gt;"Welded",Reinforcements[[#This Row],[Bottom Longitudinal (Vertical) Weld]]="None",Reinforcements[[#This Row],[Bottom Longitudinal (Vertical) Weld]]=""),"-",""))</f>
        <v/>
      </c>
      <c r="AX80" s="129" t="str">
        <f>IF(Reinforcements[[#This Row],[Reinforcement]]="","",IF(OR(Reinforcements[[#This Row],[Bottom End Connection Type]]&lt;&gt;"Welded",Reinforcements[[#This Row],[Bottom Longitudinal (Vertical) Weld]]="None",Reinforcements[[#This Row],[Bottom Longitudinal (Vertical) Weld]]=""),"-",""))</f>
        <v/>
      </c>
      <c r="AY80" s="127" t="str">
        <f>IF(Reinforcements[[#This Row],[Reinforcement]]="","",IF(OR(Reinforcements[[#This Row],[Bottom End Connection Type]]&lt;&gt;"Welded",Reinforcements[[#This Row],[Bottom Longitudinal (Vertical) Weld]]="None"),"-",SQRT(2)/2*Reinforcements[[#This Row],[Bottom Longitudinal Weld Fillet Size (in)]]))</f>
        <v/>
      </c>
      <c r="AZ80" s="127"/>
      <c r="BA80" s="74" t="str">
        <f>IF(Reinforcements[[#This Row],[Top End Connection Same?]]="Yes",Reinforcements[[#This Row],[Bottom End Connection Type]],"")</f>
        <v/>
      </c>
      <c r="BB80" s="74" t="str">
        <f>IF(Reinforcements[[#This Row],[Reinforcement]]="","",IF(Reinforcements[[#This Row],[Top End Connection Same?]]="Yes",Reinforcements[[#This Row],[Rev. F Bottom Connection Capacity (kips)]],IF(Reinforcements[[#This Row],[Reinforcement]]="","",IF(Reinforcements[[#This Row],[Top End Connection Type]]&lt;&gt;"Capacity Input","-",""))))</f>
        <v/>
      </c>
      <c r="BC80" s="74" t="str">
        <f>IF(Reinforcements[[#This Row],[Reinforcement]]="","",IF(Reinforcements[[#This Row],[Top End Connection Same?]]="Yes",Reinforcements[[#This Row],[Rev. G Bottom Connection Capacity (kips)]],IF(Reinforcements[[#This Row],[Reinforcement]]="","",IF(Reinforcements[[#This Row],[Top End Connection Type]]&lt;&gt;"Capacity Input","-",""))))</f>
        <v/>
      </c>
      <c r="BD80" s="74" t="str">
        <f>IF(Reinforcements[[#This Row],[Reinforcement]]="","",IF(Reinforcements[[#This Row],[Top End Connection Same?]]="Yes",Reinforcements[[#This Row],[Rev. G Bottom Connection Capacity (kips)]],IF(Reinforcements[[#This Row],[Reinforcement]]="","",IF(Reinforcements[[#This Row],[Top End Connection Type]]&lt;&gt;"Capacity Input","-",""))))</f>
        <v/>
      </c>
      <c r="BE80" s="74" t="str">
        <f>IF(Reinforcements[[#This Row],[Reinforcement]]="","",IF(Reinforcements[[#This Row],[Top End Connection Same?]]="Yes",Reinforcements[[#This Row],[Bottom End Connection Bolt Type]],IF(Reinforcements[[#This Row],[Top End Connection Type]]&lt;&gt;"Bolted","-","")))</f>
        <v/>
      </c>
      <c r="BF80" s="127" t="str">
        <f>IF(Reinforcements[[#This Row],[Reinforcement]]="","",IF(Reinforcements[[#This Row],[Top End Connection Same?]]="Yes",Reinforcements[[#This Row],[Threads Included (N) or Excluded (X) (Bottom)]],IF(Reinforcements[[#This Row],[Top End Connection Type]]&lt;&gt;"Bolted","-","")))</f>
        <v/>
      </c>
      <c r="BG80" s="127" t="str">
        <f>IF(Reinforcements[[#This Row],[Reinforcement]]="","",IF(Reinforcements[[#This Row],[Top End Connection Same?]]="Yes",Reinforcements[[#This Row],['# of End Connection Bolts          (Bottom)]],IF(Reinforcements[[#This Row],[Top End Connection Type]]&lt;&gt;"Bolted","-","")))</f>
        <v/>
      </c>
      <c r="BH80" s="127" t="str">
        <f>IF(Reinforcements[[#This Row],[Reinforcement]]="","",IF(Reinforcements[[#This Row],[Top End Connection Same?]]="Yes",Reinforcements[[#This Row],[End Connection Bolt Spacing (in) (B)]],IF(Reinforcements[[#This Row],[Top End Connection Type]]&lt;&gt;"Bolted","-","")))</f>
        <v/>
      </c>
      <c r="BI80" s="127" t="str">
        <f>IF(Reinforcements[[#This Row],[Reinforcement]]="","",IF(Reinforcements[[#This Row],[Top End Connection Same?]]="Yes",Reinforcements[[#This Row],[End Connection Edge Distance (in) (B)]],IF(Reinforcements[[#This Row],[Top End Connection Type]]&lt;&gt;"Bolted","-","")))</f>
        <v/>
      </c>
      <c r="BJ80" s="127" t="e">
        <f>Reinforcements[[#This Row],[End Connection Edge Distance (in) (T)]]-(Reinforcements[[#This Row],[Bolt Hole Size (in)]]+1/16)/2</f>
        <v>#VALUE!</v>
      </c>
      <c r="BK80" s="127" t="e">
        <f>Reinforcements[[#This Row],[End Connection Bolt Spacing (in) (T)]]-(Reinforcements[[#This Row],[Bolt Hole Size (in)]]+1/16)</f>
        <v>#VALUE!</v>
      </c>
      <c r="BL80" s="127" t="str">
        <f>Reinforcements[[#This Row],[End Connection Edge Distance (in) (T)]]</f>
        <v/>
      </c>
      <c r="BM80" s="127" t="str">
        <f>Reinforcements[[#This Row],[End Connection Bolt Spacing (in) (T)]]</f>
        <v/>
      </c>
      <c r="BN80" s="127" t="str">
        <f>IF(Reinforcements[[#This Row],[Reinforcement]]="","",IF(Reinforcements[[#This Row],[Top End Connection Same?]]="Yes",Reinforcements[[#This Row],[Bottom Connected to Flange/Base Plate?]],IF(Reinforcements[[#This Row],[Top End Connection Type]]="Bolted","-","")))</f>
        <v/>
      </c>
      <c r="BO80" s="127" t="str">
        <f>IF(Reinforcements[[#This Row],[Reinforcement]]="","",IF(Reinforcements[[#This Row],[Top End Connection Same?]]="Yes",Reinforcements[[#This Row],[Bottom Weld Grade (ksi)]],IF(OR(Reinforcements[[#This Row],[Top End Connection Type]]&lt;&gt;"Welded",Reinforcements[[#This Row],[Top End Connection Type]]=""),"-","")))</f>
        <v/>
      </c>
      <c r="BP80" s="127" t="str">
        <f>IF($AZ80="Yes",AP80,IF(Reinforcements[[#This Row],[Reinforcement]]="","",IF(OR(Reinforcements[[#This Row],[Top End Connection Type]]&lt;&gt;"Welded",Reinforcements[[#This Row],[Top End Connection Type]]=""),"-","")))</f>
        <v/>
      </c>
      <c r="BQ80" s="127" t="str">
        <f>IF(Reinforcements[[#This Row],[Reinforcement]]="","",IF($AZ80="Yes",AQ80,IF(OR(Reinforcements[[#This Row],[Top End Connection Type]]&lt;&gt;"Welded",Reinforcements[[#This Row],[Top Transverse (Horizontal) Weld]]="none",Reinforcements[[#This Row],[Top Transverse (Horizontal) Weld]]=""),"-","")))</f>
        <v/>
      </c>
      <c r="BR80" s="127"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127"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127" t="str">
        <f>IF(Reinforcements[[#This Row],[Reinforcement]]="","",IF($AZ80="Yes",AT80,IF(OR(Reinforcements[[#This Row],[Top Transverse (Horizontal) Weld]]="none",Reinforcements[[#This Row],[Top End Connection Type]]&lt;&gt;"Welded",Reinforcements[[#This Row],[Top Transverse (Horizontal) Weld]]=""),"-","")))</f>
        <v/>
      </c>
      <c r="BU80" s="127"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127" t="str">
        <f>IF($AZ80="Yes",AV80,IF(Reinforcements[[#This Row],[Reinforcement]]="","",IF(OR(Reinforcements[[#This Row],[Top End Connection Type]]&lt;&gt;"Welded",Reinforcements[[#This Row],[Top End Connection Type]]=""),"-","")))</f>
        <v/>
      </c>
      <c r="BW80" s="127"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127"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127" t="str">
        <f>IF($AZ80="Yes",AY80,IF(Reinforcements[[#This Row],[Reinforcement]]="","",IF(OR(Reinforcements[[#This Row],[Top End Connection Type]]&lt;&gt;"Welded",Reinforcements[[#This Row],[Top Longitudinal (Vertical) Weld]]="none"),"-",SQRT(2)/2*Reinforcements[[#This Row],[Top Longitudinal Weld Fillet Size (in)]])))</f>
        <v/>
      </c>
      <c r="BZ80"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129" t="str">
        <f>IF(Reinforcements[[#This Row],[Reinforcement]]="","",IF(Reinforcements[[#This Row],[Top End Connection Type]]&lt;&gt;"Bolted","n/a",(Reinforcements[[#This Row],['# of End Connection Bolts          (Top)]]-1)*Reinforcements[[#This Row],[End Connection Bolt Spacing (in) (T)]]+Reinforcements[[#This Row],[End Connection Edge Distance (in) (T)]]))</f>
        <v/>
      </c>
      <c r="CC80"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127" t="str">
        <f>IFERROR(IF(Reinforcements[[#This Row],[Type]]="","",Reinforcements[[#This Row],[Effective B (in)]]*Reinforcements[[#This Row],[Effective H (in)]]^3/12),"")</f>
        <v/>
      </c>
      <c r="CF80" s="127" t="str">
        <f>IFERROR(IF(Reinforcements[[#This Row],[Type]]="","",Reinforcements[[#This Row],[Effective B (in)]]^3*Reinforcements[[#This Row],[Effective H (in)]]/12),"")</f>
        <v/>
      </c>
      <c r="CG80" s="140" t="e">
        <f>SQRT(2*PI()^2*29000/VLOOKUP(Reinforcements[[#This Row],[Material]],Materials[],2,FALSE))</f>
        <v>#N/A</v>
      </c>
      <c r="CH80"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135" t="e">
        <f>Reinforcements[[#This Row],[Effective Length Factor Kx]]*Reinforcements[[#This Row],[Lu (in)]]/(Reinforcements[[#This Row],[rx]]*PI())*SQRT(VLOOKUP(Reinforcements[[#This Row],[Material]],Materials[],2,FALSE)/29000)</f>
        <v>#VALUE!</v>
      </c>
      <c r="CK80" s="135" t="e">
        <f>Reinforcements[[#This Row],[Effective Length Factor Ky]]*Reinforcements[[#This Row],[Lu (in)]]/(Reinforcements[[#This Row],[ry]]*PI())*SQRT(VLOOKUP(Reinforcements[[#This Row],[Material]],Materials[],2,FALSE)/29000)</f>
        <v>#VALUE!</v>
      </c>
      <c r="CL80" s="135" t="e">
        <f>IF(Reinforcements[[#This Row],[λcx]]&lt;=1.5,0.658^(Reinforcements[[#This Row],[λcx]]^2)*Reinforcements[[#This Row],[F''y]],0.877/(Reinforcements[[#This Row],[λcx]]^2)*Reinforcements[[#This Row],[F''y]])</f>
        <v>#VALUE!</v>
      </c>
      <c r="CM80" s="135" t="e">
        <f>IF(Reinforcements[[#This Row],[λcy]]&lt;=1.5,0.658^(Reinforcements[[#This Row],[λcy]]^2)*Reinforcements[[#This Row],[F''y]],0.877/(Reinforcements[[#This Row],[λcy]]^2)*Reinforcements[[#This Row],[F''y]])</f>
        <v>#VALUE!</v>
      </c>
      <c r="CN80" s="127" t="e">
        <f>VLOOKUP(Reinforcements[[#This Row],[Material]],Materials[],2,FALSE)</f>
        <v>#N/A</v>
      </c>
      <c r="CO80" s="140" t="str">
        <f>IF(Reinforcements[[#This Row],[Reinforcement]]="","",Reinforcements[[#This Row],[Fax]]*Reinforcements[[#This Row],[Gross Area (in2)]])</f>
        <v/>
      </c>
      <c r="CP80" s="140" t="str">
        <f>IF(Reinforcements[[#This Row],[Reinforcement]]="","",Reinforcements[[#This Row],[Fay]]*Reinforcements[[#This Row],[Gross Area (in2)]])</f>
        <v/>
      </c>
      <c r="CQ80" s="140" t="str">
        <f>IF(Reinforcements[[#This Row],[Reinforcement]]="","",0.6*VLOOKUP(Reinforcements[[#This Row],[Material]],Materials[],2,FALSE)*Reinforcements[[#This Row],[Gross Area (in2)]])</f>
        <v/>
      </c>
      <c r="CR80" s="140" t="str">
        <f>IF(Reinforcements[[#This Row],[Reinforcement]]="","",0.5*VLOOKUP(Reinforcements[[#This Row],[Material]],Materials[],3,FALSE)*Reinforcements[[#This Row],[Net Area (in2)]]*Reinforcements[[#This Row],[Shear Lag (U)]])</f>
        <v/>
      </c>
      <c r="CS80" s="140" t="str">
        <f>IF(Reinforcements[[#This Row],[Reinforcement]]="","",0.4*VLOOKUP(Reinforcements[[#This Row],[Material]],Materials[],2,FALSE)*Reinforcements[[#This Row],[Gross Area (in2)]])</f>
        <v/>
      </c>
      <c r="CT80"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127"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127"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140" t="str">
        <f>IF(Reinforcements[[#This Row],[Reinforcement]]="","",φ_c*Reinforcements[[#This Row],[Fcr,x]]*Reinforcements[[#This Row],[Gross Area (in2)]])</f>
        <v/>
      </c>
      <c r="DI80" s="140" t="str">
        <f>IF(Reinforcements[[#This Row],[Reinforcement]]="","",φ_c*Reinforcements[[#This Row],[Fcr,y]]*Reinforcements[[#This Row],[Gross Area (in2)]])</f>
        <v/>
      </c>
      <c r="DJ80" s="140" t="str">
        <f>IF(Reinforcements[[#This Row],[Reinforcement]]="","",φ_t_y*VLOOKUP(Reinforcements[[#This Row],[Material]],Materials[],2,FALSE)*Reinforcements[[#This Row],[Gross Area (in2)]])</f>
        <v/>
      </c>
      <c r="DK80" s="140" t="str">
        <f>IF(Reinforcements[[#This Row],[Reinforcement]]="","",φ_t_r*VLOOKUP(Reinforcements[[#This Row],[Material]],Materials[],3,FALSE)*Reinforcements[[#This Row],[Net Area (in2)]]*Reinforcements[[#This Row],[Shear Lag (U)]])</f>
        <v/>
      </c>
      <c r="DL80" s="140" t="str">
        <f>IF(Reinforcements[[#This Row],[Reinforcement]]="","",φ_v*0.5*Reinforcements[[#This Row],[F''y]]*Reinforcements[[#This Row],[Gross Area (in2)]])</f>
        <v/>
      </c>
      <c r="DM80"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127"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127"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129" t="str">
        <f>IF(OR(Reinforcements[[#This Row],[Type]]="plate",Reinforcements[[#This Row],[Type]]="solid round"),"N/A",Reinforcements[[#This Row],[B (in)]])</f>
        <v/>
      </c>
      <c r="EB80" s="127" t="str">
        <f>IF(OR(Reinforcements[[#This Row],[Type]]="plate",Reinforcements[[#This Row],[Type]]="solid round"),"N/A",Reinforcements[[#This Row],[H (in)]])</f>
        <v/>
      </c>
      <c r="EC80" s="127" t="e">
        <f>IF(OR(Reinforcements[[#This Row],[Type]]="plate",Reinforcements[[#This Row],[Type]]="solid round"),"N/A",Reinforcements[[#This Row],[B (in)]]-Reinforcements[[#This Row],['[Channel'] Flange Thickness (in)]])</f>
        <v>#VALUE!</v>
      </c>
      <c r="ED80" s="127" t="str">
        <f>IF(OR(Reinforcements[[#This Row],[Type]]="plate",Reinforcements[[#This Row],[Type]]="solid round"),"N/A",Reinforcements[[#This Row],['[Channel']Web Thickness (in)]])</f>
        <v/>
      </c>
      <c r="EE80" s="127" t="str">
        <f>IF(OR(Reinforcements[[#This Row],[Type]]="plate",Reinforcements[[#This Row],[Type]]="solid round"),"N/A",Reinforcements[[#This Row],['[Channel'] Flange Thickness (in)]])</f>
        <v/>
      </c>
      <c r="EF80" s="127" t="str">
        <f>IF(Reinforcements[[#This Row],[Type]]="channel",Reinforcements[[#This Row],[Channel Flange Width, b]]/Reinforcements[[#This Row],[Channel flange thickness, tf]],"N/A")</f>
        <v>N/A</v>
      </c>
      <c r="EG80" s="127" t="str">
        <f>IF(Reinforcements[[#This Row],[Type]]="channel",Reinforcements[[#This Row],[Channel inside depth, T]]/Reinforcements[[#This Row],[Channel web thickness, tw]],"N/A")</f>
        <v>N/A</v>
      </c>
      <c r="EH80" s="6">
        <f>29000</f>
        <v>29000</v>
      </c>
      <c r="EI80" s="127" t="str">
        <f>IF(Reinforcements[[#This Row],[Type]]="channel",0.56*SQRT(Reinforcements[[#This Row],[E, (ksi)]]/Reinforcements[[#This Row],[Fy, (ksi)]]),"N/A")</f>
        <v>N/A</v>
      </c>
      <c r="EJ80" s="127" t="str">
        <f>IF(Reinforcements[[#This Row],[Type]]="channel",1.49*SQRT(Reinforcements[[#This Row],[E, (ksi)]]/Reinforcements[[#This Row],[Fy, (ksi)]]),"N/A")</f>
        <v>N/A</v>
      </c>
      <c r="EK80" s="127" t="e">
        <f>VLOOKUP(Reinforcements[[#This Row],[Material]],Materials!$B$2:$C$30,2,FALSE)</f>
        <v>#N/A</v>
      </c>
      <c r="EL80" s="127" t="e">
        <f>Reinforcements[[#This Row],[Lu (in)]]*Reinforcements[[#This Row],[Effective Length Factor Kx]]</f>
        <v>#VALUE!</v>
      </c>
      <c r="EM80" s="127" t="e">
        <f>Reinforcements[[#This Row],[Lu (in)]]*Reinforcements[[#This Row],[Effective Length Factor Ky]]</f>
        <v>#VALUE!</v>
      </c>
      <c r="EN80" s="127" t="str">
        <f>Reinforcements[[#This Row],[rx]]</f>
        <v/>
      </c>
      <c r="EO80" s="127" t="str">
        <f>Reinforcements[[#This Row],[ry]]</f>
        <v/>
      </c>
      <c r="EP80" s="127" t="e">
        <f>Reinforcements[[#This Row],[Lcx (in)]]/Reinforcements[[#This Row],[rx (in)]]</f>
        <v>#VALUE!</v>
      </c>
      <c r="EQ80" s="127" t="e">
        <f>Reinforcements[[#This Row],[Lcy (in)]]/Reinforcements[[#This Row],[ry (in)]]</f>
        <v>#VALUE!</v>
      </c>
      <c r="ER80" s="127" t="e">
        <f>((PI()^2)*Reinforcements[[#This Row],[E, (ksi)]])/(Reinforcements[[#This Row],[Lcx/rx]]^2)</f>
        <v>#VALUE!</v>
      </c>
      <c r="ES80" s="127" t="e">
        <f>((PI()^2)*Reinforcements[[#This Row],[E, (ksi)]])/(Reinforcements[[#This Row],[Lcy/ry]]^2)</f>
        <v>#VALUE!</v>
      </c>
      <c r="ET80" s="127" t="e">
        <f>4.71*(SQRT(Reinforcements[[#This Row],[E, (ksi)]]/Reinforcements[[#This Row],[Fy, (ksi)]]))</f>
        <v>#N/A</v>
      </c>
      <c r="EU80" s="127" t="e">
        <f>IF(Reinforcements[[#This Row],[Lcx/rx]]&lt;=Reinforcements[[#This Row],[Fcr Limit]],(0.658^(Reinforcements[[#This Row],[Fy, (ksi)]]/Reinforcements[[#This Row],[Fex, FB (ksi)]]))*Reinforcements[[#This Row],[Fy, (ksi)]],0.877*Reinforcements[[#This Row],[Fex, FB (ksi)]])</f>
        <v>#VALUE!</v>
      </c>
      <c r="EV80" s="127" t="e">
        <f>IF(Reinforcements[[#This Row],[Lcy/ry]]&lt;=Reinforcements[[#This Row],[Fcr Limit]],(0.658^(Reinforcements[[#This Row],[Fy, (ksi)]]/Reinforcements[[#This Row],[Fey, FB (ksi)]]))*Reinforcements[[#This Row],[Fy, (ksi)]],0.877*Reinforcements[[#This Row],[Fey, FB (ksi)]])</f>
        <v>#VALUE!</v>
      </c>
      <c r="EW80" s="127" t="e">
        <f>Reinforcements[[#This Row],[Fcrx (ksi)]]*Reinforcements[[#This Row],[Gross Area (in2)]]</f>
        <v>#VALUE!</v>
      </c>
      <c r="EX80" s="127" t="e">
        <f>Reinforcements[[#This Row],[Fcry (ksi)]]*Reinforcements[[#This Row],[Gross Area (in2)]]</f>
        <v>#VALUE!</v>
      </c>
      <c r="EY80" s="127" t="str">
        <f>IF(Reinforcements[[#This Row],[Type]]="channel",0,"N/A")</f>
        <v>N/A</v>
      </c>
      <c r="EZ80" s="127" t="str">
        <f>IF(Reinforcements[[#This Row],[Type]]="channel",Reinforcements[[#This Row],[Channel Flange Width, b]]-(0.5*Reinforcements[[#This Row],[Channel web thickness, tw]]),"N/A")</f>
        <v>N/A</v>
      </c>
      <c r="FA80" s="127" t="str">
        <f>IF(Reinforcements[[#This Row],[Type]]="channel",Reinforcements[[#This Row],[Channel Height, h]]-Reinforcements[[#This Row],[Channel flange thickness, tf]],"N/A")</f>
        <v>N/A</v>
      </c>
      <c r="FB80" s="127" t="str">
        <f>IF(Reinforcements[[#This Row],[Type]]="channel",Reinforcements[[#This Row],[Channel web thickness, tw]],"N/A")</f>
        <v>N/A</v>
      </c>
      <c r="FC80" s="127" t="str">
        <f>IF(Reinforcements[[#This Row],[Type]]="channel",((3*Reinforcements[[#This Row],[b]]^2)/(Reinforcements[[#This Row],[h]]+(6*Reinforcements[[#This Row],[b]])))-Reinforcements[[#This Row],[t]]/2,"N/A")</f>
        <v>N/A</v>
      </c>
      <c r="FD80" s="127" t="str">
        <f>Reinforcements[[#This Row],[Pole Face to Centroid (in)]]</f>
        <v/>
      </c>
      <c r="FE80" s="127" t="str">
        <f>IF(Reinforcements[[#This Row],[Type]]="channel",Reinforcements[[#This Row],[x(bar)]]+Reinforcements[[#This Row],['[Channel'] e0 (in)]],"N/A")</f>
        <v>N/A</v>
      </c>
      <c r="FF80" s="127" t="str">
        <f>IF(Reinforcements[[#This Row],[Type]]="channel",Reinforcements[[#This Row],[Ix]],"N/A")</f>
        <v>N/A</v>
      </c>
      <c r="FG80" s="127" t="str">
        <f>IF(Reinforcements[[#This Row],[Type]]="channel",Reinforcements[[#This Row],[Iy]],"N/A")</f>
        <v>N/A</v>
      </c>
      <c r="FH80" s="127" t="str">
        <f>IF(Reinforcements[[#This Row],[Type]]="channel",Reinforcements[[#This Row],[Gross Area (in2)]],"N/A")</f>
        <v>N/A</v>
      </c>
      <c r="FI80" s="127" t="str">
        <f>IF(Reinforcements[[#This Row],[Type]]="channel",(Reinforcements[[#This Row],[xo]]^2)+((Reinforcements[[#This Row],[Ix (FTB)]]+Reinforcements[[#This Row],[Iy (FTB)]])/Reinforcements[[#This Row],[Ag]]),"N/A")</f>
        <v>N/A</v>
      </c>
      <c r="FJ80" s="127" t="str">
        <f>IF(Reinforcements[[#This Row],[Type]]="channel",Reinforcements[[#This Row],[Lu (in)]],"N/A")</f>
        <v>N/A</v>
      </c>
      <c r="FK80" s="127" t="str">
        <f>IF(Reinforcements[[#This Row],[Type]]="channel",Reinforcements[[#This Row],[Effective Length Factor Kx]],"N/A")</f>
        <v>N/A</v>
      </c>
      <c r="FL80" s="127" t="str">
        <f>IF(Reinforcements[[#This Row],[Type]]="channel",Reinforcements[[#This Row],[Kz]]*Reinforcements[[#This Row],[Lz]],"N/A")</f>
        <v>N/A</v>
      </c>
      <c r="FM80" s="127" t="str">
        <f>IF(Reinforcements[[#This Row],[Type]]="channel",(((Reinforcements[[#This Row],[t]]^3)/3)*(Reinforcements[[#This Row],[h]]+(2*Reinforcements[[#This Row],[b]]))),"N/A")</f>
        <v>N/A</v>
      </c>
      <c r="FN80" s="127" t="str">
        <f>IF(Reinforcements[[#This Row],[Type]]="channel",(1-(((Reinforcements[[#This Row],[xo]]^2)+(Reinforcements[[#This Row],[yo]]^2))/Reinforcements[[#This Row],[ro^2(bar)]])),"N/A")</f>
        <v>N/A</v>
      </c>
      <c r="FO80" s="127">
        <v>11200</v>
      </c>
      <c r="FP80" s="127" t="str">
        <f>IF(Reinforcements[[#This Row],[Type]]="channel",(((Reinforcements[[#This Row],[h]]^2)*(Reinforcements[[#This Row],[b]]^3)*Reinforcements[[#This Row],[t]])/12)*(((2*Reinforcements[[#This Row],[h]])+(3*Reinforcements[[#This Row],[b]]))/(Reinforcements[[#This Row],[h]]+(6*Reinforcements[[#This Row],[b]]))),"N/A")</f>
        <v>N/A</v>
      </c>
      <c r="FQ80" s="127" t="str">
        <f>IF(Reinforcements[[#This Row],[Type]]="Channel",((((PI()^2)*Reinforcements[[#This Row],[E, (ksi)]]*Reinforcements[[#This Row],['[Channel'] CW (in6)]])/(Reinforcements[[#This Row],[Lcz]]^2))+(Reinforcements[[#This Row],[G]]*Reinforcements[[#This Row],['[Channel'] J (in4)]]))*(1/(Reinforcements[[#This Row],[Ag]]*Reinforcements[[#This Row],[ro^2(bar)]])),"N/A")</f>
        <v>N/A</v>
      </c>
      <c r="FR80" s="127" t="str">
        <f>IF(Reinforcements[[#This Row],[Type]]="channel",((PI()^2)*Reinforcements[[#This Row],[E, (ksi)]])/(Reinforcements[[#This Row],[Lcy/ry]]^2),"N/A")</f>
        <v>N/A</v>
      </c>
      <c r="FS80" s="127" t="str">
        <f>IF(Reinforcements[[#This Row],[Type]]="channel",((Reinforcements[[#This Row],[Fey]]+Reinforcements[[#This Row],[Fez]])/(2*Reinforcements[[#This Row],[H2]]))*(1-SQRT(1-((4*Reinforcements[[#This Row],[Fey]]*Reinforcements[[#This Row],[Fez]]*Reinforcements[[#This Row],[H2]])/(Reinforcements[[#This Row],[Fey]]+Reinforcements[[#This Row],[Fez]])^2))),"N/A")</f>
        <v>N/A</v>
      </c>
      <c r="FT80" s="127" t="str">
        <f>IF(Reinforcements[[#This Row],[Type]]="channel",IF(Reinforcements[[#This Row],[Lcx/rx]]&gt;(4.71*SQRT(Reinforcements[[#This Row],[E, (ksi)]]/Reinforcements[[#This Row],[Fy, (ksi)]])),0.877*Reinforcements[[#This Row],[Fe (FTB)]],0.658^(Reinforcements[[#This Row],[Fy, (ksi)]]/Reinforcements[[#This Row],[Fe (FTB)]])*Reinforcements[[#This Row],[Fy, (ksi)]]),"N/A")</f>
        <v>N/A</v>
      </c>
      <c r="FU80" s="127" t="str">
        <f>IF(Reinforcements[[#This Row],[Type]]="channel",MIN(Reinforcements[[#This Row],[Fcr(FTB)]],Reinforcements[[#This Row],[Fcry (ksi)]]),"N/A")</f>
        <v>N/A</v>
      </c>
      <c r="FV80" s="127">
        <v>0.22</v>
      </c>
      <c r="FW80" s="127">
        <v>1.49</v>
      </c>
      <c r="FX80" s="127" t="str">
        <f>IF(Reinforcements[[#This Row],[Type]]="channel",((Reinforcements[[#This Row],[c2]]*(Reinforcements[[#This Row],[λrf]]/Reinforcements[[#This Row],[λf]]))^2)*Reinforcements[[#This Row],[Fy, (ksi)]],"N/A")</f>
        <v>N/A</v>
      </c>
      <c r="FY80" s="127" t="str">
        <f>IF(Reinforcements[[#This Row],[Type]]="channel",((Reinforcements[[#This Row],[c2]]*(Reinforcements[[#This Row],[λrw]]/Reinforcements[[#This Row],[λw]]))^2)*Reinforcements[[#This Row],[Fy, (ksi)]],"N/A")</f>
        <v>N/A</v>
      </c>
      <c r="FZ80"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127" t="str">
        <f>IF(Reinforcements[[#This Row],[Type]]="channel",Reinforcements[[#This Row],[Fcr]]*Reinforcements[[#This Row],[Ae]],"N/A")</f>
        <v>N/A</v>
      </c>
      <c r="GD80" s="50" t="str">
        <f>IF(Reinforcements[[#This Row],[Reinforcement]]="","",φ_c*Reinforcements[[#This Row],[Pnx, FB (kip)]])</f>
        <v/>
      </c>
      <c r="GE80" s="50" t="str">
        <f>IF(Reinforcements[[#This Row],[Reinforcement]]="","",IF(Reinforcements[[#This Row],[Type]]="channel",φ_c*Reinforcements[[#This Row],[Pn]],φ_c*Reinforcements[[#This Row],[Pny, FB (kip)]]))</f>
        <v/>
      </c>
      <c r="GF80" s="50" t="str">
        <f>Reinforcements[[#This Row],[Rev. G Tension Yield Capacity (kips)]]</f>
        <v/>
      </c>
      <c r="GG80" s="50" t="str">
        <f>Reinforcements[[#This Row],[Rev. G Tension Rupture Capacity (kips)]]</f>
        <v/>
      </c>
      <c r="GH80" s="50" t="str">
        <f>Reinforcements[[#This Row],[Rev. G Shear Capacity (kips)]]</f>
        <v/>
      </c>
      <c r="GI80" s="50" t="str">
        <f>IFERROR((Reinforcements[[#This Row],['# of End Connection Bolts          (Bottom)]]-1)*Reinforcements[[#This Row],[End Connection Bolt Spacing (in) (B)]],"-")</f>
        <v>-</v>
      </c>
      <c r="GJ80" s="50" t="str">
        <f>IFERROR(IF(VLOOKUP(Reinforcements[[#This Row],[Bottom End Connection Bolt Type]],Bolts[],COLUMN(Bolts[[#Headers],[Rev. H Apply Connection Length Reduction Factor (Rb)?]])-1,FALSE)="Yes",(IF(Reinforcements[[#This Row],[Lb(bottom)]]&lt;=16,1,IF(Reinforcements[[#This Row],[Lb(bottom)]]&gt;38,0.75,0.9))),1),"-")</f>
        <v>-</v>
      </c>
      <c r="GK80"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50" t="str">
        <f>IFERROR(IF(Reinforcements[[#This Row],[Top End Connection Same?]]="Yes",Reinforcements[[#This Row],[Lb(bottom)]],(Reinforcements[[#This Row],['# of End Connection Bolts          (Top)]]-1)*Reinforcements[[#This Row],[End Connection Bolt Spacing (in) (T)]]),"-")</f>
        <v>-</v>
      </c>
      <c r="GM80" s="50" t="str">
        <f>IFERROR(IF(VLOOKUP(Reinforcements[[#This Row],[Top End Connection Bolt Type]],Bolts[],COLUMN(Bolts[[#Headers],[Rev. H Apply Connection Length Reduction Factor (Rb)?]])-1,FALSE)=TRUE,(IF(Reinforcements[[#This Row],[Lb(top)]]&lt;=16,1,IF(Reinforcements[[#This Row],[Lb(top)]]&gt;38,0.75,0.9))),1),"-")</f>
        <v>-</v>
      </c>
      <c r="GN80"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50" t="str">
        <f>Reinforcements[[#This Row],[Rev. G Bolt-Shaft Bearing Capacity (Bottom)                No Deformation          (*t*Fu kips)]]</f>
        <v>-</v>
      </c>
      <c r="GP80" s="50" t="str">
        <f>Reinforcements[[#This Row],[Rev. G Bolt-Shaft Bearing Capacity (Bottom)                   Deformation          (*t*Fu kips)]]</f>
        <v>-</v>
      </c>
      <c r="GQ80" s="50" t="str">
        <f>Reinforcements[[#This Row],[Rev. G Bolt-Shaft Bearing Capacity (Top)                    No Deformation          (*t*Fu kips)]]</f>
        <v>-</v>
      </c>
      <c r="GR80" s="50" t="str">
        <f>Reinforcements[[#This Row],[Rev. G Bolt-Shaft Bearing Capacity (Top)                        Deformation          (*t*Fu kips)]]</f>
        <v>-</v>
      </c>
      <c r="GS80" s="50" t="str">
        <f>Reinforcements[[#This Row],[Rev. G Bolt-Reinf. Bearing Capacity (Bottom)            No Deformation (kips)]]</f>
        <v>-</v>
      </c>
      <c r="GT80" s="50" t="str">
        <f>Reinforcements[[#This Row],[Rev. G Bolt-Reinf. Bearing Capacity (Bottom)               Deformation (kips)]]</f>
        <v>-</v>
      </c>
      <c r="GU80" s="50" t="str">
        <f>Reinforcements[[#This Row],[Rev. G Bolt-Reinf. Bearing Capacity (Top)                  No Deformation (kips)]]</f>
        <v>-</v>
      </c>
      <c r="GV80" s="50" t="str">
        <f>Reinforcements[[#This Row],[Rev. G Bolt-Reinf. Bearing Capacity (Top)               Deformation (kips)]]</f>
        <v>-</v>
      </c>
      <c r="GW80" s="50" t="str">
        <f>Reinforcements[[#This Row],[Rev. G Bottom Transverse Weld Strength]]</f>
        <v/>
      </c>
      <c r="GX80" s="50" t="str">
        <f>Reinforcements[[#This Row],[Rev. G Bottom Longitudinal Weld Strength]]</f>
        <v/>
      </c>
      <c r="GY80" s="50" t="str">
        <f>Reinforcements[[#This Row],[Rev. G Top Transverse Weld Strength]]</f>
        <v/>
      </c>
      <c r="GZ80" s="50" t="str">
        <f>Reinforcements[[#This Row],[Rev. G Top Longitudinal Weld Strength]]</f>
        <v/>
      </c>
      <c r="HA80">
        <v>78</v>
      </c>
      <c r="HB80"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94"/>
      <c r="C81" s="94"/>
      <c r="D81" s="127" t="str">
        <f>IF(Reinforcements[[#This Row],[Type]]="","",IF(Reinforcements[[#This Row],[Type]]="solid round","-",""))</f>
        <v/>
      </c>
      <c r="E81" s="127" t="str">
        <f>IF(Reinforcements[[#This Row],[Type]]="","",IF(Reinforcements[[#This Row],[Type]]="solid round","-",""))</f>
        <v/>
      </c>
      <c r="F81" s="127" t="str">
        <f>IF(Reinforcements[[#This Row],[Type]]="","",IF(Reinforcements[[#This Row],[Type]]="solid round","","n/a"))</f>
        <v/>
      </c>
      <c r="G81" s="127" t="str">
        <f>IF(Reinforcements[[#This Row],[Type]]="","",IF(Reinforcements[[#This Row],[Type]]&lt;&gt;"channel","n/a",""))</f>
        <v/>
      </c>
      <c r="H81" s="127" t="str">
        <f>IF(Reinforcements[[#This Row],[Type]]="","",IF(Reinforcements[[#This Row],[Type]]&lt;&gt;"channel","n/a",""))</f>
        <v/>
      </c>
      <c r="I81" s="140" t="str">
        <f>IF(Reinforcements[[#This Row],[Type]]="","",IF(Reinforcements[[#This Row],[Type]]&lt;&gt;"channel","n/a",Reinforcements[[#This Row],[eo]]))</f>
        <v/>
      </c>
      <c r="J81" s="140" t="str">
        <f>IF(Reinforcements[[#This Row],[Type]]="","",IF(Reinforcements[[#This Row],[Type]]&lt;&gt;"channel","n/a",Reinforcements[[#This Row],[J]]))</f>
        <v/>
      </c>
      <c r="K81" s="140" t="str">
        <f>IF(Reinforcements[[#This Row],[Type]]="","",IF(Reinforcements[[#This Row],[Type]]&lt;&gt;"channel","n/a",Reinforcements[[#This Row],[Cw]]))</f>
        <v/>
      </c>
      <c r="L81" s="127" t="str">
        <f>IFERROR(IF(Reinforcements[[#This Row],[Type]]="","",IF(Reinforcements[[#This Row],[Type]]="plate",Reinforcements[[#This Row],[B (in)]]*Reinforcements[[#This Row],[H (in)]],IF(Reinforcements[[#This Row],[Type]]="solid round",PI()/4*Reinforcements[[#This Row],[Diameter (in)]]^2,""))),"")</f>
        <v/>
      </c>
      <c r="M81" s="127" t="str">
        <f>IFERROR(IF(Reinforcements[[#This Row],[Type]]="","",IF(Reinforcements[[#This Row],[Type]]="plate",Reinforcements[[#This Row],[H (in)]]/2,"")),"")</f>
        <v/>
      </c>
      <c r="N81" s="128"/>
      <c r="O81" s="129"/>
      <c r="P81" s="135" t="str">
        <f>IFERROR(IF(Reinforcements[[#This Row],[Type]]="","",IF(Reinforcements[[#This Row],[Type]]="plate",Reinforcements[[#This Row],[B (in)]]*Reinforcements[[#This Row],[H (in)]]^3/12,IF(Reinforcements[[#This Row],[Type]]="solid round",PI()/64*Reinforcements[[#This Row],[Diameter (in)]]^4,""))),"")</f>
        <v/>
      </c>
      <c r="Q81" s="135" t="str">
        <f>IF(Reinforcements[[#This Row],[Reinforcement]]="","",SQRT(Reinforcements[[#This Row],[Ix]]/Reinforcements[[#This Row],[Gross Area (in2)]]))</f>
        <v/>
      </c>
      <c r="R81" s="135" t="str">
        <f>IFERROR(IF(Reinforcements[[#This Row],[Type]]="","",IF(Reinforcements[[#This Row],[Type]]="plate",Reinforcements[[#This Row],[B (in)]]^3*Reinforcements[[#This Row],[H (in)]]/12,IF(Reinforcements[[#This Row],[Type]]="solid round",PI()/64*Reinforcements[[#This Row],[Diameter (in)]]^4,""))),"")</f>
        <v/>
      </c>
      <c r="S81" s="135" t="str">
        <f>IF(Reinforcements[[#This Row],[Reinforcement]]="","",SQRT(Reinforcements[[#This Row],[Iy]]/Reinforcements[[#This Row],[Gross Area (in2)]]))</f>
        <v/>
      </c>
      <c r="T81" s="127"/>
      <c r="U81" s="127" t="str">
        <f>IF(Reinforcements[[#This Row],[Lu (in)]]="","",IF(Reinforcements[[#This Row],[Lu (in)]]=0,1,""))</f>
        <v/>
      </c>
      <c r="V81" s="127" t="str">
        <f>IF(Reinforcements[[#This Row],[Lu (in)]]="","",IF(Reinforcements[[#This Row],[Lu (in)]]=0,1,""))</f>
        <v/>
      </c>
      <c r="W81" s="127" t="str">
        <f>IF(Reinforcements[[#This Row],[Type]]="","",IF(Reinforcements[[#This Row],[Type]]="solid round",0,IF(Reinforcements[[#This Row],[Type]]="arbitrary","n/a","")))</f>
        <v/>
      </c>
      <c r="X81" s="127" t="str">
        <f>IF(Reinforcements[[#This Row],[Bolt Hole Size (in)]]="","",IF(Reinforcements[[#This Row],[Bolt Hole Size (in)]]="n/a","n/a",Reinforcements[[#This Row],[Bolt Hole Size (in)]]*25.4))</f>
        <v/>
      </c>
      <c r="Y81"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127" t="str">
        <f>IFERROR(IF(Reinforcements[[#This Row],[Reinforcement]]="","",IF(OR(Reinforcements[[#This Row],[Type]]="plate",Reinforcements[[#This Row],[Type]]="solid round"),1,IF(Reinforcements[[#This Row],[Type]]="arbitrary","",1-Reinforcements[[#This Row],[Pole Face to Centroid (in)]]/Reinforcements[[#This Row],[Connection Length (in) '[Channels']]]))),"")</f>
        <v/>
      </c>
      <c r="AA81" s="74"/>
      <c r="AB81" s="74" t="str">
        <f>IF(Reinforcements[[#This Row],[Reinforcement]]="","",IF(Reinforcements[[#This Row],[Bottom End Connection Type]]&lt;&gt;"Capacity Input","-",""))</f>
        <v/>
      </c>
      <c r="AC81" s="74" t="str">
        <f>IF(Reinforcements[[#This Row],[Reinforcement]]="","",IF(Reinforcements[[#This Row],[Bottom End Connection Type]]&lt;&gt;"Capacity Input","-",""))</f>
        <v/>
      </c>
      <c r="AD81" s="74" t="str">
        <f>IF(Reinforcements[[#This Row],[Reinforcement]]="","",IF(Reinforcements[[#This Row],[Bottom End Connection Type]]&lt;&gt;"Capacity Input","-",""))</f>
        <v/>
      </c>
      <c r="AE81" s="74" t="str">
        <f>IF(Reinforcements[[#This Row],[Reinforcement]]="","",IF(Reinforcements[[#This Row],[Bottom End Connection Type]]&lt;&gt;"Bolted","-",""))</f>
        <v/>
      </c>
      <c r="AF81" s="127" t="str">
        <f>IF(Reinforcements[[#This Row],[Reinforcement]]="","",IF(Reinforcements[[#This Row],[Bottom End Connection Type]]&lt;&gt;"Bolted","-",""))</f>
        <v/>
      </c>
      <c r="AG81" s="127" t="str">
        <f>IF(Reinforcements[[#This Row],[Reinforcement]]="","",IF(Reinforcements[[#This Row],[Bottom End Connection Type]]="","-",IF(Reinforcements[[#This Row],[Bottom End Connection Type]]&lt;&gt;"Bolted","-","")))</f>
        <v/>
      </c>
      <c r="AH81" s="127" t="str">
        <f>IF(Reinforcements[[#This Row],[Reinforcement]]="","",IF(Reinforcements[[#This Row],[Bottom End Connection Type]]="","-",IF(Reinforcements[[#This Row],[Bottom End Connection Type]]&lt;&gt;"Bolted","-","")))</f>
        <v/>
      </c>
      <c r="AI81" s="127" t="str">
        <f>IF(Reinforcements[[#This Row],[Reinforcement]]="","",IF(Reinforcements[[#This Row],[Bottom End Connection Type]]="","-",IF(Reinforcements[[#This Row],[Bottom End Connection Type]]&lt;&gt;"Bolted","-","")))</f>
        <v/>
      </c>
      <c r="AJ81" s="127" t="e">
        <f>Reinforcements[[#This Row],[End Connection Edge Distance (in) (B)]]-(Reinforcements[[#This Row],[Bolt Hole Size (in)]]+1/16)/2</f>
        <v>#VALUE!</v>
      </c>
      <c r="AK81" s="127" t="e">
        <f>Reinforcements[[#This Row],[End Connection Bolt Spacing (in) (B)]]-(Reinforcements[[#This Row],[Bolt Hole Size (in)]]+1/16)</f>
        <v>#VALUE!</v>
      </c>
      <c r="AL81" s="127" t="str">
        <f>Reinforcements[[#This Row],[End Connection Edge Distance (in) (B)]]</f>
        <v/>
      </c>
      <c r="AM81" s="127" t="str">
        <f>Reinforcements[[#This Row],[End Connection Bolt Spacing (in) (B)]]</f>
        <v/>
      </c>
      <c r="AN81" s="127" t="str">
        <f>IF(Reinforcements[[#This Row],[Reinforcement]]="","",IF(OR(Reinforcements[[#This Row],[Bottom End Connection Type]]="Bolted",Reinforcements[[#This Row],[Bottom End Connection Type]]=""),"-",""))</f>
        <v/>
      </c>
      <c r="AO81" s="129" t="str">
        <f>IF(Reinforcements[[#This Row],[Reinforcement]]="","",IF(Reinforcements[[#This Row],[Bottom End Connection Type]]&lt;&gt;"Welded","-",""))</f>
        <v/>
      </c>
      <c r="AP81" s="129" t="str">
        <f>IF(Reinforcements[[#This Row],[Reinforcement]]="","",IF(Reinforcements[[#This Row],[Bottom End Connection Type]]&lt;&gt;"Welded","-",""))</f>
        <v/>
      </c>
      <c r="AQ81" s="129" t="str">
        <f>IF(Reinforcements[[#This Row],[Reinforcement]]="","",IF(OR(Reinforcements[[#This Row],[Bottom End Connection Type]]&lt;&gt;"Welded",Reinforcements[[#This Row],[Bottom Transverse (Horizontal) Weld]]="None"),"-",""))</f>
        <v/>
      </c>
      <c r="AR8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129" t="str">
        <f>IF(Reinforcements[[#This Row],[Reinforcement]]="","",IF(OR(Reinforcements[[#This Row],[Bottom Transverse (Horizontal) Weld]]="None",Reinforcements[[#This Row],[Bottom End Connection Type]]&lt;&gt;"Welded"),"-",""))</f>
        <v/>
      </c>
      <c r="AU81"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129" t="str">
        <f>IF(Reinforcements[[#This Row],[Reinforcement]]="","",IF(OR(Reinforcements[[#This Row],[Bottom End Connection Type]]&lt;&gt;"Welded",Reinforcements[[#This Row],[Bottom End Connection Type]]=""),"-",""))</f>
        <v/>
      </c>
      <c r="AW81" s="129" t="str">
        <f>IF(Reinforcements[[#This Row],[Reinforcement]]="","",IF(OR(Reinforcements[[#This Row],[Bottom End Connection Type]]&lt;&gt;"Welded",Reinforcements[[#This Row],[Bottom Longitudinal (Vertical) Weld]]="None",Reinforcements[[#This Row],[Bottom Longitudinal (Vertical) Weld]]=""),"-",""))</f>
        <v/>
      </c>
      <c r="AX81" s="129" t="str">
        <f>IF(Reinforcements[[#This Row],[Reinforcement]]="","",IF(OR(Reinforcements[[#This Row],[Bottom End Connection Type]]&lt;&gt;"Welded",Reinforcements[[#This Row],[Bottom Longitudinal (Vertical) Weld]]="None",Reinforcements[[#This Row],[Bottom Longitudinal (Vertical) Weld]]=""),"-",""))</f>
        <v/>
      </c>
      <c r="AY81" s="127" t="str">
        <f>IF(Reinforcements[[#This Row],[Reinforcement]]="","",IF(OR(Reinforcements[[#This Row],[Bottom End Connection Type]]&lt;&gt;"Welded",Reinforcements[[#This Row],[Bottom Longitudinal (Vertical) Weld]]="None"),"-",SQRT(2)/2*Reinforcements[[#This Row],[Bottom Longitudinal Weld Fillet Size (in)]]))</f>
        <v/>
      </c>
      <c r="AZ81" s="127"/>
      <c r="BA81" s="74" t="str">
        <f>IF(Reinforcements[[#This Row],[Top End Connection Same?]]="Yes",Reinforcements[[#This Row],[Bottom End Connection Type]],"")</f>
        <v/>
      </c>
      <c r="BB81" s="74" t="str">
        <f>IF(Reinforcements[[#This Row],[Reinforcement]]="","",IF(Reinforcements[[#This Row],[Top End Connection Same?]]="Yes",Reinforcements[[#This Row],[Rev. F Bottom Connection Capacity (kips)]],IF(Reinforcements[[#This Row],[Reinforcement]]="","",IF(Reinforcements[[#This Row],[Top End Connection Type]]&lt;&gt;"Capacity Input","-",""))))</f>
        <v/>
      </c>
      <c r="BC81" s="74" t="str">
        <f>IF(Reinforcements[[#This Row],[Reinforcement]]="","",IF(Reinforcements[[#This Row],[Top End Connection Same?]]="Yes",Reinforcements[[#This Row],[Rev. G Bottom Connection Capacity (kips)]],IF(Reinforcements[[#This Row],[Reinforcement]]="","",IF(Reinforcements[[#This Row],[Top End Connection Type]]&lt;&gt;"Capacity Input","-",""))))</f>
        <v/>
      </c>
      <c r="BD81" s="74" t="str">
        <f>IF(Reinforcements[[#This Row],[Reinforcement]]="","",IF(Reinforcements[[#This Row],[Top End Connection Same?]]="Yes",Reinforcements[[#This Row],[Rev. G Bottom Connection Capacity (kips)]],IF(Reinforcements[[#This Row],[Reinforcement]]="","",IF(Reinforcements[[#This Row],[Top End Connection Type]]&lt;&gt;"Capacity Input","-",""))))</f>
        <v/>
      </c>
      <c r="BE81" s="74" t="str">
        <f>IF(Reinforcements[[#This Row],[Reinforcement]]="","",IF(Reinforcements[[#This Row],[Top End Connection Same?]]="Yes",Reinforcements[[#This Row],[Bottom End Connection Bolt Type]],IF(Reinforcements[[#This Row],[Top End Connection Type]]&lt;&gt;"Bolted","-","")))</f>
        <v/>
      </c>
      <c r="BF81" s="127" t="str">
        <f>IF(Reinforcements[[#This Row],[Reinforcement]]="","",IF(Reinforcements[[#This Row],[Top End Connection Same?]]="Yes",Reinforcements[[#This Row],[Threads Included (N) or Excluded (X) (Bottom)]],IF(Reinforcements[[#This Row],[Top End Connection Type]]&lt;&gt;"Bolted","-","")))</f>
        <v/>
      </c>
      <c r="BG81" s="127" t="str">
        <f>IF(Reinforcements[[#This Row],[Reinforcement]]="","",IF(Reinforcements[[#This Row],[Top End Connection Same?]]="Yes",Reinforcements[[#This Row],['# of End Connection Bolts          (Bottom)]],IF(Reinforcements[[#This Row],[Top End Connection Type]]&lt;&gt;"Bolted","-","")))</f>
        <v/>
      </c>
      <c r="BH81" s="127" t="str">
        <f>IF(Reinforcements[[#This Row],[Reinforcement]]="","",IF(Reinforcements[[#This Row],[Top End Connection Same?]]="Yes",Reinforcements[[#This Row],[End Connection Bolt Spacing (in) (B)]],IF(Reinforcements[[#This Row],[Top End Connection Type]]&lt;&gt;"Bolted","-","")))</f>
        <v/>
      </c>
      <c r="BI81" s="127" t="str">
        <f>IF(Reinforcements[[#This Row],[Reinforcement]]="","",IF(Reinforcements[[#This Row],[Top End Connection Same?]]="Yes",Reinforcements[[#This Row],[End Connection Edge Distance (in) (B)]],IF(Reinforcements[[#This Row],[Top End Connection Type]]&lt;&gt;"Bolted","-","")))</f>
        <v/>
      </c>
      <c r="BJ81" s="127" t="e">
        <f>Reinforcements[[#This Row],[End Connection Edge Distance (in) (T)]]-(Reinforcements[[#This Row],[Bolt Hole Size (in)]]+1/16)/2</f>
        <v>#VALUE!</v>
      </c>
      <c r="BK81" s="127" t="e">
        <f>Reinforcements[[#This Row],[End Connection Bolt Spacing (in) (T)]]-(Reinforcements[[#This Row],[Bolt Hole Size (in)]]+1/16)</f>
        <v>#VALUE!</v>
      </c>
      <c r="BL81" s="127" t="str">
        <f>Reinforcements[[#This Row],[End Connection Edge Distance (in) (T)]]</f>
        <v/>
      </c>
      <c r="BM81" s="127" t="str">
        <f>Reinforcements[[#This Row],[End Connection Bolt Spacing (in) (T)]]</f>
        <v/>
      </c>
      <c r="BN81" s="127" t="str">
        <f>IF(Reinforcements[[#This Row],[Reinforcement]]="","",IF(Reinforcements[[#This Row],[Top End Connection Same?]]="Yes",Reinforcements[[#This Row],[Bottom Connected to Flange/Base Plate?]],IF(Reinforcements[[#This Row],[Top End Connection Type]]="Bolted","-","")))</f>
        <v/>
      </c>
      <c r="BO81" s="127" t="str">
        <f>IF(Reinforcements[[#This Row],[Reinforcement]]="","",IF(Reinforcements[[#This Row],[Top End Connection Same?]]="Yes",Reinforcements[[#This Row],[Bottom Weld Grade (ksi)]],IF(OR(Reinforcements[[#This Row],[Top End Connection Type]]&lt;&gt;"Welded",Reinforcements[[#This Row],[Top End Connection Type]]=""),"-","")))</f>
        <v/>
      </c>
      <c r="BP81" s="127" t="str">
        <f>IF($AZ81="Yes",AP81,IF(Reinforcements[[#This Row],[Reinforcement]]="","",IF(OR(Reinforcements[[#This Row],[Top End Connection Type]]&lt;&gt;"Welded",Reinforcements[[#This Row],[Top End Connection Type]]=""),"-","")))</f>
        <v/>
      </c>
      <c r="BQ81" s="127" t="str">
        <f>IF(Reinforcements[[#This Row],[Reinforcement]]="","",IF($AZ81="Yes",AQ81,IF(OR(Reinforcements[[#This Row],[Top End Connection Type]]&lt;&gt;"Welded",Reinforcements[[#This Row],[Top Transverse (Horizontal) Weld]]="none",Reinforcements[[#This Row],[Top Transverse (Horizontal) Weld]]=""),"-","")))</f>
        <v/>
      </c>
      <c r="BR81" s="127"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127"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127" t="str">
        <f>IF(Reinforcements[[#This Row],[Reinforcement]]="","",IF($AZ81="Yes",AT81,IF(OR(Reinforcements[[#This Row],[Top Transverse (Horizontal) Weld]]="none",Reinforcements[[#This Row],[Top End Connection Type]]&lt;&gt;"Welded",Reinforcements[[#This Row],[Top Transverse (Horizontal) Weld]]=""),"-","")))</f>
        <v/>
      </c>
      <c r="BU81" s="127"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127" t="str">
        <f>IF($AZ81="Yes",AV81,IF(Reinforcements[[#This Row],[Reinforcement]]="","",IF(OR(Reinforcements[[#This Row],[Top End Connection Type]]&lt;&gt;"Welded",Reinforcements[[#This Row],[Top End Connection Type]]=""),"-","")))</f>
        <v/>
      </c>
      <c r="BW81" s="127"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127"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127" t="str">
        <f>IF($AZ81="Yes",AY81,IF(Reinforcements[[#This Row],[Reinforcement]]="","",IF(OR(Reinforcements[[#This Row],[Top End Connection Type]]&lt;&gt;"Welded",Reinforcements[[#This Row],[Top Longitudinal (Vertical) Weld]]="none"),"-",SQRT(2)/2*Reinforcements[[#This Row],[Top Longitudinal Weld Fillet Size (in)]])))</f>
        <v/>
      </c>
      <c r="BZ81"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129" t="str">
        <f>IF(Reinforcements[[#This Row],[Reinforcement]]="","",IF(Reinforcements[[#This Row],[Top End Connection Type]]&lt;&gt;"Bolted","n/a",(Reinforcements[[#This Row],['# of End Connection Bolts          (Top)]]-1)*Reinforcements[[#This Row],[End Connection Bolt Spacing (in) (T)]]+Reinforcements[[#This Row],[End Connection Edge Distance (in) (T)]]))</f>
        <v/>
      </c>
      <c r="CC81"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127" t="str">
        <f>IFERROR(IF(Reinforcements[[#This Row],[Type]]="","",Reinforcements[[#This Row],[Effective B (in)]]*Reinforcements[[#This Row],[Effective H (in)]]^3/12),"")</f>
        <v/>
      </c>
      <c r="CF81" s="127" t="str">
        <f>IFERROR(IF(Reinforcements[[#This Row],[Type]]="","",Reinforcements[[#This Row],[Effective B (in)]]^3*Reinforcements[[#This Row],[Effective H (in)]]/12),"")</f>
        <v/>
      </c>
      <c r="CG81" s="140" t="e">
        <f>SQRT(2*PI()^2*29000/VLOOKUP(Reinforcements[[#This Row],[Material]],Materials[],2,FALSE))</f>
        <v>#N/A</v>
      </c>
      <c r="CH81"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135" t="e">
        <f>Reinforcements[[#This Row],[Effective Length Factor Kx]]*Reinforcements[[#This Row],[Lu (in)]]/(Reinforcements[[#This Row],[rx]]*PI())*SQRT(VLOOKUP(Reinforcements[[#This Row],[Material]],Materials[],2,FALSE)/29000)</f>
        <v>#VALUE!</v>
      </c>
      <c r="CK81" s="135" t="e">
        <f>Reinforcements[[#This Row],[Effective Length Factor Ky]]*Reinforcements[[#This Row],[Lu (in)]]/(Reinforcements[[#This Row],[ry]]*PI())*SQRT(VLOOKUP(Reinforcements[[#This Row],[Material]],Materials[],2,FALSE)/29000)</f>
        <v>#VALUE!</v>
      </c>
      <c r="CL81" s="135" t="e">
        <f>IF(Reinforcements[[#This Row],[λcx]]&lt;=1.5,0.658^(Reinforcements[[#This Row],[λcx]]^2)*Reinforcements[[#This Row],[F''y]],0.877/(Reinforcements[[#This Row],[λcx]]^2)*Reinforcements[[#This Row],[F''y]])</f>
        <v>#VALUE!</v>
      </c>
      <c r="CM81" s="135" t="e">
        <f>IF(Reinforcements[[#This Row],[λcy]]&lt;=1.5,0.658^(Reinforcements[[#This Row],[λcy]]^2)*Reinforcements[[#This Row],[F''y]],0.877/(Reinforcements[[#This Row],[λcy]]^2)*Reinforcements[[#This Row],[F''y]])</f>
        <v>#VALUE!</v>
      </c>
      <c r="CN81" s="127" t="e">
        <f>VLOOKUP(Reinforcements[[#This Row],[Material]],Materials[],2,FALSE)</f>
        <v>#N/A</v>
      </c>
      <c r="CO81" s="140" t="str">
        <f>IF(Reinforcements[[#This Row],[Reinforcement]]="","",Reinforcements[[#This Row],[Fax]]*Reinforcements[[#This Row],[Gross Area (in2)]])</f>
        <v/>
      </c>
      <c r="CP81" s="140" t="str">
        <f>IF(Reinforcements[[#This Row],[Reinforcement]]="","",Reinforcements[[#This Row],[Fay]]*Reinforcements[[#This Row],[Gross Area (in2)]])</f>
        <v/>
      </c>
      <c r="CQ81" s="140" t="str">
        <f>IF(Reinforcements[[#This Row],[Reinforcement]]="","",0.6*VLOOKUP(Reinforcements[[#This Row],[Material]],Materials[],2,FALSE)*Reinforcements[[#This Row],[Gross Area (in2)]])</f>
        <v/>
      </c>
      <c r="CR81" s="140" t="str">
        <f>IF(Reinforcements[[#This Row],[Reinforcement]]="","",0.5*VLOOKUP(Reinforcements[[#This Row],[Material]],Materials[],3,FALSE)*Reinforcements[[#This Row],[Net Area (in2)]]*Reinforcements[[#This Row],[Shear Lag (U)]])</f>
        <v/>
      </c>
      <c r="CS81" s="140" t="str">
        <f>IF(Reinforcements[[#This Row],[Reinforcement]]="","",0.4*VLOOKUP(Reinforcements[[#This Row],[Material]],Materials[],2,FALSE)*Reinforcements[[#This Row],[Gross Area (in2)]])</f>
        <v/>
      </c>
      <c r="CT81"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127"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127"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140" t="str">
        <f>IF(Reinforcements[[#This Row],[Reinforcement]]="","",φ_c*Reinforcements[[#This Row],[Fcr,x]]*Reinforcements[[#This Row],[Gross Area (in2)]])</f>
        <v/>
      </c>
      <c r="DI81" s="140" t="str">
        <f>IF(Reinforcements[[#This Row],[Reinforcement]]="","",φ_c*Reinforcements[[#This Row],[Fcr,y]]*Reinforcements[[#This Row],[Gross Area (in2)]])</f>
        <v/>
      </c>
      <c r="DJ81" s="140" t="str">
        <f>IF(Reinforcements[[#This Row],[Reinforcement]]="","",φ_t_y*VLOOKUP(Reinforcements[[#This Row],[Material]],Materials[],2,FALSE)*Reinforcements[[#This Row],[Gross Area (in2)]])</f>
        <v/>
      </c>
      <c r="DK81" s="140" t="str">
        <f>IF(Reinforcements[[#This Row],[Reinforcement]]="","",φ_t_r*VLOOKUP(Reinforcements[[#This Row],[Material]],Materials[],3,FALSE)*Reinforcements[[#This Row],[Net Area (in2)]]*Reinforcements[[#This Row],[Shear Lag (U)]])</f>
        <v/>
      </c>
      <c r="DL81" s="140" t="str">
        <f>IF(Reinforcements[[#This Row],[Reinforcement]]="","",φ_v*0.5*Reinforcements[[#This Row],[F''y]]*Reinforcements[[#This Row],[Gross Area (in2)]])</f>
        <v/>
      </c>
      <c r="DM81"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127"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127"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129" t="str">
        <f>IF(OR(Reinforcements[[#This Row],[Type]]="plate",Reinforcements[[#This Row],[Type]]="solid round"),"N/A",Reinforcements[[#This Row],[B (in)]])</f>
        <v/>
      </c>
      <c r="EB81" s="127" t="str">
        <f>IF(OR(Reinforcements[[#This Row],[Type]]="plate",Reinforcements[[#This Row],[Type]]="solid round"),"N/A",Reinforcements[[#This Row],[H (in)]])</f>
        <v/>
      </c>
      <c r="EC81" s="127" t="e">
        <f>IF(OR(Reinforcements[[#This Row],[Type]]="plate",Reinforcements[[#This Row],[Type]]="solid round"),"N/A",Reinforcements[[#This Row],[B (in)]]-Reinforcements[[#This Row],['[Channel'] Flange Thickness (in)]])</f>
        <v>#VALUE!</v>
      </c>
      <c r="ED81" s="127" t="str">
        <f>IF(OR(Reinforcements[[#This Row],[Type]]="plate",Reinforcements[[#This Row],[Type]]="solid round"),"N/A",Reinforcements[[#This Row],['[Channel']Web Thickness (in)]])</f>
        <v/>
      </c>
      <c r="EE81" s="127" t="str">
        <f>IF(OR(Reinforcements[[#This Row],[Type]]="plate",Reinforcements[[#This Row],[Type]]="solid round"),"N/A",Reinforcements[[#This Row],['[Channel'] Flange Thickness (in)]])</f>
        <v/>
      </c>
      <c r="EF81" s="127" t="str">
        <f>IF(Reinforcements[[#This Row],[Type]]="channel",Reinforcements[[#This Row],[Channel Flange Width, b]]/Reinforcements[[#This Row],[Channel flange thickness, tf]],"N/A")</f>
        <v>N/A</v>
      </c>
      <c r="EG81" s="127" t="str">
        <f>IF(Reinforcements[[#This Row],[Type]]="channel",Reinforcements[[#This Row],[Channel inside depth, T]]/Reinforcements[[#This Row],[Channel web thickness, tw]],"N/A")</f>
        <v>N/A</v>
      </c>
      <c r="EH81" s="6">
        <f>29000</f>
        <v>29000</v>
      </c>
      <c r="EI81" s="127" t="str">
        <f>IF(Reinforcements[[#This Row],[Type]]="channel",0.56*SQRT(Reinforcements[[#This Row],[E, (ksi)]]/Reinforcements[[#This Row],[Fy, (ksi)]]),"N/A")</f>
        <v>N/A</v>
      </c>
      <c r="EJ81" s="127" t="str">
        <f>IF(Reinforcements[[#This Row],[Type]]="channel",1.49*SQRT(Reinforcements[[#This Row],[E, (ksi)]]/Reinforcements[[#This Row],[Fy, (ksi)]]),"N/A")</f>
        <v>N/A</v>
      </c>
      <c r="EK81" s="127" t="e">
        <f>VLOOKUP(Reinforcements[[#This Row],[Material]],Materials!$B$2:$C$30,2,FALSE)</f>
        <v>#N/A</v>
      </c>
      <c r="EL81" s="127" t="e">
        <f>Reinforcements[[#This Row],[Lu (in)]]*Reinforcements[[#This Row],[Effective Length Factor Kx]]</f>
        <v>#VALUE!</v>
      </c>
      <c r="EM81" s="127" t="e">
        <f>Reinforcements[[#This Row],[Lu (in)]]*Reinforcements[[#This Row],[Effective Length Factor Ky]]</f>
        <v>#VALUE!</v>
      </c>
      <c r="EN81" s="127" t="str">
        <f>Reinforcements[[#This Row],[rx]]</f>
        <v/>
      </c>
      <c r="EO81" s="127" t="str">
        <f>Reinforcements[[#This Row],[ry]]</f>
        <v/>
      </c>
      <c r="EP81" s="127" t="e">
        <f>Reinforcements[[#This Row],[Lcx (in)]]/Reinforcements[[#This Row],[rx (in)]]</f>
        <v>#VALUE!</v>
      </c>
      <c r="EQ81" s="127" t="e">
        <f>Reinforcements[[#This Row],[Lcy (in)]]/Reinforcements[[#This Row],[ry (in)]]</f>
        <v>#VALUE!</v>
      </c>
      <c r="ER81" s="127" t="e">
        <f>((PI()^2)*Reinforcements[[#This Row],[E, (ksi)]])/(Reinforcements[[#This Row],[Lcx/rx]]^2)</f>
        <v>#VALUE!</v>
      </c>
      <c r="ES81" s="127" t="e">
        <f>((PI()^2)*Reinforcements[[#This Row],[E, (ksi)]])/(Reinforcements[[#This Row],[Lcy/ry]]^2)</f>
        <v>#VALUE!</v>
      </c>
      <c r="ET81" s="127" t="e">
        <f>4.71*(SQRT(Reinforcements[[#This Row],[E, (ksi)]]/Reinforcements[[#This Row],[Fy, (ksi)]]))</f>
        <v>#N/A</v>
      </c>
      <c r="EU81" s="127" t="e">
        <f>IF(Reinforcements[[#This Row],[Lcx/rx]]&lt;=Reinforcements[[#This Row],[Fcr Limit]],(0.658^(Reinforcements[[#This Row],[Fy, (ksi)]]/Reinforcements[[#This Row],[Fex, FB (ksi)]]))*Reinforcements[[#This Row],[Fy, (ksi)]],0.877*Reinforcements[[#This Row],[Fex, FB (ksi)]])</f>
        <v>#VALUE!</v>
      </c>
      <c r="EV81" s="127" t="e">
        <f>IF(Reinforcements[[#This Row],[Lcy/ry]]&lt;=Reinforcements[[#This Row],[Fcr Limit]],(0.658^(Reinforcements[[#This Row],[Fy, (ksi)]]/Reinforcements[[#This Row],[Fey, FB (ksi)]]))*Reinforcements[[#This Row],[Fy, (ksi)]],0.877*Reinforcements[[#This Row],[Fey, FB (ksi)]])</f>
        <v>#VALUE!</v>
      </c>
      <c r="EW81" s="127" t="e">
        <f>Reinforcements[[#This Row],[Fcrx (ksi)]]*Reinforcements[[#This Row],[Gross Area (in2)]]</f>
        <v>#VALUE!</v>
      </c>
      <c r="EX81" s="127" t="e">
        <f>Reinforcements[[#This Row],[Fcry (ksi)]]*Reinforcements[[#This Row],[Gross Area (in2)]]</f>
        <v>#VALUE!</v>
      </c>
      <c r="EY81" s="127" t="str">
        <f>IF(Reinforcements[[#This Row],[Type]]="channel",0,"N/A")</f>
        <v>N/A</v>
      </c>
      <c r="EZ81" s="127" t="str">
        <f>IF(Reinforcements[[#This Row],[Type]]="channel",Reinforcements[[#This Row],[Channel Flange Width, b]]-(0.5*Reinforcements[[#This Row],[Channel web thickness, tw]]),"N/A")</f>
        <v>N/A</v>
      </c>
      <c r="FA81" s="127" t="str">
        <f>IF(Reinforcements[[#This Row],[Type]]="channel",Reinforcements[[#This Row],[Channel Height, h]]-Reinforcements[[#This Row],[Channel flange thickness, tf]],"N/A")</f>
        <v>N/A</v>
      </c>
      <c r="FB81" s="127" t="str">
        <f>IF(Reinforcements[[#This Row],[Type]]="channel",Reinforcements[[#This Row],[Channel web thickness, tw]],"N/A")</f>
        <v>N/A</v>
      </c>
      <c r="FC81" s="127" t="str">
        <f>IF(Reinforcements[[#This Row],[Type]]="channel",((3*Reinforcements[[#This Row],[b]]^2)/(Reinforcements[[#This Row],[h]]+(6*Reinforcements[[#This Row],[b]])))-Reinforcements[[#This Row],[t]]/2,"N/A")</f>
        <v>N/A</v>
      </c>
      <c r="FD81" s="127" t="str">
        <f>Reinforcements[[#This Row],[Pole Face to Centroid (in)]]</f>
        <v/>
      </c>
      <c r="FE81" s="127" t="str">
        <f>IF(Reinforcements[[#This Row],[Type]]="channel",Reinforcements[[#This Row],[x(bar)]]+Reinforcements[[#This Row],['[Channel'] e0 (in)]],"N/A")</f>
        <v>N/A</v>
      </c>
      <c r="FF81" s="127" t="str">
        <f>IF(Reinforcements[[#This Row],[Type]]="channel",Reinforcements[[#This Row],[Ix]],"N/A")</f>
        <v>N/A</v>
      </c>
      <c r="FG81" s="127" t="str">
        <f>IF(Reinforcements[[#This Row],[Type]]="channel",Reinforcements[[#This Row],[Iy]],"N/A")</f>
        <v>N/A</v>
      </c>
      <c r="FH81" s="127" t="str">
        <f>IF(Reinforcements[[#This Row],[Type]]="channel",Reinforcements[[#This Row],[Gross Area (in2)]],"N/A")</f>
        <v>N/A</v>
      </c>
      <c r="FI81" s="127" t="str">
        <f>IF(Reinforcements[[#This Row],[Type]]="channel",(Reinforcements[[#This Row],[xo]]^2)+((Reinforcements[[#This Row],[Ix (FTB)]]+Reinforcements[[#This Row],[Iy (FTB)]])/Reinforcements[[#This Row],[Ag]]),"N/A")</f>
        <v>N/A</v>
      </c>
      <c r="FJ81" s="127" t="str">
        <f>IF(Reinforcements[[#This Row],[Type]]="channel",Reinforcements[[#This Row],[Lu (in)]],"N/A")</f>
        <v>N/A</v>
      </c>
      <c r="FK81" s="127" t="str">
        <f>IF(Reinforcements[[#This Row],[Type]]="channel",Reinforcements[[#This Row],[Effective Length Factor Kx]],"N/A")</f>
        <v>N/A</v>
      </c>
      <c r="FL81" s="127" t="str">
        <f>IF(Reinforcements[[#This Row],[Type]]="channel",Reinforcements[[#This Row],[Kz]]*Reinforcements[[#This Row],[Lz]],"N/A")</f>
        <v>N/A</v>
      </c>
      <c r="FM81" s="127" t="str">
        <f>IF(Reinforcements[[#This Row],[Type]]="channel",(((Reinforcements[[#This Row],[t]]^3)/3)*(Reinforcements[[#This Row],[h]]+(2*Reinforcements[[#This Row],[b]]))),"N/A")</f>
        <v>N/A</v>
      </c>
      <c r="FN81" s="127" t="str">
        <f>IF(Reinforcements[[#This Row],[Type]]="channel",(1-(((Reinforcements[[#This Row],[xo]]^2)+(Reinforcements[[#This Row],[yo]]^2))/Reinforcements[[#This Row],[ro^2(bar)]])),"N/A")</f>
        <v>N/A</v>
      </c>
      <c r="FO81" s="127">
        <v>11200</v>
      </c>
      <c r="FP81" s="127" t="str">
        <f>IF(Reinforcements[[#This Row],[Type]]="channel",(((Reinforcements[[#This Row],[h]]^2)*(Reinforcements[[#This Row],[b]]^3)*Reinforcements[[#This Row],[t]])/12)*(((2*Reinforcements[[#This Row],[h]])+(3*Reinforcements[[#This Row],[b]]))/(Reinforcements[[#This Row],[h]]+(6*Reinforcements[[#This Row],[b]]))),"N/A")</f>
        <v>N/A</v>
      </c>
      <c r="FQ81" s="127" t="str">
        <f>IF(Reinforcements[[#This Row],[Type]]="Channel",((((PI()^2)*Reinforcements[[#This Row],[E, (ksi)]]*Reinforcements[[#This Row],['[Channel'] CW (in6)]])/(Reinforcements[[#This Row],[Lcz]]^2))+(Reinforcements[[#This Row],[G]]*Reinforcements[[#This Row],['[Channel'] J (in4)]]))*(1/(Reinforcements[[#This Row],[Ag]]*Reinforcements[[#This Row],[ro^2(bar)]])),"N/A")</f>
        <v>N/A</v>
      </c>
      <c r="FR81" s="127" t="str">
        <f>IF(Reinforcements[[#This Row],[Type]]="channel",((PI()^2)*Reinforcements[[#This Row],[E, (ksi)]])/(Reinforcements[[#This Row],[Lcy/ry]]^2),"N/A")</f>
        <v>N/A</v>
      </c>
      <c r="FS81" s="127" t="str">
        <f>IF(Reinforcements[[#This Row],[Type]]="channel",((Reinforcements[[#This Row],[Fey]]+Reinforcements[[#This Row],[Fez]])/(2*Reinforcements[[#This Row],[H2]]))*(1-SQRT(1-((4*Reinforcements[[#This Row],[Fey]]*Reinforcements[[#This Row],[Fez]]*Reinforcements[[#This Row],[H2]])/(Reinforcements[[#This Row],[Fey]]+Reinforcements[[#This Row],[Fez]])^2))),"N/A")</f>
        <v>N/A</v>
      </c>
      <c r="FT81" s="127" t="str">
        <f>IF(Reinforcements[[#This Row],[Type]]="channel",IF(Reinforcements[[#This Row],[Lcx/rx]]&gt;(4.71*SQRT(Reinforcements[[#This Row],[E, (ksi)]]/Reinforcements[[#This Row],[Fy, (ksi)]])),0.877*Reinforcements[[#This Row],[Fe (FTB)]],0.658^(Reinforcements[[#This Row],[Fy, (ksi)]]/Reinforcements[[#This Row],[Fe (FTB)]])*Reinforcements[[#This Row],[Fy, (ksi)]]),"N/A")</f>
        <v>N/A</v>
      </c>
      <c r="FU81" s="127" t="str">
        <f>IF(Reinforcements[[#This Row],[Type]]="channel",MIN(Reinforcements[[#This Row],[Fcr(FTB)]],Reinforcements[[#This Row],[Fcry (ksi)]]),"N/A")</f>
        <v>N/A</v>
      </c>
      <c r="FV81" s="127">
        <v>0.22</v>
      </c>
      <c r="FW81" s="127">
        <v>1.49</v>
      </c>
      <c r="FX81" s="127" t="str">
        <f>IF(Reinforcements[[#This Row],[Type]]="channel",((Reinforcements[[#This Row],[c2]]*(Reinforcements[[#This Row],[λrf]]/Reinforcements[[#This Row],[λf]]))^2)*Reinforcements[[#This Row],[Fy, (ksi)]],"N/A")</f>
        <v>N/A</v>
      </c>
      <c r="FY81" s="127" t="str">
        <f>IF(Reinforcements[[#This Row],[Type]]="channel",((Reinforcements[[#This Row],[c2]]*(Reinforcements[[#This Row],[λrw]]/Reinforcements[[#This Row],[λw]]))^2)*Reinforcements[[#This Row],[Fy, (ksi)]],"N/A")</f>
        <v>N/A</v>
      </c>
      <c r="FZ81"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127" t="str">
        <f>IF(Reinforcements[[#This Row],[Type]]="channel",Reinforcements[[#This Row],[Fcr]]*Reinforcements[[#This Row],[Ae]],"N/A")</f>
        <v>N/A</v>
      </c>
      <c r="GD81" s="50" t="str">
        <f>IF(Reinforcements[[#This Row],[Reinforcement]]="","",φ_c*Reinforcements[[#This Row],[Pnx, FB (kip)]])</f>
        <v/>
      </c>
      <c r="GE81" s="50" t="str">
        <f>IF(Reinforcements[[#This Row],[Reinforcement]]="","",IF(Reinforcements[[#This Row],[Type]]="channel",φ_c*Reinforcements[[#This Row],[Pn]],φ_c*Reinforcements[[#This Row],[Pny, FB (kip)]]))</f>
        <v/>
      </c>
      <c r="GF81" s="50" t="str">
        <f>Reinforcements[[#This Row],[Rev. G Tension Yield Capacity (kips)]]</f>
        <v/>
      </c>
      <c r="GG81" s="50" t="str">
        <f>Reinforcements[[#This Row],[Rev. G Tension Rupture Capacity (kips)]]</f>
        <v/>
      </c>
      <c r="GH81" s="50" t="str">
        <f>Reinforcements[[#This Row],[Rev. G Shear Capacity (kips)]]</f>
        <v/>
      </c>
      <c r="GI81" s="50" t="str">
        <f>IFERROR((Reinforcements[[#This Row],['# of End Connection Bolts          (Bottom)]]-1)*Reinforcements[[#This Row],[End Connection Bolt Spacing (in) (B)]],"-")</f>
        <v>-</v>
      </c>
      <c r="GJ81" s="50" t="str">
        <f>IFERROR(IF(VLOOKUP(Reinforcements[[#This Row],[Bottom End Connection Bolt Type]],Bolts[],COLUMN(Bolts[[#Headers],[Rev. H Apply Connection Length Reduction Factor (Rb)?]])-1,FALSE)="Yes",(IF(Reinforcements[[#This Row],[Lb(bottom)]]&lt;=16,1,IF(Reinforcements[[#This Row],[Lb(bottom)]]&gt;38,0.75,0.9))),1),"-")</f>
        <v>-</v>
      </c>
      <c r="GK81"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50" t="str">
        <f>IFERROR(IF(Reinforcements[[#This Row],[Top End Connection Same?]]="Yes",Reinforcements[[#This Row],[Lb(bottom)]],(Reinforcements[[#This Row],['# of End Connection Bolts          (Top)]]-1)*Reinforcements[[#This Row],[End Connection Bolt Spacing (in) (T)]]),"-")</f>
        <v>-</v>
      </c>
      <c r="GM81" s="50" t="str">
        <f>IFERROR(IF(VLOOKUP(Reinforcements[[#This Row],[Top End Connection Bolt Type]],Bolts[],COLUMN(Bolts[[#Headers],[Rev. H Apply Connection Length Reduction Factor (Rb)?]])-1,FALSE)=TRUE,(IF(Reinforcements[[#This Row],[Lb(top)]]&lt;=16,1,IF(Reinforcements[[#This Row],[Lb(top)]]&gt;38,0.75,0.9))),1),"-")</f>
        <v>-</v>
      </c>
      <c r="GN81"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50" t="str">
        <f>Reinforcements[[#This Row],[Rev. G Bolt-Shaft Bearing Capacity (Bottom)                No Deformation          (*t*Fu kips)]]</f>
        <v>-</v>
      </c>
      <c r="GP81" s="50" t="str">
        <f>Reinforcements[[#This Row],[Rev. G Bolt-Shaft Bearing Capacity (Bottom)                   Deformation          (*t*Fu kips)]]</f>
        <v>-</v>
      </c>
      <c r="GQ81" s="50" t="str">
        <f>Reinforcements[[#This Row],[Rev. G Bolt-Shaft Bearing Capacity (Top)                    No Deformation          (*t*Fu kips)]]</f>
        <v>-</v>
      </c>
      <c r="GR81" s="50" t="str">
        <f>Reinforcements[[#This Row],[Rev. G Bolt-Shaft Bearing Capacity (Top)                        Deformation          (*t*Fu kips)]]</f>
        <v>-</v>
      </c>
      <c r="GS81" s="50" t="str">
        <f>Reinforcements[[#This Row],[Rev. G Bolt-Reinf. Bearing Capacity (Bottom)            No Deformation (kips)]]</f>
        <v>-</v>
      </c>
      <c r="GT81" s="50" t="str">
        <f>Reinforcements[[#This Row],[Rev. G Bolt-Reinf. Bearing Capacity (Bottom)               Deformation (kips)]]</f>
        <v>-</v>
      </c>
      <c r="GU81" s="50" t="str">
        <f>Reinforcements[[#This Row],[Rev. G Bolt-Reinf. Bearing Capacity (Top)                  No Deformation (kips)]]</f>
        <v>-</v>
      </c>
      <c r="GV81" s="50" t="str">
        <f>Reinforcements[[#This Row],[Rev. G Bolt-Reinf. Bearing Capacity (Top)               Deformation (kips)]]</f>
        <v>-</v>
      </c>
      <c r="GW81" s="50" t="str">
        <f>Reinforcements[[#This Row],[Rev. G Bottom Transverse Weld Strength]]</f>
        <v/>
      </c>
      <c r="GX81" s="50" t="str">
        <f>Reinforcements[[#This Row],[Rev. G Bottom Longitudinal Weld Strength]]</f>
        <v/>
      </c>
      <c r="GY81" s="50" t="str">
        <f>Reinforcements[[#This Row],[Rev. G Top Transverse Weld Strength]]</f>
        <v/>
      </c>
      <c r="GZ81" s="50" t="str">
        <f>Reinforcements[[#This Row],[Rev. G Top Longitudinal Weld Strength]]</f>
        <v/>
      </c>
      <c r="HA81">
        <v>79</v>
      </c>
      <c r="HB81"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94"/>
      <c r="C82" s="94"/>
      <c r="D82" s="127" t="str">
        <f>IF(Reinforcements[[#This Row],[Type]]="","",IF(Reinforcements[[#This Row],[Type]]="solid round","-",""))</f>
        <v/>
      </c>
      <c r="E82" s="127" t="str">
        <f>IF(Reinforcements[[#This Row],[Type]]="","",IF(Reinforcements[[#This Row],[Type]]="solid round","-",""))</f>
        <v/>
      </c>
      <c r="F82" s="127" t="str">
        <f>IF(Reinforcements[[#This Row],[Type]]="","",IF(Reinforcements[[#This Row],[Type]]="solid round","","n/a"))</f>
        <v/>
      </c>
      <c r="G82" s="127" t="str">
        <f>IF(Reinforcements[[#This Row],[Type]]="","",IF(Reinforcements[[#This Row],[Type]]&lt;&gt;"channel","n/a",""))</f>
        <v/>
      </c>
      <c r="H82" s="127" t="str">
        <f>IF(Reinforcements[[#This Row],[Type]]="","",IF(Reinforcements[[#This Row],[Type]]&lt;&gt;"channel","n/a",""))</f>
        <v/>
      </c>
      <c r="I82" s="140" t="str">
        <f>IF(Reinforcements[[#This Row],[Type]]="","",IF(Reinforcements[[#This Row],[Type]]&lt;&gt;"channel","n/a",Reinforcements[[#This Row],[eo]]))</f>
        <v/>
      </c>
      <c r="J82" s="140" t="str">
        <f>IF(Reinforcements[[#This Row],[Type]]="","",IF(Reinforcements[[#This Row],[Type]]&lt;&gt;"channel","n/a",Reinforcements[[#This Row],[J]]))</f>
        <v/>
      </c>
      <c r="K82" s="140" t="str">
        <f>IF(Reinforcements[[#This Row],[Type]]="","",IF(Reinforcements[[#This Row],[Type]]&lt;&gt;"channel","n/a",Reinforcements[[#This Row],[Cw]]))</f>
        <v/>
      </c>
      <c r="L82" s="127" t="str">
        <f>IFERROR(IF(Reinforcements[[#This Row],[Type]]="","",IF(Reinforcements[[#This Row],[Type]]="plate",Reinforcements[[#This Row],[B (in)]]*Reinforcements[[#This Row],[H (in)]],IF(Reinforcements[[#This Row],[Type]]="solid round",PI()/4*Reinforcements[[#This Row],[Diameter (in)]]^2,""))),"")</f>
        <v/>
      </c>
      <c r="M82" s="127" t="str">
        <f>IFERROR(IF(Reinforcements[[#This Row],[Type]]="","",IF(Reinforcements[[#This Row],[Type]]="plate",Reinforcements[[#This Row],[H (in)]]/2,"")),"")</f>
        <v/>
      </c>
      <c r="N82" s="128"/>
      <c r="O82" s="129"/>
      <c r="P82" s="135" t="str">
        <f>IFERROR(IF(Reinforcements[[#This Row],[Type]]="","",IF(Reinforcements[[#This Row],[Type]]="plate",Reinforcements[[#This Row],[B (in)]]*Reinforcements[[#This Row],[H (in)]]^3/12,IF(Reinforcements[[#This Row],[Type]]="solid round",PI()/64*Reinforcements[[#This Row],[Diameter (in)]]^4,""))),"")</f>
        <v/>
      </c>
      <c r="Q82" s="135" t="str">
        <f>IF(Reinforcements[[#This Row],[Reinforcement]]="","",SQRT(Reinforcements[[#This Row],[Ix]]/Reinforcements[[#This Row],[Gross Area (in2)]]))</f>
        <v/>
      </c>
      <c r="R82" s="135" t="str">
        <f>IFERROR(IF(Reinforcements[[#This Row],[Type]]="","",IF(Reinforcements[[#This Row],[Type]]="plate",Reinforcements[[#This Row],[B (in)]]^3*Reinforcements[[#This Row],[H (in)]]/12,IF(Reinforcements[[#This Row],[Type]]="solid round",PI()/64*Reinforcements[[#This Row],[Diameter (in)]]^4,""))),"")</f>
        <v/>
      </c>
      <c r="S82" s="135" t="str">
        <f>IF(Reinforcements[[#This Row],[Reinforcement]]="","",SQRT(Reinforcements[[#This Row],[Iy]]/Reinforcements[[#This Row],[Gross Area (in2)]]))</f>
        <v/>
      </c>
      <c r="T82" s="127"/>
      <c r="U82" s="127" t="str">
        <f>IF(Reinforcements[[#This Row],[Lu (in)]]="","",IF(Reinforcements[[#This Row],[Lu (in)]]=0,1,""))</f>
        <v/>
      </c>
      <c r="V82" s="127" t="str">
        <f>IF(Reinforcements[[#This Row],[Lu (in)]]="","",IF(Reinforcements[[#This Row],[Lu (in)]]=0,1,""))</f>
        <v/>
      </c>
      <c r="W82" s="127" t="str">
        <f>IF(Reinforcements[[#This Row],[Type]]="","",IF(Reinforcements[[#This Row],[Type]]="solid round",0,IF(Reinforcements[[#This Row],[Type]]="arbitrary","n/a","")))</f>
        <v/>
      </c>
      <c r="X82" s="127" t="str">
        <f>IF(Reinforcements[[#This Row],[Bolt Hole Size (in)]]="","",IF(Reinforcements[[#This Row],[Bolt Hole Size (in)]]="n/a","n/a",Reinforcements[[#This Row],[Bolt Hole Size (in)]]*25.4))</f>
        <v/>
      </c>
      <c r="Y82"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127" t="str">
        <f>IFERROR(IF(Reinforcements[[#This Row],[Reinforcement]]="","",IF(OR(Reinforcements[[#This Row],[Type]]="plate",Reinforcements[[#This Row],[Type]]="solid round"),1,IF(Reinforcements[[#This Row],[Type]]="arbitrary","",1-Reinforcements[[#This Row],[Pole Face to Centroid (in)]]/Reinforcements[[#This Row],[Connection Length (in) '[Channels']]]))),"")</f>
        <v/>
      </c>
      <c r="AA82" s="74"/>
      <c r="AB82" s="74" t="str">
        <f>IF(Reinforcements[[#This Row],[Reinforcement]]="","",IF(Reinforcements[[#This Row],[Bottom End Connection Type]]&lt;&gt;"Capacity Input","-",""))</f>
        <v/>
      </c>
      <c r="AC82" s="74" t="str">
        <f>IF(Reinforcements[[#This Row],[Reinforcement]]="","",IF(Reinforcements[[#This Row],[Bottom End Connection Type]]&lt;&gt;"Capacity Input","-",""))</f>
        <v/>
      </c>
      <c r="AD82" s="74" t="str">
        <f>IF(Reinforcements[[#This Row],[Reinforcement]]="","",IF(Reinforcements[[#This Row],[Bottom End Connection Type]]&lt;&gt;"Capacity Input","-",""))</f>
        <v/>
      </c>
      <c r="AE82" s="74" t="str">
        <f>IF(Reinforcements[[#This Row],[Reinforcement]]="","",IF(Reinforcements[[#This Row],[Bottom End Connection Type]]&lt;&gt;"Bolted","-",""))</f>
        <v/>
      </c>
      <c r="AF82" s="127" t="str">
        <f>IF(Reinforcements[[#This Row],[Reinforcement]]="","",IF(Reinforcements[[#This Row],[Bottom End Connection Type]]&lt;&gt;"Bolted","-",""))</f>
        <v/>
      </c>
      <c r="AG82" s="127" t="str">
        <f>IF(Reinforcements[[#This Row],[Reinforcement]]="","",IF(Reinforcements[[#This Row],[Bottom End Connection Type]]="","-",IF(Reinforcements[[#This Row],[Bottom End Connection Type]]&lt;&gt;"Bolted","-","")))</f>
        <v/>
      </c>
      <c r="AH82" s="127" t="str">
        <f>IF(Reinforcements[[#This Row],[Reinforcement]]="","",IF(Reinforcements[[#This Row],[Bottom End Connection Type]]="","-",IF(Reinforcements[[#This Row],[Bottom End Connection Type]]&lt;&gt;"Bolted","-","")))</f>
        <v/>
      </c>
      <c r="AI82" s="127" t="str">
        <f>IF(Reinforcements[[#This Row],[Reinforcement]]="","",IF(Reinforcements[[#This Row],[Bottom End Connection Type]]="","-",IF(Reinforcements[[#This Row],[Bottom End Connection Type]]&lt;&gt;"Bolted","-","")))</f>
        <v/>
      </c>
      <c r="AJ82" s="127" t="e">
        <f>Reinforcements[[#This Row],[End Connection Edge Distance (in) (B)]]-(Reinforcements[[#This Row],[Bolt Hole Size (in)]]+1/16)/2</f>
        <v>#VALUE!</v>
      </c>
      <c r="AK82" s="127" t="e">
        <f>Reinforcements[[#This Row],[End Connection Bolt Spacing (in) (B)]]-(Reinforcements[[#This Row],[Bolt Hole Size (in)]]+1/16)</f>
        <v>#VALUE!</v>
      </c>
      <c r="AL82" s="127" t="str">
        <f>Reinforcements[[#This Row],[End Connection Edge Distance (in) (B)]]</f>
        <v/>
      </c>
      <c r="AM82" s="127" t="str">
        <f>Reinforcements[[#This Row],[End Connection Bolt Spacing (in) (B)]]</f>
        <v/>
      </c>
      <c r="AN82" s="127" t="str">
        <f>IF(Reinforcements[[#This Row],[Reinforcement]]="","",IF(OR(Reinforcements[[#This Row],[Bottom End Connection Type]]="Bolted",Reinforcements[[#This Row],[Bottom End Connection Type]]=""),"-",""))</f>
        <v/>
      </c>
      <c r="AO82" s="129" t="str">
        <f>IF(Reinforcements[[#This Row],[Reinforcement]]="","",IF(Reinforcements[[#This Row],[Bottom End Connection Type]]&lt;&gt;"Welded","-",""))</f>
        <v/>
      </c>
      <c r="AP82" s="129" t="str">
        <f>IF(Reinforcements[[#This Row],[Reinforcement]]="","",IF(Reinforcements[[#This Row],[Bottom End Connection Type]]&lt;&gt;"Welded","-",""))</f>
        <v/>
      </c>
      <c r="AQ82" s="129" t="str">
        <f>IF(Reinforcements[[#This Row],[Reinforcement]]="","",IF(OR(Reinforcements[[#This Row],[Bottom End Connection Type]]&lt;&gt;"Welded",Reinforcements[[#This Row],[Bottom Transverse (Horizontal) Weld]]="None"),"-",""))</f>
        <v/>
      </c>
      <c r="AR8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129" t="str">
        <f>IF(Reinforcements[[#This Row],[Reinforcement]]="","",IF(OR(Reinforcements[[#This Row],[Bottom Transverse (Horizontal) Weld]]="None",Reinforcements[[#This Row],[Bottom End Connection Type]]&lt;&gt;"Welded"),"-",""))</f>
        <v/>
      </c>
      <c r="AU82"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129" t="str">
        <f>IF(Reinforcements[[#This Row],[Reinforcement]]="","",IF(OR(Reinforcements[[#This Row],[Bottom End Connection Type]]&lt;&gt;"Welded",Reinforcements[[#This Row],[Bottom End Connection Type]]=""),"-",""))</f>
        <v/>
      </c>
      <c r="AW82" s="129" t="str">
        <f>IF(Reinforcements[[#This Row],[Reinforcement]]="","",IF(OR(Reinforcements[[#This Row],[Bottom End Connection Type]]&lt;&gt;"Welded",Reinforcements[[#This Row],[Bottom Longitudinal (Vertical) Weld]]="None",Reinforcements[[#This Row],[Bottom Longitudinal (Vertical) Weld]]=""),"-",""))</f>
        <v/>
      </c>
      <c r="AX82" s="129" t="str">
        <f>IF(Reinforcements[[#This Row],[Reinforcement]]="","",IF(OR(Reinforcements[[#This Row],[Bottom End Connection Type]]&lt;&gt;"Welded",Reinforcements[[#This Row],[Bottom Longitudinal (Vertical) Weld]]="None",Reinforcements[[#This Row],[Bottom Longitudinal (Vertical) Weld]]=""),"-",""))</f>
        <v/>
      </c>
      <c r="AY82" s="127" t="str">
        <f>IF(Reinforcements[[#This Row],[Reinforcement]]="","",IF(OR(Reinforcements[[#This Row],[Bottom End Connection Type]]&lt;&gt;"Welded",Reinforcements[[#This Row],[Bottom Longitudinal (Vertical) Weld]]="None"),"-",SQRT(2)/2*Reinforcements[[#This Row],[Bottom Longitudinal Weld Fillet Size (in)]]))</f>
        <v/>
      </c>
      <c r="AZ82" s="127"/>
      <c r="BA82" s="74" t="str">
        <f>IF(Reinforcements[[#This Row],[Top End Connection Same?]]="Yes",Reinforcements[[#This Row],[Bottom End Connection Type]],"")</f>
        <v/>
      </c>
      <c r="BB82" s="74" t="str">
        <f>IF(Reinforcements[[#This Row],[Reinforcement]]="","",IF(Reinforcements[[#This Row],[Top End Connection Same?]]="Yes",Reinforcements[[#This Row],[Rev. F Bottom Connection Capacity (kips)]],IF(Reinforcements[[#This Row],[Reinforcement]]="","",IF(Reinforcements[[#This Row],[Top End Connection Type]]&lt;&gt;"Capacity Input","-",""))))</f>
        <v/>
      </c>
      <c r="BC82" s="74" t="str">
        <f>IF(Reinforcements[[#This Row],[Reinforcement]]="","",IF(Reinforcements[[#This Row],[Top End Connection Same?]]="Yes",Reinforcements[[#This Row],[Rev. G Bottom Connection Capacity (kips)]],IF(Reinforcements[[#This Row],[Reinforcement]]="","",IF(Reinforcements[[#This Row],[Top End Connection Type]]&lt;&gt;"Capacity Input","-",""))))</f>
        <v/>
      </c>
      <c r="BD82" s="74" t="str">
        <f>IF(Reinforcements[[#This Row],[Reinforcement]]="","",IF(Reinforcements[[#This Row],[Top End Connection Same?]]="Yes",Reinforcements[[#This Row],[Rev. G Bottom Connection Capacity (kips)]],IF(Reinforcements[[#This Row],[Reinforcement]]="","",IF(Reinforcements[[#This Row],[Top End Connection Type]]&lt;&gt;"Capacity Input","-",""))))</f>
        <v/>
      </c>
      <c r="BE82" s="74" t="str">
        <f>IF(Reinforcements[[#This Row],[Reinforcement]]="","",IF(Reinforcements[[#This Row],[Top End Connection Same?]]="Yes",Reinforcements[[#This Row],[Bottom End Connection Bolt Type]],IF(Reinforcements[[#This Row],[Top End Connection Type]]&lt;&gt;"Bolted","-","")))</f>
        <v/>
      </c>
      <c r="BF82" s="127" t="str">
        <f>IF(Reinforcements[[#This Row],[Reinforcement]]="","",IF(Reinforcements[[#This Row],[Top End Connection Same?]]="Yes",Reinforcements[[#This Row],[Threads Included (N) or Excluded (X) (Bottom)]],IF(Reinforcements[[#This Row],[Top End Connection Type]]&lt;&gt;"Bolted","-","")))</f>
        <v/>
      </c>
      <c r="BG82" s="127" t="str">
        <f>IF(Reinforcements[[#This Row],[Reinforcement]]="","",IF(Reinforcements[[#This Row],[Top End Connection Same?]]="Yes",Reinforcements[[#This Row],['# of End Connection Bolts          (Bottom)]],IF(Reinforcements[[#This Row],[Top End Connection Type]]&lt;&gt;"Bolted","-","")))</f>
        <v/>
      </c>
      <c r="BH82" s="127" t="str">
        <f>IF(Reinforcements[[#This Row],[Reinforcement]]="","",IF(Reinforcements[[#This Row],[Top End Connection Same?]]="Yes",Reinforcements[[#This Row],[End Connection Bolt Spacing (in) (B)]],IF(Reinforcements[[#This Row],[Top End Connection Type]]&lt;&gt;"Bolted","-","")))</f>
        <v/>
      </c>
      <c r="BI82" s="127" t="str">
        <f>IF(Reinforcements[[#This Row],[Reinforcement]]="","",IF(Reinforcements[[#This Row],[Top End Connection Same?]]="Yes",Reinforcements[[#This Row],[End Connection Edge Distance (in) (B)]],IF(Reinforcements[[#This Row],[Top End Connection Type]]&lt;&gt;"Bolted","-","")))</f>
        <v/>
      </c>
      <c r="BJ82" s="127" t="e">
        <f>Reinforcements[[#This Row],[End Connection Edge Distance (in) (T)]]-(Reinforcements[[#This Row],[Bolt Hole Size (in)]]+1/16)/2</f>
        <v>#VALUE!</v>
      </c>
      <c r="BK82" s="127" t="e">
        <f>Reinforcements[[#This Row],[End Connection Bolt Spacing (in) (T)]]-(Reinforcements[[#This Row],[Bolt Hole Size (in)]]+1/16)</f>
        <v>#VALUE!</v>
      </c>
      <c r="BL82" s="127" t="str">
        <f>Reinforcements[[#This Row],[End Connection Edge Distance (in) (T)]]</f>
        <v/>
      </c>
      <c r="BM82" s="127" t="str">
        <f>Reinforcements[[#This Row],[End Connection Bolt Spacing (in) (T)]]</f>
        <v/>
      </c>
      <c r="BN82" s="127" t="str">
        <f>IF(Reinforcements[[#This Row],[Reinforcement]]="","",IF(Reinforcements[[#This Row],[Top End Connection Same?]]="Yes",Reinforcements[[#This Row],[Bottom Connected to Flange/Base Plate?]],IF(Reinforcements[[#This Row],[Top End Connection Type]]="Bolted","-","")))</f>
        <v/>
      </c>
      <c r="BO82" s="127" t="str">
        <f>IF(Reinforcements[[#This Row],[Reinforcement]]="","",IF(Reinforcements[[#This Row],[Top End Connection Same?]]="Yes",Reinforcements[[#This Row],[Bottom Weld Grade (ksi)]],IF(OR(Reinforcements[[#This Row],[Top End Connection Type]]&lt;&gt;"Welded",Reinforcements[[#This Row],[Top End Connection Type]]=""),"-","")))</f>
        <v/>
      </c>
      <c r="BP82" s="127" t="str">
        <f>IF($AZ82="Yes",AP82,IF(Reinforcements[[#This Row],[Reinforcement]]="","",IF(OR(Reinforcements[[#This Row],[Top End Connection Type]]&lt;&gt;"Welded",Reinforcements[[#This Row],[Top End Connection Type]]=""),"-","")))</f>
        <v/>
      </c>
      <c r="BQ82" s="127" t="str">
        <f>IF(Reinforcements[[#This Row],[Reinforcement]]="","",IF($AZ82="Yes",AQ82,IF(OR(Reinforcements[[#This Row],[Top End Connection Type]]&lt;&gt;"Welded",Reinforcements[[#This Row],[Top Transverse (Horizontal) Weld]]="none",Reinforcements[[#This Row],[Top Transverse (Horizontal) Weld]]=""),"-","")))</f>
        <v/>
      </c>
      <c r="BR82" s="127"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127"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127" t="str">
        <f>IF(Reinforcements[[#This Row],[Reinforcement]]="","",IF($AZ82="Yes",AT82,IF(OR(Reinforcements[[#This Row],[Top Transverse (Horizontal) Weld]]="none",Reinforcements[[#This Row],[Top End Connection Type]]&lt;&gt;"Welded",Reinforcements[[#This Row],[Top Transverse (Horizontal) Weld]]=""),"-","")))</f>
        <v/>
      </c>
      <c r="BU82" s="127"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127" t="str">
        <f>IF($AZ82="Yes",AV82,IF(Reinforcements[[#This Row],[Reinforcement]]="","",IF(OR(Reinforcements[[#This Row],[Top End Connection Type]]&lt;&gt;"Welded",Reinforcements[[#This Row],[Top End Connection Type]]=""),"-","")))</f>
        <v/>
      </c>
      <c r="BW82" s="127"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127"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127" t="str">
        <f>IF($AZ82="Yes",AY82,IF(Reinforcements[[#This Row],[Reinforcement]]="","",IF(OR(Reinforcements[[#This Row],[Top End Connection Type]]&lt;&gt;"Welded",Reinforcements[[#This Row],[Top Longitudinal (Vertical) Weld]]="none"),"-",SQRT(2)/2*Reinforcements[[#This Row],[Top Longitudinal Weld Fillet Size (in)]])))</f>
        <v/>
      </c>
      <c r="BZ82"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129" t="str">
        <f>IF(Reinforcements[[#This Row],[Reinforcement]]="","",IF(Reinforcements[[#This Row],[Top End Connection Type]]&lt;&gt;"Bolted","n/a",(Reinforcements[[#This Row],['# of End Connection Bolts          (Top)]]-1)*Reinforcements[[#This Row],[End Connection Bolt Spacing (in) (T)]]+Reinforcements[[#This Row],[End Connection Edge Distance (in) (T)]]))</f>
        <v/>
      </c>
      <c r="CC82"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127" t="str">
        <f>IFERROR(IF(Reinforcements[[#This Row],[Type]]="","",Reinforcements[[#This Row],[Effective B (in)]]*Reinforcements[[#This Row],[Effective H (in)]]^3/12),"")</f>
        <v/>
      </c>
      <c r="CF82" s="127" t="str">
        <f>IFERROR(IF(Reinforcements[[#This Row],[Type]]="","",Reinforcements[[#This Row],[Effective B (in)]]^3*Reinforcements[[#This Row],[Effective H (in)]]/12),"")</f>
        <v/>
      </c>
      <c r="CG82" s="140" t="e">
        <f>SQRT(2*PI()^2*29000/VLOOKUP(Reinforcements[[#This Row],[Material]],Materials[],2,FALSE))</f>
        <v>#N/A</v>
      </c>
      <c r="CH82"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135" t="e">
        <f>Reinforcements[[#This Row],[Effective Length Factor Kx]]*Reinforcements[[#This Row],[Lu (in)]]/(Reinforcements[[#This Row],[rx]]*PI())*SQRT(VLOOKUP(Reinforcements[[#This Row],[Material]],Materials[],2,FALSE)/29000)</f>
        <v>#VALUE!</v>
      </c>
      <c r="CK82" s="135" t="e">
        <f>Reinforcements[[#This Row],[Effective Length Factor Ky]]*Reinforcements[[#This Row],[Lu (in)]]/(Reinforcements[[#This Row],[ry]]*PI())*SQRT(VLOOKUP(Reinforcements[[#This Row],[Material]],Materials[],2,FALSE)/29000)</f>
        <v>#VALUE!</v>
      </c>
      <c r="CL82" s="135" t="e">
        <f>IF(Reinforcements[[#This Row],[λcx]]&lt;=1.5,0.658^(Reinforcements[[#This Row],[λcx]]^2)*Reinforcements[[#This Row],[F''y]],0.877/(Reinforcements[[#This Row],[λcx]]^2)*Reinforcements[[#This Row],[F''y]])</f>
        <v>#VALUE!</v>
      </c>
      <c r="CM82" s="135" t="e">
        <f>IF(Reinforcements[[#This Row],[λcy]]&lt;=1.5,0.658^(Reinforcements[[#This Row],[λcy]]^2)*Reinforcements[[#This Row],[F''y]],0.877/(Reinforcements[[#This Row],[λcy]]^2)*Reinforcements[[#This Row],[F''y]])</f>
        <v>#VALUE!</v>
      </c>
      <c r="CN82" s="127" t="e">
        <f>VLOOKUP(Reinforcements[[#This Row],[Material]],Materials[],2,FALSE)</f>
        <v>#N/A</v>
      </c>
      <c r="CO82" s="140" t="str">
        <f>IF(Reinforcements[[#This Row],[Reinforcement]]="","",Reinforcements[[#This Row],[Fax]]*Reinforcements[[#This Row],[Gross Area (in2)]])</f>
        <v/>
      </c>
      <c r="CP82" s="140" t="str">
        <f>IF(Reinforcements[[#This Row],[Reinforcement]]="","",Reinforcements[[#This Row],[Fay]]*Reinforcements[[#This Row],[Gross Area (in2)]])</f>
        <v/>
      </c>
      <c r="CQ82" s="140" t="str">
        <f>IF(Reinforcements[[#This Row],[Reinforcement]]="","",0.6*VLOOKUP(Reinforcements[[#This Row],[Material]],Materials[],2,FALSE)*Reinforcements[[#This Row],[Gross Area (in2)]])</f>
        <v/>
      </c>
      <c r="CR82" s="140" t="str">
        <f>IF(Reinforcements[[#This Row],[Reinforcement]]="","",0.5*VLOOKUP(Reinforcements[[#This Row],[Material]],Materials[],3,FALSE)*Reinforcements[[#This Row],[Net Area (in2)]]*Reinforcements[[#This Row],[Shear Lag (U)]])</f>
        <v/>
      </c>
      <c r="CS82" s="140" t="str">
        <f>IF(Reinforcements[[#This Row],[Reinforcement]]="","",0.4*VLOOKUP(Reinforcements[[#This Row],[Material]],Materials[],2,FALSE)*Reinforcements[[#This Row],[Gross Area (in2)]])</f>
        <v/>
      </c>
      <c r="CT82"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127"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127"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140" t="str">
        <f>IF(Reinforcements[[#This Row],[Reinforcement]]="","",φ_c*Reinforcements[[#This Row],[Fcr,x]]*Reinforcements[[#This Row],[Gross Area (in2)]])</f>
        <v/>
      </c>
      <c r="DI82" s="140" t="str">
        <f>IF(Reinforcements[[#This Row],[Reinforcement]]="","",φ_c*Reinforcements[[#This Row],[Fcr,y]]*Reinforcements[[#This Row],[Gross Area (in2)]])</f>
        <v/>
      </c>
      <c r="DJ82" s="140" t="str">
        <f>IF(Reinforcements[[#This Row],[Reinforcement]]="","",φ_t_y*VLOOKUP(Reinforcements[[#This Row],[Material]],Materials[],2,FALSE)*Reinforcements[[#This Row],[Gross Area (in2)]])</f>
        <v/>
      </c>
      <c r="DK82" s="140" t="str">
        <f>IF(Reinforcements[[#This Row],[Reinforcement]]="","",φ_t_r*VLOOKUP(Reinforcements[[#This Row],[Material]],Materials[],3,FALSE)*Reinforcements[[#This Row],[Net Area (in2)]]*Reinforcements[[#This Row],[Shear Lag (U)]])</f>
        <v/>
      </c>
      <c r="DL82" s="140" t="str">
        <f>IF(Reinforcements[[#This Row],[Reinforcement]]="","",φ_v*0.5*Reinforcements[[#This Row],[F''y]]*Reinforcements[[#This Row],[Gross Area (in2)]])</f>
        <v/>
      </c>
      <c r="DM82"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127"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127"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129" t="str">
        <f>IF(OR(Reinforcements[[#This Row],[Type]]="plate",Reinforcements[[#This Row],[Type]]="solid round"),"N/A",Reinforcements[[#This Row],[B (in)]])</f>
        <v/>
      </c>
      <c r="EB82" s="127" t="str">
        <f>IF(OR(Reinforcements[[#This Row],[Type]]="plate",Reinforcements[[#This Row],[Type]]="solid round"),"N/A",Reinforcements[[#This Row],[H (in)]])</f>
        <v/>
      </c>
      <c r="EC82" s="127" t="e">
        <f>IF(OR(Reinforcements[[#This Row],[Type]]="plate",Reinforcements[[#This Row],[Type]]="solid round"),"N/A",Reinforcements[[#This Row],[B (in)]]-Reinforcements[[#This Row],['[Channel'] Flange Thickness (in)]])</f>
        <v>#VALUE!</v>
      </c>
      <c r="ED82" s="127" t="str">
        <f>IF(OR(Reinforcements[[#This Row],[Type]]="plate",Reinforcements[[#This Row],[Type]]="solid round"),"N/A",Reinforcements[[#This Row],['[Channel']Web Thickness (in)]])</f>
        <v/>
      </c>
      <c r="EE82" s="127" t="str">
        <f>IF(OR(Reinforcements[[#This Row],[Type]]="plate",Reinforcements[[#This Row],[Type]]="solid round"),"N/A",Reinforcements[[#This Row],['[Channel'] Flange Thickness (in)]])</f>
        <v/>
      </c>
      <c r="EF82" s="127" t="str">
        <f>IF(Reinforcements[[#This Row],[Type]]="channel",Reinforcements[[#This Row],[Channel Flange Width, b]]/Reinforcements[[#This Row],[Channel flange thickness, tf]],"N/A")</f>
        <v>N/A</v>
      </c>
      <c r="EG82" s="127" t="str">
        <f>IF(Reinforcements[[#This Row],[Type]]="channel",Reinforcements[[#This Row],[Channel inside depth, T]]/Reinforcements[[#This Row],[Channel web thickness, tw]],"N/A")</f>
        <v>N/A</v>
      </c>
      <c r="EH82" s="6">
        <f>29000</f>
        <v>29000</v>
      </c>
      <c r="EI82" s="127" t="str">
        <f>IF(Reinforcements[[#This Row],[Type]]="channel",0.56*SQRT(Reinforcements[[#This Row],[E, (ksi)]]/Reinforcements[[#This Row],[Fy, (ksi)]]),"N/A")</f>
        <v>N/A</v>
      </c>
      <c r="EJ82" s="127" t="str">
        <f>IF(Reinforcements[[#This Row],[Type]]="channel",1.49*SQRT(Reinforcements[[#This Row],[E, (ksi)]]/Reinforcements[[#This Row],[Fy, (ksi)]]),"N/A")</f>
        <v>N/A</v>
      </c>
      <c r="EK82" s="127" t="e">
        <f>VLOOKUP(Reinforcements[[#This Row],[Material]],Materials!$B$2:$C$30,2,FALSE)</f>
        <v>#N/A</v>
      </c>
      <c r="EL82" s="127" t="e">
        <f>Reinforcements[[#This Row],[Lu (in)]]*Reinforcements[[#This Row],[Effective Length Factor Kx]]</f>
        <v>#VALUE!</v>
      </c>
      <c r="EM82" s="127" t="e">
        <f>Reinforcements[[#This Row],[Lu (in)]]*Reinforcements[[#This Row],[Effective Length Factor Ky]]</f>
        <v>#VALUE!</v>
      </c>
      <c r="EN82" s="127" t="str">
        <f>Reinforcements[[#This Row],[rx]]</f>
        <v/>
      </c>
      <c r="EO82" s="127" t="str">
        <f>Reinforcements[[#This Row],[ry]]</f>
        <v/>
      </c>
      <c r="EP82" s="127" t="e">
        <f>Reinforcements[[#This Row],[Lcx (in)]]/Reinforcements[[#This Row],[rx (in)]]</f>
        <v>#VALUE!</v>
      </c>
      <c r="EQ82" s="127" t="e">
        <f>Reinforcements[[#This Row],[Lcy (in)]]/Reinforcements[[#This Row],[ry (in)]]</f>
        <v>#VALUE!</v>
      </c>
      <c r="ER82" s="127" t="e">
        <f>((PI()^2)*Reinforcements[[#This Row],[E, (ksi)]])/(Reinforcements[[#This Row],[Lcx/rx]]^2)</f>
        <v>#VALUE!</v>
      </c>
      <c r="ES82" s="127" t="e">
        <f>((PI()^2)*Reinforcements[[#This Row],[E, (ksi)]])/(Reinforcements[[#This Row],[Lcy/ry]]^2)</f>
        <v>#VALUE!</v>
      </c>
      <c r="ET82" s="127" t="e">
        <f>4.71*(SQRT(Reinforcements[[#This Row],[E, (ksi)]]/Reinforcements[[#This Row],[Fy, (ksi)]]))</f>
        <v>#N/A</v>
      </c>
      <c r="EU82" s="127" t="e">
        <f>IF(Reinforcements[[#This Row],[Lcx/rx]]&lt;=Reinforcements[[#This Row],[Fcr Limit]],(0.658^(Reinforcements[[#This Row],[Fy, (ksi)]]/Reinforcements[[#This Row],[Fex, FB (ksi)]]))*Reinforcements[[#This Row],[Fy, (ksi)]],0.877*Reinforcements[[#This Row],[Fex, FB (ksi)]])</f>
        <v>#VALUE!</v>
      </c>
      <c r="EV82" s="127" t="e">
        <f>IF(Reinforcements[[#This Row],[Lcy/ry]]&lt;=Reinforcements[[#This Row],[Fcr Limit]],(0.658^(Reinforcements[[#This Row],[Fy, (ksi)]]/Reinforcements[[#This Row],[Fey, FB (ksi)]]))*Reinforcements[[#This Row],[Fy, (ksi)]],0.877*Reinforcements[[#This Row],[Fey, FB (ksi)]])</f>
        <v>#VALUE!</v>
      </c>
      <c r="EW82" s="127" t="e">
        <f>Reinforcements[[#This Row],[Fcrx (ksi)]]*Reinforcements[[#This Row],[Gross Area (in2)]]</f>
        <v>#VALUE!</v>
      </c>
      <c r="EX82" s="127" t="e">
        <f>Reinforcements[[#This Row],[Fcry (ksi)]]*Reinforcements[[#This Row],[Gross Area (in2)]]</f>
        <v>#VALUE!</v>
      </c>
      <c r="EY82" s="127" t="str">
        <f>IF(Reinforcements[[#This Row],[Type]]="channel",0,"N/A")</f>
        <v>N/A</v>
      </c>
      <c r="EZ82" s="127" t="str">
        <f>IF(Reinforcements[[#This Row],[Type]]="channel",Reinforcements[[#This Row],[Channel Flange Width, b]]-(0.5*Reinforcements[[#This Row],[Channel web thickness, tw]]),"N/A")</f>
        <v>N/A</v>
      </c>
      <c r="FA82" s="127" t="str">
        <f>IF(Reinforcements[[#This Row],[Type]]="channel",Reinforcements[[#This Row],[Channel Height, h]]-Reinforcements[[#This Row],[Channel flange thickness, tf]],"N/A")</f>
        <v>N/A</v>
      </c>
      <c r="FB82" s="127" t="str">
        <f>IF(Reinforcements[[#This Row],[Type]]="channel",Reinforcements[[#This Row],[Channel web thickness, tw]],"N/A")</f>
        <v>N/A</v>
      </c>
      <c r="FC82" s="127" t="str">
        <f>IF(Reinforcements[[#This Row],[Type]]="channel",((3*Reinforcements[[#This Row],[b]]^2)/(Reinforcements[[#This Row],[h]]+(6*Reinforcements[[#This Row],[b]])))-Reinforcements[[#This Row],[t]]/2,"N/A")</f>
        <v>N/A</v>
      </c>
      <c r="FD82" s="127" t="str">
        <f>Reinforcements[[#This Row],[Pole Face to Centroid (in)]]</f>
        <v/>
      </c>
      <c r="FE82" s="127" t="str">
        <f>IF(Reinforcements[[#This Row],[Type]]="channel",Reinforcements[[#This Row],[x(bar)]]+Reinforcements[[#This Row],['[Channel'] e0 (in)]],"N/A")</f>
        <v>N/A</v>
      </c>
      <c r="FF82" s="127" t="str">
        <f>IF(Reinforcements[[#This Row],[Type]]="channel",Reinforcements[[#This Row],[Ix]],"N/A")</f>
        <v>N/A</v>
      </c>
      <c r="FG82" s="127" t="str">
        <f>IF(Reinforcements[[#This Row],[Type]]="channel",Reinforcements[[#This Row],[Iy]],"N/A")</f>
        <v>N/A</v>
      </c>
      <c r="FH82" s="127" t="str">
        <f>IF(Reinforcements[[#This Row],[Type]]="channel",Reinforcements[[#This Row],[Gross Area (in2)]],"N/A")</f>
        <v>N/A</v>
      </c>
      <c r="FI82" s="127" t="str">
        <f>IF(Reinforcements[[#This Row],[Type]]="channel",(Reinforcements[[#This Row],[xo]]^2)+((Reinforcements[[#This Row],[Ix (FTB)]]+Reinforcements[[#This Row],[Iy (FTB)]])/Reinforcements[[#This Row],[Ag]]),"N/A")</f>
        <v>N/A</v>
      </c>
      <c r="FJ82" s="127" t="str">
        <f>IF(Reinforcements[[#This Row],[Type]]="channel",Reinforcements[[#This Row],[Lu (in)]],"N/A")</f>
        <v>N/A</v>
      </c>
      <c r="FK82" s="127" t="str">
        <f>IF(Reinforcements[[#This Row],[Type]]="channel",Reinforcements[[#This Row],[Effective Length Factor Kx]],"N/A")</f>
        <v>N/A</v>
      </c>
      <c r="FL82" s="127" t="str">
        <f>IF(Reinforcements[[#This Row],[Type]]="channel",Reinforcements[[#This Row],[Kz]]*Reinforcements[[#This Row],[Lz]],"N/A")</f>
        <v>N/A</v>
      </c>
      <c r="FM82" s="127" t="str">
        <f>IF(Reinforcements[[#This Row],[Type]]="channel",(((Reinforcements[[#This Row],[t]]^3)/3)*(Reinforcements[[#This Row],[h]]+(2*Reinforcements[[#This Row],[b]]))),"N/A")</f>
        <v>N/A</v>
      </c>
      <c r="FN82" s="127" t="str">
        <f>IF(Reinforcements[[#This Row],[Type]]="channel",(1-(((Reinforcements[[#This Row],[xo]]^2)+(Reinforcements[[#This Row],[yo]]^2))/Reinforcements[[#This Row],[ro^2(bar)]])),"N/A")</f>
        <v>N/A</v>
      </c>
      <c r="FO82" s="127">
        <v>11200</v>
      </c>
      <c r="FP82" s="127" t="str">
        <f>IF(Reinforcements[[#This Row],[Type]]="channel",(((Reinforcements[[#This Row],[h]]^2)*(Reinforcements[[#This Row],[b]]^3)*Reinforcements[[#This Row],[t]])/12)*(((2*Reinforcements[[#This Row],[h]])+(3*Reinforcements[[#This Row],[b]]))/(Reinforcements[[#This Row],[h]]+(6*Reinforcements[[#This Row],[b]]))),"N/A")</f>
        <v>N/A</v>
      </c>
      <c r="FQ82" s="127" t="str">
        <f>IF(Reinforcements[[#This Row],[Type]]="Channel",((((PI()^2)*Reinforcements[[#This Row],[E, (ksi)]]*Reinforcements[[#This Row],['[Channel'] CW (in6)]])/(Reinforcements[[#This Row],[Lcz]]^2))+(Reinforcements[[#This Row],[G]]*Reinforcements[[#This Row],['[Channel'] J (in4)]]))*(1/(Reinforcements[[#This Row],[Ag]]*Reinforcements[[#This Row],[ro^2(bar)]])),"N/A")</f>
        <v>N/A</v>
      </c>
      <c r="FR82" s="127" t="str">
        <f>IF(Reinforcements[[#This Row],[Type]]="channel",((PI()^2)*Reinforcements[[#This Row],[E, (ksi)]])/(Reinforcements[[#This Row],[Lcy/ry]]^2),"N/A")</f>
        <v>N/A</v>
      </c>
      <c r="FS82" s="127" t="str">
        <f>IF(Reinforcements[[#This Row],[Type]]="channel",((Reinforcements[[#This Row],[Fey]]+Reinforcements[[#This Row],[Fez]])/(2*Reinforcements[[#This Row],[H2]]))*(1-SQRT(1-((4*Reinforcements[[#This Row],[Fey]]*Reinforcements[[#This Row],[Fez]]*Reinforcements[[#This Row],[H2]])/(Reinforcements[[#This Row],[Fey]]+Reinforcements[[#This Row],[Fez]])^2))),"N/A")</f>
        <v>N/A</v>
      </c>
      <c r="FT82" s="127" t="str">
        <f>IF(Reinforcements[[#This Row],[Type]]="channel",IF(Reinforcements[[#This Row],[Lcx/rx]]&gt;(4.71*SQRT(Reinforcements[[#This Row],[E, (ksi)]]/Reinforcements[[#This Row],[Fy, (ksi)]])),0.877*Reinforcements[[#This Row],[Fe (FTB)]],0.658^(Reinforcements[[#This Row],[Fy, (ksi)]]/Reinforcements[[#This Row],[Fe (FTB)]])*Reinforcements[[#This Row],[Fy, (ksi)]]),"N/A")</f>
        <v>N/A</v>
      </c>
      <c r="FU82" s="127" t="str">
        <f>IF(Reinforcements[[#This Row],[Type]]="channel",MIN(Reinforcements[[#This Row],[Fcr(FTB)]],Reinforcements[[#This Row],[Fcry (ksi)]]),"N/A")</f>
        <v>N/A</v>
      </c>
      <c r="FV82" s="127">
        <v>0.22</v>
      </c>
      <c r="FW82" s="127">
        <v>1.49</v>
      </c>
      <c r="FX82" s="127" t="str">
        <f>IF(Reinforcements[[#This Row],[Type]]="channel",((Reinforcements[[#This Row],[c2]]*(Reinforcements[[#This Row],[λrf]]/Reinforcements[[#This Row],[λf]]))^2)*Reinforcements[[#This Row],[Fy, (ksi)]],"N/A")</f>
        <v>N/A</v>
      </c>
      <c r="FY82" s="127" t="str">
        <f>IF(Reinforcements[[#This Row],[Type]]="channel",((Reinforcements[[#This Row],[c2]]*(Reinforcements[[#This Row],[λrw]]/Reinforcements[[#This Row],[λw]]))^2)*Reinforcements[[#This Row],[Fy, (ksi)]],"N/A")</f>
        <v>N/A</v>
      </c>
      <c r="FZ82"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127" t="str">
        <f>IF(Reinforcements[[#This Row],[Type]]="channel",Reinforcements[[#This Row],[Fcr]]*Reinforcements[[#This Row],[Ae]],"N/A")</f>
        <v>N/A</v>
      </c>
      <c r="GD82" s="50" t="str">
        <f>IF(Reinforcements[[#This Row],[Reinforcement]]="","",φ_c*Reinforcements[[#This Row],[Pnx, FB (kip)]])</f>
        <v/>
      </c>
      <c r="GE82" s="50" t="str">
        <f>IF(Reinforcements[[#This Row],[Reinforcement]]="","",IF(Reinforcements[[#This Row],[Type]]="channel",φ_c*Reinforcements[[#This Row],[Pn]],φ_c*Reinforcements[[#This Row],[Pny, FB (kip)]]))</f>
        <v/>
      </c>
      <c r="GF82" s="50" t="str">
        <f>Reinforcements[[#This Row],[Rev. G Tension Yield Capacity (kips)]]</f>
        <v/>
      </c>
      <c r="GG82" s="50" t="str">
        <f>Reinforcements[[#This Row],[Rev. G Tension Rupture Capacity (kips)]]</f>
        <v/>
      </c>
      <c r="GH82" s="50" t="str">
        <f>Reinforcements[[#This Row],[Rev. G Shear Capacity (kips)]]</f>
        <v/>
      </c>
      <c r="GI82" s="50" t="str">
        <f>IFERROR((Reinforcements[[#This Row],['# of End Connection Bolts          (Bottom)]]-1)*Reinforcements[[#This Row],[End Connection Bolt Spacing (in) (B)]],"-")</f>
        <v>-</v>
      </c>
      <c r="GJ82" s="50" t="str">
        <f>IFERROR(IF(VLOOKUP(Reinforcements[[#This Row],[Bottom End Connection Bolt Type]],Bolts[],COLUMN(Bolts[[#Headers],[Rev. H Apply Connection Length Reduction Factor (Rb)?]])-1,FALSE)="Yes",(IF(Reinforcements[[#This Row],[Lb(bottom)]]&lt;=16,1,IF(Reinforcements[[#This Row],[Lb(bottom)]]&gt;38,0.75,0.9))),1),"-")</f>
        <v>-</v>
      </c>
      <c r="GK82"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50" t="str">
        <f>IFERROR(IF(Reinforcements[[#This Row],[Top End Connection Same?]]="Yes",Reinforcements[[#This Row],[Lb(bottom)]],(Reinforcements[[#This Row],['# of End Connection Bolts          (Top)]]-1)*Reinforcements[[#This Row],[End Connection Bolt Spacing (in) (T)]]),"-")</f>
        <v>-</v>
      </c>
      <c r="GM82" s="50" t="str">
        <f>IFERROR(IF(VLOOKUP(Reinforcements[[#This Row],[Top End Connection Bolt Type]],Bolts[],COLUMN(Bolts[[#Headers],[Rev. H Apply Connection Length Reduction Factor (Rb)?]])-1,FALSE)=TRUE,(IF(Reinforcements[[#This Row],[Lb(top)]]&lt;=16,1,IF(Reinforcements[[#This Row],[Lb(top)]]&gt;38,0.75,0.9))),1),"-")</f>
        <v>-</v>
      </c>
      <c r="GN82"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50" t="str">
        <f>Reinforcements[[#This Row],[Rev. G Bolt-Shaft Bearing Capacity (Bottom)                No Deformation          (*t*Fu kips)]]</f>
        <v>-</v>
      </c>
      <c r="GP82" s="50" t="str">
        <f>Reinforcements[[#This Row],[Rev. G Bolt-Shaft Bearing Capacity (Bottom)                   Deformation          (*t*Fu kips)]]</f>
        <v>-</v>
      </c>
      <c r="GQ82" s="50" t="str">
        <f>Reinforcements[[#This Row],[Rev. G Bolt-Shaft Bearing Capacity (Top)                    No Deformation          (*t*Fu kips)]]</f>
        <v>-</v>
      </c>
      <c r="GR82" s="50" t="str">
        <f>Reinforcements[[#This Row],[Rev. G Bolt-Shaft Bearing Capacity (Top)                        Deformation          (*t*Fu kips)]]</f>
        <v>-</v>
      </c>
      <c r="GS82" s="50" t="str">
        <f>Reinforcements[[#This Row],[Rev. G Bolt-Reinf. Bearing Capacity (Bottom)            No Deformation (kips)]]</f>
        <v>-</v>
      </c>
      <c r="GT82" s="50" t="str">
        <f>Reinforcements[[#This Row],[Rev. G Bolt-Reinf. Bearing Capacity (Bottom)               Deformation (kips)]]</f>
        <v>-</v>
      </c>
      <c r="GU82" s="50" t="str">
        <f>Reinforcements[[#This Row],[Rev. G Bolt-Reinf. Bearing Capacity (Top)                  No Deformation (kips)]]</f>
        <v>-</v>
      </c>
      <c r="GV82" s="50" t="str">
        <f>Reinforcements[[#This Row],[Rev. G Bolt-Reinf. Bearing Capacity (Top)               Deformation (kips)]]</f>
        <v>-</v>
      </c>
      <c r="GW82" s="50" t="str">
        <f>Reinforcements[[#This Row],[Rev. G Bottom Transverse Weld Strength]]</f>
        <v/>
      </c>
      <c r="GX82" s="50" t="str">
        <f>Reinforcements[[#This Row],[Rev. G Bottom Longitudinal Weld Strength]]</f>
        <v/>
      </c>
      <c r="GY82" s="50" t="str">
        <f>Reinforcements[[#This Row],[Rev. G Top Transverse Weld Strength]]</f>
        <v/>
      </c>
      <c r="GZ82" s="50" t="str">
        <f>Reinforcements[[#This Row],[Rev. G Top Longitudinal Weld Strength]]</f>
        <v/>
      </c>
      <c r="HA82">
        <v>80</v>
      </c>
      <c r="HB8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94"/>
      <c r="C83" s="94"/>
      <c r="D83" s="127" t="str">
        <f>IF(Reinforcements[[#This Row],[Type]]="","",IF(Reinforcements[[#This Row],[Type]]="solid round","-",""))</f>
        <v/>
      </c>
      <c r="E83" s="127" t="str">
        <f>IF(Reinforcements[[#This Row],[Type]]="","",IF(Reinforcements[[#This Row],[Type]]="solid round","-",""))</f>
        <v/>
      </c>
      <c r="F83" s="127" t="str">
        <f>IF(Reinforcements[[#This Row],[Type]]="","",IF(Reinforcements[[#This Row],[Type]]="solid round","","n/a"))</f>
        <v/>
      </c>
      <c r="G83" s="127" t="str">
        <f>IF(Reinforcements[[#This Row],[Type]]="","",IF(Reinforcements[[#This Row],[Type]]&lt;&gt;"channel","n/a",""))</f>
        <v/>
      </c>
      <c r="H83" s="127" t="str">
        <f>IF(Reinforcements[[#This Row],[Type]]="","",IF(Reinforcements[[#This Row],[Type]]&lt;&gt;"channel","n/a",""))</f>
        <v/>
      </c>
      <c r="I83" s="140" t="str">
        <f>IF(Reinforcements[[#This Row],[Type]]="","",IF(Reinforcements[[#This Row],[Type]]&lt;&gt;"channel","n/a",Reinforcements[[#This Row],[eo]]))</f>
        <v/>
      </c>
      <c r="J83" s="140" t="str">
        <f>IF(Reinforcements[[#This Row],[Type]]="","",IF(Reinforcements[[#This Row],[Type]]&lt;&gt;"channel","n/a",Reinforcements[[#This Row],[J]]))</f>
        <v/>
      </c>
      <c r="K83" s="140" t="str">
        <f>IF(Reinforcements[[#This Row],[Type]]="","",IF(Reinforcements[[#This Row],[Type]]&lt;&gt;"channel","n/a",Reinforcements[[#This Row],[Cw]]))</f>
        <v/>
      </c>
      <c r="L83" s="127" t="str">
        <f>IFERROR(IF(Reinforcements[[#This Row],[Type]]="","",IF(Reinforcements[[#This Row],[Type]]="plate",Reinforcements[[#This Row],[B (in)]]*Reinforcements[[#This Row],[H (in)]],IF(Reinforcements[[#This Row],[Type]]="solid round",PI()/4*Reinforcements[[#This Row],[Diameter (in)]]^2,""))),"")</f>
        <v/>
      </c>
      <c r="M83" s="127" t="str">
        <f>IFERROR(IF(Reinforcements[[#This Row],[Type]]="","",IF(Reinforcements[[#This Row],[Type]]="plate",Reinforcements[[#This Row],[H (in)]]/2,"")),"")</f>
        <v/>
      </c>
      <c r="N83" s="128"/>
      <c r="O83" s="129"/>
      <c r="P83" s="135" t="str">
        <f>IFERROR(IF(Reinforcements[[#This Row],[Type]]="","",IF(Reinforcements[[#This Row],[Type]]="plate",Reinforcements[[#This Row],[B (in)]]*Reinforcements[[#This Row],[H (in)]]^3/12,IF(Reinforcements[[#This Row],[Type]]="solid round",PI()/64*Reinforcements[[#This Row],[Diameter (in)]]^4,""))),"")</f>
        <v/>
      </c>
      <c r="Q83" s="135" t="str">
        <f>IF(Reinforcements[[#This Row],[Reinforcement]]="","",SQRT(Reinforcements[[#This Row],[Ix]]/Reinforcements[[#This Row],[Gross Area (in2)]]))</f>
        <v/>
      </c>
      <c r="R83" s="135" t="str">
        <f>IFERROR(IF(Reinforcements[[#This Row],[Type]]="","",IF(Reinforcements[[#This Row],[Type]]="plate",Reinforcements[[#This Row],[B (in)]]^3*Reinforcements[[#This Row],[H (in)]]/12,IF(Reinforcements[[#This Row],[Type]]="solid round",PI()/64*Reinforcements[[#This Row],[Diameter (in)]]^4,""))),"")</f>
        <v/>
      </c>
      <c r="S83" s="135" t="str">
        <f>IF(Reinforcements[[#This Row],[Reinforcement]]="","",SQRT(Reinforcements[[#This Row],[Iy]]/Reinforcements[[#This Row],[Gross Area (in2)]]))</f>
        <v/>
      </c>
      <c r="T83" s="127"/>
      <c r="U83" s="127" t="str">
        <f>IF(Reinforcements[[#This Row],[Lu (in)]]="","",IF(Reinforcements[[#This Row],[Lu (in)]]=0,1,""))</f>
        <v/>
      </c>
      <c r="V83" s="127" t="str">
        <f>IF(Reinforcements[[#This Row],[Lu (in)]]="","",IF(Reinforcements[[#This Row],[Lu (in)]]=0,1,""))</f>
        <v/>
      </c>
      <c r="W83" s="127" t="str">
        <f>IF(Reinforcements[[#This Row],[Type]]="","",IF(Reinforcements[[#This Row],[Type]]="solid round",0,IF(Reinforcements[[#This Row],[Type]]="arbitrary","n/a","")))</f>
        <v/>
      </c>
      <c r="X83" s="127" t="str">
        <f>IF(Reinforcements[[#This Row],[Bolt Hole Size (in)]]="","",IF(Reinforcements[[#This Row],[Bolt Hole Size (in)]]="n/a","n/a",Reinforcements[[#This Row],[Bolt Hole Size (in)]]*25.4))</f>
        <v/>
      </c>
      <c r="Y83"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127" t="str">
        <f>IFERROR(IF(Reinforcements[[#This Row],[Reinforcement]]="","",IF(OR(Reinforcements[[#This Row],[Type]]="plate",Reinforcements[[#This Row],[Type]]="solid round"),1,IF(Reinforcements[[#This Row],[Type]]="arbitrary","",1-Reinforcements[[#This Row],[Pole Face to Centroid (in)]]/Reinforcements[[#This Row],[Connection Length (in) '[Channels']]]))),"")</f>
        <v/>
      </c>
      <c r="AA83" s="74"/>
      <c r="AB83" s="74" t="str">
        <f>IF(Reinforcements[[#This Row],[Reinforcement]]="","",IF(Reinforcements[[#This Row],[Bottom End Connection Type]]&lt;&gt;"Capacity Input","-",""))</f>
        <v/>
      </c>
      <c r="AC83" s="74" t="str">
        <f>IF(Reinforcements[[#This Row],[Reinforcement]]="","",IF(Reinforcements[[#This Row],[Bottom End Connection Type]]&lt;&gt;"Capacity Input","-",""))</f>
        <v/>
      </c>
      <c r="AD83" s="74" t="str">
        <f>IF(Reinforcements[[#This Row],[Reinforcement]]="","",IF(Reinforcements[[#This Row],[Bottom End Connection Type]]&lt;&gt;"Capacity Input","-",""))</f>
        <v/>
      </c>
      <c r="AE83" s="74" t="str">
        <f>IF(Reinforcements[[#This Row],[Reinforcement]]="","",IF(Reinforcements[[#This Row],[Bottom End Connection Type]]&lt;&gt;"Bolted","-",""))</f>
        <v/>
      </c>
      <c r="AF83" s="127" t="str">
        <f>IF(Reinforcements[[#This Row],[Reinforcement]]="","",IF(Reinforcements[[#This Row],[Bottom End Connection Type]]&lt;&gt;"Bolted","-",""))</f>
        <v/>
      </c>
      <c r="AG83" s="127" t="str">
        <f>IF(Reinforcements[[#This Row],[Reinforcement]]="","",IF(Reinforcements[[#This Row],[Bottom End Connection Type]]="","-",IF(Reinforcements[[#This Row],[Bottom End Connection Type]]&lt;&gt;"Bolted","-","")))</f>
        <v/>
      </c>
      <c r="AH83" s="127" t="str">
        <f>IF(Reinforcements[[#This Row],[Reinforcement]]="","",IF(Reinforcements[[#This Row],[Bottom End Connection Type]]="","-",IF(Reinforcements[[#This Row],[Bottom End Connection Type]]&lt;&gt;"Bolted","-","")))</f>
        <v/>
      </c>
      <c r="AI83" s="127" t="str">
        <f>IF(Reinforcements[[#This Row],[Reinforcement]]="","",IF(Reinforcements[[#This Row],[Bottom End Connection Type]]="","-",IF(Reinforcements[[#This Row],[Bottom End Connection Type]]&lt;&gt;"Bolted","-","")))</f>
        <v/>
      </c>
      <c r="AJ83" s="127" t="e">
        <f>Reinforcements[[#This Row],[End Connection Edge Distance (in) (B)]]-(Reinforcements[[#This Row],[Bolt Hole Size (in)]]+1/16)/2</f>
        <v>#VALUE!</v>
      </c>
      <c r="AK83" s="127" t="e">
        <f>Reinforcements[[#This Row],[End Connection Bolt Spacing (in) (B)]]-(Reinforcements[[#This Row],[Bolt Hole Size (in)]]+1/16)</f>
        <v>#VALUE!</v>
      </c>
      <c r="AL83" s="127" t="str">
        <f>Reinforcements[[#This Row],[End Connection Edge Distance (in) (B)]]</f>
        <v/>
      </c>
      <c r="AM83" s="127" t="str">
        <f>Reinforcements[[#This Row],[End Connection Bolt Spacing (in) (B)]]</f>
        <v/>
      </c>
      <c r="AN83" s="127" t="str">
        <f>IF(Reinforcements[[#This Row],[Reinforcement]]="","",IF(OR(Reinforcements[[#This Row],[Bottom End Connection Type]]="Bolted",Reinforcements[[#This Row],[Bottom End Connection Type]]=""),"-",""))</f>
        <v/>
      </c>
      <c r="AO83" s="129" t="str">
        <f>IF(Reinforcements[[#This Row],[Reinforcement]]="","",IF(Reinforcements[[#This Row],[Bottom End Connection Type]]&lt;&gt;"Welded","-",""))</f>
        <v/>
      </c>
      <c r="AP83" s="129" t="str">
        <f>IF(Reinforcements[[#This Row],[Reinforcement]]="","",IF(Reinforcements[[#This Row],[Bottom End Connection Type]]&lt;&gt;"Welded","-",""))</f>
        <v/>
      </c>
      <c r="AQ83" s="129" t="str">
        <f>IF(Reinforcements[[#This Row],[Reinforcement]]="","",IF(OR(Reinforcements[[#This Row],[Bottom End Connection Type]]&lt;&gt;"Welded",Reinforcements[[#This Row],[Bottom Transverse (Horizontal) Weld]]="None"),"-",""))</f>
        <v/>
      </c>
      <c r="AR8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129" t="str">
        <f>IF(Reinforcements[[#This Row],[Reinforcement]]="","",IF(OR(Reinforcements[[#This Row],[Bottom Transverse (Horizontal) Weld]]="None",Reinforcements[[#This Row],[Bottom End Connection Type]]&lt;&gt;"Welded"),"-",""))</f>
        <v/>
      </c>
      <c r="AU83"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129" t="str">
        <f>IF(Reinforcements[[#This Row],[Reinforcement]]="","",IF(OR(Reinforcements[[#This Row],[Bottom End Connection Type]]&lt;&gt;"Welded",Reinforcements[[#This Row],[Bottom End Connection Type]]=""),"-",""))</f>
        <v/>
      </c>
      <c r="AW83" s="129" t="str">
        <f>IF(Reinforcements[[#This Row],[Reinforcement]]="","",IF(OR(Reinforcements[[#This Row],[Bottom End Connection Type]]&lt;&gt;"Welded",Reinforcements[[#This Row],[Bottom Longitudinal (Vertical) Weld]]="None",Reinforcements[[#This Row],[Bottom Longitudinal (Vertical) Weld]]=""),"-",""))</f>
        <v/>
      </c>
      <c r="AX83" s="129" t="str">
        <f>IF(Reinforcements[[#This Row],[Reinforcement]]="","",IF(OR(Reinforcements[[#This Row],[Bottom End Connection Type]]&lt;&gt;"Welded",Reinforcements[[#This Row],[Bottom Longitudinal (Vertical) Weld]]="None",Reinforcements[[#This Row],[Bottom Longitudinal (Vertical) Weld]]=""),"-",""))</f>
        <v/>
      </c>
      <c r="AY83" s="127" t="str">
        <f>IF(Reinforcements[[#This Row],[Reinforcement]]="","",IF(OR(Reinforcements[[#This Row],[Bottom End Connection Type]]&lt;&gt;"Welded",Reinforcements[[#This Row],[Bottom Longitudinal (Vertical) Weld]]="None"),"-",SQRT(2)/2*Reinforcements[[#This Row],[Bottom Longitudinal Weld Fillet Size (in)]]))</f>
        <v/>
      </c>
      <c r="AZ83" s="127"/>
      <c r="BA83" s="74" t="str">
        <f>IF(Reinforcements[[#This Row],[Top End Connection Same?]]="Yes",Reinforcements[[#This Row],[Bottom End Connection Type]],"")</f>
        <v/>
      </c>
      <c r="BB83" s="74" t="str">
        <f>IF(Reinforcements[[#This Row],[Reinforcement]]="","",IF(Reinforcements[[#This Row],[Top End Connection Same?]]="Yes",Reinforcements[[#This Row],[Rev. F Bottom Connection Capacity (kips)]],IF(Reinforcements[[#This Row],[Reinforcement]]="","",IF(Reinforcements[[#This Row],[Top End Connection Type]]&lt;&gt;"Capacity Input","-",""))))</f>
        <v/>
      </c>
      <c r="BC83" s="74" t="str">
        <f>IF(Reinforcements[[#This Row],[Reinforcement]]="","",IF(Reinforcements[[#This Row],[Top End Connection Same?]]="Yes",Reinforcements[[#This Row],[Rev. G Bottom Connection Capacity (kips)]],IF(Reinforcements[[#This Row],[Reinforcement]]="","",IF(Reinforcements[[#This Row],[Top End Connection Type]]&lt;&gt;"Capacity Input","-",""))))</f>
        <v/>
      </c>
      <c r="BD83" s="74" t="str">
        <f>IF(Reinforcements[[#This Row],[Reinforcement]]="","",IF(Reinforcements[[#This Row],[Top End Connection Same?]]="Yes",Reinforcements[[#This Row],[Rev. G Bottom Connection Capacity (kips)]],IF(Reinforcements[[#This Row],[Reinforcement]]="","",IF(Reinforcements[[#This Row],[Top End Connection Type]]&lt;&gt;"Capacity Input","-",""))))</f>
        <v/>
      </c>
      <c r="BE83" s="74" t="str">
        <f>IF(Reinforcements[[#This Row],[Reinforcement]]="","",IF(Reinforcements[[#This Row],[Top End Connection Same?]]="Yes",Reinforcements[[#This Row],[Bottom End Connection Bolt Type]],IF(Reinforcements[[#This Row],[Top End Connection Type]]&lt;&gt;"Bolted","-","")))</f>
        <v/>
      </c>
      <c r="BF83" s="127" t="str">
        <f>IF(Reinforcements[[#This Row],[Reinforcement]]="","",IF(Reinforcements[[#This Row],[Top End Connection Same?]]="Yes",Reinforcements[[#This Row],[Threads Included (N) or Excluded (X) (Bottom)]],IF(Reinforcements[[#This Row],[Top End Connection Type]]&lt;&gt;"Bolted","-","")))</f>
        <v/>
      </c>
      <c r="BG83" s="127" t="str">
        <f>IF(Reinforcements[[#This Row],[Reinforcement]]="","",IF(Reinforcements[[#This Row],[Top End Connection Same?]]="Yes",Reinforcements[[#This Row],['# of End Connection Bolts          (Bottom)]],IF(Reinforcements[[#This Row],[Top End Connection Type]]&lt;&gt;"Bolted","-","")))</f>
        <v/>
      </c>
      <c r="BH83" s="127" t="str">
        <f>IF(Reinforcements[[#This Row],[Reinforcement]]="","",IF(Reinforcements[[#This Row],[Top End Connection Same?]]="Yes",Reinforcements[[#This Row],[End Connection Bolt Spacing (in) (B)]],IF(Reinforcements[[#This Row],[Top End Connection Type]]&lt;&gt;"Bolted","-","")))</f>
        <v/>
      </c>
      <c r="BI83" s="127" t="str">
        <f>IF(Reinforcements[[#This Row],[Reinforcement]]="","",IF(Reinforcements[[#This Row],[Top End Connection Same?]]="Yes",Reinforcements[[#This Row],[End Connection Edge Distance (in) (B)]],IF(Reinforcements[[#This Row],[Top End Connection Type]]&lt;&gt;"Bolted","-","")))</f>
        <v/>
      </c>
      <c r="BJ83" s="127" t="e">
        <f>Reinforcements[[#This Row],[End Connection Edge Distance (in) (T)]]-(Reinforcements[[#This Row],[Bolt Hole Size (in)]]+1/16)/2</f>
        <v>#VALUE!</v>
      </c>
      <c r="BK83" s="127" t="e">
        <f>Reinforcements[[#This Row],[End Connection Bolt Spacing (in) (T)]]-(Reinforcements[[#This Row],[Bolt Hole Size (in)]]+1/16)</f>
        <v>#VALUE!</v>
      </c>
      <c r="BL83" s="127" t="str">
        <f>Reinforcements[[#This Row],[End Connection Edge Distance (in) (T)]]</f>
        <v/>
      </c>
      <c r="BM83" s="127" t="str">
        <f>Reinforcements[[#This Row],[End Connection Bolt Spacing (in) (T)]]</f>
        <v/>
      </c>
      <c r="BN83" s="127" t="str">
        <f>IF(Reinforcements[[#This Row],[Reinforcement]]="","",IF(Reinforcements[[#This Row],[Top End Connection Same?]]="Yes",Reinforcements[[#This Row],[Bottom Connected to Flange/Base Plate?]],IF(Reinforcements[[#This Row],[Top End Connection Type]]="Bolted","-","")))</f>
        <v/>
      </c>
      <c r="BO83" s="127" t="str">
        <f>IF(Reinforcements[[#This Row],[Reinforcement]]="","",IF(Reinforcements[[#This Row],[Top End Connection Same?]]="Yes",Reinforcements[[#This Row],[Bottom Weld Grade (ksi)]],IF(OR(Reinforcements[[#This Row],[Top End Connection Type]]&lt;&gt;"Welded",Reinforcements[[#This Row],[Top End Connection Type]]=""),"-","")))</f>
        <v/>
      </c>
      <c r="BP83" s="127" t="str">
        <f>IF($AZ83="Yes",AP83,IF(Reinforcements[[#This Row],[Reinforcement]]="","",IF(OR(Reinforcements[[#This Row],[Top End Connection Type]]&lt;&gt;"Welded",Reinforcements[[#This Row],[Top End Connection Type]]=""),"-","")))</f>
        <v/>
      </c>
      <c r="BQ83" s="127" t="str">
        <f>IF(Reinforcements[[#This Row],[Reinforcement]]="","",IF($AZ83="Yes",AQ83,IF(OR(Reinforcements[[#This Row],[Top End Connection Type]]&lt;&gt;"Welded",Reinforcements[[#This Row],[Top Transverse (Horizontal) Weld]]="none",Reinforcements[[#This Row],[Top Transverse (Horizontal) Weld]]=""),"-","")))</f>
        <v/>
      </c>
      <c r="BR83" s="127"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127"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127" t="str">
        <f>IF(Reinforcements[[#This Row],[Reinforcement]]="","",IF($AZ83="Yes",AT83,IF(OR(Reinforcements[[#This Row],[Top Transverse (Horizontal) Weld]]="none",Reinforcements[[#This Row],[Top End Connection Type]]&lt;&gt;"Welded",Reinforcements[[#This Row],[Top Transverse (Horizontal) Weld]]=""),"-","")))</f>
        <v/>
      </c>
      <c r="BU83" s="127"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127" t="str">
        <f>IF($AZ83="Yes",AV83,IF(Reinforcements[[#This Row],[Reinforcement]]="","",IF(OR(Reinforcements[[#This Row],[Top End Connection Type]]&lt;&gt;"Welded",Reinforcements[[#This Row],[Top End Connection Type]]=""),"-","")))</f>
        <v/>
      </c>
      <c r="BW83" s="127"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127"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127" t="str">
        <f>IF($AZ83="Yes",AY83,IF(Reinforcements[[#This Row],[Reinforcement]]="","",IF(OR(Reinforcements[[#This Row],[Top End Connection Type]]&lt;&gt;"Welded",Reinforcements[[#This Row],[Top Longitudinal (Vertical) Weld]]="none"),"-",SQRT(2)/2*Reinforcements[[#This Row],[Top Longitudinal Weld Fillet Size (in)]])))</f>
        <v/>
      </c>
      <c r="BZ83"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129" t="str">
        <f>IF(Reinforcements[[#This Row],[Reinforcement]]="","",IF(Reinforcements[[#This Row],[Top End Connection Type]]&lt;&gt;"Bolted","n/a",(Reinforcements[[#This Row],['# of End Connection Bolts          (Top)]]-1)*Reinforcements[[#This Row],[End Connection Bolt Spacing (in) (T)]]+Reinforcements[[#This Row],[End Connection Edge Distance (in) (T)]]))</f>
        <v/>
      </c>
      <c r="CC83"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127" t="str">
        <f>IFERROR(IF(Reinforcements[[#This Row],[Type]]="","",Reinforcements[[#This Row],[Effective B (in)]]*Reinforcements[[#This Row],[Effective H (in)]]^3/12),"")</f>
        <v/>
      </c>
      <c r="CF83" s="127" t="str">
        <f>IFERROR(IF(Reinforcements[[#This Row],[Type]]="","",Reinforcements[[#This Row],[Effective B (in)]]^3*Reinforcements[[#This Row],[Effective H (in)]]/12),"")</f>
        <v/>
      </c>
      <c r="CG83" s="140" t="e">
        <f>SQRT(2*PI()^2*29000/VLOOKUP(Reinforcements[[#This Row],[Material]],Materials[],2,FALSE))</f>
        <v>#N/A</v>
      </c>
      <c r="CH83"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135" t="e">
        <f>Reinforcements[[#This Row],[Effective Length Factor Kx]]*Reinforcements[[#This Row],[Lu (in)]]/(Reinforcements[[#This Row],[rx]]*PI())*SQRT(VLOOKUP(Reinforcements[[#This Row],[Material]],Materials[],2,FALSE)/29000)</f>
        <v>#VALUE!</v>
      </c>
      <c r="CK83" s="135" t="e">
        <f>Reinforcements[[#This Row],[Effective Length Factor Ky]]*Reinforcements[[#This Row],[Lu (in)]]/(Reinforcements[[#This Row],[ry]]*PI())*SQRT(VLOOKUP(Reinforcements[[#This Row],[Material]],Materials[],2,FALSE)/29000)</f>
        <v>#VALUE!</v>
      </c>
      <c r="CL83" s="135" t="e">
        <f>IF(Reinforcements[[#This Row],[λcx]]&lt;=1.5,0.658^(Reinforcements[[#This Row],[λcx]]^2)*Reinforcements[[#This Row],[F''y]],0.877/(Reinforcements[[#This Row],[λcx]]^2)*Reinforcements[[#This Row],[F''y]])</f>
        <v>#VALUE!</v>
      </c>
      <c r="CM83" s="135" t="e">
        <f>IF(Reinforcements[[#This Row],[λcy]]&lt;=1.5,0.658^(Reinforcements[[#This Row],[λcy]]^2)*Reinforcements[[#This Row],[F''y]],0.877/(Reinforcements[[#This Row],[λcy]]^2)*Reinforcements[[#This Row],[F''y]])</f>
        <v>#VALUE!</v>
      </c>
      <c r="CN83" s="127" t="e">
        <f>VLOOKUP(Reinforcements[[#This Row],[Material]],Materials[],2,FALSE)</f>
        <v>#N/A</v>
      </c>
      <c r="CO83" s="140" t="str">
        <f>IF(Reinforcements[[#This Row],[Reinforcement]]="","",Reinforcements[[#This Row],[Fax]]*Reinforcements[[#This Row],[Gross Area (in2)]])</f>
        <v/>
      </c>
      <c r="CP83" s="140" t="str">
        <f>IF(Reinforcements[[#This Row],[Reinforcement]]="","",Reinforcements[[#This Row],[Fay]]*Reinforcements[[#This Row],[Gross Area (in2)]])</f>
        <v/>
      </c>
      <c r="CQ83" s="140" t="str">
        <f>IF(Reinforcements[[#This Row],[Reinforcement]]="","",0.6*VLOOKUP(Reinforcements[[#This Row],[Material]],Materials[],2,FALSE)*Reinforcements[[#This Row],[Gross Area (in2)]])</f>
        <v/>
      </c>
      <c r="CR83" s="140" t="str">
        <f>IF(Reinforcements[[#This Row],[Reinforcement]]="","",0.5*VLOOKUP(Reinforcements[[#This Row],[Material]],Materials[],3,FALSE)*Reinforcements[[#This Row],[Net Area (in2)]]*Reinforcements[[#This Row],[Shear Lag (U)]])</f>
        <v/>
      </c>
      <c r="CS83" s="140" t="str">
        <f>IF(Reinforcements[[#This Row],[Reinforcement]]="","",0.4*VLOOKUP(Reinforcements[[#This Row],[Material]],Materials[],2,FALSE)*Reinforcements[[#This Row],[Gross Area (in2)]])</f>
        <v/>
      </c>
      <c r="CT83"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127"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127"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140" t="str">
        <f>IF(Reinforcements[[#This Row],[Reinforcement]]="","",φ_c*Reinforcements[[#This Row],[Fcr,x]]*Reinforcements[[#This Row],[Gross Area (in2)]])</f>
        <v/>
      </c>
      <c r="DI83" s="140" t="str">
        <f>IF(Reinforcements[[#This Row],[Reinforcement]]="","",φ_c*Reinforcements[[#This Row],[Fcr,y]]*Reinforcements[[#This Row],[Gross Area (in2)]])</f>
        <v/>
      </c>
      <c r="DJ83" s="140" t="str">
        <f>IF(Reinforcements[[#This Row],[Reinforcement]]="","",φ_t_y*VLOOKUP(Reinforcements[[#This Row],[Material]],Materials[],2,FALSE)*Reinforcements[[#This Row],[Gross Area (in2)]])</f>
        <v/>
      </c>
      <c r="DK83" s="140" t="str">
        <f>IF(Reinforcements[[#This Row],[Reinforcement]]="","",φ_t_r*VLOOKUP(Reinforcements[[#This Row],[Material]],Materials[],3,FALSE)*Reinforcements[[#This Row],[Net Area (in2)]]*Reinforcements[[#This Row],[Shear Lag (U)]])</f>
        <v/>
      </c>
      <c r="DL83" s="140" t="str">
        <f>IF(Reinforcements[[#This Row],[Reinforcement]]="","",φ_v*0.5*Reinforcements[[#This Row],[F''y]]*Reinforcements[[#This Row],[Gross Area (in2)]])</f>
        <v/>
      </c>
      <c r="DM83"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127"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127"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129" t="str">
        <f>IF(OR(Reinforcements[[#This Row],[Type]]="plate",Reinforcements[[#This Row],[Type]]="solid round"),"N/A",Reinforcements[[#This Row],[B (in)]])</f>
        <v/>
      </c>
      <c r="EB83" s="127" t="str">
        <f>IF(OR(Reinforcements[[#This Row],[Type]]="plate",Reinforcements[[#This Row],[Type]]="solid round"),"N/A",Reinforcements[[#This Row],[H (in)]])</f>
        <v/>
      </c>
      <c r="EC83" s="127" t="e">
        <f>IF(OR(Reinforcements[[#This Row],[Type]]="plate",Reinforcements[[#This Row],[Type]]="solid round"),"N/A",Reinforcements[[#This Row],[B (in)]]-Reinforcements[[#This Row],['[Channel'] Flange Thickness (in)]])</f>
        <v>#VALUE!</v>
      </c>
      <c r="ED83" s="127" t="str">
        <f>IF(OR(Reinforcements[[#This Row],[Type]]="plate",Reinforcements[[#This Row],[Type]]="solid round"),"N/A",Reinforcements[[#This Row],['[Channel']Web Thickness (in)]])</f>
        <v/>
      </c>
      <c r="EE83" s="127" t="str">
        <f>IF(OR(Reinforcements[[#This Row],[Type]]="plate",Reinforcements[[#This Row],[Type]]="solid round"),"N/A",Reinforcements[[#This Row],['[Channel'] Flange Thickness (in)]])</f>
        <v/>
      </c>
      <c r="EF83" s="127" t="str">
        <f>IF(Reinforcements[[#This Row],[Type]]="channel",Reinforcements[[#This Row],[Channel Flange Width, b]]/Reinforcements[[#This Row],[Channel flange thickness, tf]],"N/A")</f>
        <v>N/A</v>
      </c>
      <c r="EG83" s="127" t="str">
        <f>IF(Reinforcements[[#This Row],[Type]]="channel",Reinforcements[[#This Row],[Channel inside depth, T]]/Reinforcements[[#This Row],[Channel web thickness, tw]],"N/A")</f>
        <v>N/A</v>
      </c>
      <c r="EH83" s="6">
        <f>29000</f>
        <v>29000</v>
      </c>
      <c r="EI83" s="127" t="str">
        <f>IF(Reinforcements[[#This Row],[Type]]="channel",0.56*SQRT(Reinforcements[[#This Row],[E, (ksi)]]/Reinforcements[[#This Row],[Fy, (ksi)]]),"N/A")</f>
        <v>N/A</v>
      </c>
      <c r="EJ83" s="127" t="str">
        <f>IF(Reinforcements[[#This Row],[Type]]="channel",1.49*SQRT(Reinforcements[[#This Row],[E, (ksi)]]/Reinforcements[[#This Row],[Fy, (ksi)]]),"N/A")</f>
        <v>N/A</v>
      </c>
      <c r="EK83" s="127" t="e">
        <f>VLOOKUP(Reinforcements[[#This Row],[Material]],Materials!$B$2:$C$30,2,FALSE)</f>
        <v>#N/A</v>
      </c>
      <c r="EL83" s="127" t="e">
        <f>Reinforcements[[#This Row],[Lu (in)]]*Reinforcements[[#This Row],[Effective Length Factor Kx]]</f>
        <v>#VALUE!</v>
      </c>
      <c r="EM83" s="127" t="e">
        <f>Reinforcements[[#This Row],[Lu (in)]]*Reinforcements[[#This Row],[Effective Length Factor Ky]]</f>
        <v>#VALUE!</v>
      </c>
      <c r="EN83" s="127" t="str">
        <f>Reinforcements[[#This Row],[rx]]</f>
        <v/>
      </c>
      <c r="EO83" s="127" t="str">
        <f>Reinforcements[[#This Row],[ry]]</f>
        <v/>
      </c>
      <c r="EP83" s="127" t="e">
        <f>Reinforcements[[#This Row],[Lcx (in)]]/Reinforcements[[#This Row],[rx (in)]]</f>
        <v>#VALUE!</v>
      </c>
      <c r="EQ83" s="127" t="e">
        <f>Reinforcements[[#This Row],[Lcy (in)]]/Reinforcements[[#This Row],[ry (in)]]</f>
        <v>#VALUE!</v>
      </c>
      <c r="ER83" s="127" t="e">
        <f>((PI()^2)*Reinforcements[[#This Row],[E, (ksi)]])/(Reinforcements[[#This Row],[Lcx/rx]]^2)</f>
        <v>#VALUE!</v>
      </c>
      <c r="ES83" s="127" t="e">
        <f>((PI()^2)*Reinforcements[[#This Row],[E, (ksi)]])/(Reinforcements[[#This Row],[Lcy/ry]]^2)</f>
        <v>#VALUE!</v>
      </c>
      <c r="ET83" s="127" t="e">
        <f>4.71*(SQRT(Reinforcements[[#This Row],[E, (ksi)]]/Reinforcements[[#This Row],[Fy, (ksi)]]))</f>
        <v>#N/A</v>
      </c>
      <c r="EU83" s="127" t="e">
        <f>IF(Reinforcements[[#This Row],[Lcx/rx]]&lt;=Reinforcements[[#This Row],[Fcr Limit]],(0.658^(Reinforcements[[#This Row],[Fy, (ksi)]]/Reinforcements[[#This Row],[Fex, FB (ksi)]]))*Reinforcements[[#This Row],[Fy, (ksi)]],0.877*Reinforcements[[#This Row],[Fex, FB (ksi)]])</f>
        <v>#VALUE!</v>
      </c>
      <c r="EV83" s="127" t="e">
        <f>IF(Reinforcements[[#This Row],[Lcy/ry]]&lt;=Reinforcements[[#This Row],[Fcr Limit]],(0.658^(Reinforcements[[#This Row],[Fy, (ksi)]]/Reinforcements[[#This Row],[Fey, FB (ksi)]]))*Reinforcements[[#This Row],[Fy, (ksi)]],0.877*Reinforcements[[#This Row],[Fey, FB (ksi)]])</f>
        <v>#VALUE!</v>
      </c>
      <c r="EW83" s="127" t="e">
        <f>Reinforcements[[#This Row],[Fcrx (ksi)]]*Reinforcements[[#This Row],[Gross Area (in2)]]</f>
        <v>#VALUE!</v>
      </c>
      <c r="EX83" s="127" t="e">
        <f>Reinforcements[[#This Row],[Fcry (ksi)]]*Reinforcements[[#This Row],[Gross Area (in2)]]</f>
        <v>#VALUE!</v>
      </c>
      <c r="EY83" s="127" t="str">
        <f>IF(Reinforcements[[#This Row],[Type]]="channel",0,"N/A")</f>
        <v>N/A</v>
      </c>
      <c r="EZ83" s="127" t="str">
        <f>IF(Reinforcements[[#This Row],[Type]]="channel",Reinforcements[[#This Row],[Channel Flange Width, b]]-(0.5*Reinforcements[[#This Row],[Channel web thickness, tw]]),"N/A")</f>
        <v>N/A</v>
      </c>
      <c r="FA83" s="127" t="str">
        <f>IF(Reinforcements[[#This Row],[Type]]="channel",Reinforcements[[#This Row],[Channel Height, h]]-Reinforcements[[#This Row],[Channel flange thickness, tf]],"N/A")</f>
        <v>N/A</v>
      </c>
      <c r="FB83" s="127" t="str">
        <f>IF(Reinforcements[[#This Row],[Type]]="channel",Reinforcements[[#This Row],[Channel web thickness, tw]],"N/A")</f>
        <v>N/A</v>
      </c>
      <c r="FC83" s="127" t="str">
        <f>IF(Reinforcements[[#This Row],[Type]]="channel",((3*Reinforcements[[#This Row],[b]]^2)/(Reinforcements[[#This Row],[h]]+(6*Reinforcements[[#This Row],[b]])))-Reinforcements[[#This Row],[t]]/2,"N/A")</f>
        <v>N/A</v>
      </c>
      <c r="FD83" s="127" t="str">
        <f>Reinforcements[[#This Row],[Pole Face to Centroid (in)]]</f>
        <v/>
      </c>
      <c r="FE83" s="127" t="str">
        <f>IF(Reinforcements[[#This Row],[Type]]="channel",Reinforcements[[#This Row],[x(bar)]]+Reinforcements[[#This Row],['[Channel'] e0 (in)]],"N/A")</f>
        <v>N/A</v>
      </c>
      <c r="FF83" s="127" t="str">
        <f>IF(Reinforcements[[#This Row],[Type]]="channel",Reinforcements[[#This Row],[Ix]],"N/A")</f>
        <v>N/A</v>
      </c>
      <c r="FG83" s="127" t="str">
        <f>IF(Reinforcements[[#This Row],[Type]]="channel",Reinforcements[[#This Row],[Iy]],"N/A")</f>
        <v>N/A</v>
      </c>
      <c r="FH83" s="127" t="str">
        <f>IF(Reinforcements[[#This Row],[Type]]="channel",Reinforcements[[#This Row],[Gross Area (in2)]],"N/A")</f>
        <v>N/A</v>
      </c>
      <c r="FI83" s="127" t="str">
        <f>IF(Reinforcements[[#This Row],[Type]]="channel",(Reinforcements[[#This Row],[xo]]^2)+((Reinforcements[[#This Row],[Ix (FTB)]]+Reinforcements[[#This Row],[Iy (FTB)]])/Reinforcements[[#This Row],[Ag]]),"N/A")</f>
        <v>N/A</v>
      </c>
      <c r="FJ83" s="127" t="str">
        <f>IF(Reinforcements[[#This Row],[Type]]="channel",Reinforcements[[#This Row],[Lu (in)]],"N/A")</f>
        <v>N/A</v>
      </c>
      <c r="FK83" s="127" t="str">
        <f>IF(Reinforcements[[#This Row],[Type]]="channel",Reinforcements[[#This Row],[Effective Length Factor Kx]],"N/A")</f>
        <v>N/A</v>
      </c>
      <c r="FL83" s="127" t="str">
        <f>IF(Reinforcements[[#This Row],[Type]]="channel",Reinforcements[[#This Row],[Kz]]*Reinforcements[[#This Row],[Lz]],"N/A")</f>
        <v>N/A</v>
      </c>
      <c r="FM83" s="127" t="str">
        <f>IF(Reinforcements[[#This Row],[Type]]="channel",(((Reinforcements[[#This Row],[t]]^3)/3)*(Reinforcements[[#This Row],[h]]+(2*Reinforcements[[#This Row],[b]]))),"N/A")</f>
        <v>N/A</v>
      </c>
      <c r="FN83" s="127" t="str">
        <f>IF(Reinforcements[[#This Row],[Type]]="channel",(1-(((Reinforcements[[#This Row],[xo]]^2)+(Reinforcements[[#This Row],[yo]]^2))/Reinforcements[[#This Row],[ro^2(bar)]])),"N/A")</f>
        <v>N/A</v>
      </c>
      <c r="FO83" s="127">
        <v>11200</v>
      </c>
      <c r="FP83" s="127" t="str">
        <f>IF(Reinforcements[[#This Row],[Type]]="channel",(((Reinforcements[[#This Row],[h]]^2)*(Reinforcements[[#This Row],[b]]^3)*Reinforcements[[#This Row],[t]])/12)*(((2*Reinforcements[[#This Row],[h]])+(3*Reinforcements[[#This Row],[b]]))/(Reinforcements[[#This Row],[h]]+(6*Reinforcements[[#This Row],[b]]))),"N/A")</f>
        <v>N/A</v>
      </c>
      <c r="FQ83" s="127" t="str">
        <f>IF(Reinforcements[[#This Row],[Type]]="Channel",((((PI()^2)*Reinforcements[[#This Row],[E, (ksi)]]*Reinforcements[[#This Row],['[Channel'] CW (in6)]])/(Reinforcements[[#This Row],[Lcz]]^2))+(Reinforcements[[#This Row],[G]]*Reinforcements[[#This Row],['[Channel'] J (in4)]]))*(1/(Reinforcements[[#This Row],[Ag]]*Reinforcements[[#This Row],[ro^2(bar)]])),"N/A")</f>
        <v>N/A</v>
      </c>
      <c r="FR83" s="127" t="str">
        <f>IF(Reinforcements[[#This Row],[Type]]="channel",((PI()^2)*Reinforcements[[#This Row],[E, (ksi)]])/(Reinforcements[[#This Row],[Lcy/ry]]^2),"N/A")</f>
        <v>N/A</v>
      </c>
      <c r="FS83" s="127" t="str">
        <f>IF(Reinforcements[[#This Row],[Type]]="channel",((Reinforcements[[#This Row],[Fey]]+Reinforcements[[#This Row],[Fez]])/(2*Reinforcements[[#This Row],[H2]]))*(1-SQRT(1-((4*Reinforcements[[#This Row],[Fey]]*Reinforcements[[#This Row],[Fez]]*Reinforcements[[#This Row],[H2]])/(Reinforcements[[#This Row],[Fey]]+Reinforcements[[#This Row],[Fez]])^2))),"N/A")</f>
        <v>N/A</v>
      </c>
      <c r="FT83" s="127" t="str">
        <f>IF(Reinforcements[[#This Row],[Type]]="channel",IF(Reinforcements[[#This Row],[Lcx/rx]]&gt;(4.71*SQRT(Reinforcements[[#This Row],[E, (ksi)]]/Reinforcements[[#This Row],[Fy, (ksi)]])),0.877*Reinforcements[[#This Row],[Fe (FTB)]],0.658^(Reinforcements[[#This Row],[Fy, (ksi)]]/Reinforcements[[#This Row],[Fe (FTB)]])*Reinforcements[[#This Row],[Fy, (ksi)]]),"N/A")</f>
        <v>N/A</v>
      </c>
      <c r="FU83" s="127" t="str">
        <f>IF(Reinforcements[[#This Row],[Type]]="channel",MIN(Reinforcements[[#This Row],[Fcr(FTB)]],Reinforcements[[#This Row],[Fcry (ksi)]]),"N/A")</f>
        <v>N/A</v>
      </c>
      <c r="FV83" s="127">
        <v>0.22</v>
      </c>
      <c r="FW83" s="127">
        <v>1.49</v>
      </c>
      <c r="FX83" s="127" t="str">
        <f>IF(Reinforcements[[#This Row],[Type]]="channel",((Reinforcements[[#This Row],[c2]]*(Reinforcements[[#This Row],[λrf]]/Reinforcements[[#This Row],[λf]]))^2)*Reinforcements[[#This Row],[Fy, (ksi)]],"N/A")</f>
        <v>N/A</v>
      </c>
      <c r="FY83" s="127" t="str">
        <f>IF(Reinforcements[[#This Row],[Type]]="channel",((Reinforcements[[#This Row],[c2]]*(Reinforcements[[#This Row],[λrw]]/Reinforcements[[#This Row],[λw]]))^2)*Reinforcements[[#This Row],[Fy, (ksi)]],"N/A")</f>
        <v>N/A</v>
      </c>
      <c r="FZ83"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127" t="str">
        <f>IF(Reinforcements[[#This Row],[Type]]="channel",Reinforcements[[#This Row],[Fcr]]*Reinforcements[[#This Row],[Ae]],"N/A")</f>
        <v>N/A</v>
      </c>
      <c r="GD83" s="50" t="str">
        <f>IF(Reinforcements[[#This Row],[Reinforcement]]="","",φ_c*Reinforcements[[#This Row],[Pnx, FB (kip)]])</f>
        <v/>
      </c>
      <c r="GE83" s="50" t="str">
        <f>IF(Reinforcements[[#This Row],[Reinforcement]]="","",IF(Reinforcements[[#This Row],[Type]]="channel",φ_c*Reinforcements[[#This Row],[Pn]],φ_c*Reinforcements[[#This Row],[Pny, FB (kip)]]))</f>
        <v/>
      </c>
      <c r="GF83" s="50" t="str">
        <f>Reinforcements[[#This Row],[Rev. G Tension Yield Capacity (kips)]]</f>
        <v/>
      </c>
      <c r="GG83" s="50" t="str">
        <f>Reinforcements[[#This Row],[Rev. G Tension Rupture Capacity (kips)]]</f>
        <v/>
      </c>
      <c r="GH83" s="50" t="str">
        <f>Reinforcements[[#This Row],[Rev. G Shear Capacity (kips)]]</f>
        <v/>
      </c>
      <c r="GI83" s="50" t="str">
        <f>IFERROR((Reinforcements[[#This Row],['# of End Connection Bolts          (Bottom)]]-1)*Reinforcements[[#This Row],[End Connection Bolt Spacing (in) (B)]],"-")</f>
        <v>-</v>
      </c>
      <c r="GJ83" s="50" t="str">
        <f>IFERROR(IF(VLOOKUP(Reinforcements[[#This Row],[Bottom End Connection Bolt Type]],Bolts[],COLUMN(Bolts[[#Headers],[Rev. H Apply Connection Length Reduction Factor (Rb)?]])-1,FALSE)="Yes",(IF(Reinforcements[[#This Row],[Lb(bottom)]]&lt;=16,1,IF(Reinforcements[[#This Row],[Lb(bottom)]]&gt;38,0.75,0.9))),1),"-")</f>
        <v>-</v>
      </c>
      <c r="GK83"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50" t="str">
        <f>IFERROR(IF(Reinforcements[[#This Row],[Top End Connection Same?]]="Yes",Reinforcements[[#This Row],[Lb(bottom)]],(Reinforcements[[#This Row],['# of End Connection Bolts          (Top)]]-1)*Reinforcements[[#This Row],[End Connection Bolt Spacing (in) (T)]]),"-")</f>
        <v>-</v>
      </c>
      <c r="GM83" s="50" t="str">
        <f>IFERROR(IF(VLOOKUP(Reinforcements[[#This Row],[Top End Connection Bolt Type]],Bolts[],COLUMN(Bolts[[#Headers],[Rev. H Apply Connection Length Reduction Factor (Rb)?]])-1,FALSE)=TRUE,(IF(Reinforcements[[#This Row],[Lb(top)]]&lt;=16,1,IF(Reinforcements[[#This Row],[Lb(top)]]&gt;38,0.75,0.9))),1),"-")</f>
        <v>-</v>
      </c>
      <c r="GN83"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50" t="str">
        <f>Reinforcements[[#This Row],[Rev. G Bolt-Shaft Bearing Capacity (Bottom)                No Deformation          (*t*Fu kips)]]</f>
        <v>-</v>
      </c>
      <c r="GP83" s="50" t="str">
        <f>Reinforcements[[#This Row],[Rev. G Bolt-Shaft Bearing Capacity (Bottom)                   Deformation          (*t*Fu kips)]]</f>
        <v>-</v>
      </c>
      <c r="GQ83" s="50" t="str">
        <f>Reinforcements[[#This Row],[Rev. G Bolt-Shaft Bearing Capacity (Top)                    No Deformation          (*t*Fu kips)]]</f>
        <v>-</v>
      </c>
      <c r="GR83" s="50" t="str">
        <f>Reinforcements[[#This Row],[Rev. G Bolt-Shaft Bearing Capacity (Top)                        Deformation          (*t*Fu kips)]]</f>
        <v>-</v>
      </c>
      <c r="GS83" s="50" t="str">
        <f>Reinforcements[[#This Row],[Rev. G Bolt-Reinf. Bearing Capacity (Bottom)            No Deformation (kips)]]</f>
        <v>-</v>
      </c>
      <c r="GT83" s="50" t="str">
        <f>Reinforcements[[#This Row],[Rev. G Bolt-Reinf. Bearing Capacity (Bottom)               Deformation (kips)]]</f>
        <v>-</v>
      </c>
      <c r="GU83" s="50" t="str">
        <f>Reinforcements[[#This Row],[Rev. G Bolt-Reinf. Bearing Capacity (Top)                  No Deformation (kips)]]</f>
        <v>-</v>
      </c>
      <c r="GV83" s="50" t="str">
        <f>Reinforcements[[#This Row],[Rev. G Bolt-Reinf. Bearing Capacity (Top)               Deformation (kips)]]</f>
        <v>-</v>
      </c>
      <c r="GW83" s="50" t="str">
        <f>Reinforcements[[#This Row],[Rev. G Bottom Transverse Weld Strength]]</f>
        <v/>
      </c>
      <c r="GX83" s="50" t="str">
        <f>Reinforcements[[#This Row],[Rev. G Bottom Longitudinal Weld Strength]]</f>
        <v/>
      </c>
      <c r="GY83" s="50" t="str">
        <f>Reinforcements[[#This Row],[Rev. G Top Transverse Weld Strength]]</f>
        <v/>
      </c>
      <c r="GZ83" s="50" t="str">
        <f>Reinforcements[[#This Row],[Rev. G Top Longitudinal Weld Strength]]</f>
        <v/>
      </c>
      <c r="HA83">
        <v>81</v>
      </c>
      <c r="HB83"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50"/>
      <c r="C84" s="50"/>
      <c r="D84" s="50"/>
      <c r="E84" s="50"/>
      <c r="F84" s="50"/>
      <c r="G84" s="50"/>
      <c r="H84" s="50"/>
      <c r="I84" s="50"/>
      <c r="J84" s="50"/>
      <c r="K84" s="50"/>
      <c r="L84" s="50"/>
      <c r="M84" s="50"/>
      <c r="N84" s="51"/>
      <c r="O84" s="51"/>
      <c r="P84" s="51"/>
      <c r="Q84" s="51"/>
      <c r="R84" s="50"/>
      <c r="S84" s="74"/>
      <c r="T84" s="74"/>
      <c r="U84" s="50"/>
      <c r="V84" s="50"/>
      <c r="W84" s="50"/>
      <c r="X84" s="50"/>
      <c r="Y84" s="50"/>
      <c r="Z84" s="50"/>
      <c r="AA84" s="74"/>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74"/>
      <c r="AZ84" s="74"/>
      <c r="BA84" s="50"/>
      <c r="BB84" s="50"/>
      <c r="BC84" s="50"/>
      <c r="BD84" s="50"/>
      <c r="BE84" s="50"/>
      <c r="BF84" s="50"/>
      <c r="BG84" s="50"/>
      <c r="BH84" s="50"/>
      <c r="BI84" s="50"/>
      <c r="BJ84" s="50"/>
      <c r="BK84" s="50"/>
      <c r="BL84" s="50"/>
      <c r="BM84" s="50"/>
      <c r="BN84" s="50"/>
      <c r="BO84" s="50"/>
      <c r="BP84" s="50"/>
      <c r="BQ84" s="50"/>
      <c r="BR84" s="50"/>
      <c r="BS84" s="50"/>
      <c r="BT84" s="50"/>
      <c r="BU84" s="50"/>
      <c r="BV84" s="50"/>
      <c r="BW84" s="50"/>
      <c r="BX84" s="50"/>
      <c r="BY84" s="50"/>
      <c r="BZ84" s="50"/>
      <c r="CA84" s="50"/>
      <c r="CB84" s="50"/>
      <c r="CC84" s="50"/>
      <c r="CD84" s="50"/>
      <c r="CE84" s="50"/>
      <c r="CF84" s="50"/>
      <c r="CG84" s="50"/>
      <c r="CH84" s="50"/>
      <c r="CI84" s="50"/>
      <c r="CJ84" s="50"/>
      <c r="CK84" s="50"/>
      <c r="CL84" s="74"/>
      <c r="CM84" s="50"/>
      <c r="CN84" s="50"/>
      <c r="CO84" s="50"/>
      <c r="CP84" s="50"/>
      <c r="CQ84" s="50"/>
      <c r="CR84" s="50"/>
      <c r="CS84" s="100"/>
      <c r="CT84" s="50"/>
      <c r="CU84" s="50"/>
      <c r="CV84" s="50"/>
      <c r="CW84" s="50"/>
      <c r="CX84" s="50"/>
      <c r="CY84" s="50"/>
      <c r="CZ84" s="50"/>
      <c r="DA84" s="50"/>
      <c r="DB84" s="50"/>
      <c r="DC84" s="50"/>
      <c r="DD84" s="50"/>
      <c r="DE84" s="50"/>
      <c r="DF84" s="50"/>
      <c r="DG84" s="50"/>
      <c r="DH84" s="50"/>
      <c r="DI84" s="50"/>
      <c r="DJ84" s="50"/>
      <c r="DK84" s="50"/>
      <c r="DL84" s="50"/>
      <c r="DM84" s="50"/>
      <c r="DN84" s="50"/>
      <c r="DO84" s="50"/>
      <c r="DP84" s="50"/>
      <c r="DQ84" s="50"/>
      <c r="DR84" s="50"/>
      <c r="DS84" s="50"/>
      <c r="DT84" s="50"/>
    </row>
    <row r="85" spans="2:210" x14ac:dyDescent="0.2">
      <c r="B85" s="50"/>
      <c r="C85" s="50"/>
      <c r="D85" s="50"/>
      <c r="E85" s="50"/>
      <c r="F85" s="50"/>
      <c r="G85" s="50"/>
      <c r="H85" s="50"/>
      <c r="I85" s="50"/>
      <c r="J85" s="50"/>
      <c r="K85" s="50"/>
      <c r="L85" s="50"/>
      <c r="M85" s="50"/>
      <c r="N85" s="51"/>
      <c r="O85" s="51"/>
      <c r="P85" s="51"/>
      <c r="Q85" s="51"/>
      <c r="R85" s="50"/>
      <c r="S85" s="74"/>
      <c r="T85" s="74"/>
      <c r="U85" s="50"/>
      <c r="V85" s="50"/>
      <c r="W85" s="50"/>
      <c r="X85" s="50"/>
      <c r="Y85" s="50"/>
      <c r="Z85" s="50"/>
      <c r="AA85" s="74"/>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74"/>
      <c r="AZ85" s="74"/>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0"/>
      <c r="CA85" s="50"/>
      <c r="CB85" s="50"/>
      <c r="CC85" s="50"/>
      <c r="CD85" s="50"/>
      <c r="CE85" s="50"/>
      <c r="CF85" s="50"/>
      <c r="CG85" s="50"/>
      <c r="CH85" s="50"/>
      <c r="CI85" s="50"/>
      <c r="CJ85" s="50"/>
      <c r="CK85" s="50"/>
      <c r="CL85" s="74"/>
      <c r="CM85" s="50"/>
      <c r="CN85" s="50"/>
      <c r="CO85" s="50"/>
      <c r="CP85" s="50"/>
      <c r="CQ85" s="50"/>
      <c r="CR85" s="50"/>
      <c r="CS85" s="100"/>
      <c r="CT85" s="50"/>
      <c r="CU85" s="50"/>
      <c r="CV85" s="50"/>
      <c r="CW85" s="50"/>
      <c r="CX85" s="50"/>
      <c r="CY85" s="50"/>
      <c r="CZ85" s="50"/>
      <c r="DA85" s="50"/>
      <c r="DB85" s="50"/>
      <c r="DC85" s="50"/>
      <c r="DD85" s="50"/>
      <c r="DE85" s="50"/>
      <c r="DF85" s="50"/>
      <c r="DG85" s="50"/>
      <c r="DH85" s="50"/>
      <c r="DI85" s="50"/>
      <c r="DJ85" s="50"/>
      <c r="DK85" s="50"/>
      <c r="DL85" s="50"/>
      <c r="DM85" s="50"/>
      <c r="DN85" s="50"/>
      <c r="DO85" s="50"/>
      <c r="DP85" s="50"/>
      <c r="DQ85" s="50"/>
      <c r="DR85" s="50"/>
      <c r="DS85" s="50"/>
      <c r="DT85" s="50"/>
    </row>
    <row r="86" spans="2:210" s="16" customFormat="1" x14ac:dyDescent="0.2">
      <c r="B86" s="74"/>
      <c r="C86" s="74"/>
      <c r="D86" s="74"/>
      <c r="E86" s="74"/>
      <c r="F86" s="74"/>
      <c r="G86" s="74"/>
      <c r="H86" s="74"/>
      <c r="I86" s="74"/>
      <c r="J86" s="74"/>
      <c r="K86" s="74"/>
      <c r="L86" s="74"/>
      <c r="M86" s="74"/>
      <c r="N86" s="146"/>
      <c r="O86" s="146"/>
      <c r="P86" s="146"/>
      <c r="Q86" s="146"/>
      <c r="R86" s="74"/>
      <c r="S86" s="74"/>
      <c r="T86" s="74"/>
      <c r="U86" s="74"/>
      <c r="V86" s="74"/>
      <c r="W86" s="74"/>
      <c r="X86" s="74"/>
      <c r="Y86" s="74"/>
      <c r="Z86" s="74"/>
      <c r="AA86" s="74"/>
      <c r="AB86" s="74"/>
      <c r="AC86" s="74"/>
      <c r="AD86" s="74"/>
      <c r="AE86" s="74"/>
      <c r="AF86" s="74"/>
      <c r="AG86" s="74"/>
      <c r="AH86" s="74"/>
      <c r="AI86" s="74"/>
      <c r="AJ86" s="74"/>
      <c r="AK86" s="74"/>
      <c r="AL86" s="74"/>
      <c r="AM86" s="74"/>
      <c r="AN86" s="74"/>
      <c r="AO86" s="74"/>
      <c r="AP86" s="74"/>
      <c r="AQ86" s="74"/>
      <c r="AR86" s="74"/>
      <c r="AS86" s="74"/>
      <c r="AT86" s="74"/>
      <c r="AU86" s="74"/>
      <c r="AV86" s="74"/>
      <c r="AW86" s="74"/>
      <c r="AX86" s="74"/>
      <c r="AY86" s="74"/>
      <c r="AZ86" s="74"/>
      <c r="BA86" s="74"/>
      <c r="BB86" s="74"/>
      <c r="BC86" s="74"/>
      <c r="BD86" s="74"/>
      <c r="BE86" s="74"/>
      <c r="BF86" s="74"/>
      <c r="BG86" s="74"/>
      <c r="BH86" s="74"/>
      <c r="BI86" s="74"/>
      <c r="BJ86" s="74"/>
      <c r="BK86" s="74"/>
      <c r="BL86" s="74"/>
      <c r="BM86" s="74"/>
      <c r="BN86" s="74"/>
      <c r="BO86" s="74"/>
      <c r="BP86" s="74"/>
      <c r="BQ86" s="74"/>
      <c r="BR86" s="74"/>
      <c r="BS86" s="74"/>
      <c r="BT86" s="74"/>
      <c r="BU86" s="74"/>
      <c r="BV86" s="74"/>
      <c r="BW86" s="74"/>
      <c r="BX86" s="74"/>
      <c r="BY86" s="74"/>
      <c r="BZ86" s="74"/>
      <c r="CA86" s="74"/>
      <c r="CB86" s="74"/>
      <c r="CC86" s="74"/>
      <c r="CD86" s="74"/>
      <c r="CE86" s="74"/>
      <c r="CF86" s="74"/>
      <c r="CG86" s="74"/>
      <c r="CH86" s="74"/>
      <c r="CI86" s="74"/>
      <c r="CJ86" s="74"/>
      <c r="CK86" s="74"/>
      <c r="CL86" s="74"/>
      <c r="CM86" s="74"/>
      <c r="CN86" s="74"/>
      <c r="CO86" s="74"/>
      <c r="CP86" s="74"/>
      <c r="CQ86" s="74"/>
      <c r="CR86" s="74"/>
      <c r="CS86" s="147"/>
      <c r="CT86" s="74"/>
      <c r="CU86" s="74"/>
      <c r="CV86" s="74"/>
      <c r="CW86" s="74"/>
      <c r="CX86" s="74"/>
      <c r="CY86" s="74"/>
      <c r="CZ86" s="74"/>
      <c r="DA86" s="74"/>
      <c r="DB86" s="74"/>
      <c r="DC86" s="74"/>
      <c r="DD86" s="74"/>
      <c r="DE86" s="74"/>
      <c r="DF86" s="74"/>
      <c r="DG86" s="74"/>
      <c r="DH86" s="74"/>
      <c r="DI86" s="74"/>
      <c r="DJ86" s="74"/>
      <c r="DK86" s="74"/>
      <c r="DL86" s="74"/>
      <c r="DM86" s="74"/>
      <c r="DN86" s="74"/>
      <c r="DO86" s="74"/>
      <c r="DP86" s="74"/>
      <c r="DQ86" s="74"/>
      <c r="DR86" s="74"/>
      <c r="DS86" s="74"/>
      <c r="DT86" s="74"/>
    </row>
    <row r="87" spans="2:210" x14ac:dyDescent="0.2">
      <c r="B87" s="50"/>
      <c r="C87" s="50"/>
      <c r="D87" s="50"/>
      <c r="E87" s="50"/>
      <c r="F87" s="50"/>
      <c r="G87" s="50"/>
      <c r="H87" s="50"/>
      <c r="I87" s="50"/>
      <c r="J87" s="50"/>
      <c r="K87" s="50"/>
      <c r="L87" s="50"/>
      <c r="M87" s="50"/>
      <c r="N87" s="51"/>
      <c r="O87" s="51"/>
      <c r="P87" s="51"/>
      <c r="Q87" s="51"/>
      <c r="R87" s="50"/>
      <c r="S87" s="74"/>
      <c r="T87" s="74"/>
      <c r="U87" s="50"/>
      <c r="V87" s="50"/>
      <c r="W87" s="50"/>
      <c r="X87" s="50"/>
      <c r="Y87" s="50"/>
      <c r="Z87" s="50"/>
      <c r="AA87" s="74"/>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74"/>
      <c r="AZ87" s="74"/>
      <c r="BA87" s="50"/>
      <c r="BB87" s="50"/>
      <c r="BC87" s="50"/>
      <c r="BD87" s="50"/>
      <c r="BE87" s="50"/>
      <c r="BF87" s="50"/>
      <c r="BG87" s="50"/>
      <c r="BH87" s="50"/>
      <c r="BI87" s="50"/>
      <c r="BJ87" s="50"/>
      <c r="BK87" s="50"/>
      <c r="BL87" s="50"/>
      <c r="BM87" s="50"/>
      <c r="BN87" s="50"/>
      <c r="BO87" s="50"/>
      <c r="BP87" s="50"/>
      <c r="BQ87" s="50"/>
      <c r="BR87" s="50"/>
      <c r="BS87" s="50"/>
      <c r="BT87" s="50"/>
      <c r="BU87" s="50"/>
      <c r="BV87" s="50"/>
      <c r="BW87" s="50"/>
      <c r="BX87" s="50"/>
      <c r="BY87" s="50"/>
      <c r="BZ87" s="50"/>
      <c r="CA87" s="50"/>
      <c r="CB87" s="50"/>
      <c r="CC87" s="50"/>
      <c r="CD87" s="50"/>
      <c r="CE87" s="50"/>
      <c r="CF87" s="50"/>
      <c r="CG87" s="50"/>
      <c r="CH87" s="50"/>
      <c r="CI87" s="50"/>
      <c r="CJ87" s="50"/>
      <c r="CK87" s="50"/>
      <c r="CL87" s="74"/>
      <c r="CM87" s="50"/>
      <c r="CN87" s="50"/>
      <c r="CO87" s="50"/>
      <c r="CP87" s="50"/>
      <c r="CQ87" s="50"/>
      <c r="CR87" s="50"/>
      <c r="CS87" s="100"/>
      <c r="CT87" s="50"/>
      <c r="CU87" s="50"/>
      <c r="CV87" s="50"/>
      <c r="CW87" s="50"/>
      <c r="CX87" s="50"/>
      <c r="CY87" s="50"/>
      <c r="CZ87" s="50"/>
      <c r="DA87" s="50"/>
      <c r="DB87" s="50"/>
      <c r="DC87" s="50"/>
      <c r="DD87" s="50"/>
      <c r="DE87" s="50"/>
      <c r="DF87" s="50"/>
      <c r="DG87" s="50"/>
      <c r="DH87" s="50"/>
      <c r="DI87" s="50"/>
      <c r="DJ87" s="50"/>
      <c r="DK87" s="50"/>
      <c r="DL87" s="50"/>
      <c r="DM87" s="50"/>
      <c r="DN87" s="50"/>
      <c r="DO87" s="50"/>
      <c r="DP87" s="50"/>
      <c r="DQ87" s="50"/>
      <c r="DR87" s="50"/>
      <c r="DS87" s="50"/>
      <c r="DT87" s="50"/>
    </row>
    <row r="88" spans="2:210" x14ac:dyDescent="0.2">
      <c r="B88" s="50"/>
      <c r="C88" s="50"/>
      <c r="D88" s="50"/>
      <c r="E88" s="50"/>
      <c r="F88" s="50"/>
      <c r="G88" s="50"/>
      <c r="H88" s="50"/>
      <c r="I88" s="50"/>
      <c r="J88" s="50"/>
      <c r="K88" s="50"/>
      <c r="L88" s="50"/>
      <c r="M88" s="50"/>
      <c r="N88" s="51"/>
      <c r="O88" s="51"/>
      <c r="P88" s="51"/>
      <c r="Q88" s="51"/>
      <c r="R88" s="50"/>
      <c r="S88" s="74"/>
      <c r="T88" s="74"/>
      <c r="U88" s="50"/>
      <c r="V88" s="50"/>
      <c r="W88" s="50"/>
      <c r="X88" s="50"/>
      <c r="Y88" s="50"/>
      <c r="Z88" s="50"/>
      <c r="AA88" s="74"/>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74"/>
      <c r="AZ88" s="74"/>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74"/>
      <c r="CM88" s="50"/>
      <c r="CN88" s="50"/>
      <c r="CO88" s="50"/>
      <c r="CP88" s="50"/>
      <c r="CQ88" s="50"/>
      <c r="CR88" s="50"/>
      <c r="CS88" s="100"/>
      <c r="CT88" s="50"/>
      <c r="CU88" s="50"/>
      <c r="CV88" s="50"/>
      <c r="CW88" s="50"/>
      <c r="CX88" s="50"/>
      <c r="CY88" s="50"/>
      <c r="CZ88" s="50"/>
      <c r="DA88" s="50"/>
      <c r="DB88" s="50"/>
      <c r="DC88" s="50"/>
      <c r="DD88" s="50"/>
      <c r="DE88" s="50"/>
      <c r="DF88" s="50"/>
      <c r="DG88" s="50"/>
      <c r="DH88" s="50"/>
      <c r="DI88" s="50"/>
      <c r="DJ88" s="50"/>
      <c r="DK88" s="50"/>
      <c r="DL88" s="50"/>
      <c r="DM88" s="50"/>
      <c r="DN88" s="50"/>
      <c r="DO88" s="50"/>
      <c r="DP88" s="50"/>
      <c r="DQ88" s="50"/>
      <c r="DR88" s="50"/>
      <c r="DS88" s="50"/>
      <c r="DT88" s="50"/>
    </row>
    <row r="89" spans="2:210" x14ac:dyDescent="0.2">
      <c r="B89" s="50"/>
      <c r="C89" s="50"/>
      <c r="D89" s="50"/>
      <c r="E89" s="50"/>
      <c r="F89" s="50"/>
      <c r="G89" s="50"/>
      <c r="H89" s="50"/>
      <c r="I89" s="50"/>
      <c r="J89" s="50"/>
      <c r="K89" s="50"/>
      <c r="L89" s="50"/>
      <c r="M89" s="50"/>
      <c r="N89" s="51"/>
      <c r="O89" s="51"/>
      <c r="P89" s="51"/>
      <c r="Q89" s="51"/>
      <c r="R89" s="50"/>
      <c r="S89" s="74"/>
      <c r="T89" s="74"/>
      <c r="U89" s="50"/>
      <c r="V89" s="50"/>
      <c r="W89" s="50"/>
      <c r="X89" s="50"/>
      <c r="Y89" s="50"/>
      <c r="Z89" s="50"/>
      <c r="AA89" s="74"/>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74"/>
      <c r="AZ89" s="74"/>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0"/>
      <c r="CA89" s="50"/>
      <c r="CB89" s="50"/>
      <c r="CC89" s="50"/>
      <c r="CD89" s="50"/>
      <c r="CE89" s="50"/>
      <c r="CF89" s="50"/>
      <c r="CG89" s="50"/>
      <c r="CH89" s="50"/>
      <c r="CI89" s="50"/>
      <c r="CJ89" s="50"/>
      <c r="CK89" s="50"/>
      <c r="CL89" s="74"/>
      <c r="CM89" s="50"/>
      <c r="CN89" s="50"/>
      <c r="CO89" s="50"/>
      <c r="CP89" s="50"/>
      <c r="CQ89" s="50"/>
      <c r="CR89" s="50"/>
      <c r="CS89" s="100"/>
      <c r="CT89" s="50"/>
      <c r="CU89" s="50"/>
      <c r="CV89" s="50"/>
      <c r="CW89" s="50"/>
      <c r="CX89" s="50"/>
      <c r="CY89" s="50"/>
      <c r="CZ89" s="50"/>
      <c r="DA89" s="50"/>
      <c r="DB89" s="50"/>
      <c r="DC89" s="50"/>
      <c r="DD89" s="50"/>
      <c r="DE89" s="50"/>
      <c r="DF89" s="50"/>
      <c r="DG89" s="50"/>
      <c r="DH89" s="50"/>
      <c r="DI89" s="50"/>
      <c r="DJ89" s="50"/>
      <c r="DK89" s="50"/>
      <c r="DL89" s="50"/>
      <c r="DM89" s="50"/>
      <c r="DN89" s="50"/>
      <c r="DO89" s="50"/>
      <c r="DP89" s="50"/>
      <c r="DQ89" s="50"/>
      <c r="DR89" s="50"/>
      <c r="DS89" s="50"/>
      <c r="DT89" s="50"/>
    </row>
    <row r="90" spans="2:210" x14ac:dyDescent="0.2">
      <c r="B90" s="50"/>
      <c r="C90" s="50"/>
      <c r="D90" s="50"/>
      <c r="E90" s="50"/>
      <c r="F90" s="50"/>
      <c r="G90" s="50"/>
      <c r="H90" s="50"/>
      <c r="I90" s="50"/>
      <c r="J90" s="50"/>
      <c r="K90" s="50"/>
      <c r="L90" s="50"/>
      <c r="M90" s="50"/>
      <c r="N90" s="51"/>
      <c r="O90" s="51"/>
      <c r="P90" s="51"/>
      <c r="Q90" s="51"/>
      <c r="R90" s="50"/>
      <c r="S90" s="74"/>
      <c r="T90" s="74"/>
      <c r="U90" s="50"/>
      <c r="V90" s="50"/>
      <c r="W90" s="50"/>
      <c r="X90" s="50"/>
      <c r="Y90" s="50"/>
      <c r="Z90" s="50"/>
      <c r="AA90" s="74"/>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74"/>
      <c r="AZ90" s="74"/>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0"/>
      <c r="CA90" s="50"/>
      <c r="CB90" s="50"/>
      <c r="CC90" s="50"/>
      <c r="CD90" s="50"/>
      <c r="CE90" s="50"/>
      <c r="CF90" s="50"/>
      <c r="CG90" s="50"/>
      <c r="CH90" s="50"/>
      <c r="CI90" s="50"/>
      <c r="CJ90" s="50"/>
      <c r="CK90" s="50"/>
      <c r="CL90" s="74"/>
      <c r="CM90" s="50"/>
      <c r="CN90" s="50"/>
      <c r="CO90" s="50"/>
      <c r="CP90" s="50"/>
      <c r="CQ90" s="50"/>
      <c r="CR90" s="50"/>
      <c r="CS90" s="100"/>
      <c r="CT90" s="50"/>
      <c r="CU90" s="50"/>
      <c r="CV90" s="50"/>
      <c r="CW90" s="50"/>
      <c r="CX90" s="50"/>
      <c r="CY90" s="50"/>
      <c r="CZ90" s="50"/>
      <c r="DA90" s="50"/>
      <c r="DB90" s="50"/>
      <c r="DC90" s="50"/>
      <c r="DD90" s="50"/>
      <c r="DE90" s="50"/>
      <c r="DF90" s="50"/>
      <c r="DG90" s="50"/>
      <c r="DH90" s="50"/>
      <c r="DI90" s="50"/>
      <c r="DJ90" s="50"/>
      <c r="DK90" s="50"/>
      <c r="DL90" s="50"/>
      <c r="DM90" s="50"/>
      <c r="DN90" s="50"/>
      <c r="DO90" s="50"/>
      <c r="DP90" s="50"/>
      <c r="DQ90" s="50"/>
      <c r="DR90" s="50"/>
      <c r="DS90" s="50"/>
      <c r="DT90" s="50"/>
    </row>
    <row r="91" spans="2:210" x14ac:dyDescent="0.2">
      <c r="B91" s="50"/>
      <c r="C91" s="50"/>
      <c r="D91" s="50"/>
      <c r="E91" s="50"/>
      <c r="F91" s="50"/>
      <c r="G91" s="50"/>
      <c r="H91" s="50"/>
      <c r="I91" s="50"/>
      <c r="J91" s="50"/>
      <c r="K91" s="50"/>
      <c r="L91" s="50"/>
      <c r="M91" s="50"/>
      <c r="N91" s="51"/>
      <c r="O91" s="51"/>
      <c r="P91" s="51"/>
      <c r="Q91" s="51"/>
      <c r="R91" s="50"/>
      <c r="S91" s="74"/>
      <c r="T91" s="74"/>
      <c r="U91" s="50"/>
      <c r="V91" s="50"/>
      <c r="W91" s="50"/>
      <c r="X91" s="50"/>
      <c r="Y91" s="50"/>
      <c r="Z91" s="50"/>
      <c r="AA91" s="74"/>
      <c r="AB91" s="50"/>
      <c r="AC91" s="50"/>
      <c r="AD91" s="50"/>
      <c r="AE91" s="50"/>
      <c r="AF91" s="50"/>
      <c r="AG91" s="50"/>
      <c r="AH91" s="50"/>
      <c r="AI91" s="50"/>
      <c r="AJ91" s="50"/>
      <c r="AK91" s="50"/>
      <c r="AL91" s="50"/>
      <c r="AM91" s="50"/>
      <c r="AN91" s="50"/>
      <c r="AO91" s="50"/>
      <c r="AP91" s="50"/>
      <c r="AQ91" s="50"/>
      <c r="AR91" s="50"/>
      <c r="AS91" s="50"/>
      <c r="AT91" s="50"/>
      <c r="AU91" s="50"/>
      <c r="AV91" s="50"/>
      <c r="AW91" s="50"/>
      <c r="AX91" s="50"/>
      <c r="AY91" s="74"/>
      <c r="AZ91" s="74"/>
      <c r="BA91" s="50"/>
      <c r="BB91" s="50"/>
      <c r="BC91" s="50"/>
      <c r="BD91" s="50"/>
      <c r="BE91" s="50"/>
      <c r="BF91" s="50"/>
      <c r="BG91" s="50"/>
      <c r="BH91" s="50"/>
      <c r="BI91" s="50"/>
      <c r="BJ91" s="50"/>
      <c r="BK91" s="50"/>
      <c r="BL91" s="50"/>
      <c r="BM91" s="50"/>
      <c r="BN91" s="50"/>
      <c r="BO91" s="50"/>
      <c r="BP91" s="50"/>
      <c r="BQ91" s="50"/>
      <c r="BR91" s="50"/>
      <c r="BS91" s="50"/>
      <c r="BT91" s="50"/>
      <c r="BU91" s="50"/>
      <c r="BV91" s="50"/>
      <c r="BW91" s="50"/>
      <c r="BX91" s="50"/>
      <c r="BY91" s="50"/>
      <c r="BZ91" s="50"/>
      <c r="CA91" s="50"/>
      <c r="CB91" s="50"/>
      <c r="CC91" s="50"/>
      <c r="CD91" s="50"/>
      <c r="CE91" s="50"/>
      <c r="CF91" s="50"/>
      <c r="CG91" s="50"/>
      <c r="CH91" s="50"/>
      <c r="CI91" s="50"/>
      <c r="CJ91" s="50"/>
      <c r="CK91" s="50"/>
      <c r="CL91" s="74"/>
      <c r="CM91" s="50"/>
      <c r="CN91" s="50"/>
      <c r="CO91" s="50"/>
      <c r="CP91" s="50"/>
      <c r="CQ91" s="50"/>
      <c r="CR91" s="50"/>
      <c r="CS91" s="100"/>
      <c r="CT91" s="50"/>
      <c r="CU91" s="50"/>
      <c r="CV91" s="50"/>
      <c r="CW91" s="50"/>
      <c r="CX91" s="50"/>
      <c r="CY91" s="50"/>
      <c r="CZ91" s="50"/>
      <c r="DA91" s="50"/>
      <c r="DB91" s="50"/>
      <c r="DC91" s="50"/>
      <c r="DD91" s="50"/>
      <c r="DE91" s="50"/>
      <c r="DF91" s="50"/>
      <c r="DG91" s="50"/>
      <c r="DH91" s="50"/>
      <c r="DI91" s="50"/>
      <c r="DJ91" s="50"/>
      <c r="DK91" s="50"/>
      <c r="DL91" s="50"/>
      <c r="DM91" s="50"/>
      <c r="DN91" s="50"/>
      <c r="DO91" s="50"/>
      <c r="DP91" s="50"/>
      <c r="DQ91" s="50"/>
      <c r="DR91" s="50"/>
      <c r="DS91" s="50"/>
      <c r="DT91" s="50"/>
    </row>
    <row r="92" spans="2:210" x14ac:dyDescent="0.2">
      <c r="B92" s="50"/>
      <c r="C92" s="50"/>
      <c r="D92" s="50"/>
      <c r="E92" s="50"/>
      <c r="F92" s="50"/>
      <c r="G92" s="50"/>
      <c r="H92" s="50"/>
      <c r="I92" s="50"/>
      <c r="J92" s="50"/>
      <c r="K92" s="50"/>
      <c r="L92" s="50"/>
      <c r="M92" s="50"/>
      <c r="N92" s="51"/>
      <c r="O92" s="51"/>
      <c r="P92" s="51"/>
      <c r="Q92" s="51"/>
      <c r="R92" s="50"/>
      <c r="S92" s="74"/>
      <c r="T92" s="74"/>
      <c r="U92" s="50"/>
      <c r="V92" s="50"/>
      <c r="W92" s="50"/>
      <c r="X92" s="50"/>
      <c r="Y92" s="50"/>
      <c r="Z92" s="50"/>
      <c r="AA92" s="74"/>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74"/>
      <c r="AZ92" s="74"/>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74"/>
      <c r="CM92" s="50"/>
      <c r="CN92" s="50"/>
      <c r="CO92" s="50"/>
      <c r="CP92" s="50"/>
      <c r="CQ92" s="50"/>
      <c r="CR92" s="50"/>
      <c r="CS92" s="100"/>
      <c r="CT92" s="50"/>
      <c r="CU92" s="50"/>
      <c r="CV92" s="50"/>
      <c r="CW92" s="50"/>
      <c r="CX92" s="50"/>
      <c r="CY92" s="50"/>
      <c r="CZ92" s="50"/>
      <c r="DA92" s="50"/>
      <c r="DB92" s="50"/>
      <c r="DC92" s="50"/>
      <c r="DD92" s="50"/>
      <c r="DE92" s="50"/>
      <c r="DF92" s="50"/>
      <c r="DG92" s="50"/>
      <c r="DH92" s="50"/>
      <c r="DI92" s="50"/>
      <c r="DJ92" s="50"/>
      <c r="DK92" s="50"/>
      <c r="DL92" s="50"/>
      <c r="DM92" s="50"/>
      <c r="DN92" s="50"/>
      <c r="DO92" s="50"/>
      <c r="DP92" s="50"/>
      <c r="DQ92" s="50"/>
      <c r="DR92" s="50"/>
      <c r="DS92" s="50"/>
      <c r="DT92" s="50"/>
    </row>
    <row r="93" spans="2:210" x14ac:dyDescent="0.2">
      <c r="B93" s="50"/>
      <c r="C93" s="50"/>
      <c r="D93" s="50"/>
      <c r="E93" s="50"/>
      <c r="F93" s="50"/>
      <c r="G93" s="50"/>
      <c r="H93" s="50"/>
      <c r="I93" s="50"/>
      <c r="J93" s="50"/>
      <c r="K93" s="50"/>
      <c r="L93" s="50"/>
      <c r="M93" s="50"/>
      <c r="N93" s="51"/>
      <c r="O93" s="51"/>
      <c r="P93" s="51"/>
      <c r="Q93" s="51"/>
      <c r="R93" s="50"/>
      <c r="S93" s="74"/>
      <c r="T93" s="74"/>
      <c r="U93" s="50"/>
      <c r="V93" s="50"/>
      <c r="W93" s="50"/>
      <c r="X93" s="50"/>
      <c r="Y93" s="50"/>
      <c r="Z93" s="50"/>
      <c r="AA93" s="74"/>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74"/>
      <c r="AZ93" s="74"/>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0"/>
      <c r="CA93" s="50"/>
      <c r="CB93" s="50"/>
      <c r="CC93" s="50"/>
      <c r="CD93" s="50"/>
      <c r="CE93" s="50"/>
      <c r="CF93" s="50"/>
      <c r="CG93" s="50"/>
      <c r="CH93" s="50"/>
      <c r="CI93" s="50"/>
      <c r="CJ93" s="50"/>
      <c r="CK93" s="50"/>
      <c r="CL93" s="74"/>
      <c r="CM93" s="50"/>
      <c r="CN93" s="50"/>
      <c r="CO93" s="50"/>
      <c r="CP93" s="50"/>
      <c r="CQ93" s="50"/>
      <c r="CR93" s="50"/>
      <c r="CS93" s="100"/>
      <c r="CT93" s="50"/>
      <c r="CU93" s="50"/>
      <c r="CV93" s="50"/>
      <c r="CW93" s="50"/>
      <c r="CX93" s="50"/>
      <c r="CY93" s="50"/>
      <c r="CZ93" s="50"/>
      <c r="DA93" s="50"/>
      <c r="DB93" s="50"/>
      <c r="DC93" s="50"/>
      <c r="DD93" s="50"/>
      <c r="DE93" s="50"/>
      <c r="DF93" s="50"/>
      <c r="DG93" s="50"/>
      <c r="DH93" s="50"/>
      <c r="DI93" s="50"/>
      <c r="DJ93" s="50"/>
      <c r="DK93" s="50"/>
      <c r="DL93" s="50"/>
      <c r="DM93" s="50"/>
      <c r="DN93" s="50"/>
      <c r="DO93" s="50"/>
      <c r="DP93" s="50"/>
      <c r="DQ93" s="50"/>
      <c r="DR93" s="50"/>
      <c r="DS93" s="50"/>
      <c r="DT93" s="50"/>
    </row>
    <row r="94" spans="2:210" x14ac:dyDescent="0.2">
      <c r="B94" s="50"/>
      <c r="C94" s="50"/>
      <c r="D94" s="50"/>
      <c r="E94" s="50"/>
      <c r="F94" s="50"/>
      <c r="G94" s="50"/>
      <c r="H94" s="50"/>
      <c r="I94" s="50"/>
      <c r="J94" s="50"/>
      <c r="K94" s="50"/>
      <c r="L94" s="50"/>
      <c r="M94" s="50"/>
      <c r="N94" s="51"/>
      <c r="O94" s="51"/>
      <c r="P94" s="51"/>
      <c r="Q94" s="51"/>
      <c r="R94" s="50"/>
      <c r="S94" s="74"/>
      <c r="T94" s="74"/>
      <c r="U94" s="50"/>
      <c r="V94" s="50"/>
      <c r="W94" s="50"/>
      <c r="X94" s="50"/>
      <c r="Y94" s="50"/>
      <c r="Z94" s="50"/>
      <c r="AA94" s="74"/>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74"/>
      <c r="AZ94" s="74"/>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0"/>
      <c r="CA94" s="50"/>
      <c r="CB94" s="50"/>
      <c r="CC94" s="50"/>
      <c r="CD94" s="50"/>
      <c r="CE94" s="50"/>
      <c r="CF94" s="50"/>
      <c r="CG94" s="50"/>
      <c r="CH94" s="50"/>
      <c r="CI94" s="50"/>
      <c r="CJ94" s="50"/>
      <c r="CK94" s="50"/>
      <c r="CL94" s="74"/>
    </row>
    <row r="95" spans="2:210" x14ac:dyDescent="0.2">
      <c r="B95" s="50"/>
      <c r="C95" s="50"/>
      <c r="D95" s="50"/>
      <c r="E95" s="50"/>
      <c r="F95" s="50"/>
      <c r="G95" s="50"/>
      <c r="H95" s="50"/>
      <c r="I95" s="50"/>
      <c r="J95" s="50"/>
      <c r="K95" s="50"/>
      <c r="L95" s="50"/>
      <c r="M95" s="50"/>
      <c r="N95" s="51"/>
      <c r="O95" s="51"/>
      <c r="P95" s="51"/>
      <c r="Q95" s="51"/>
      <c r="R95" s="50"/>
      <c r="S95" s="74"/>
      <c r="T95" s="74"/>
      <c r="U95" s="50"/>
      <c r="V95" s="50"/>
      <c r="W95" s="50"/>
      <c r="X95" s="50"/>
      <c r="Y95" s="50"/>
      <c r="Z95" s="50"/>
      <c r="AA95" s="74"/>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74"/>
      <c r="AZ95" s="74"/>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0"/>
      <c r="CA95" s="50"/>
      <c r="CB95" s="50"/>
      <c r="CC95" s="50"/>
      <c r="CD95" s="50"/>
      <c r="CE95" s="50"/>
      <c r="CF95" s="50"/>
      <c r="CG95" s="50"/>
      <c r="CH95" s="50"/>
      <c r="CI95" s="50"/>
      <c r="CJ95" s="50"/>
      <c r="CK95" s="50"/>
      <c r="CL95" s="74"/>
    </row>
    <row r="96" spans="2:210" x14ac:dyDescent="0.2">
      <c r="B96" s="50"/>
      <c r="C96" s="50"/>
      <c r="D96" s="50"/>
      <c r="E96" s="50"/>
      <c r="F96" s="50"/>
      <c r="G96" s="50"/>
      <c r="H96" s="50"/>
      <c r="I96" s="50"/>
      <c r="J96" s="50"/>
      <c r="K96" s="50"/>
      <c r="L96" s="50"/>
      <c r="M96" s="50"/>
      <c r="N96" s="51"/>
      <c r="O96" s="51"/>
      <c r="P96" s="51"/>
      <c r="Q96" s="51"/>
      <c r="R96" s="50"/>
      <c r="S96" s="74"/>
      <c r="T96" s="74"/>
      <c r="U96" s="50"/>
      <c r="V96" s="50"/>
      <c r="W96" s="50"/>
      <c r="X96" s="50"/>
      <c r="Y96" s="50"/>
      <c r="Z96" s="50"/>
      <c r="AA96" s="74"/>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74"/>
      <c r="AZ96" s="74"/>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0"/>
      <c r="CA96" s="50"/>
      <c r="CB96" s="50"/>
      <c r="CC96" s="50"/>
      <c r="CD96" s="50"/>
      <c r="CE96" s="50"/>
      <c r="CF96" s="50"/>
      <c r="CG96" s="50"/>
      <c r="CH96" s="50"/>
      <c r="CI96" s="50"/>
      <c r="CJ96" s="50"/>
      <c r="CK96" s="50"/>
      <c r="CL96" s="74"/>
    </row>
    <row r="97" spans="2:90" x14ac:dyDescent="0.2">
      <c r="B97" s="50"/>
      <c r="C97" s="50"/>
      <c r="D97" s="50"/>
      <c r="E97" s="50"/>
      <c r="F97" s="50"/>
      <c r="G97" s="50"/>
      <c r="H97" s="50"/>
      <c r="I97" s="50"/>
      <c r="J97" s="50"/>
      <c r="K97" s="50"/>
      <c r="L97" s="50"/>
      <c r="M97" s="50"/>
      <c r="N97" s="51"/>
      <c r="O97" s="51"/>
      <c r="P97" s="51"/>
      <c r="Q97" s="51"/>
      <c r="R97" s="50"/>
      <c r="S97" s="74"/>
      <c r="T97" s="74"/>
      <c r="U97" s="50"/>
      <c r="V97" s="50"/>
      <c r="W97" s="50"/>
      <c r="X97" s="50"/>
      <c r="Y97" s="50"/>
      <c r="Z97" s="50"/>
      <c r="AA97" s="74"/>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74"/>
      <c r="AZ97" s="74"/>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0"/>
      <c r="CA97" s="50"/>
      <c r="CB97" s="50"/>
      <c r="CC97" s="50"/>
      <c r="CD97" s="50"/>
      <c r="CE97" s="50"/>
      <c r="CF97" s="50"/>
      <c r="CG97" s="50"/>
      <c r="CH97" s="50"/>
      <c r="CI97" s="50"/>
      <c r="CJ97" s="50"/>
      <c r="CK97" s="50"/>
      <c r="CL97" s="74"/>
    </row>
    <row r="98" spans="2:90" x14ac:dyDescent="0.2">
      <c r="B98" s="50"/>
      <c r="C98" s="50"/>
      <c r="D98" s="50"/>
      <c r="E98" s="50"/>
      <c r="F98" s="50"/>
      <c r="G98" s="50"/>
      <c r="H98" s="50"/>
      <c r="I98" s="50"/>
      <c r="J98" s="50"/>
      <c r="K98" s="50"/>
      <c r="L98" s="50"/>
      <c r="M98" s="50"/>
      <c r="N98" s="51"/>
      <c r="O98" s="51"/>
      <c r="P98" s="51"/>
      <c r="Q98" s="51"/>
      <c r="R98" s="50"/>
      <c r="S98" s="74"/>
      <c r="T98" s="74"/>
      <c r="U98" s="50"/>
      <c r="V98" s="50"/>
      <c r="W98" s="50"/>
      <c r="X98" s="50"/>
      <c r="Y98" s="50"/>
      <c r="Z98" s="50"/>
      <c r="AA98" s="74"/>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74"/>
      <c r="AZ98" s="74"/>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0"/>
      <c r="CA98" s="50"/>
      <c r="CB98" s="50"/>
      <c r="CC98" s="50"/>
      <c r="CD98" s="50"/>
      <c r="CE98" s="50"/>
      <c r="CF98" s="50"/>
      <c r="CG98" s="50"/>
      <c r="CH98" s="50"/>
      <c r="CI98" s="50"/>
      <c r="CJ98" s="50"/>
      <c r="CK98" s="50"/>
      <c r="CL98" s="74"/>
    </row>
    <row r="99" spans="2:90" x14ac:dyDescent="0.2">
      <c r="B99" s="50"/>
      <c r="C99" s="50"/>
      <c r="D99" s="50"/>
      <c r="E99" s="50"/>
      <c r="F99" s="50"/>
      <c r="G99" s="50"/>
      <c r="H99" s="50"/>
      <c r="I99" s="50"/>
      <c r="J99" s="50"/>
      <c r="K99" s="50"/>
      <c r="L99" s="50"/>
      <c r="M99" s="50"/>
      <c r="N99" s="51"/>
      <c r="O99" s="51"/>
      <c r="P99" s="51"/>
      <c r="Q99" s="51"/>
      <c r="R99" s="50"/>
      <c r="S99" s="74"/>
      <c r="T99" s="74"/>
      <c r="U99" s="50"/>
      <c r="V99" s="50"/>
      <c r="W99" s="50"/>
      <c r="X99" s="50"/>
      <c r="Y99" s="50"/>
      <c r="Z99" s="50"/>
      <c r="AA99" s="74"/>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74"/>
      <c r="AZ99" s="74"/>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0"/>
      <c r="CA99" s="50"/>
      <c r="CB99" s="50"/>
      <c r="CC99" s="50"/>
      <c r="CD99" s="50"/>
      <c r="CE99" s="50"/>
      <c r="CF99" s="50"/>
      <c r="CG99" s="50"/>
      <c r="CH99" s="50"/>
      <c r="CI99" s="50"/>
      <c r="CJ99" s="50"/>
      <c r="CK99" s="50"/>
      <c r="CL99" s="74"/>
    </row>
    <row r="100" spans="2:90" x14ac:dyDescent="0.2">
      <c r="B100" s="50"/>
      <c r="C100" s="50"/>
      <c r="D100" s="50"/>
      <c r="E100" s="50"/>
      <c r="F100" s="50"/>
      <c r="G100" s="50"/>
      <c r="H100" s="50"/>
      <c r="I100" s="50"/>
      <c r="J100" s="50"/>
      <c r="K100" s="50"/>
      <c r="L100" s="50"/>
      <c r="M100" s="50"/>
      <c r="N100" s="51"/>
      <c r="O100" s="51"/>
      <c r="P100" s="51"/>
      <c r="Q100" s="51"/>
      <c r="R100" s="50"/>
      <c r="S100" s="74"/>
      <c r="T100" s="74"/>
      <c r="U100" s="50"/>
      <c r="V100" s="50"/>
      <c r="W100" s="50"/>
      <c r="X100" s="50"/>
      <c r="Y100" s="50"/>
      <c r="Z100" s="50"/>
      <c r="AA100" s="74"/>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74"/>
      <c r="AZ100" s="74"/>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0"/>
      <c r="CA100" s="50"/>
      <c r="CB100" s="50"/>
      <c r="CC100" s="50"/>
      <c r="CD100" s="50"/>
      <c r="CE100" s="50"/>
      <c r="CF100" s="50"/>
      <c r="CG100" s="50"/>
      <c r="CH100" s="50"/>
      <c r="CI100" s="50"/>
      <c r="CJ100" s="50"/>
      <c r="CK100" s="50"/>
      <c r="CL100" s="74"/>
    </row>
    <row r="101" spans="2:90" x14ac:dyDescent="0.2">
      <c r="B101" s="50"/>
      <c r="C101" s="50"/>
      <c r="D101" s="50"/>
      <c r="E101" s="50"/>
      <c r="F101" s="50"/>
      <c r="G101" s="50"/>
      <c r="H101" s="50"/>
      <c r="I101" s="50"/>
      <c r="J101" s="50"/>
      <c r="K101" s="50"/>
      <c r="L101" s="50"/>
      <c r="M101" s="50"/>
      <c r="N101" s="51"/>
      <c r="O101" s="51"/>
      <c r="P101" s="51"/>
      <c r="Q101" s="51"/>
      <c r="R101" s="50"/>
      <c r="S101" s="74"/>
      <c r="T101" s="74"/>
      <c r="U101" s="50"/>
      <c r="V101" s="50"/>
      <c r="W101" s="50"/>
      <c r="X101" s="50"/>
      <c r="Y101" s="50"/>
      <c r="Z101" s="50"/>
      <c r="AA101" s="74"/>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74"/>
      <c r="AZ101" s="74"/>
      <c r="BA101" s="50"/>
      <c r="BB101" s="50"/>
      <c r="BC101" s="50"/>
      <c r="BD101" s="50"/>
      <c r="BE101" s="50"/>
      <c r="BF101" s="50"/>
      <c r="BG101" s="50"/>
      <c r="BH101" s="50"/>
      <c r="BI101" s="50"/>
      <c r="BJ101" s="50"/>
      <c r="BK101" s="50"/>
      <c r="BL101" s="50"/>
      <c r="BM101" s="50"/>
      <c r="BN101" s="50"/>
      <c r="BO101" s="50"/>
      <c r="BP101" s="50"/>
      <c r="BQ101" s="50"/>
      <c r="BR101" s="50"/>
      <c r="BS101" s="50"/>
      <c r="BT101" s="50"/>
      <c r="BU101" s="50"/>
      <c r="BV101" s="50"/>
      <c r="BW101" s="50"/>
      <c r="BX101" s="50"/>
      <c r="BY101" s="50"/>
      <c r="BZ101" s="50"/>
      <c r="CA101" s="50"/>
      <c r="CB101" s="50"/>
      <c r="CC101" s="50"/>
      <c r="CD101" s="50"/>
      <c r="CE101" s="50"/>
      <c r="CF101" s="50"/>
      <c r="CG101" s="50"/>
      <c r="CH101" s="50"/>
      <c r="CI101" s="50"/>
      <c r="CJ101" s="50"/>
      <c r="CK101" s="50"/>
      <c r="CL101" s="74"/>
    </row>
    <row r="102" spans="2:90" x14ac:dyDescent="0.2">
      <c r="B102" s="50"/>
      <c r="C102" s="50"/>
      <c r="D102" s="50"/>
      <c r="E102" s="50"/>
      <c r="F102" s="50"/>
      <c r="G102" s="50"/>
      <c r="H102" s="50"/>
      <c r="I102" s="50"/>
      <c r="J102" s="50"/>
      <c r="K102" s="50"/>
      <c r="L102" s="50"/>
      <c r="M102" s="50"/>
      <c r="N102" s="51"/>
      <c r="O102" s="51"/>
      <c r="P102" s="51"/>
      <c r="Q102" s="51"/>
      <c r="R102" s="50"/>
      <c r="S102" s="74"/>
      <c r="T102" s="74"/>
      <c r="U102" s="50"/>
      <c r="V102" s="50"/>
      <c r="W102" s="50"/>
      <c r="X102" s="50"/>
      <c r="Y102" s="50"/>
      <c r="Z102" s="50"/>
      <c r="AA102" s="74"/>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74"/>
      <c r="AZ102" s="74"/>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0"/>
      <c r="CA102" s="50"/>
      <c r="CB102" s="50"/>
      <c r="CC102" s="50"/>
      <c r="CD102" s="50"/>
      <c r="CE102" s="50"/>
      <c r="CF102" s="50"/>
      <c r="CG102" s="50"/>
      <c r="CH102" s="50"/>
      <c r="CI102" s="50"/>
      <c r="CJ102" s="50"/>
      <c r="CK102" s="50"/>
      <c r="CL102" s="74"/>
    </row>
    <row r="103" spans="2:90" x14ac:dyDescent="0.2">
      <c r="B103" s="50"/>
      <c r="C103" s="50"/>
      <c r="D103" s="50"/>
      <c r="E103" s="50"/>
      <c r="F103" s="50"/>
      <c r="G103" s="50"/>
      <c r="H103" s="50"/>
      <c r="I103" s="50"/>
      <c r="J103" s="50"/>
      <c r="K103" s="50"/>
      <c r="L103" s="50"/>
      <c r="M103" s="50"/>
      <c r="N103" s="51"/>
      <c r="O103" s="51"/>
      <c r="P103" s="51"/>
      <c r="Q103" s="51"/>
      <c r="R103" s="50"/>
      <c r="S103" s="74"/>
      <c r="T103" s="74"/>
      <c r="U103" s="50"/>
      <c r="V103" s="50"/>
      <c r="W103" s="50"/>
      <c r="X103" s="50"/>
      <c r="Y103" s="50"/>
      <c r="Z103" s="50"/>
      <c r="AA103" s="74"/>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74"/>
      <c r="AZ103" s="74"/>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0"/>
      <c r="CA103" s="50"/>
      <c r="CB103" s="50"/>
      <c r="CC103" s="50"/>
      <c r="CD103" s="50"/>
      <c r="CE103" s="50"/>
      <c r="CF103" s="50"/>
      <c r="CG103" s="50"/>
      <c r="CH103" s="50"/>
      <c r="CI103" s="50"/>
      <c r="CJ103" s="50"/>
      <c r="CK103" s="50"/>
      <c r="CL103" s="74"/>
    </row>
    <row r="104" spans="2:90" x14ac:dyDescent="0.2">
      <c r="B104" s="50"/>
      <c r="C104" s="50"/>
      <c r="D104" s="50"/>
      <c r="E104" s="50"/>
      <c r="F104" s="50"/>
      <c r="G104" s="50"/>
      <c r="H104" s="50"/>
      <c r="I104" s="50"/>
      <c r="J104" s="50"/>
      <c r="K104" s="50"/>
      <c r="L104" s="50"/>
      <c r="M104" s="50"/>
      <c r="N104" s="51"/>
      <c r="O104" s="51"/>
      <c r="P104" s="51"/>
      <c r="Q104" s="51"/>
      <c r="R104" s="50"/>
      <c r="S104" s="74"/>
      <c r="T104" s="74"/>
      <c r="U104" s="50"/>
      <c r="V104" s="50"/>
      <c r="W104" s="50"/>
      <c r="X104" s="50"/>
      <c r="Y104" s="50"/>
      <c r="Z104" s="50"/>
      <c r="AA104" s="74"/>
      <c r="AB104" s="50"/>
      <c r="AC104" s="50"/>
      <c r="AD104" s="50"/>
      <c r="AE104" s="50"/>
      <c r="AF104" s="50"/>
      <c r="AG104" s="50"/>
      <c r="AH104" s="50"/>
      <c r="AI104" s="50"/>
      <c r="AJ104" s="50"/>
      <c r="AK104" s="50"/>
      <c r="AL104" s="50"/>
      <c r="AM104" s="50"/>
      <c r="AN104" s="50"/>
      <c r="AO104" s="50"/>
      <c r="AP104" s="50"/>
      <c r="AQ104" s="50"/>
      <c r="AR104" s="50"/>
      <c r="AS104" s="50"/>
      <c r="AT104" s="50"/>
      <c r="AU104" s="50"/>
      <c r="AV104" s="50"/>
      <c r="AW104" s="50"/>
      <c r="AX104" s="50"/>
      <c r="AY104" s="74"/>
      <c r="AZ104" s="74"/>
      <c r="BA104" s="50"/>
      <c r="BB104" s="50"/>
      <c r="BC104" s="50"/>
      <c r="BD104" s="50"/>
      <c r="BE104" s="50"/>
      <c r="BF104" s="50"/>
      <c r="BG104" s="50"/>
      <c r="BH104" s="50"/>
      <c r="BI104" s="50"/>
      <c r="BJ104" s="50"/>
      <c r="BK104" s="50"/>
      <c r="BL104" s="50"/>
      <c r="BM104" s="50"/>
      <c r="BN104" s="50"/>
      <c r="BO104" s="50"/>
      <c r="BP104" s="50"/>
      <c r="BQ104" s="50"/>
      <c r="BR104" s="50"/>
      <c r="BS104" s="50"/>
      <c r="BT104" s="50"/>
      <c r="BU104" s="50"/>
      <c r="BV104" s="50"/>
      <c r="BW104" s="50"/>
      <c r="BX104" s="50"/>
      <c r="BY104" s="50"/>
      <c r="BZ104" s="50"/>
      <c r="CA104" s="50"/>
      <c r="CB104" s="50"/>
      <c r="CC104" s="50"/>
      <c r="CD104" s="50"/>
      <c r="CE104" s="50"/>
      <c r="CF104" s="50"/>
      <c r="CG104" s="50"/>
      <c r="CH104" s="50"/>
      <c r="CI104" s="50"/>
      <c r="CJ104" s="50"/>
      <c r="CK104" s="50"/>
      <c r="CL104" s="74"/>
    </row>
    <row r="105" spans="2:90" x14ac:dyDescent="0.2">
      <c r="B105" s="50"/>
      <c r="C105" s="50"/>
      <c r="D105" s="50"/>
      <c r="E105" s="50"/>
      <c r="F105" s="50"/>
      <c r="G105" s="50"/>
      <c r="H105" s="50"/>
      <c r="I105" s="50"/>
      <c r="J105" s="50"/>
      <c r="K105" s="50"/>
      <c r="L105" s="50"/>
      <c r="M105" s="50"/>
      <c r="N105" s="51"/>
      <c r="O105" s="51"/>
      <c r="P105" s="51"/>
      <c r="Q105" s="51"/>
      <c r="R105" s="50"/>
      <c r="S105" s="74"/>
      <c r="T105" s="74"/>
      <c r="U105" s="50"/>
      <c r="V105" s="50"/>
      <c r="W105" s="50"/>
      <c r="X105" s="50"/>
      <c r="Y105" s="50"/>
      <c r="Z105" s="50"/>
      <c r="AA105" s="74"/>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74"/>
      <c r="AZ105" s="74"/>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0"/>
      <c r="CA105" s="50"/>
      <c r="CB105" s="50"/>
      <c r="CC105" s="50"/>
      <c r="CD105" s="50"/>
      <c r="CE105" s="50"/>
      <c r="CF105" s="50"/>
      <c r="CG105" s="50"/>
      <c r="CH105" s="50"/>
      <c r="CI105" s="50"/>
      <c r="CJ105" s="50"/>
      <c r="CK105" s="50"/>
      <c r="CL105" s="74"/>
    </row>
    <row r="106" spans="2:90" x14ac:dyDescent="0.2">
      <c r="B106" s="50"/>
      <c r="C106" s="50"/>
      <c r="D106" s="50"/>
      <c r="E106" s="50"/>
      <c r="F106" s="50"/>
      <c r="G106" s="50"/>
      <c r="H106" s="50"/>
      <c r="I106" s="50"/>
      <c r="J106" s="50"/>
      <c r="K106" s="50"/>
      <c r="L106" s="50"/>
      <c r="M106" s="50"/>
      <c r="N106" s="51"/>
      <c r="O106" s="51"/>
      <c r="P106" s="51"/>
      <c r="Q106" s="51"/>
      <c r="R106" s="50"/>
      <c r="S106" s="74"/>
      <c r="T106" s="74"/>
      <c r="U106" s="50"/>
      <c r="V106" s="50"/>
      <c r="W106" s="50"/>
      <c r="X106" s="50"/>
      <c r="Y106" s="50"/>
      <c r="Z106" s="50"/>
      <c r="AA106" s="74"/>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74"/>
      <c r="AZ106" s="74"/>
      <c r="BA106" s="50"/>
      <c r="BB106" s="50"/>
      <c r="BC106" s="50"/>
      <c r="BD106" s="50"/>
      <c r="BE106" s="50"/>
      <c r="BF106" s="50"/>
      <c r="BG106" s="50"/>
      <c r="BH106" s="50"/>
      <c r="BI106" s="50"/>
      <c r="BJ106" s="50"/>
      <c r="BK106" s="50"/>
      <c r="BL106" s="50"/>
      <c r="BM106" s="50"/>
      <c r="BN106" s="50"/>
      <c r="BO106" s="50"/>
      <c r="BP106" s="50"/>
      <c r="BQ106" s="50"/>
      <c r="BR106" s="50"/>
      <c r="BS106" s="50"/>
      <c r="BT106" s="50"/>
      <c r="BU106" s="50"/>
      <c r="BV106" s="50"/>
      <c r="BW106" s="50"/>
      <c r="BX106" s="50"/>
      <c r="BY106" s="50"/>
      <c r="BZ106" s="50"/>
      <c r="CA106" s="50"/>
      <c r="CB106" s="50"/>
      <c r="CC106" s="50"/>
      <c r="CD106" s="50"/>
      <c r="CE106" s="50"/>
      <c r="CF106" s="50"/>
      <c r="CG106" s="50"/>
      <c r="CH106" s="50"/>
      <c r="CI106" s="50"/>
      <c r="CJ106" s="50"/>
      <c r="CK106" s="50"/>
      <c r="CL106" s="74"/>
    </row>
    <row r="107" spans="2:90" x14ac:dyDescent="0.2">
      <c r="B107" s="50"/>
      <c r="C107" s="50"/>
      <c r="D107" s="50"/>
      <c r="E107" s="50"/>
      <c r="F107" s="50"/>
      <c r="G107" s="50"/>
      <c r="H107" s="50"/>
      <c r="I107" s="50"/>
      <c r="J107" s="50"/>
      <c r="K107" s="50"/>
      <c r="L107" s="50"/>
      <c r="M107" s="50"/>
      <c r="N107" s="51"/>
      <c r="O107" s="51"/>
      <c r="P107" s="51"/>
      <c r="Q107" s="51"/>
      <c r="R107" s="50"/>
      <c r="S107" s="74"/>
      <c r="T107" s="74"/>
      <c r="U107" s="50"/>
      <c r="V107" s="50"/>
      <c r="W107" s="50"/>
      <c r="X107" s="50"/>
      <c r="Y107" s="50"/>
      <c r="Z107" s="50"/>
      <c r="AA107" s="74"/>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74"/>
      <c r="AZ107" s="74"/>
      <c r="BA107" s="50"/>
      <c r="BB107" s="50"/>
      <c r="BC107" s="50"/>
      <c r="BD107" s="50"/>
      <c r="BE107" s="50"/>
      <c r="BF107" s="50"/>
      <c r="BG107" s="50"/>
      <c r="BH107" s="50"/>
      <c r="BI107" s="50"/>
      <c r="BJ107" s="50"/>
      <c r="BK107" s="50"/>
      <c r="BL107" s="50"/>
      <c r="BM107" s="50"/>
      <c r="BN107" s="50"/>
      <c r="BO107" s="50"/>
      <c r="BP107" s="50"/>
      <c r="BQ107" s="50"/>
      <c r="BR107" s="50"/>
      <c r="BS107" s="50"/>
      <c r="BT107" s="50"/>
      <c r="BU107" s="50"/>
      <c r="BV107" s="50"/>
      <c r="BW107" s="50"/>
      <c r="BX107" s="50"/>
      <c r="BY107" s="50"/>
      <c r="BZ107" s="50"/>
      <c r="CA107" s="50"/>
      <c r="CB107" s="50"/>
      <c r="CC107" s="50"/>
      <c r="CD107" s="50"/>
      <c r="CE107" s="50"/>
      <c r="CF107" s="50"/>
      <c r="CG107" s="50"/>
      <c r="CH107" s="50"/>
      <c r="CI107" s="50"/>
      <c r="CJ107" s="50"/>
      <c r="CK107" s="50"/>
      <c r="CL107" s="74"/>
    </row>
    <row r="108" spans="2:90" x14ac:dyDescent="0.2">
      <c r="B108" s="50"/>
      <c r="C108" s="50"/>
      <c r="D108" s="50"/>
      <c r="E108" s="50"/>
      <c r="F108" s="50"/>
      <c r="G108" s="50"/>
      <c r="H108" s="50"/>
      <c r="I108" s="50"/>
      <c r="J108" s="50"/>
      <c r="K108" s="50"/>
      <c r="L108" s="50"/>
      <c r="M108" s="50"/>
      <c r="N108" s="51"/>
      <c r="O108" s="51"/>
      <c r="P108" s="51"/>
      <c r="Q108" s="51"/>
      <c r="R108" s="50"/>
      <c r="S108" s="74"/>
      <c r="T108" s="74"/>
      <c r="U108" s="50"/>
      <c r="V108" s="50"/>
      <c r="W108" s="50"/>
      <c r="X108" s="50"/>
      <c r="Y108" s="50"/>
      <c r="Z108" s="50"/>
      <c r="AA108" s="74"/>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74"/>
      <c r="AZ108" s="74"/>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0"/>
      <c r="CA108" s="50"/>
      <c r="CB108" s="50"/>
      <c r="CC108" s="50"/>
      <c r="CD108" s="50"/>
      <c r="CE108" s="50"/>
      <c r="CF108" s="50"/>
      <c r="CG108" s="50"/>
      <c r="CH108" s="50"/>
      <c r="CI108" s="50"/>
      <c r="CJ108" s="50"/>
      <c r="CK108" s="50"/>
      <c r="CL108" s="74"/>
    </row>
    <row r="109" spans="2:90" x14ac:dyDescent="0.2">
      <c r="B109" s="50"/>
      <c r="C109" s="50"/>
      <c r="D109" s="50"/>
      <c r="E109" s="50"/>
      <c r="F109" s="50"/>
      <c r="G109" s="50"/>
      <c r="H109" s="50"/>
      <c r="I109" s="50"/>
      <c r="J109" s="50"/>
      <c r="K109" s="50"/>
      <c r="L109" s="50"/>
      <c r="M109" s="50"/>
      <c r="N109" s="51"/>
      <c r="O109" s="51"/>
      <c r="P109" s="51"/>
      <c r="Q109" s="51"/>
      <c r="R109" s="50"/>
      <c r="S109" s="74"/>
      <c r="T109" s="74"/>
      <c r="U109" s="50"/>
      <c r="V109" s="50"/>
      <c r="W109" s="50"/>
      <c r="X109" s="50"/>
      <c r="Y109" s="50"/>
      <c r="Z109" s="50"/>
      <c r="AA109" s="74"/>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74"/>
      <c r="AZ109" s="74"/>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0"/>
      <c r="CA109" s="50"/>
      <c r="CB109" s="50"/>
      <c r="CC109" s="50"/>
      <c r="CD109" s="50"/>
      <c r="CE109" s="50"/>
      <c r="CF109" s="50"/>
      <c r="CG109" s="50"/>
      <c r="CH109" s="50"/>
      <c r="CI109" s="50"/>
      <c r="CJ109" s="50"/>
      <c r="CK109" s="50"/>
      <c r="CL109" s="74"/>
    </row>
    <row r="110" spans="2:90" x14ac:dyDescent="0.2">
      <c r="B110" s="50"/>
      <c r="C110" s="50"/>
      <c r="D110" s="50"/>
      <c r="E110" s="50"/>
      <c r="F110" s="50"/>
      <c r="G110" s="50"/>
      <c r="H110" s="50"/>
      <c r="I110" s="50"/>
      <c r="J110" s="50"/>
      <c r="K110" s="50"/>
      <c r="L110" s="50"/>
      <c r="M110" s="50"/>
      <c r="N110" s="51"/>
      <c r="O110" s="51"/>
      <c r="P110" s="51"/>
      <c r="Q110" s="51"/>
      <c r="R110" s="50"/>
      <c r="S110" s="74"/>
      <c r="T110" s="74"/>
      <c r="U110" s="50"/>
      <c r="V110" s="50"/>
      <c r="W110" s="50"/>
      <c r="X110" s="50"/>
      <c r="Y110" s="50"/>
      <c r="Z110" s="50"/>
      <c r="AA110" s="74"/>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74"/>
      <c r="AZ110" s="74"/>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0"/>
      <c r="CA110" s="50"/>
      <c r="CB110" s="50"/>
      <c r="CC110" s="50"/>
      <c r="CD110" s="50"/>
      <c r="CE110" s="50"/>
      <c r="CF110" s="50"/>
      <c r="CG110" s="50"/>
      <c r="CH110" s="50"/>
      <c r="CI110" s="50"/>
      <c r="CJ110" s="50"/>
      <c r="CK110" s="50"/>
      <c r="CL110" s="74"/>
    </row>
    <row r="111" spans="2:90" x14ac:dyDescent="0.2">
      <c r="B111" s="50"/>
      <c r="C111" s="50"/>
      <c r="D111" s="50"/>
      <c r="E111" s="50"/>
      <c r="F111" s="50"/>
      <c r="G111" s="50"/>
      <c r="H111" s="50"/>
      <c r="I111" s="50"/>
      <c r="J111" s="50"/>
      <c r="K111" s="50"/>
      <c r="L111" s="50"/>
      <c r="M111" s="50"/>
      <c r="N111" s="51"/>
      <c r="O111" s="51"/>
      <c r="P111" s="51"/>
      <c r="Q111" s="51"/>
      <c r="R111" s="50"/>
      <c r="S111" s="74"/>
      <c r="T111" s="74"/>
      <c r="U111" s="50"/>
      <c r="V111" s="50"/>
      <c r="W111" s="50"/>
      <c r="X111" s="50"/>
      <c r="Y111" s="50"/>
      <c r="Z111" s="50"/>
      <c r="AA111" s="74"/>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74"/>
      <c r="AZ111" s="74"/>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0"/>
      <c r="CA111" s="50"/>
      <c r="CB111" s="50"/>
      <c r="CC111" s="50"/>
      <c r="CD111" s="50"/>
      <c r="CE111" s="50"/>
      <c r="CF111" s="50"/>
      <c r="CG111" s="50"/>
      <c r="CH111" s="50"/>
      <c r="CI111" s="50"/>
      <c r="CJ111" s="50"/>
      <c r="CK111" s="50"/>
      <c r="CL111" s="74"/>
    </row>
    <row r="112" spans="2:90" x14ac:dyDescent="0.2">
      <c r="B112" s="50"/>
      <c r="C112" s="50"/>
      <c r="D112" s="50"/>
      <c r="E112" s="50"/>
      <c r="F112" s="50"/>
      <c r="G112" s="50"/>
      <c r="H112" s="50"/>
      <c r="I112" s="50"/>
      <c r="J112" s="50"/>
      <c r="K112" s="50"/>
      <c r="L112" s="50"/>
      <c r="M112" s="50"/>
      <c r="N112" s="51"/>
      <c r="O112" s="51"/>
      <c r="P112" s="51"/>
      <c r="Q112" s="51"/>
      <c r="R112" s="50"/>
      <c r="S112" s="74"/>
      <c r="T112" s="74"/>
      <c r="U112" s="50"/>
      <c r="V112" s="50"/>
      <c r="W112" s="50"/>
      <c r="X112" s="50"/>
      <c r="Y112" s="50"/>
      <c r="Z112" s="50"/>
      <c r="AA112" s="74"/>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74"/>
      <c r="AZ112" s="74"/>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0"/>
      <c r="CA112" s="50"/>
      <c r="CB112" s="50"/>
      <c r="CC112" s="50"/>
      <c r="CD112" s="50"/>
      <c r="CE112" s="50"/>
      <c r="CF112" s="50"/>
      <c r="CG112" s="50"/>
      <c r="CH112" s="50"/>
      <c r="CI112" s="50"/>
      <c r="CJ112" s="50"/>
      <c r="CK112" s="50"/>
      <c r="CL112" s="74"/>
    </row>
    <row r="113" spans="2:90" x14ac:dyDescent="0.2">
      <c r="B113" s="50"/>
      <c r="C113" s="50"/>
      <c r="D113" s="50"/>
      <c r="E113" s="50"/>
      <c r="F113" s="50"/>
      <c r="G113" s="50"/>
      <c r="H113" s="50"/>
      <c r="I113" s="50"/>
      <c r="J113" s="50"/>
      <c r="K113" s="50"/>
      <c r="L113" s="50"/>
      <c r="M113" s="50"/>
      <c r="N113" s="51"/>
      <c r="O113" s="51"/>
      <c r="P113" s="51"/>
      <c r="Q113" s="51"/>
      <c r="R113" s="50"/>
      <c r="S113" s="74"/>
      <c r="T113" s="74"/>
      <c r="U113" s="50"/>
      <c r="V113" s="50"/>
      <c r="W113" s="50"/>
      <c r="X113" s="50"/>
      <c r="Y113" s="50"/>
      <c r="Z113" s="50"/>
      <c r="AA113" s="74"/>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74"/>
      <c r="AZ113" s="74"/>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0"/>
      <c r="CA113" s="50"/>
      <c r="CB113" s="50"/>
      <c r="CC113" s="50"/>
      <c r="CD113" s="50"/>
      <c r="CE113" s="50"/>
      <c r="CF113" s="50"/>
      <c r="CG113" s="50"/>
      <c r="CH113" s="50"/>
      <c r="CI113" s="50"/>
      <c r="CJ113" s="50"/>
      <c r="CK113" s="50"/>
      <c r="CL113" s="74"/>
    </row>
    <row r="114" spans="2:90" x14ac:dyDescent="0.2">
      <c r="B114" s="50"/>
      <c r="C114" s="50"/>
      <c r="D114" s="50"/>
      <c r="E114" s="50"/>
      <c r="F114" s="50"/>
      <c r="G114" s="50"/>
      <c r="H114" s="50"/>
      <c r="I114" s="50"/>
      <c r="J114" s="50"/>
      <c r="K114" s="50"/>
      <c r="L114" s="50"/>
      <c r="M114" s="50"/>
      <c r="N114" s="51"/>
      <c r="O114" s="51"/>
      <c r="P114" s="51"/>
      <c r="Q114" s="51"/>
      <c r="R114" s="50"/>
      <c r="S114" s="74"/>
      <c r="T114" s="74"/>
      <c r="U114" s="50"/>
      <c r="V114" s="50"/>
      <c r="W114" s="50"/>
      <c r="X114" s="50"/>
      <c r="Y114" s="50"/>
      <c r="Z114" s="50"/>
      <c r="AA114" s="74"/>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74"/>
      <c r="AZ114" s="74"/>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0"/>
      <c r="CA114" s="50"/>
      <c r="CB114" s="50"/>
      <c r="CC114" s="50"/>
      <c r="CD114" s="50"/>
      <c r="CE114" s="50"/>
      <c r="CF114" s="50"/>
      <c r="CG114" s="50"/>
      <c r="CH114" s="50"/>
      <c r="CI114" s="50"/>
      <c r="CJ114" s="50"/>
      <c r="CK114" s="50"/>
      <c r="CL114" s="74"/>
    </row>
    <row r="115" spans="2:90" x14ac:dyDescent="0.2">
      <c r="B115" s="50"/>
      <c r="C115" s="50"/>
      <c r="D115" s="50"/>
      <c r="E115" s="50"/>
      <c r="F115" s="50"/>
      <c r="G115" s="50"/>
      <c r="H115" s="50"/>
      <c r="I115" s="50"/>
      <c r="J115" s="50"/>
      <c r="K115" s="50"/>
      <c r="L115" s="50"/>
      <c r="M115" s="50"/>
      <c r="N115" s="51"/>
      <c r="O115" s="51"/>
      <c r="P115" s="51"/>
      <c r="Q115" s="51"/>
      <c r="R115" s="50"/>
      <c r="S115" s="74"/>
      <c r="T115" s="74"/>
      <c r="U115" s="50"/>
      <c r="V115" s="50"/>
      <c r="W115" s="50"/>
      <c r="X115" s="50"/>
      <c r="Y115" s="50"/>
      <c r="Z115" s="50"/>
      <c r="AA115" s="74"/>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74"/>
      <c r="AZ115" s="74"/>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0"/>
      <c r="CA115" s="50"/>
      <c r="CB115" s="50"/>
      <c r="CC115" s="50"/>
      <c r="CD115" s="50"/>
      <c r="CE115" s="50"/>
      <c r="CF115" s="50"/>
      <c r="CG115" s="50"/>
      <c r="CH115" s="50"/>
      <c r="CI115" s="50"/>
      <c r="CJ115" s="50"/>
      <c r="CK115" s="50"/>
      <c r="CL115" s="74"/>
    </row>
    <row r="116" spans="2:90" x14ac:dyDescent="0.2">
      <c r="B116" s="50"/>
      <c r="C116" s="50"/>
      <c r="D116" s="50"/>
      <c r="E116" s="50"/>
      <c r="F116" s="50"/>
      <c r="G116" s="50"/>
      <c r="H116" s="50"/>
      <c r="I116" s="50"/>
      <c r="J116" s="50"/>
      <c r="K116" s="50"/>
      <c r="L116" s="50"/>
      <c r="M116" s="50"/>
      <c r="N116" s="51"/>
      <c r="O116" s="51"/>
      <c r="P116" s="51"/>
      <c r="Q116" s="51"/>
      <c r="R116" s="50"/>
      <c r="S116" s="74"/>
      <c r="T116" s="74"/>
      <c r="U116" s="50"/>
      <c r="V116" s="50"/>
      <c r="W116" s="50"/>
      <c r="X116" s="50"/>
      <c r="Y116" s="50"/>
      <c r="Z116" s="50"/>
      <c r="AA116" s="74"/>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74"/>
      <c r="AZ116" s="74"/>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0"/>
      <c r="CA116" s="50"/>
      <c r="CB116" s="50"/>
      <c r="CC116" s="50"/>
      <c r="CD116" s="50"/>
      <c r="CE116" s="50"/>
      <c r="CF116" s="50"/>
      <c r="CG116" s="50"/>
      <c r="CH116" s="50"/>
      <c r="CI116" s="50"/>
      <c r="CJ116" s="50"/>
      <c r="CK116" s="50"/>
      <c r="CL116" s="74"/>
    </row>
    <row r="117" spans="2:90" x14ac:dyDescent="0.2">
      <c r="B117" s="50"/>
      <c r="C117" s="50"/>
      <c r="D117" s="50"/>
      <c r="E117" s="50"/>
      <c r="F117" s="50"/>
      <c r="G117" s="50"/>
      <c r="H117" s="50"/>
      <c r="I117" s="50"/>
      <c r="J117" s="50"/>
      <c r="K117" s="50"/>
      <c r="L117" s="50"/>
      <c r="M117" s="50"/>
      <c r="N117" s="51"/>
      <c r="O117" s="51"/>
      <c r="P117" s="51"/>
      <c r="Q117" s="51"/>
      <c r="R117" s="50"/>
      <c r="S117" s="74"/>
      <c r="T117" s="74"/>
      <c r="U117" s="50"/>
      <c r="V117" s="50"/>
      <c r="W117" s="50"/>
      <c r="X117" s="50"/>
      <c r="Y117" s="50"/>
      <c r="Z117" s="50"/>
      <c r="AA117" s="74"/>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74"/>
      <c r="AZ117" s="74"/>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0"/>
      <c r="CA117" s="50"/>
      <c r="CB117" s="50"/>
      <c r="CC117" s="50"/>
      <c r="CD117" s="50"/>
      <c r="CE117" s="50"/>
      <c r="CF117" s="50"/>
      <c r="CG117" s="50"/>
      <c r="CH117" s="50"/>
      <c r="CI117" s="50"/>
      <c r="CJ117" s="50"/>
      <c r="CK117" s="50"/>
      <c r="CL117" s="74"/>
    </row>
    <row r="118" spans="2:90" x14ac:dyDescent="0.2">
      <c r="B118" s="50"/>
      <c r="C118" s="50"/>
      <c r="D118" s="50"/>
      <c r="E118" s="50"/>
      <c r="F118" s="50"/>
      <c r="G118" s="50"/>
      <c r="H118" s="50"/>
      <c r="I118" s="50"/>
      <c r="J118" s="50"/>
      <c r="K118" s="50"/>
      <c r="L118" s="50"/>
      <c r="M118" s="50"/>
      <c r="N118" s="51"/>
      <c r="O118" s="51"/>
      <c r="P118" s="51"/>
      <c r="Q118" s="51"/>
      <c r="R118" s="50"/>
      <c r="S118" s="74"/>
      <c r="T118" s="74"/>
      <c r="U118" s="50"/>
      <c r="V118" s="50"/>
      <c r="W118" s="50"/>
      <c r="X118" s="50"/>
      <c r="Y118" s="50"/>
      <c r="Z118" s="50"/>
      <c r="AA118" s="74"/>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74"/>
      <c r="AZ118" s="74"/>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0"/>
      <c r="CA118" s="50"/>
      <c r="CB118" s="50"/>
      <c r="CC118" s="50"/>
      <c r="CD118" s="50"/>
      <c r="CE118" s="50"/>
      <c r="CF118" s="50"/>
      <c r="CG118" s="50"/>
      <c r="CH118" s="50"/>
      <c r="CI118" s="50"/>
      <c r="CJ118" s="50"/>
      <c r="CK118" s="50"/>
      <c r="CL118" s="74"/>
    </row>
    <row r="119" spans="2:90" x14ac:dyDescent="0.2">
      <c r="B119" s="50"/>
      <c r="C119" s="50"/>
      <c r="D119" s="50"/>
      <c r="E119" s="50"/>
      <c r="F119" s="50"/>
      <c r="G119" s="50"/>
      <c r="H119" s="50"/>
      <c r="I119" s="50"/>
      <c r="J119" s="50"/>
      <c r="K119" s="50"/>
      <c r="L119" s="50"/>
      <c r="M119" s="50"/>
      <c r="N119" s="51"/>
      <c r="O119" s="51"/>
      <c r="P119" s="51"/>
      <c r="Q119" s="51"/>
      <c r="R119" s="50"/>
      <c r="S119" s="74"/>
      <c r="T119" s="74"/>
      <c r="U119" s="50"/>
      <c r="V119" s="50"/>
      <c r="W119" s="50"/>
      <c r="X119" s="50"/>
      <c r="Y119" s="50"/>
      <c r="Z119" s="50"/>
      <c r="AA119" s="74"/>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74"/>
      <c r="AZ119" s="74"/>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0"/>
      <c r="CA119" s="50"/>
      <c r="CB119" s="50"/>
      <c r="CC119" s="50"/>
      <c r="CD119" s="50"/>
      <c r="CE119" s="50"/>
      <c r="CF119" s="50"/>
      <c r="CG119" s="50"/>
      <c r="CH119" s="50"/>
      <c r="CI119" s="50"/>
      <c r="CJ119" s="50"/>
      <c r="CK119" s="50"/>
      <c r="CL119" s="74"/>
    </row>
    <row r="120" spans="2:90" x14ac:dyDescent="0.2">
      <c r="B120" s="50"/>
      <c r="C120" s="50"/>
      <c r="D120" s="50"/>
      <c r="E120" s="50"/>
      <c r="F120" s="50"/>
      <c r="G120" s="50"/>
      <c r="H120" s="50"/>
      <c r="I120" s="50"/>
      <c r="J120" s="50"/>
      <c r="K120" s="50"/>
      <c r="L120" s="50"/>
      <c r="M120" s="50"/>
      <c r="N120" s="51"/>
      <c r="O120" s="51"/>
      <c r="P120" s="51"/>
      <c r="Q120" s="51"/>
      <c r="R120" s="50"/>
      <c r="S120" s="74"/>
      <c r="T120" s="74"/>
      <c r="U120" s="50"/>
      <c r="V120" s="50"/>
      <c r="W120" s="50"/>
      <c r="X120" s="50"/>
      <c r="Y120" s="50"/>
      <c r="Z120" s="50"/>
      <c r="AA120" s="74"/>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74"/>
      <c r="AZ120" s="74"/>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0"/>
      <c r="CA120" s="50"/>
      <c r="CB120" s="50"/>
      <c r="CC120" s="50"/>
      <c r="CD120" s="50"/>
      <c r="CE120" s="50"/>
      <c r="CF120" s="50"/>
      <c r="CG120" s="50"/>
      <c r="CH120" s="50"/>
      <c r="CI120" s="50"/>
      <c r="CJ120" s="50"/>
      <c r="CK120" s="50"/>
      <c r="CL120" s="74"/>
    </row>
    <row r="121" spans="2:90" x14ac:dyDescent="0.2">
      <c r="B121" s="50"/>
      <c r="C121" s="50"/>
      <c r="D121" s="50"/>
      <c r="E121" s="50"/>
      <c r="F121" s="50"/>
      <c r="G121" s="50"/>
      <c r="H121" s="50"/>
      <c r="I121" s="50"/>
      <c r="J121" s="50"/>
      <c r="K121" s="50"/>
      <c r="L121" s="50"/>
      <c r="M121" s="50"/>
      <c r="N121" s="51"/>
      <c r="O121" s="51"/>
      <c r="P121" s="51"/>
      <c r="Q121" s="51"/>
      <c r="R121" s="50"/>
      <c r="S121" s="74"/>
      <c r="T121" s="74"/>
      <c r="U121" s="50"/>
      <c r="V121" s="50"/>
      <c r="W121" s="50"/>
      <c r="X121" s="50"/>
      <c r="Y121" s="50"/>
      <c r="Z121" s="50"/>
      <c r="AA121" s="74"/>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74"/>
      <c r="AZ121" s="74"/>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0"/>
      <c r="CA121" s="50"/>
      <c r="CB121" s="50"/>
      <c r="CC121" s="50"/>
      <c r="CD121" s="50"/>
      <c r="CE121" s="50"/>
      <c r="CF121" s="50"/>
      <c r="CG121" s="50"/>
      <c r="CH121" s="50"/>
      <c r="CI121" s="50"/>
      <c r="CJ121" s="50"/>
      <c r="CK121" s="50"/>
      <c r="CL121" s="74"/>
    </row>
    <row r="122" spans="2:90" x14ac:dyDescent="0.2">
      <c r="B122" s="50"/>
      <c r="C122" s="50"/>
      <c r="D122" s="50"/>
      <c r="E122" s="50"/>
      <c r="F122" s="50"/>
      <c r="G122" s="50"/>
      <c r="H122" s="50"/>
      <c r="I122" s="50"/>
      <c r="J122" s="50"/>
      <c r="K122" s="50"/>
      <c r="L122" s="50"/>
      <c r="M122" s="50"/>
      <c r="N122" s="51"/>
      <c r="O122" s="51"/>
      <c r="P122" s="51"/>
      <c r="Q122" s="51"/>
      <c r="R122" s="50"/>
      <c r="S122" s="74"/>
      <c r="T122" s="74"/>
      <c r="U122" s="50"/>
      <c r="V122" s="50"/>
      <c r="W122" s="50"/>
      <c r="X122" s="50"/>
      <c r="Y122" s="50"/>
      <c r="Z122" s="50"/>
      <c r="AA122" s="74"/>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74"/>
      <c r="AZ122" s="74"/>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0"/>
      <c r="CA122" s="50"/>
      <c r="CB122" s="50"/>
      <c r="CC122" s="50"/>
      <c r="CD122" s="50"/>
      <c r="CE122" s="50"/>
      <c r="CF122" s="50"/>
      <c r="CG122" s="50"/>
      <c r="CH122" s="50"/>
      <c r="CI122" s="50"/>
      <c r="CJ122" s="50"/>
      <c r="CK122" s="50"/>
      <c r="CL122" s="74"/>
    </row>
    <row r="123" spans="2:90" x14ac:dyDescent="0.2">
      <c r="B123" s="50"/>
      <c r="C123" s="50"/>
      <c r="D123" s="50"/>
      <c r="E123" s="50"/>
      <c r="F123" s="50"/>
      <c r="G123" s="50"/>
      <c r="H123" s="50"/>
      <c r="I123" s="50"/>
      <c r="J123" s="50"/>
      <c r="K123" s="50"/>
      <c r="L123" s="50"/>
      <c r="M123" s="50"/>
      <c r="N123" s="51"/>
      <c r="O123" s="51"/>
      <c r="P123" s="51"/>
      <c r="Q123" s="51"/>
      <c r="R123" s="50"/>
      <c r="S123" s="74"/>
      <c r="T123" s="74"/>
      <c r="U123" s="50"/>
      <c r="V123" s="50"/>
      <c r="W123" s="50"/>
      <c r="X123" s="50"/>
      <c r="Y123" s="50"/>
      <c r="Z123" s="50"/>
      <c r="AA123" s="74"/>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74"/>
      <c r="AZ123" s="74"/>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74"/>
    </row>
    <row r="124" spans="2:90" x14ac:dyDescent="0.2">
      <c r="B124" s="50"/>
      <c r="C124" s="50"/>
      <c r="D124" s="50"/>
      <c r="E124" s="50"/>
      <c r="F124" s="50"/>
      <c r="G124" s="50"/>
      <c r="H124" s="50"/>
      <c r="I124" s="50"/>
      <c r="J124" s="50"/>
      <c r="K124" s="50"/>
      <c r="L124" s="50"/>
      <c r="M124" s="50"/>
      <c r="N124" s="51"/>
      <c r="O124" s="51"/>
      <c r="P124" s="51"/>
      <c r="Q124" s="51"/>
      <c r="R124" s="50"/>
      <c r="S124" s="74"/>
      <c r="T124" s="74"/>
      <c r="U124" s="50"/>
      <c r="V124" s="50"/>
      <c r="W124" s="50"/>
      <c r="X124" s="50"/>
      <c r="Y124" s="50"/>
      <c r="Z124" s="50"/>
      <c r="AA124" s="74"/>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74"/>
      <c r="AZ124" s="74"/>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74"/>
    </row>
    <row r="125" spans="2:90" x14ac:dyDescent="0.2">
      <c r="B125" s="50"/>
      <c r="C125" s="50"/>
      <c r="D125" s="50"/>
      <c r="E125" s="50"/>
      <c r="F125" s="50"/>
      <c r="G125" s="50"/>
      <c r="H125" s="50"/>
      <c r="I125" s="50"/>
      <c r="J125" s="50"/>
      <c r="K125" s="50"/>
      <c r="L125" s="50"/>
      <c r="M125" s="50"/>
      <c r="N125" s="51"/>
      <c r="O125" s="51"/>
      <c r="P125" s="51"/>
      <c r="Q125" s="51"/>
      <c r="R125" s="50"/>
      <c r="S125" s="74"/>
      <c r="T125" s="74"/>
      <c r="U125" s="50"/>
      <c r="V125" s="50"/>
      <c r="W125" s="50"/>
      <c r="X125" s="50"/>
      <c r="Y125" s="50"/>
      <c r="Z125" s="50"/>
      <c r="AA125" s="74"/>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74"/>
      <c r="AZ125" s="74"/>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0"/>
      <c r="CA125" s="50"/>
      <c r="CB125" s="50"/>
      <c r="CC125" s="50"/>
      <c r="CD125" s="50"/>
      <c r="CE125" s="50"/>
      <c r="CF125" s="50"/>
      <c r="CG125" s="50"/>
      <c r="CH125" s="50"/>
      <c r="CI125" s="50"/>
      <c r="CJ125" s="50"/>
      <c r="CK125" s="50"/>
      <c r="CL125" s="74"/>
    </row>
    <row r="126" spans="2:90" x14ac:dyDescent="0.2">
      <c r="B126" s="50"/>
      <c r="C126" s="50"/>
      <c r="D126" s="50"/>
      <c r="E126" s="50"/>
      <c r="F126" s="50"/>
      <c r="G126" s="50"/>
      <c r="H126" s="50"/>
      <c r="I126" s="50"/>
      <c r="J126" s="50"/>
      <c r="K126" s="50"/>
      <c r="L126" s="50"/>
      <c r="M126" s="50"/>
      <c r="N126" s="51"/>
      <c r="O126" s="51"/>
      <c r="P126" s="51"/>
      <c r="Q126" s="51"/>
      <c r="R126" s="50"/>
      <c r="S126" s="74"/>
      <c r="T126" s="74"/>
      <c r="U126" s="50"/>
      <c r="V126" s="50"/>
      <c r="W126" s="50"/>
      <c r="X126" s="50"/>
      <c r="Y126" s="50"/>
      <c r="Z126" s="50"/>
      <c r="AA126" s="74"/>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74"/>
      <c r="AZ126" s="74"/>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0"/>
      <c r="CA126" s="50"/>
      <c r="CB126" s="50"/>
      <c r="CC126" s="50"/>
      <c r="CD126" s="50"/>
      <c r="CE126" s="50"/>
      <c r="CF126" s="50"/>
      <c r="CG126" s="50"/>
      <c r="CH126" s="50"/>
      <c r="CI126" s="50"/>
      <c r="CJ126" s="50"/>
      <c r="CK126" s="50"/>
      <c r="CL126" s="74"/>
    </row>
    <row r="127" spans="2:90" x14ac:dyDescent="0.2">
      <c r="B127" s="50"/>
      <c r="C127" s="50"/>
      <c r="D127" s="50"/>
      <c r="E127" s="50"/>
      <c r="F127" s="50"/>
      <c r="G127" s="50"/>
      <c r="H127" s="50"/>
      <c r="I127" s="50"/>
      <c r="J127" s="50"/>
      <c r="K127" s="50"/>
      <c r="L127" s="50"/>
      <c r="M127" s="50"/>
      <c r="N127" s="51"/>
      <c r="O127" s="51"/>
      <c r="P127" s="51"/>
      <c r="Q127" s="51"/>
      <c r="R127" s="50"/>
      <c r="S127" s="74"/>
      <c r="T127" s="74"/>
      <c r="U127" s="50"/>
      <c r="V127" s="50"/>
      <c r="W127" s="50"/>
      <c r="X127" s="50"/>
      <c r="Y127" s="50"/>
      <c r="Z127" s="50"/>
      <c r="AA127" s="74"/>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74"/>
      <c r="AZ127" s="74"/>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0"/>
      <c r="CA127" s="50"/>
      <c r="CB127" s="50"/>
      <c r="CC127" s="50"/>
      <c r="CD127" s="50"/>
      <c r="CE127" s="50"/>
      <c r="CF127" s="50"/>
      <c r="CG127" s="50"/>
      <c r="CH127" s="50"/>
      <c r="CI127" s="50"/>
      <c r="CJ127" s="50"/>
      <c r="CK127" s="50"/>
      <c r="CL127" s="74"/>
    </row>
    <row r="128" spans="2:90" x14ac:dyDescent="0.2">
      <c r="B128" s="50"/>
      <c r="C128" s="50"/>
      <c r="D128" s="50"/>
      <c r="E128" s="50"/>
      <c r="F128" s="50"/>
      <c r="G128" s="50"/>
      <c r="H128" s="50"/>
      <c r="I128" s="50"/>
      <c r="J128" s="50"/>
      <c r="K128" s="50"/>
      <c r="L128" s="50"/>
      <c r="M128" s="50"/>
      <c r="N128" s="51"/>
      <c r="O128" s="51"/>
      <c r="P128" s="51"/>
      <c r="Q128" s="51"/>
      <c r="R128" s="50"/>
      <c r="S128" s="74"/>
      <c r="T128" s="74"/>
      <c r="U128" s="50"/>
      <c r="V128" s="50"/>
      <c r="W128" s="50"/>
      <c r="X128" s="50"/>
      <c r="Y128" s="50"/>
      <c r="Z128" s="50"/>
      <c r="AA128" s="74"/>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74"/>
      <c r="AZ128" s="74"/>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c r="BW128" s="50"/>
      <c r="BX128" s="50"/>
      <c r="BY128" s="50"/>
      <c r="BZ128" s="50"/>
      <c r="CA128" s="50"/>
      <c r="CB128" s="50"/>
      <c r="CC128" s="50"/>
      <c r="CD128" s="50"/>
      <c r="CE128" s="50"/>
      <c r="CF128" s="50"/>
      <c r="CG128" s="50"/>
      <c r="CH128" s="50"/>
      <c r="CI128" s="50"/>
      <c r="CJ128" s="50"/>
      <c r="CK128" s="50"/>
      <c r="CL128" s="74"/>
    </row>
    <row r="129" spans="2:90" x14ac:dyDescent="0.2">
      <c r="B129" s="50"/>
      <c r="C129" s="50"/>
      <c r="D129" s="50"/>
      <c r="E129" s="50"/>
      <c r="F129" s="50"/>
      <c r="G129" s="50"/>
      <c r="H129" s="50"/>
      <c r="I129" s="50"/>
      <c r="J129" s="50"/>
      <c r="K129" s="50"/>
      <c r="L129" s="50"/>
      <c r="M129" s="50"/>
      <c r="N129" s="51"/>
      <c r="O129" s="51"/>
      <c r="P129" s="51"/>
      <c r="Q129" s="51"/>
      <c r="R129" s="50"/>
      <c r="S129" s="74"/>
      <c r="T129" s="74"/>
      <c r="U129" s="50"/>
      <c r="V129" s="50"/>
      <c r="W129" s="50"/>
      <c r="X129" s="50"/>
      <c r="Y129" s="50"/>
      <c r="Z129" s="50"/>
      <c r="AA129" s="74"/>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74"/>
      <c r="AZ129" s="74"/>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c r="BW129" s="50"/>
      <c r="BX129" s="50"/>
      <c r="BY129" s="50"/>
      <c r="BZ129" s="50"/>
      <c r="CA129" s="50"/>
      <c r="CB129" s="50"/>
      <c r="CC129" s="50"/>
      <c r="CD129" s="50"/>
      <c r="CE129" s="50"/>
      <c r="CF129" s="50"/>
      <c r="CG129" s="50"/>
      <c r="CH129" s="50"/>
      <c r="CI129" s="50"/>
      <c r="CJ129" s="50"/>
      <c r="CK129" s="50"/>
      <c r="CL129" s="74"/>
    </row>
    <row r="130" spans="2:90" x14ac:dyDescent="0.2">
      <c r="B130" s="50"/>
      <c r="C130" s="50"/>
      <c r="D130" s="50"/>
      <c r="E130" s="50"/>
      <c r="F130" s="50"/>
      <c r="G130" s="50"/>
      <c r="H130" s="50"/>
      <c r="I130" s="50"/>
      <c r="J130" s="50"/>
      <c r="K130" s="50"/>
      <c r="L130" s="50"/>
      <c r="M130" s="50"/>
      <c r="N130" s="51"/>
      <c r="O130" s="51"/>
      <c r="P130" s="51"/>
      <c r="Q130" s="51"/>
      <c r="R130" s="50"/>
      <c r="S130" s="74"/>
      <c r="T130" s="74"/>
      <c r="U130" s="50"/>
      <c r="V130" s="50"/>
      <c r="W130" s="50"/>
      <c r="X130" s="50"/>
      <c r="Y130" s="50"/>
      <c r="Z130" s="50"/>
      <c r="AA130" s="74"/>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74"/>
      <c r="AZ130" s="74"/>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0"/>
      <c r="CA130" s="50"/>
      <c r="CB130" s="50"/>
      <c r="CC130" s="50"/>
      <c r="CD130" s="50"/>
      <c r="CE130" s="50"/>
      <c r="CF130" s="50"/>
      <c r="CG130" s="50"/>
      <c r="CH130" s="50"/>
      <c r="CI130" s="50"/>
      <c r="CJ130" s="50"/>
      <c r="CK130" s="50"/>
      <c r="CL130" s="74"/>
    </row>
    <row r="131" spans="2:90" x14ac:dyDescent="0.2">
      <c r="B131" s="50"/>
      <c r="C131" s="50"/>
      <c r="D131" s="50"/>
      <c r="E131" s="50"/>
      <c r="F131" s="50"/>
      <c r="G131" s="50"/>
      <c r="H131" s="50"/>
      <c r="I131" s="50"/>
      <c r="J131" s="50"/>
      <c r="K131" s="50"/>
      <c r="L131" s="50"/>
      <c r="M131" s="50"/>
      <c r="N131" s="51"/>
      <c r="O131" s="51"/>
      <c r="P131" s="51"/>
      <c r="Q131" s="51"/>
      <c r="R131" s="50"/>
      <c r="S131" s="74"/>
      <c r="T131" s="74"/>
      <c r="U131" s="50"/>
      <c r="V131" s="50"/>
      <c r="W131" s="50"/>
      <c r="X131" s="50"/>
      <c r="Y131" s="50"/>
      <c r="Z131" s="50"/>
      <c r="AA131" s="74"/>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74"/>
      <c r="AZ131" s="74"/>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0"/>
      <c r="CA131" s="50"/>
      <c r="CB131" s="50"/>
      <c r="CC131" s="50"/>
      <c r="CD131" s="50"/>
      <c r="CE131" s="50"/>
      <c r="CF131" s="50"/>
      <c r="CG131" s="50"/>
      <c r="CH131" s="50"/>
      <c r="CI131" s="50"/>
      <c r="CJ131" s="50"/>
      <c r="CK131" s="50"/>
      <c r="CL131" s="74"/>
    </row>
    <row r="132" spans="2:90" x14ac:dyDescent="0.2">
      <c r="B132" s="50"/>
      <c r="C132" s="50"/>
      <c r="D132" s="50"/>
      <c r="E132" s="50"/>
      <c r="F132" s="50"/>
      <c r="G132" s="50"/>
      <c r="H132" s="50"/>
      <c r="I132" s="50"/>
      <c r="J132" s="50"/>
      <c r="K132" s="50"/>
      <c r="L132" s="50"/>
      <c r="M132" s="50"/>
      <c r="N132" s="51"/>
      <c r="O132" s="51"/>
      <c r="P132" s="51"/>
      <c r="Q132" s="51"/>
      <c r="R132" s="50"/>
      <c r="S132" s="74"/>
      <c r="T132" s="74"/>
      <c r="U132" s="50"/>
      <c r="V132" s="50"/>
      <c r="W132" s="50"/>
      <c r="X132" s="50"/>
      <c r="Y132" s="50"/>
      <c r="Z132" s="50"/>
      <c r="AA132" s="74"/>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74"/>
      <c r="AZ132" s="74"/>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0"/>
      <c r="CA132" s="50"/>
      <c r="CB132" s="50"/>
      <c r="CC132" s="50"/>
      <c r="CD132" s="50"/>
      <c r="CE132" s="50"/>
      <c r="CF132" s="50"/>
      <c r="CG132" s="50"/>
      <c r="CH132" s="50"/>
      <c r="CI132" s="50"/>
      <c r="CJ132" s="50"/>
      <c r="CK132" s="50"/>
      <c r="CL132" s="74"/>
    </row>
    <row r="133" spans="2:90" x14ac:dyDescent="0.2">
      <c r="B133" s="50"/>
      <c r="C133" s="50"/>
      <c r="D133" s="50"/>
      <c r="E133" s="50"/>
      <c r="F133" s="50"/>
      <c r="G133" s="50"/>
      <c r="H133" s="50"/>
      <c r="I133" s="50"/>
      <c r="J133" s="50"/>
      <c r="K133" s="50"/>
      <c r="L133" s="50"/>
      <c r="M133" s="50"/>
      <c r="N133" s="51"/>
      <c r="O133" s="51"/>
      <c r="P133" s="51"/>
      <c r="Q133" s="51"/>
      <c r="R133" s="50"/>
      <c r="S133" s="74"/>
      <c r="T133" s="74"/>
      <c r="U133" s="50"/>
      <c r="V133" s="50"/>
      <c r="W133" s="50"/>
      <c r="X133" s="50"/>
      <c r="Y133" s="50"/>
      <c r="Z133" s="50"/>
      <c r="AA133" s="74"/>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74"/>
      <c r="AZ133" s="74"/>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0"/>
      <c r="CA133" s="50"/>
      <c r="CB133" s="50"/>
      <c r="CC133" s="50"/>
      <c r="CD133" s="50"/>
      <c r="CE133" s="50"/>
      <c r="CF133" s="50"/>
      <c r="CG133" s="50"/>
      <c r="CH133" s="50"/>
      <c r="CI133" s="50"/>
      <c r="CJ133" s="50"/>
      <c r="CK133" s="50"/>
      <c r="CL133" s="74"/>
    </row>
    <row r="134" spans="2:90" x14ac:dyDescent="0.2">
      <c r="B134" s="50"/>
      <c r="C134" s="50"/>
      <c r="D134" s="50"/>
      <c r="E134" s="50"/>
      <c r="F134" s="50"/>
      <c r="G134" s="50"/>
      <c r="H134" s="50"/>
      <c r="I134" s="50"/>
      <c r="J134" s="50"/>
      <c r="K134" s="50"/>
      <c r="L134" s="50"/>
      <c r="M134" s="50"/>
      <c r="N134" s="51"/>
      <c r="O134" s="51"/>
      <c r="P134" s="51"/>
      <c r="Q134" s="51"/>
      <c r="R134" s="50"/>
      <c r="S134" s="74"/>
      <c r="T134" s="74"/>
      <c r="U134" s="50"/>
      <c r="V134" s="50"/>
      <c r="W134" s="50"/>
      <c r="X134" s="50"/>
      <c r="Y134" s="50"/>
      <c r="Z134" s="50"/>
      <c r="AA134" s="74"/>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74"/>
      <c r="AZ134" s="74"/>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0"/>
      <c r="CA134" s="50"/>
      <c r="CB134" s="50"/>
      <c r="CC134" s="50"/>
      <c r="CD134" s="50"/>
      <c r="CE134" s="50"/>
      <c r="CF134" s="50"/>
      <c r="CG134" s="50"/>
      <c r="CH134" s="50"/>
      <c r="CI134" s="50"/>
      <c r="CJ134" s="50"/>
      <c r="CK134" s="50"/>
      <c r="CL134" s="74"/>
    </row>
    <row r="135" spans="2:90" x14ac:dyDescent="0.2">
      <c r="B135" s="50"/>
      <c r="C135" s="50"/>
      <c r="D135" s="50"/>
      <c r="E135" s="50"/>
      <c r="F135" s="50"/>
      <c r="G135" s="50"/>
      <c r="H135" s="50"/>
      <c r="I135" s="50"/>
      <c r="J135" s="50"/>
      <c r="K135" s="50"/>
      <c r="L135" s="50"/>
      <c r="M135" s="50"/>
      <c r="N135" s="51"/>
      <c r="O135" s="51"/>
      <c r="P135" s="51"/>
      <c r="Q135" s="51"/>
      <c r="R135" s="50"/>
      <c r="S135" s="74"/>
      <c r="T135" s="74"/>
      <c r="U135" s="50"/>
      <c r="V135" s="50"/>
      <c r="W135" s="50"/>
      <c r="X135" s="50"/>
      <c r="Y135" s="50"/>
      <c r="Z135" s="50"/>
      <c r="AA135" s="74"/>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74"/>
      <c r="AZ135" s="74"/>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0"/>
      <c r="CA135" s="50"/>
      <c r="CB135" s="50"/>
      <c r="CC135" s="50"/>
      <c r="CD135" s="50"/>
      <c r="CE135" s="50"/>
      <c r="CF135" s="50"/>
      <c r="CG135" s="50"/>
      <c r="CH135" s="50"/>
      <c r="CI135" s="50"/>
      <c r="CJ135" s="50"/>
      <c r="CK135" s="50"/>
      <c r="CL135" s="74"/>
    </row>
    <row r="136" spans="2:90" x14ac:dyDescent="0.2">
      <c r="B136" s="50"/>
      <c r="C136" s="50"/>
      <c r="D136" s="50"/>
      <c r="E136" s="50"/>
      <c r="F136" s="50"/>
      <c r="G136" s="50"/>
      <c r="H136" s="50"/>
      <c r="I136" s="50"/>
      <c r="J136" s="50"/>
      <c r="K136" s="50"/>
      <c r="L136" s="50"/>
      <c r="M136" s="50"/>
      <c r="N136" s="51"/>
      <c r="O136" s="51"/>
      <c r="P136" s="51"/>
      <c r="Q136" s="51"/>
      <c r="R136" s="50"/>
      <c r="S136" s="74"/>
      <c r="T136" s="74"/>
      <c r="U136" s="50"/>
      <c r="V136" s="50"/>
      <c r="W136" s="50"/>
      <c r="X136" s="50"/>
      <c r="Y136" s="50"/>
      <c r="Z136" s="50"/>
      <c r="AA136" s="74"/>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74"/>
      <c r="AZ136" s="74"/>
      <c r="BA136" s="50"/>
      <c r="BB136" s="50"/>
      <c r="BC136" s="50"/>
      <c r="BD136" s="50"/>
      <c r="BE136" s="50"/>
      <c r="BF136" s="50"/>
      <c r="BG136" s="50"/>
      <c r="BH136" s="50"/>
      <c r="BI136" s="50"/>
      <c r="BJ136" s="50"/>
      <c r="BK136" s="50"/>
      <c r="BL136" s="50"/>
      <c r="BM136" s="50"/>
      <c r="BN136" s="50"/>
      <c r="BO136" s="50"/>
      <c r="BP136" s="50"/>
      <c r="BQ136" s="50"/>
      <c r="BR136" s="50"/>
      <c r="BS136" s="50"/>
      <c r="BT136" s="50"/>
      <c r="BU136" s="50"/>
      <c r="BV136" s="50"/>
      <c r="BW136" s="50"/>
      <c r="BX136" s="50"/>
      <c r="BY136" s="50"/>
      <c r="BZ136" s="50"/>
      <c r="CA136" s="50"/>
      <c r="CB136" s="50"/>
      <c r="CC136" s="50"/>
      <c r="CD136" s="50"/>
      <c r="CE136" s="50"/>
      <c r="CF136" s="50"/>
      <c r="CG136" s="50"/>
      <c r="CH136" s="50"/>
      <c r="CI136" s="50"/>
      <c r="CJ136" s="50"/>
      <c r="CK136" s="50"/>
      <c r="CL136" s="74"/>
    </row>
    <row r="137" spans="2:90" x14ac:dyDescent="0.2">
      <c r="B137" s="50"/>
      <c r="C137" s="50"/>
      <c r="D137" s="50"/>
      <c r="E137" s="50"/>
      <c r="F137" s="50"/>
      <c r="G137" s="50"/>
      <c r="H137" s="50"/>
      <c r="I137" s="50"/>
      <c r="J137" s="50"/>
      <c r="K137" s="50"/>
      <c r="L137" s="50"/>
      <c r="M137" s="50"/>
      <c r="N137" s="51"/>
      <c r="O137" s="51"/>
      <c r="P137" s="51"/>
      <c r="Q137" s="51"/>
      <c r="R137" s="50"/>
      <c r="S137" s="74"/>
      <c r="T137" s="74"/>
      <c r="U137" s="50"/>
      <c r="V137" s="50"/>
      <c r="W137" s="50"/>
      <c r="X137" s="50"/>
      <c r="Y137" s="50"/>
      <c r="Z137" s="50"/>
      <c r="AA137" s="74"/>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74"/>
      <c r="AZ137" s="74"/>
      <c r="BA137" s="50"/>
      <c r="BB137" s="50"/>
      <c r="BC137" s="50"/>
      <c r="BD137" s="50"/>
      <c r="BE137" s="50"/>
      <c r="BF137" s="50"/>
      <c r="BG137" s="50"/>
      <c r="BH137" s="50"/>
      <c r="BI137" s="50"/>
      <c r="BJ137" s="50"/>
      <c r="BK137" s="50"/>
      <c r="BL137" s="50"/>
      <c r="BM137" s="50"/>
      <c r="BN137" s="50"/>
      <c r="BO137" s="50"/>
      <c r="BP137" s="50"/>
      <c r="BQ137" s="50"/>
      <c r="BR137" s="50"/>
      <c r="BS137" s="50"/>
      <c r="BT137" s="50"/>
      <c r="BU137" s="50"/>
      <c r="BV137" s="50"/>
      <c r="BW137" s="50"/>
      <c r="BX137" s="50"/>
      <c r="BY137" s="50"/>
      <c r="BZ137" s="50"/>
      <c r="CA137" s="50"/>
      <c r="CB137" s="50"/>
      <c r="CC137" s="50"/>
      <c r="CD137" s="50"/>
      <c r="CE137" s="50"/>
      <c r="CF137" s="50"/>
      <c r="CG137" s="50"/>
      <c r="CH137" s="50"/>
      <c r="CI137" s="50"/>
      <c r="CJ137" s="50"/>
      <c r="CK137" s="50"/>
      <c r="CL137" s="74"/>
    </row>
    <row r="138" spans="2:90" x14ac:dyDescent="0.2">
      <c r="B138" s="50"/>
      <c r="C138" s="50"/>
      <c r="D138" s="50"/>
      <c r="E138" s="50"/>
      <c r="F138" s="50"/>
      <c r="G138" s="50"/>
      <c r="H138" s="50"/>
      <c r="I138" s="50"/>
      <c r="J138" s="50"/>
      <c r="K138" s="50"/>
      <c r="L138" s="50"/>
      <c r="M138" s="50"/>
      <c r="N138" s="51"/>
      <c r="O138" s="51"/>
      <c r="P138" s="51"/>
      <c r="Q138" s="51"/>
      <c r="R138" s="50"/>
      <c r="S138" s="74"/>
      <c r="T138" s="74"/>
      <c r="U138" s="50"/>
      <c r="V138" s="50"/>
      <c r="W138" s="50"/>
      <c r="X138" s="50"/>
      <c r="Y138" s="50"/>
      <c r="Z138" s="50"/>
      <c r="AA138" s="74"/>
      <c r="AB138" s="50"/>
      <c r="AC138" s="50"/>
      <c r="AD138" s="50"/>
      <c r="AE138" s="50"/>
      <c r="AF138" s="50"/>
      <c r="AG138" s="50"/>
      <c r="AH138" s="50"/>
      <c r="AI138" s="50"/>
      <c r="AJ138" s="50"/>
      <c r="AK138" s="50"/>
      <c r="AL138" s="50"/>
      <c r="AM138" s="50"/>
      <c r="AN138" s="50"/>
      <c r="AO138" s="50"/>
      <c r="AP138" s="50"/>
      <c r="AQ138" s="50"/>
      <c r="AR138" s="50"/>
      <c r="AS138" s="50"/>
      <c r="AT138" s="50"/>
      <c r="AU138" s="50"/>
      <c r="AV138" s="50"/>
      <c r="AW138" s="50"/>
      <c r="AX138" s="50"/>
      <c r="AY138" s="74"/>
      <c r="AZ138" s="74"/>
      <c r="BA138" s="50"/>
      <c r="BB138" s="50"/>
      <c r="BC138" s="50"/>
      <c r="BD138" s="50"/>
      <c r="BE138" s="50"/>
      <c r="BF138" s="50"/>
      <c r="BG138" s="50"/>
      <c r="BH138" s="50"/>
      <c r="BI138" s="50"/>
      <c r="BJ138" s="50"/>
      <c r="BK138" s="50"/>
      <c r="BL138" s="50"/>
      <c r="BM138" s="50"/>
      <c r="BN138" s="50"/>
      <c r="BO138" s="50"/>
      <c r="BP138" s="50"/>
      <c r="BQ138" s="50"/>
      <c r="BR138" s="50"/>
      <c r="BS138" s="50"/>
      <c r="BT138" s="50"/>
      <c r="BU138" s="50"/>
      <c r="BV138" s="50"/>
      <c r="BW138" s="50"/>
      <c r="BX138" s="50"/>
      <c r="BY138" s="50"/>
      <c r="BZ138" s="50"/>
      <c r="CA138" s="50"/>
      <c r="CB138" s="50"/>
      <c r="CC138" s="50"/>
      <c r="CD138" s="50"/>
      <c r="CE138" s="50"/>
      <c r="CF138" s="50"/>
      <c r="CG138" s="50"/>
      <c r="CH138" s="50"/>
      <c r="CI138" s="50"/>
      <c r="CJ138" s="50"/>
      <c r="CK138" s="50"/>
      <c r="CL138" s="74"/>
    </row>
    <row r="139" spans="2:90" x14ac:dyDescent="0.2">
      <c r="B139" s="50"/>
      <c r="C139" s="50"/>
      <c r="D139" s="50"/>
      <c r="E139" s="50"/>
      <c r="F139" s="50"/>
      <c r="G139" s="50"/>
      <c r="H139" s="50"/>
      <c r="I139" s="50"/>
      <c r="J139" s="50"/>
      <c r="K139" s="50"/>
      <c r="L139" s="50"/>
      <c r="M139" s="50"/>
      <c r="N139" s="51"/>
      <c r="O139" s="51"/>
      <c r="P139" s="51"/>
      <c r="Q139" s="51"/>
      <c r="R139" s="50"/>
      <c r="S139" s="74"/>
      <c r="T139" s="74"/>
      <c r="U139" s="50"/>
      <c r="V139" s="50"/>
      <c r="W139" s="50"/>
      <c r="X139" s="50"/>
      <c r="Y139" s="50"/>
      <c r="Z139" s="50"/>
      <c r="AA139" s="74"/>
      <c r="AB139" s="50"/>
      <c r="AC139" s="50"/>
      <c r="AD139" s="50"/>
      <c r="AE139" s="50"/>
      <c r="AF139" s="50"/>
      <c r="AG139" s="50"/>
      <c r="AH139" s="50"/>
      <c r="AI139" s="50"/>
      <c r="AJ139" s="50"/>
      <c r="AK139" s="50"/>
      <c r="AL139" s="50"/>
      <c r="AM139" s="50"/>
      <c r="AN139" s="50"/>
      <c r="AO139" s="50"/>
      <c r="AP139" s="50"/>
      <c r="AQ139" s="50"/>
      <c r="AR139" s="50"/>
      <c r="AS139" s="50"/>
      <c r="AT139" s="50"/>
      <c r="AU139" s="50"/>
      <c r="AV139" s="50"/>
      <c r="AW139" s="50"/>
      <c r="AX139" s="50"/>
      <c r="AY139" s="74"/>
      <c r="AZ139" s="74"/>
      <c r="BA139" s="50"/>
      <c r="BB139" s="50"/>
      <c r="BC139" s="50"/>
      <c r="BD139" s="50"/>
      <c r="BE139" s="50"/>
      <c r="BF139" s="50"/>
      <c r="BG139" s="50"/>
      <c r="BH139" s="50"/>
      <c r="BI139" s="50"/>
      <c r="BJ139" s="50"/>
      <c r="BK139" s="50"/>
      <c r="BL139" s="50"/>
      <c r="BM139" s="50"/>
      <c r="BN139" s="50"/>
      <c r="BO139" s="50"/>
      <c r="BP139" s="50"/>
      <c r="BQ139" s="50"/>
      <c r="BR139" s="50"/>
      <c r="BS139" s="50"/>
      <c r="BT139" s="50"/>
      <c r="BU139" s="50"/>
      <c r="BV139" s="50"/>
      <c r="BW139" s="50"/>
      <c r="BX139" s="50"/>
      <c r="BY139" s="50"/>
      <c r="BZ139" s="50"/>
      <c r="CA139" s="50"/>
      <c r="CB139" s="50"/>
      <c r="CC139" s="50"/>
      <c r="CD139" s="50"/>
      <c r="CE139" s="50"/>
      <c r="CF139" s="50"/>
      <c r="CG139" s="50"/>
      <c r="CH139" s="50"/>
      <c r="CI139" s="50"/>
      <c r="CJ139" s="50"/>
      <c r="CK139" s="50"/>
      <c r="CL139" s="74"/>
    </row>
    <row r="140" spans="2:90" x14ac:dyDescent="0.2">
      <c r="B140" s="50"/>
      <c r="C140" s="50"/>
      <c r="D140" s="50"/>
      <c r="E140" s="50"/>
      <c r="F140" s="50"/>
      <c r="G140" s="50"/>
      <c r="H140" s="50"/>
      <c r="I140" s="50"/>
      <c r="J140" s="50"/>
      <c r="K140" s="50"/>
      <c r="L140" s="50"/>
      <c r="M140" s="50"/>
      <c r="N140" s="51"/>
      <c r="O140" s="51"/>
      <c r="P140" s="51"/>
      <c r="Q140" s="51"/>
      <c r="R140" s="50"/>
      <c r="S140" s="74"/>
      <c r="T140" s="74"/>
      <c r="U140" s="50"/>
      <c r="V140" s="50"/>
      <c r="W140" s="50"/>
      <c r="X140" s="50"/>
      <c r="Y140" s="50"/>
      <c r="Z140" s="50"/>
      <c r="AA140" s="74"/>
      <c r="AB140" s="50"/>
      <c r="AC140" s="50"/>
      <c r="AD140" s="50"/>
      <c r="AE140" s="50"/>
      <c r="AF140" s="50"/>
      <c r="AG140" s="50"/>
      <c r="AH140" s="50"/>
      <c r="AI140" s="50"/>
      <c r="AJ140" s="50"/>
      <c r="AK140" s="50"/>
      <c r="AL140" s="50"/>
      <c r="AM140" s="50"/>
      <c r="AN140" s="50"/>
      <c r="AO140" s="50"/>
      <c r="AP140" s="50"/>
      <c r="AQ140" s="50"/>
      <c r="AR140" s="50"/>
      <c r="AS140" s="50"/>
      <c r="AT140" s="50"/>
      <c r="AU140" s="50"/>
      <c r="AV140" s="50"/>
      <c r="AW140" s="50"/>
      <c r="AX140" s="50"/>
      <c r="AY140" s="74"/>
      <c r="AZ140" s="74"/>
      <c r="BA140" s="50"/>
      <c r="BB140" s="50"/>
      <c r="BC140" s="50"/>
      <c r="BD140" s="50"/>
      <c r="BE140" s="50"/>
      <c r="BF140" s="50"/>
      <c r="BG140" s="50"/>
      <c r="BH140" s="50"/>
      <c r="BI140" s="50"/>
      <c r="BJ140" s="50"/>
      <c r="BK140" s="50"/>
      <c r="BL140" s="50"/>
      <c r="BM140" s="50"/>
      <c r="BN140" s="50"/>
      <c r="BO140" s="50"/>
      <c r="BP140" s="50"/>
      <c r="BQ140" s="50"/>
      <c r="BR140" s="50"/>
      <c r="BS140" s="50"/>
      <c r="BT140" s="50"/>
      <c r="BU140" s="50"/>
      <c r="BV140" s="50"/>
      <c r="BW140" s="50"/>
      <c r="BX140" s="50"/>
      <c r="BY140" s="50"/>
      <c r="BZ140" s="50"/>
      <c r="CA140" s="50"/>
      <c r="CB140" s="50"/>
      <c r="CC140" s="50"/>
      <c r="CD140" s="50"/>
      <c r="CE140" s="50"/>
      <c r="CF140" s="50"/>
      <c r="CG140" s="50"/>
      <c r="CH140" s="50"/>
      <c r="CI140" s="50"/>
      <c r="CJ140" s="50"/>
      <c r="CK140" s="50"/>
      <c r="CL140" s="74"/>
    </row>
    <row r="141" spans="2:90" x14ac:dyDescent="0.2">
      <c r="B141" s="50"/>
      <c r="C141" s="50"/>
      <c r="D141" s="50"/>
      <c r="E141" s="50"/>
      <c r="F141" s="50"/>
      <c r="G141" s="50"/>
      <c r="H141" s="50"/>
      <c r="I141" s="50"/>
      <c r="J141" s="50"/>
      <c r="K141" s="50"/>
      <c r="L141" s="50"/>
      <c r="M141" s="50"/>
      <c r="N141" s="51"/>
      <c r="O141" s="51"/>
      <c r="P141" s="51"/>
      <c r="Q141" s="51"/>
      <c r="R141" s="50"/>
      <c r="S141" s="74"/>
      <c r="T141" s="74"/>
      <c r="U141" s="50"/>
      <c r="V141" s="50"/>
      <c r="W141" s="50"/>
      <c r="X141" s="50"/>
      <c r="Y141" s="50"/>
      <c r="Z141" s="50"/>
      <c r="AA141" s="74"/>
      <c r="AB141" s="50"/>
      <c r="AC141" s="50"/>
      <c r="AD141" s="50"/>
      <c r="AE141" s="50"/>
      <c r="AF141" s="50"/>
      <c r="AG141" s="50"/>
      <c r="AH141" s="50"/>
      <c r="AI141" s="50"/>
      <c r="AJ141" s="50"/>
      <c r="AK141" s="50"/>
      <c r="AL141" s="50"/>
      <c r="AM141" s="50"/>
      <c r="AN141" s="50"/>
      <c r="AO141" s="50"/>
      <c r="AP141" s="50"/>
      <c r="AQ141" s="50"/>
      <c r="AR141" s="50"/>
      <c r="AS141" s="50"/>
      <c r="AT141" s="50"/>
      <c r="AU141" s="50"/>
      <c r="AV141" s="50"/>
      <c r="AW141" s="50"/>
      <c r="AX141" s="50"/>
      <c r="AY141" s="74"/>
      <c r="AZ141" s="74"/>
      <c r="BA141" s="50"/>
      <c r="BB141" s="50"/>
      <c r="BC141" s="50"/>
      <c r="BD141" s="50"/>
      <c r="BE141" s="50"/>
      <c r="BF141" s="50"/>
      <c r="BG141" s="50"/>
      <c r="BH141" s="50"/>
      <c r="BI141" s="50"/>
      <c r="BJ141" s="50"/>
      <c r="BK141" s="50"/>
      <c r="BL141" s="50"/>
      <c r="BM141" s="50"/>
      <c r="BN141" s="50"/>
      <c r="BO141" s="50"/>
      <c r="BP141" s="50"/>
      <c r="BQ141" s="50"/>
      <c r="BR141" s="50"/>
      <c r="BS141" s="50"/>
      <c r="BT141" s="50"/>
      <c r="BU141" s="50"/>
      <c r="BV141" s="50"/>
      <c r="BW141" s="50"/>
      <c r="BX141" s="50"/>
      <c r="BY141" s="50"/>
      <c r="BZ141" s="50"/>
      <c r="CA141" s="50"/>
      <c r="CB141" s="50"/>
      <c r="CC141" s="50"/>
      <c r="CD141" s="50"/>
      <c r="CE141" s="50"/>
      <c r="CF141" s="50"/>
      <c r="CG141" s="50"/>
      <c r="CH141" s="50"/>
      <c r="CI141" s="50"/>
      <c r="CJ141" s="50"/>
      <c r="CK141" s="50"/>
      <c r="CL141" s="74"/>
    </row>
    <row r="142" spans="2:90" x14ac:dyDescent="0.2">
      <c r="B142" s="50"/>
      <c r="C142" s="50"/>
      <c r="D142" s="50"/>
      <c r="E142" s="50"/>
      <c r="F142" s="50"/>
      <c r="G142" s="50"/>
      <c r="H142" s="50"/>
      <c r="I142" s="50"/>
      <c r="J142" s="50"/>
      <c r="K142" s="50"/>
      <c r="L142" s="50"/>
      <c r="M142" s="50"/>
      <c r="N142" s="51"/>
      <c r="O142" s="51"/>
      <c r="P142" s="51"/>
      <c r="Q142" s="51"/>
      <c r="R142" s="50"/>
      <c r="S142" s="74"/>
      <c r="T142" s="74"/>
      <c r="U142" s="50"/>
      <c r="V142" s="50"/>
      <c r="W142" s="50"/>
      <c r="X142" s="50"/>
      <c r="Y142" s="50"/>
      <c r="Z142" s="50"/>
      <c r="AA142" s="74"/>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74"/>
      <c r="AZ142" s="74"/>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0"/>
      <c r="CA142" s="50"/>
      <c r="CB142" s="50"/>
      <c r="CC142" s="50"/>
      <c r="CD142" s="50"/>
      <c r="CE142" s="50"/>
      <c r="CF142" s="50"/>
      <c r="CG142" s="50"/>
      <c r="CH142" s="50"/>
      <c r="CI142" s="50"/>
      <c r="CJ142" s="50"/>
      <c r="CK142" s="50"/>
      <c r="CL142" s="74"/>
    </row>
    <row r="143" spans="2:90" x14ac:dyDescent="0.2">
      <c r="B143" s="50"/>
      <c r="C143" s="50"/>
      <c r="D143" s="50"/>
      <c r="E143" s="50"/>
      <c r="F143" s="50"/>
      <c r="G143" s="50"/>
      <c r="H143" s="50"/>
      <c r="I143" s="50"/>
      <c r="J143" s="50"/>
      <c r="K143" s="50"/>
      <c r="L143" s="50"/>
      <c r="M143" s="50"/>
      <c r="N143" s="51"/>
      <c r="O143" s="51"/>
      <c r="P143" s="51"/>
      <c r="Q143" s="51"/>
      <c r="R143" s="50"/>
      <c r="S143" s="74"/>
      <c r="T143" s="74"/>
      <c r="U143" s="50"/>
      <c r="V143" s="50"/>
      <c r="W143" s="50"/>
      <c r="X143" s="50"/>
      <c r="Y143" s="50"/>
      <c r="Z143" s="50"/>
      <c r="AA143" s="74"/>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74"/>
      <c r="AZ143" s="74"/>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0"/>
      <c r="CA143" s="50"/>
      <c r="CB143" s="50"/>
      <c r="CC143" s="50"/>
      <c r="CD143" s="50"/>
      <c r="CE143" s="50"/>
      <c r="CF143" s="50"/>
      <c r="CG143" s="50"/>
      <c r="CH143" s="50"/>
      <c r="CI143" s="50"/>
      <c r="CJ143" s="50"/>
      <c r="CK143" s="50"/>
      <c r="CL143" s="74"/>
    </row>
    <row r="144" spans="2:90" x14ac:dyDescent="0.2">
      <c r="B144" s="50"/>
      <c r="C144" s="50"/>
      <c r="D144" s="50"/>
      <c r="E144" s="50"/>
      <c r="F144" s="50"/>
      <c r="G144" s="50"/>
      <c r="H144" s="50"/>
      <c r="I144" s="50"/>
      <c r="J144" s="50"/>
      <c r="K144" s="50"/>
      <c r="L144" s="50"/>
      <c r="M144" s="50"/>
      <c r="N144" s="51"/>
      <c r="O144" s="51"/>
      <c r="P144" s="51"/>
      <c r="Q144" s="51"/>
      <c r="R144" s="50"/>
      <c r="S144" s="74"/>
      <c r="T144" s="74"/>
      <c r="U144" s="50"/>
      <c r="V144" s="50"/>
      <c r="W144" s="50"/>
      <c r="X144" s="50"/>
      <c r="Y144" s="50"/>
      <c r="Z144" s="50"/>
      <c r="AA144" s="74"/>
      <c r="AB144" s="50"/>
      <c r="AC144" s="50"/>
      <c r="AD144" s="50"/>
      <c r="AE144" s="50"/>
      <c r="AF144" s="50"/>
      <c r="AG144" s="50"/>
      <c r="AH144" s="50"/>
      <c r="AI144" s="50"/>
      <c r="AJ144" s="50"/>
      <c r="AK144" s="50"/>
      <c r="AL144" s="50"/>
      <c r="AM144" s="50"/>
      <c r="AN144" s="50"/>
      <c r="AO144" s="50"/>
      <c r="AP144" s="50"/>
      <c r="AQ144" s="50"/>
      <c r="AR144" s="50"/>
      <c r="AS144" s="50"/>
      <c r="AT144" s="50"/>
      <c r="AU144" s="50"/>
      <c r="AV144" s="50"/>
      <c r="AW144" s="50"/>
      <c r="AX144" s="50"/>
      <c r="AY144" s="74"/>
      <c r="AZ144" s="74"/>
      <c r="BA144" s="50"/>
      <c r="BB144" s="50"/>
      <c r="BC144" s="50"/>
      <c r="BD144" s="50"/>
      <c r="BE144" s="50"/>
      <c r="BF144" s="50"/>
      <c r="BG144" s="50"/>
      <c r="BH144" s="50"/>
      <c r="BI144" s="50"/>
      <c r="BJ144" s="50"/>
      <c r="BK144" s="50"/>
      <c r="BL144" s="50"/>
      <c r="BM144" s="50"/>
      <c r="BN144" s="50"/>
      <c r="BO144" s="50"/>
      <c r="BP144" s="50"/>
      <c r="BQ144" s="50"/>
      <c r="BR144" s="50"/>
      <c r="BS144" s="50"/>
      <c r="BT144" s="50"/>
      <c r="BU144" s="50"/>
      <c r="BV144" s="50"/>
      <c r="BW144" s="50"/>
      <c r="BX144" s="50"/>
      <c r="BY144" s="50"/>
      <c r="BZ144" s="50"/>
      <c r="CA144" s="50"/>
      <c r="CB144" s="50"/>
      <c r="CC144" s="50"/>
      <c r="CD144" s="50"/>
      <c r="CE144" s="50"/>
      <c r="CF144" s="50"/>
      <c r="CG144" s="50"/>
      <c r="CH144" s="50"/>
      <c r="CI144" s="50"/>
      <c r="CJ144" s="50"/>
      <c r="CK144" s="50"/>
      <c r="CL144" s="74"/>
    </row>
    <row r="145" spans="2:90" x14ac:dyDescent="0.2">
      <c r="B145" s="50"/>
      <c r="C145" s="50"/>
      <c r="D145" s="50"/>
      <c r="E145" s="50"/>
      <c r="F145" s="50"/>
      <c r="G145" s="50"/>
      <c r="H145" s="50"/>
      <c r="I145" s="50"/>
      <c r="J145" s="50"/>
      <c r="K145" s="50"/>
      <c r="L145" s="50"/>
      <c r="M145" s="50"/>
      <c r="N145" s="51"/>
      <c r="O145" s="51"/>
      <c r="P145" s="51"/>
      <c r="Q145" s="51"/>
      <c r="R145" s="50"/>
      <c r="S145" s="74"/>
      <c r="T145" s="74"/>
      <c r="U145" s="50"/>
      <c r="V145" s="50"/>
      <c r="W145" s="50"/>
      <c r="X145" s="50"/>
      <c r="Y145" s="50"/>
      <c r="Z145" s="50"/>
      <c r="AA145" s="74"/>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74"/>
      <c r="AZ145" s="74"/>
      <c r="BA145" s="50"/>
      <c r="BB145" s="50"/>
      <c r="BC145" s="50"/>
      <c r="BD145" s="50"/>
      <c r="BE145" s="50"/>
      <c r="BF145" s="50"/>
      <c r="BG145" s="50"/>
      <c r="BH145" s="50"/>
      <c r="BI145" s="50"/>
      <c r="BJ145" s="50"/>
      <c r="BK145" s="50"/>
      <c r="BL145" s="50"/>
      <c r="BM145" s="50"/>
      <c r="BN145" s="50"/>
      <c r="BO145" s="50"/>
      <c r="BP145" s="50"/>
      <c r="BQ145" s="50"/>
      <c r="BR145" s="50"/>
      <c r="BS145" s="50"/>
      <c r="BT145" s="50"/>
      <c r="BU145" s="50"/>
      <c r="BV145" s="50"/>
      <c r="BW145" s="50"/>
      <c r="BX145" s="50"/>
      <c r="BY145" s="50"/>
      <c r="BZ145" s="50"/>
      <c r="CA145" s="50"/>
      <c r="CB145" s="50"/>
      <c r="CC145" s="50"/>
      <c r="CD145" s="50"/>
      <c r="CE145" s="50"/>
      <c r="CF145" s="50"/>
      <c r="CG145" s="50"/>
      <c r="CH145" s="50"/>
      <c r="CI145" s="50"/>
      <c r="CJ145" s="50"/>
      <c r="CK145" s="50"/>
      <c r="CL145" s="74"/>
    </row>
    <row r="146" spans="2:90" x14ac:dyDescent="0.2">
      <c r="B146" s="50"/>
      <c r="C146" s="50"/>
      <c r="D146" s="50"/>
      <c r="E146" s="50"/>
      <c r="F146" s="50"/>
      <c r="G146" s="50"/>
      <c r="H146" s="50"/>
      <c r="I146" s="50"/>
      <c r="J146" s="50"/>
      <c r="K146" s="50"/>
      <c r="L146" s="50"/>
      <c r="M146" s="50"/>
      <c r="N146" s="51"/>
      <c r="O146" s="51"/>
      <c r="P146" s="51"/>
      <c r="Q146" s="51"/>
      <c r="R146" s="50"/>
      <c r="S146" s="74"/>
      <c r="T146" s="74"/>
      <c r="U146" s="50"/>
      <c r="V146" s="50"/>
      <c r="W146" s="50"/>
      <c r="X146" s="50"/>
      <c r="Y146" s="50"/>
      <c r="Z146" s="50"/>
      <c r="AA146" s="74"/>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74"/>
      <c r="AZ146" s="74"/>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c r="BW146" s="50"/>
      <c r="BX146" s="50"/>
      <c r="BY146" s="50"/>
      <c r="BZ146" s="50"/>
      <c r="CA146" s="50"/>
      <c r="CB146" s="50"/>
      <c r="CC146" s="50"/>
      <c r="CD146" s="50"/>
      <c r="CE146" s="50"/>
      <c r="CF146" s="50"/>
      <c r="CG146" s="50"/>
      <c r="CH146" s="50"/>
      <c r="CI146" s="50"/>
      <c r="CJ146" s="50"/>
      <c r="CK146" s="50"/>
      <c r="CL146" s="74"/>
    </row>
    <row r="147" spans="2:90" x14ac:dyDescent="0.2">
      <c r="B147" s="50"/>
      <c r="C147" s="50"/>
      <c r="D147" s="50"/>
      <c r="E147" s="50"/>
      <c r="F147" s="50"/>
      <c r="G147" s="50"/>
      <c r="H147" s="50"/>
      <c r="I147" s="50"/>
      <c r="J147" s="50"/>
      <c r="K147" s="50"/>
      <c r="L147" s="50"/>
      <c r="M147" s="50"/>
      <c r="N147" s="51"/>
      <c r="O147" s="51"/>
      <c r="P147" s="51"/>
      <c r="Q147" s="51"/>
      <c r="R147" s="50"/>
      <c r="S147" s="74"/>
      <c r="T147" s="74"/>
      <c r="U147" s="50"/>
      <c r="V147" s="50"/>
      <c r="W147" s="50"/>
      <c r="X147" s="50"/>
      <c r="Y147" s="50"/>
      <c r="Z147" s="50"/>
      <c r="AA147" s="74"/>
      <c r="AB147" s="50"/>
      <c r="AC147" s="50"/>
      <c r="AD147" s="50"/>
      <c r="AE147" s="50"/>
      <c r="AF147" s="50"/>
      <c r="AG147" s="50"/>
      <c r="AH147" s="50"/>
      <c r="AI147" s="50"/>
      <c r="AJ147" s="50"/>
      <c r="AK147" s="50"/>
      <c r="AL147" s="50"/>
      <c r="AM147" s="50"/>
      <c r="AN147" s="50"/>
      <c r="AO147" s="50"/>
      <c r="AP147" s="50"/>
      <c r="AQ147" s="50"/>
      <c r="AR147" s="50"/>
      <c r="AS147" s="50"/>
      <c r="AT147" s="50"/>
      <c r="AU147" s="50"/>
      <c r="AV147" s="50"/>
      <c r="AW147" s="50"/>
      <c r="AX147" s="50"/>
      <c r="AY147" s="74"/>
      <c r="AZ147" s="74"/>
      <c r="BA147" s="50"/>
      <c r="BB147" s="50"/>
      <c r="BC147" s="50"/>
      <c r="BD147" s="50"/>
      <c r="BE147" s="50"/>
      <c r="BF147" s="50"/>
      <c r="BG147" s="50"/>
      <c r="BH147" s="50"/>
      <c r="BI147" s="50"/>
      <c r="BJ147" s="50"/>
      <c r="BK147" s="50"/>
      <c r="BL147" s="50"/>
      <c r="BM147" s="50"/>
      <c r="BN147" s="50"/>
      <c r="BO147" s="50"/>
      <c r="BP147" s="50"/>
      <c r="BQ147" s="50"/>
      <c r="BR147" s="50"/>
      <c r="BS147" s="50"/>
      <c r="BT147" s="50"/>
      <c r="BU147" s="50"/>
      <c r="BV147" s="50"/>
      <c r="BW147" s="50"/>
      <c r="BX147" s="50"/>
      <c r="BY147" s="50"/>
      <c r="BZ147" s="50"/>
      <c r="CA147" s="50"/>
      <c r="CB147" s="50"/>
      <c r="CC147" s="50"/>
      <c r="CD147" s="50"/>
      <c r="CE147" s="50"/>
      <c r="CF147" s="50"/>
      <c r="CG147" s="50"/>
      <c r="CH147" s="50"/>
      <c r="CI147" s="50"/>
      <c r="CJ147" s="50"/>
      <c r="CK147" s="50"/>
      <c r="CL147" s="74"/>
    </row>
    <row r="148" spans="2:90" x14ac:dyDescent="0.2">
      <c r="B148" s="50"/>
      <c r="C148" s="50"/>
      <c r="D148" s="50"/>
      <c r="E148" s="50"/>
      <c r="F148" s="50"/>
      <c r="G148" s="50"/>
      <c r="H148" s="50"/>
      <c r="I148" s="50"/>
      <c r="J148" s="50"/>
      <c r="K148" s="50"/>
      <c r="L148" s="50"/>
      <c r="M148" s="50"/>
      <c r="N148" s="50"/>
      <c r="O148" s="50"/>
      <c r="P148" s="50"/>
      <c r="Q148" s="50"/>
      <c r="R148" s="50"/>
      <c r="S148" s="74"/>
      <c r="T148" s="74"/>
      <c r="U148" s="50"/>
      <c r="V148" s="50"/>
      <c r="W148" s="50"/>
      <c r="X148" s="50"/>
      <c r="Y148" s="50"/>
      <c r="Z148" s="50"/>
      <c r="AA148" s="74"/>
      <c r="AB148" s="50"/>
      <c r="AC148" s="50"/>
      <c r="AD148" s="50"/>
      <c r="AE148" s="50"/>
      <c r="AF148" s="50"/>
      <c r="AG148" s="50"/>
      <c r="AH148" s="50"/>
      <c r="AI148" s="50"/>
      <c r="AJ148" s="50"/>
      <c r="AK148" s="50"/>
      <c r="AL148" s="50"/>
      <c r="AM148" s="50"/>
      <c r="AN148" s="50"/>
      <c r="AO148" s="50"/>
      <c r="AP148" s="50"/>
      <c r="AQ148" s="50"/>
      <c r="AR148" s="50"/>
      <c r="AS148" s="50"/>
      <c r="AT148" s="50"/>
      <c r="AU148" s="50"/>
      <c r="AV148" s="50"/>
      <c r="AW148" s="50"/>
      <c r="AX148" s="50"/>
      <c r="AY148" s="74"/>
      <c r="AZ148" s="74"/>
      <c r="BA148" s="50"/>
      <c r="BB148" s="50"/>
      <c r="BC148" s="50"/>
      <c r="BD148" s="50"/>
      <c r="BE148" s="50"/>
      <c r="BF148" s="50"/>
      <c r="BG148" s="50"/>
      <c r="BH148" s="50"/>
      <c r="BI148" s="50"/>
      <c r="BJ148" s="50"/>
      <c r="BK148" s="50"/>
      <c r="BL148" s="50"/>
      <c r="BM148" s="50"/>
      <c r="BN148" s="50"/>
      <c r="BO148" s="50"/>
      <c r="BP148" s="50"/>
      <c r="BQ148" s="50"/>
      <c r="BR148" s="50"/>
      <c r="BS148" s="50"/>
      <c r="BT148" s="50"/>
      <c r="BU148" s="50"/>
      <c r="BV148" s="50"/>
      <c r="BW148" s="50"/>
      <c r="BX148" s="50"/>
      <c r="BY148" s="50"/>
      <c r="BZ148" s="50"/>
      <c r="CA148" s="50"/>
      <c r="CB148" s="50"/>
      <c r="CC148" s="50"/>
      <c r="CD148" s="50"/>
      <c r="CE148" s="50"/>
      <c r="CF148" s="50"/>
      <c r="CG148" s="50"/>
      <c r="CH148" s="50"/>
      <c r="CI148" s="50"/>
      <c r="CJ148" s="50"/>
      <c r="CK148" s="50"/>
      <c r="CL148" s="74"/>
    </row>
    <row r="149" spans="2:90" x14ac:dyDescent="0.2">
      <c r="B149" s="50"/>
      <c r="C149" s="50"/>
      <c r="D149" s="50"/>
      <c r="E149" s="50"/>
      <c r="F149" s="50"/>
      <c r="G149" s="50"/>
      <c r="H149" s="50"/>
      <c r="I149" s="50"/>
      <c r="J149" s="50"/>
      <c r="K149" s="50"/>
      <c r="L149" s="50"/>
      <c r="M149" s="50"/>
      <c r="N149" s="50"/>
      <c r="O149" s="50"/>
      <c r="P149" s="50"/>
      <c r="Q149" s="50"/>
      <c r="R149" s="50"/>
      <c r="S149" s="74"/>
      <c r="T149" s="74"/>
      <c r="U149" s="50"/>
      <c r="V149" s="50"/>
      <c r="W149" s="50"/>
      <c r="X149" s="50"/>
      <c r="Y149" s="50"/>
      <c r="Z149" s="50"/>
      <c r="AA149" s="74"/>
      <c r="AB149" s="50"/>
      <c r="AC149" s="50"/>
      <c r="AD149" s="50"/>
      <c r="AE149" s="50"/>
      <c r="AF149" s="50"/>
      <c r="AG149" s="50"/>
      <c r="AH149" s="50"/>
      <c r="AI149" s="50"/>
      <c r="AJ149" s="50"/>
      <c r="AK149" s="50"/>
      <c r="AL149" s="50"/>
      <c r="AM149" s="50"/>
      <c r="AN149" s="50"/>
      <c r="AO149" s="50"/>
      <c r="AP149" s="50"/>
      <c r="AQ149" s="50"/>
      <c r="AR149" s="50"/>
      <c r="AS149" s="50"/>
      <c r="AT149" s="50"/>
      <c r="AU149" s="50"/>
      <c r="AV149" s="50"/>
      <c r="AW149" s="50"/>
      <c r="AX149" s="50"/>
      <c r="AY149" s="74"/>
      <c r="AZ149" s="74"/>
      <c r="BA149" s="50"/>
      <c r="BB149" s="50"/>
      <c r="BC149" s="50"/>
      <c r="BD149" s="50"/>
      <c r="BE149" s="50"/>
      <c r="BF149" s="50"/>
      <c r="BG149" s="50"/>
      <c r="BH149" s="50"/>
      <c r="BI149" s="50"/>
      <c r="BJ149" s="50"/>
      <c r="BK149" s="50"/>
      <c r="BL149" s="50"/>
      <c r="BM149" s="50"/>
      <c r="BN149" s="50"/>
      <c r="BO149" s="50"/>
      <c r="BP149" s="50"/>
      <c r="BQ149" s="50"/>
      <c r="BR149" s="50"/>
      <c r="BS149" s="50"/>
      <c r="BT149" s="50"/>
      <c r="BU149" s="50"/>
      <c r="BV149" s="50"/>
      <c r="BW149" s="50"/>
      <c r="BX149" s="50"/>
      <c r="BY149" s="50"/>
      <c r="BZ149" s="50"/>
      <c r="CA149" s="50"/>
      <c r="CB149" s="50"/>
      <c r="CC149" s="50"/>
      <c r="CD149" s="50"/>
      <c r="CE149" s="50"/>
      <c r="CF149" s="50"/>
      <c r="CG149" s="50"/>
      <c r="CH149" s="50"/>
      <c r="CI149" s="50"/>
      <c r="CJ149" s="50"/>
      <c r="CK149" s="50"/>
      <c r="CL149" s="74"/>
    </row>
    <row r="150" spans="2:90" x14ac:dyDescent="0.2">
      <c r="B150" s="50"/>
      <c r="C150" s="50"/>
      <c r="D150" s="50"/>
      <c r="E150" s="50"/>
      <c r="F150" s="50"/>
      <c r="G150" s="50"/>
      <c r="H150" s="50"/>
      <c r="I150" s="50"/>
      <c r="J150" s="50"/>
      <c r="K150" s="50"/>
      <c r="L150" s="50"/>
      <c r="M150" s="50"/>
      <c r="N150" s="50"/>
      <c r="O150" s="50"/>
      <c r="P150" s="50"/>
      <c r="Q150" s="50"/>
      <c r="R150" s="50"/>
      <c r="S150" s="74"/>
      <c r="T150" s="74"/>
      <c r="U150" s="50"/>
      <c r="V150" s="50"/>
      <c r="W150" s="50"/>
      <c r="X150" s="50"/>
      <c r="Y150" s="50"/>
      <c r="Z150" s="50"/>
      <c r="AA150" s="74"/>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74"/>
      <c r="AZ150" s="74"/>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74"/>
    </row>
    <row r="151" spans="2:90" x14ac:dyDescent="0.2">
      <c r="B151" s="50"/>
      <c r="C151" s="50"/>
      <c r="D151" s="50"/>
      <c r="E151" s="50"/>
      <c r="F151" s="50"/>
      <c r="G151" s="50"/>
      <c r="H151" s="50"/>
      <c r="I151" s="50"/>
      <c r="J151" s="50"/>
      <c r="K151" s="50"/>
      <c r="L151" s="50"/>
      <c r="M151" s="50"/>
      <c r="N151" s="50"/>
      <c r="O151" s="50"/>
      <c r="P151" s="50"/>
      <c r="Q151" s="50"/>
      <c r="R151" s="50"/>
      <c r="S151" s="74"/>
      <c r="T151" s="74"/>
      <c r="U151" s="50"/>
      <c r="V151" s="50"/>
      <c r="W151" s="50"/>
      <c r="X151" s="50"/>
      <c r="Y151" s="50"/>
      <c r="Z151" s="50"/>
      <c r="AA151" s="74"/>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74"/>
      <c r="AZ151" s="74"/>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0"/>
      <c r="CD151" s="50"/>
      <c r="CE151" s="50"/>
      <c r="CF151" s="50"/>
      <c r="CG151" s="50"/>
      <c r="CH151" s="50"/>
      <c r="CI151" s="50"/>
      <c r="CJ151" s="50"/>
      <c r="CK151" s="50"/>
      <c r="CL151" s="74"/>
    </row>
    <row r="152" spans="2:90" x14ac:dyDescent="0.2">
      <c r="B152" s="50"/>
      <c r="C152" s="50"/>
      <c r="D152" s="50"/>
      <c r="E152" s="50"/>
      <c r="F152" s="50"/>
      <c r="G152" s="50"/>
      <c r="H152" s="50"/>
      <c r="I152" s="50"/>
      <c r="J152" s="50"/>
      <c r="K152" s="50"/>
      <c r="L152" s="50"/>
      <c r="M152" s="50"/>
      <c r="N152" s="50"/>
      <c r="O152" s="50"/>
      <c r="P152" s="50"/>
      <c r="Q152" s="50"/>
      <c r="R152" s="50"/>
      <c r="S152" s="74"/>
      <c r="T152" s="74"/>
      <c r="U152" s="50"/>
      <c r="V152" s="50"/>
      <c r="W152" s="50"/>
      <c r="X152" s="50"/>
      <c r="Y152" s="50"/>
      <c r="Z152" s="50"/>
      <c r="AA152" s="74"/>
      <c r="AB152" s="50"/>
      <c r="AC152" s="50"/>
      <c r="AD152" s="50"/>
      <c r="AE152" s="50"/>
      <c r="AF152" s="50"/>
      <c r="AG152" s="50"/>
      <c r="AH152" s="50"/>
      <c r="AI152" s="50"/>
      <c r="AJ152" s="50"/>
      <c r="AK152" s="50"/>
      <c r="AL152" s="50"/>
      <c r="AM152" s="50"/>
      <c r="AN152" s="50"/>
      <c r="AO152" s="50"/>
      <c r="AP152" s="50"/>
      <c r="AQ152" s="50"/>
      <c r="AR152" s="50"/>
      <c r="AS152" s="50"/>
      <c r="AT152" s="50"/>
      <c r="AU152" s="50"/>
      <c r="AV152" s="50"/>
      <c r="AW152" s="50"/>
      <c r="AX152" s="50"/>
      <c r="AY152" s="74"/>
      <c r="AZ152" s="74"/>
      <c r="BA152" s="50"/>
      <c r="BB152" s="50"/>
      <c r="BC152" s="50"/>
      <c r="BD152" s="50"/>
      <c r="BE152" s="50"/>
      <c r="BF152" s="50"/>
      <c r="BG152" s="50"/>
      <c r="BH152" s="50"/>
      <c r="BI152" s="50"/>
      <c r="BJ152" s="50"/>
      <c r="BK152" s="50"/>
      <c r="BL152" s="50"/>
      <c r="BM152" s="50"/>
      <c r="BN152" s="50"/>
      <c r="BO152" s="50"/>
      <c r="BP152" s="50"/>
      <c r="BQ152" s="50"/>
      <c r="BR152" s="50"/>
      <c r="BS152" s="50"/>
      <c r="BT152" s="50"/>
      <c r="BU152" s="50"/>
      <c r="BV152" s="50"/>
      <c r="BW152" s="50"/>
      <c r="BX152" s="50"/>
      <c r="BY152" s="50"/>
      <c r="BZ152" s="50"/>
      <c r="CA152" s="50"/>
      <c r="CB152" s="50"/>
      <c r="CC152" s="50"/>
      <c r="CD152" s="50"/>
      <c r="CE152" s="50"/>
      <c r="CF152" s="50"/>
      <c r="CG152" s="50"/>
      <c r="CH152" s="50"/>
      <c r="CI152" s="50"/>
      <c r="CJ152" s="50"/>
      <c r="CK152" s="50"/>
      <c r="CL152" s="74"/>
    </row>
    <row r="153" spans="2:90" x14ac:dyDescent="0.2">
      <c r="B153" s="50"/>
      <c r="C153" s="50"/>
      <c r="D153" s="50"/>
      <c r="E153" s="50"/>
      <c r="F153" s="50"/>
      <c r="G153" s="50"/>
      <c r="H153" s="50"/>
      <c r="I153" s="50"/>
      <c r="J153" s="50"/>
      <c r="K153" s="50"/>
      <c r="L153" s="50"/>
      <c r="M153" s="50"/>
      <c r="N153" s="50"/>
      <c r="O153" s="50"/>
      <c r="P153" s="50"/>
      <c r="Q153" s="50"/>
      <c r="R153" s="50"/>
      <c r="S153" s="74"/>
      <c r="T153" s="74"/>
      <c r="U153" s="50"/>
      <c r="V153" s="50"/>
      <c r="W153" s="50"/>
      <c r="X153" s="50"/>
      <c r="Y153" s="50"/>
      <c r="Z153" s="50"/>
      <c r="AA153" s="74"/>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74"/>
      <c r="AZ153" s="74"/>
      <c r="BA153" s="50"/>
      <c r="BB153" s="50"/>
      <c r="BC153" s="50"/>
      <c r="BD153" s="50"/>
      <c r="BE153" s="50"/>
      <c r="BF153" s="50"/>
      <c r="BG153" s="50"/>
      <c r="BH153" s="50"/>
      <c r="BI153" s="50"/>
      <c r="BJ153" s="50"/>
      <c r="BK153" s="50"/>
      <c r="BL153" s="50"/>
      <c r="BM153" s="50"/>
      <c r="BN153" s="50"/>
      <c r="BO153" s="50"/>
      <c r="BP153" s="50"/>
      <c r="BQ153" s="50"/>
      <c r="BR153" s="50"/>
      <c r="BS153" s="50"/>
      <c r="BT153" s="50"/>
      <c r="BU153" s="50"/>
      <c r="BV153" s="50"/>
      <c r="BW153" s="50"/>
      <c r="BX153" s="50"/>
      <c r="BY153" s="50"/>
      <c r="BZ153" s="50"/>
      <c r="CA153" s="50"/>
      <c r="CB153" s="50"/>
      <c r="CC153" s="50"/>
      <c r="CD153" s="50"/>
      <c r="CE153" s="50"/>
      <c r="CF153" s="50"/>
      <c r="CG153" s="50"/>
      <c r="CH153" s="50"/>
      <c r="CI153" s="50"/>
      <c r="CJ153" s="50"/>
      <c r="CK153" s="50"/>
      <c r="CL153" s="74"/>
    </row>
    <row r="154" spans="2:90" x14ac:dyDescent="0.2">
      <c r="B154" s="50"/>
      <c r="C154" s="50"/>
      <c r="D154" s="50"/>
      <c r="E154" s="50"/>
      <c r="F154" s="50"/>
      <c r="G154" s="50"/>
      <c r="H154" s="50"/>
      <c r="I154" s="50"/>
      <c r="J154" s="50"/>
      <c r="K154" s="50"/>
      <c r="L154" s="50"/>
      <c r="M154" s="50"/>
      <c r="N154" s="50"/>
      <c r="O154" s="50"/>
      <c r="P154" s="50"/>
      <c r="Q154" s="50"/>
      <c r="R154" s="50"/>
      <c r="S154" s="74"/>
      <c r="T154" s="74"/>
      <c r="U154" s="50"/>
      <c r="V154" s="50"/>
      <c r="W154" s="50"/>
      <c r="X154" s="50"/>
      <c r="Y154" s="50"/>
      <c r="Z154" s="50"/>
      <c r="AA154" s="74"/>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74"/>
      <c r="AZ154" s="74"/>
      <c r="BA154" s="50"/>
      <c r="BB154" s="50"/>
      <c r="BC154" s="50"/>
      <c r="BD154" s="50"/>
      <c r="BE154" s="50"/>
      <c r="BF154" s="50"/>
      <c r="BG154" s="50"/>
      <c r="BH154" s="50"/>
      <c r="BI154" s="50"/>
      <c r="BJ154" s="50"/>
      <c r="BK154" s="50"/>
      <c r="BL154" s="50"/>
      <c r="BM154" s="50"/>
      <c r="BN154" s="50"/>
      <c r="BO154" s="50"/>
      <c r="BP154" s="50"/>
      <c r="BQ154" s="50"/>
      <c r="BR154" s="50"/>
      <c r="BS154" s="50"/>
      <c r="BT154" s="50"/>
      <c r="BU154" s="50"/>
      <c r="BV154" s="50"/>
      <c r="BW154" s="50"/>
      <c r="BX154" s="50"/>
      <c r="BY154" s="50"/>
      <c r="BZ154" s="50"/>
      <c r="CA154" s="50"/>
      <c r="CB154" s="50"/>
      <c r="CC154" s="50"/>
      <c r="CD154" s="50"/>
      <c r="CE154" s="50"/>
      <c r="CF154" s="50"/>
      <c r="CG154" s="50"/>
      <c r="CH154" s="50"/>
      <c r="CI154" s="50"/>
      <c r="CJ154" s="50"/>
      <c r="CK154" s="50"/>
      <c r="CL154" s="74"/>
    </row>
    <row r="155" spans="2:90" x14ac:dyDescent="0.2">
      <c r="B155" s="50"/>
      <c r="C155" s="50"/>
      <c r="D155" s="50"/>
      <c r="E155" s="50"/>
      <c r="F155" s="50"/>
      <c r="G155" s="50"/>
      <c r="H155" s="50"/>
      <c r="I155" s="50"/>
      <c r="J155" s="50"/>
      <c r="K155" s="50"/>
      <c r="L155" s="50"/>
      <c r="M155" s="50"/>
      <c r="N155" s="50"/>
      <c r="O155" s="50"/>
      <c r="P155" s="50"/>
      <c r="Q155" s="50"/>
      <c r="R155" s="50"/>
      <c r="S155" s="74"/>
      <c r="T155" s="74"/>
      <c r="U155" s="50"/>
      <c r="V155" s="50"/>
      <c r="W155" s="50"/>
      <c r="X155" s="50"/>
      <c r="Y155" s="50"/>
      <c r="Z155" s="50"/>
      <c r="AA155" s="74"/>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74"/>
      <c r="AZ155" s="74"/>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c r="BW155" s="50"/>
      <c r="BX155" s="50"/>
      <c r="BY155" s="50"/>
      <c r="BZ155" s="50"/>
      <c r="CA155" s="50"/>
      <c r="CB155" s="50"/>
      <c r="CC155" s="50"/>
      <c r="CD155" s="50"/>
      <c r="CE155" s="50"/>
      <c r="CF155" s="50"/>
      <c r="CG155" s="50"/>
      <c r="CH155" s="50"/>
      <c r="CI155" s="50"/>
      <c r="CJ155" s="50"/>
      <c r="CK155" s="50"/>
      <c r="CL155" s="74"/>
    </row>
  </sheetData>
  <sheetProtection algorithmName="SHA-512" hashValue="Bh+3p2xrGmYsDXJ+P+Rac58rgHxi4fj+nppKQzClxjQN9V2s+rPLjhLH4kplWRuEG4TWGEK7qgoN6I0URgkrPA==" saltValue="VL7qjbZrvfx9/greuWyZeA==" spinCount="100000" sheet="1" objects="1" scenarios="1"/>
  <mergeCells count="2">
    <mergeCell ref="AB1:AC1"/>
    <mergeCell ref="I1:K1"/>
  </mergeCells>
  <conditionalFormatting sqref="C3">
    <cfRule type="expression" dxfId="149" priority="215">
      <formula>AND(B3&lt;&gt;"",C3="")</formula>
    </cfRule>
  </conditionalFormatting>
  <conditionalFormatting sqref="C4:C83">
    <cfRule type="expression" dxfId="148" priority="214">
      <formula>AND(B4&lt;&gt;"",C4="")</formula>
    </cfRule>
  </conditionalFormatting>
  <conditionalFormatting sqref="D3">
    <cfRule type="expression" dxfId="147" priority="213">
      <formula>AND(B3&lt;&gt;"",C3&lt;&gt;"",D3="")</formula>
    </cfRule>
  </conditionalFormatting>
  <conditionalFormatting sqref="D4:D17 D33:D83">
    <cfRule type="expression" dxfId="146" priority="212">
      <formula>AND(B4&lt;&gt;"",C4&lt;&gt;"",D4="")</formula>
    </cfRule>
  </conditionalFormatting>
  <conditionalFormatting sqref="E3">
    <cfRule type="expression" dxfId="145" priority="211">
      <formula>AND(B3&lt;&gt;"",C3&lt;&gt;"",E3="")</formula>
    </cfRule>
  </conditionalFormatting>
  <conditionalFormatting sqref="E4:E17 E33:E83">
    <cfRule type="expression" dxfId="144" priority="210">
      <formula>AND(B4&lt;&gt;"",C4&lt;&gt;"",E4="")</formula>
    </cfRule>
  </conditionalFormatting>
  <conditionalFormatting sqref="F3">
    <cfRule type="expression" dxfId="143" priority="209">
      <formula>AND(B3&lt;&gt;"",C3="solid round",F3="")</formula>
    </cfRule>
  </conditionalFormatting>
  <conditionalFormatting sqref="F4:F83">
    <cfRule type="expression" dxfId="142" priority="208">
      <formula>AND(B4&lt;&gt;"",C4="solid round",F4="")</formula>
    </cfRule>
  </conditionalFormatting>
  <conditionalFormatting sqref="G3:H83">
    <cfRule type="expression" dxfId="141" priority="207">
      <formula>AND($B3&lt;&gt;"",$C3="channel",$G3="")</formula>
    </cfRule>
  </conditionalFormatting>
  <conditionalFormatting sqref="L3">
    <cfRule type="expression" dxfId="140" priority="203">
      <formula>AND(B3&lt;&gt;"",OR(C3="channel",C3="arbitrary"),L3="")</formula>
    </cfRule>
  </conditionalFormatting>
  <conditionalFormatting sqref="L4:L83">
    <cfRule type="expression" dxfId="139" priority="202">
      <formula>AND(B4&lt;&gt;"",OR(C4="channel",C4="arbitrary"),L4="")</formula>
    </cfRule>
  </conditionalFormatting>
  <conditionalFormatting sqref="M3:M83">
    <cfRule type="expression" dxfId="138" priority="201">
      <formula>AND(B3&lt;&gt;"",OR(C3="channel",C3="solid round",C3="arbitrary"),M3="")</formula>
    </cfRule>
  </conditionalFormatting>
  <conditionalFormatting sqref="P3">
    <cfRule type="expression" dxfId="137" priority="199">
      <formula>AND(B3&lt;&gt;"",OR(C3="channel",C3="arbitrary"),P3="")</formula>
    </cfRule>
  </conditionalFormatting>
  <conditionalFormatting sqref="P4:P83">
    <cfRule type="expression" dxfId="136" priority="198">
      <formula>AND(B4&lt;&gt;"",OR(C4="channel",C4="arbitrary"),P4="")</formula>
    </cfRule>
  </conditionalFormatting>
  <conditionalFormatting sqref="R3">
    <cfRule type="expression" dxfId="135" priority="197">
      <formula>AND(B3&lt;&gt;"",OR(C3="channel",C3="arbitrary"),R3="")</formula>
    </cfRule>
  </conditionalFormatting>
  <conditionalFormatting sqref="R4:R83">
    <cfRule type="expression" dxfId="134" priority="196">
      <formula>AND(B4&lt;&gt;"",OR(C4="channel",C4="arbitrary"),R4="")</formula>
    </cfRule>
  </conditionalFormatting>
  <conditionalFormatting sqref="T3:T83">
    <cfRule type="expression" dxfId="133" priority="195">
      <formula>AND(B3&lt;&gt;"",C3&lt;&gt;"",T3="")</formula>
    </cfRule>
  </conditionalFormatting>
  <conditionalFormatting sqref="BZ3:BZ83">
    <cfRule type="expression" dxfId="132" priority="192">
      <formula>AND(B3&lt;&gt;"",C3="channel",BZ3="")</formula>
    </cfRule>
  </conditionalFormatting>
  <conditionalFormatting sqref="W3">
    <cfRule type="expression" dxfId="131" priority="191">
      <formula>AND(B3&lt;&gt;"",OR(C3="plate",C3="channel",C3="arbitrary"),W3="")</formula>
    </cfRule>
  </conditionalFormatting>
  <conditionalFormatting sqref="W4:W83">
    <cfRule type="expression" dxfId="130" priority="190">
      <formula>AND(B4&lt;&gt;"",OR(C4="plate",C4="channel",C4="arbitrary"),W4="")</formula>
    </cfRule>
  </conditionalFormatting>
  <conditionalFormatting sqref="Y3">
    <cfRule type="expression" dxfId="129" priority="189">
      <formula>AND(B3&lt;&gt;"",C3="arbitrary",Y3="")</formula>
    </cfRule>
  </conditionalFormatting>
  <conditionalFormatting sqref="Y4:Y83">
    <cfRule type="expression" dxfId="128" priority="188">
      <formula>AND(B4&lt;&gt;"",C4="arbitrary",Y4="")</formula>
    </cfRule>
  </conditionalFormatting>
  <conditionalFormatting sqref="Z3">
    <cfRule type="expression" dxfId="127" priority="187">
      <formula>AND(B3&lt;&gt;"",C3="arbitrary",Z3="")</formula>
    </cfRule>
  </conditionalFormatting>
  <conditionalFormatting sqref="Z4:Z83">
    <cfRule type="expression" dxfId="126" priority="186">
      <formula>AND(B4&lt;&gt;"",C4="arbitrary",Z4="")</formula>
    </cfRule>
  </conditionalFormatting>
  <conditionalFormatting sqref="O3">
    <cfRule type="expression" dxfId="125" priority="185">
      <formula>AND(B3&lt;&gt;"",C3&lt;&gt;"",O3="")</formula>
    </cfRule>
  </conditionalFormatting>
  <conditionalFormatting sqref="O4:O83">
    <cfRule type="expression" dxfId="124" priority="184">
      <formula>AND(B4&lt;&gt;"",C4&lt;&gt;"",O4="")</formula>
    </cfRule>
  </conditionalFormatting>
  <conditionalFormatting sqref="N3">
    <cfRule type="expression" dxfId="123" priority="183">
      <formula>AND(B3&lt;&gt;"",C3&lt;&gt;"",N3="")</formula>
    </cfRule>
  </conditionalFormatting>
  <conditionalFormatting sqref="N4:N83">
    <cfRule type="expression" dxfId="122" priority="182">
      <formula>AND(B4&lt;&gt;"",C4&lt;&gt;"",N4="")</formula>
    </cfRule>
  </conditionalFormatting>
  <conditionalFormatting sqref="U3">
    <cfRule type="expression" dxfId="121" priority="181">
      <formula>AND(B3&lt;&gt;"",C3&lt;&gt;"",U3="")</formula>
    </cfRule>
  </conditionalFormatting>
  <conditionalFormatting sqref="V3">
    <cfRule type="expression" dxfId="120" priority="180">
      <formula>AND(B3&lt;&gt;"",C3&lt;&gt;"",V3="")</formula>
    </cfRule>
  </conditionalFormatting>
  <conditionalFormatting sqref="U4:U83">
    <cfRule type="expression" dxfId="119" priority="179">
      <formula>AND(B4&lt;&gt;"",C4&lt;&gt;"",U4="")</formula>
    </cfRule>
  </conditionalFormatting>
  <conditionalFormatting sqref="V4:V83">
    <cfRule type="expression" dxfId="118" priority="178">
      <formula>AND(B4&lt;&gt;"",C4&lt;&gt;"",V4="")</formula>
    </cfRule>
  </conditionalFormatting>
  <conditionalFormatting sqref="B3:B19 B34 B36 B38 B40 B42:B83">
    <cfRule type="expression" dxfId="117" priority="176">
      <formula>AND(B2&lt;&gt;"",B3="")</formula>
    </cfRule>
  </conditionalFormatting>
  <conditionalFormatting sqref="B22:B24">
    <cfRule type="expression" dxfId="116" priority="353">
      <formula>AND(B17&lt;&gt;"",B22="")</formula>
    </cfRule>
  </conditionalFormatting>
  <conditionalFormatting sqref="B21">
    <cfRule type="expression" dxfId="115" priority="355">
      <formula>AND(B17&lt;&gt;"",B21="")</formula>
    </cfRule>
  </conditionalFormatting>
  <conditionalFormatting sqref="B20">
    <cfRule type="expression" dxfId="114" priority="357">
      <formula>AND(B18&lt;&gt;"",B20="")</formula>
    </cfRule>
  </conditionalFormatting>
  <conditionalFormatting sqref="D18:D22">
    <cfRule type="expression" dxfId="113" priority="174">
      <formula>AND(B18&lt;&gt;"",C18&lt;&gt;"",D18="")</formula>
    </cfRule>
  </conditionalFormatting>
  <conditionalFormatting sqref="E18:E22">
    <cfRule type="expression" dxfId="112" priority="173">
      <formula>AND(B18&lt;&gt;"",C18&lt;&gt;"",E18="")</formula>
    </cfRule>
  </conditionalFormatting>
  <conditionalFormatting sqref="AR3:AS83">
    <cfRule type="expression" dxfId="111" priority="361">
      <formula>AND(AE3&lt;&gt;"",AF3&lt;&gt;"",AR3="")</formula>
    </cfRule>
  </conditionalFormatting>
  <conditionalFormatting sqref="AY3:AY83">
    <cfRule type="expression" dxfId="110" priority="365">
      <formula>AND(AG3&lt;&gt;"",AH3&lt;&gt;"",AY3="")</formula>
    </cfRule>
  </conditionalFormatting>
  <conditionalFormatting sqref="BJ3:BK3 BH4:BK83">
    <cfRule type="expression" dxfId="109" priority="367">
      <formula>AND(P3&lt;&gt;"",Q3&lt;&gt;"",BH3="")</formula>
    </cfRule>
  </conditionalFormatting>
  <conditionalFormatting sqref="BF4:BG83">
    <cfRule type="expression" dxfId="108" priority="369">
      <formula>AND(R4&lt;&gt;"",S4&lt;&gt;"",BF4="")</formula>
    </cfRule>
  </conditionalFormatting>
  <conditionalFormatting sqref="AV3:AV83">
    <cfRule type="expression" dxfId="107" priority="397">
      <formula>AND(S3&lt;&gt;"",T3&lt;&gt;"",AV3="")</formula>
    </cfRule>
  </conditionalFormatting>
  <conditionalFormatting sqref="AU3:AU83">
    <cfRule type="expression" dxfId="106" priority="411">
      <formula>AND(AF3&lt;&gt;"",AG3&lt;&gt;"",AU3="")</formula>
    </cfRule>
  </conditionalFormatting>
  <conditionalFormatting sqref="AK3:AM83">
    <cfRule type="expression" dxfId="105" priority="424">
      <formula>AND(L3&lt;&gt;"",M3&lt;&gt;"",AK3="")</formula>
    </cfRule>
  </conditionalFormatting>
  <conditionalFormatting sqref="AN3:AO83">
    <cfRule type="expression" dxfId="104" priority="437">
      <formula>AND(Q3&lt;&gt;"",R3&lt;&gt;"",AN3="")</formula>
    </cfRule>
  </conditionalFormatting>
  <conditionalFormatting sqref="DE3:DE83">
    <cfRule type="expression" dxfId="103" priority="443">
      <formula>AND(AH3&lt;&gt;"",AI3&lt;&gt;"",DE3="")</formula>
    </cfRule>
  </conditionalFormatting>
  <conditionalFormatting sqref="AT3:AT83">
    <cfRule type="expression" dxfId="102" priority="450">
      <formula>AND(AA3&lt;&gt;"",AE3&lt;&gt;"",AT3="")</formula>
    </cfRule>
  </conditionalFormatting>
  <conditionalFormatting sqref="B27:B29">
    <cfRule type="expression" dxfId="101" priority="452">
      <formula>AND(B18&lt;&gt;"",B27="")</formula>
    </cfRule>
  </conditionalFormatting>
  <conditionalFormatting sqref="B26">
    <cfRule type="expression" dxfId="100" priority="454">
      <formula>AND(B18&lt;&gt;"",B26="")</formula>
    </cfRule>
  </conditionalFormatting>
  <conditionalFormatting sqref="B25">
    <cfRule type="expression" dxfId="99" priority="456">
      <formula>AND(B19&lt;&gt;"",B25="")</formula>
    </cfRule>
  </conditionalFormatting>
  <conditionalFormatting sqref="D23:D27">
    <cfRule type="expression" dxfId="98" priority="168">
      <formula>AND(B23&lt;&gt;"",C23&lt;&gt;"",D23="")</formula>
    </cfRule>
  </conditionalFormatting>
  <conditionalFormatting sqref="E23:E27">
    <cfRule type="expression" dxfId="97" priority="167">
      <formula>AND(B23&lt;&gt;"",C23&lt;&gt;"",E23="")</formula>
    </cfRule>
  </conditionalFormatting>
  <conditionalFormatting sqref="AA3:AB52 AB53:AB83">
    <cfRule type="expression" dxfId="96" priority="468">
      <formula>AND(C3&lt;&gt;"",D3&lt;&gt;"",AA3="")</formula>
    </cfRule>
  </conditionalFormatting>
  <conditionalFormatting sqref="AJ53:AJ83 AP3:AP83">
    <cfRule type="expression" dxfId="95" priority="471">
      <formula>AND(L3&lt;&gt;"",M3&lt;&gt;"",AJ3="")</formula>
    </cfRule>
  </conditionalFormatting>
  <conditionalFormatting sqref="AZ3 AZ4:BB83">
    <cfRule type="expression" dxfId="94" priority="535">
      <formula>AND(P3&lt;&gt;"",Q3&lt;&gt;"",AZ3="")</formula>
    </cfRule>
  </conditionalFormatting>
  <conditionalFormatting sqref="DD3:DD83">
    <cfRule type="expression" dxfId="93" priority="539">
      <formula>AND(AG3&lt;&gt;"",AH3&lt;&gt;"",DD3="")</formula>
    </cfRule>
  </conditionalFormatting>
  <conditionalFormatting sqref="DG3:DG83">
    <cfRule type="expression" dxfId="92" priority="544">
      <formula>AND(AE3&lt;&gt;"",AF3&lt;&gt;"",DG3="")</formula>
    </cfRule>
  </conditionalFormatting>
  <conditionalFormatting sqref="DZ3:EH83">
    <cfRule type="expression" dxfId="91" priority="545">
      <formula>AND(AF3&lt;&gt;"",AG3&lt;&gt;"",DZ3="")</formula>
    </cfRule>
  </conditionalFormatting>
  <conditionalFormatting sqref="DW3:DW83">
    <cfRule type="expression" dxfId="90" priority="547">
      <formula>AND(AG3&lt;&gt;"",AH3&lt;&gt;"",DW3="")</formula>
    </cfRule>
  </conditionalFormatting>
  <conditionalFormatting sqref="DY3:DY83">
    <cfRule type="expression" dxfId="89" priority="549">
      <formula>AND(W3&lt;&gt;"",X3&lt;&gt;"",DY3="")</formula>
    </cfRule>
  </conditionalFormatting>
  <conditionalFormatting sqref="BL3:BL83">
    <cfRule type="expression" dxfId="88" priority="557">
      <formula>AND(L3&lt;&gt;"",M3&lt;&gt;"",BL3="")</formula>
    </cfRule>
  </conditionalFormatting>
  <conditionalFormatting sqref="AQ3:AQ83">
    <cfRule type="expression" dxfId="87" priority="566">
      <formula>AND(T3&lt;&gt;"",AA3&lt;&gt;"",AQ3="")</formula>
    </cfRule>
  </conditionalFormatting>
  <conditionalFormatting sqref="DX3:DX83">
    <cfRule type="expression" dxfId="86" priority="568">
      <formula>AND(T3&lt;&gt;"",AA3&lt;&gt;"",DX3="")</formula>
    </cfRule>
  </conditionalFormatting>
  <conditionalFormatting sqref="DF3:DF83">
    <cfRule type="expression" dxfId="85" priority="569">
      <formula>AND(T3&lt;&gt;"",W3&lt;&gt;"",DF3="")</formula>
    </cfRule>
  </conditionalFormatting>
  <conditionalFormatting sqref="B30">
    <cfRule type="expression" dxfId="84" priority="575">
      <formula>AND(B20&lt;&gt;"",B30="")</formula>
    </cfRule>
  </conditionalFormatting>
  <conditionalFormatting sqref="B32">
    <cfRule type="expression" dxfId="83" priority="165">
      <formula>AND(B23&lt;&gt;"",B32="")</formula>
    </cfRule>
  </conditionalFormatting>
  <conditionalFormatting sqref="B31">
    <cfRule type="expression" dxfId="82" priority="166">
      <formula>AND(B23&lt;&gt;"",B31="")</formula>
    </cfRule>
  </conditionalFormatting>
  <conditionalFormatting sqref="D28:D32">
    <cfRule type="expression" dxfId="81" priority="164">
      <formula>AND(B28&lt;&gt;"",C28&lt;&gt;"",D28="")</formula>
    </cfRule>
  </conditionalFormatting>
  <conditionalFormatting sqref="E28:E32">
    <cfRule type="expression" dxfId="80" priority="163">
      <formula>AND(B28&lt;&gt;"",C28&lt;&gt;"",E28="")</formula>
    </cfRule>
  </conditionalFormatting>
  <conditionalFormatting sqref="AC3:AD83">
    <cfRule type="expression" dxfId="79" priority="587">
      <formula>AND(D3&lt;&gt;"",E3&lt;&gt;"",AC3="")</formula>
    </cfRule>
  </conditionalFormatting>
  <conditionalFormatting sqref="BV3:BY83">
    <cfRule type="expression" dxfId="78" priority="591">
      <formula>AND(X3&lt;&gt;"",Y3&lt;&gt;"",BV3="")</formula>
    </cfRule>
  </conditionalFormatting>
  <conditionalFormatting sqref="BA3:BB3">
    <cfRule type="expression" dxfId="77" priority="592">
      <formula>AND(T3&lt;&gt;"",AA3&lt;&gt;"",BA3="")</formula>
    </cfRule>
  </conditionalFormatting>
  <conditionalFormatting sqref="BE4:BE83">
    <cfRule type="expression" dxfId="76" priority="595">
      <formula>AND(R4&lt;&gt;"",S4&lt;&gt;"",BE4="")</formula>
    </cfRule>
  </conditionalFormatting>
  <conditionalFormatting sqref="BC4:BC83">
    <cfRule type="expression" dxfId="75" priority="600">
      <formula>AND(R4&lt;&gt;"",S4&lt;&gt;"",BC4="")</formula>
    </cfRule>
  </conditionalFormatting>
  <conditionalFormatting sqref="BC3:BD3 BD4:BD83">
    <cfRule type="expression" dxfId="74" priority="602">
      <formula>AND(U3&lt;&gt;"",AB3&lt;&gt;"",BC3="")</formula>
    </cfRule>
  </conditionalFormatting>
  <conditionalFormatting sqref="AA53:AA83">
    <cfRule type="expression" dxfId="73" priority="162">
      <formula>AND(L53&lt;&gt;"",M53&lt;&gt;"",AA53="")</formula>
    </cfRule>
  </conditionalFormatting>
  <conditionalFormatting sqref="AE3:AF52 AF53:AF83">
    <cfRule type="expression" dxfId="72" priority="109">
      <formula>AND(D3&lt;&gt;"",E3&lt;&gt;"",AE3="")</formula>
    </cfRule>
  </conditionalFormatting>
  <conditionalFormatting sqref="AE53:AE83">
    <cfRule type="expression" dxfId="71" priority="31">
      <formula>AND(D53&lt;&gt;"",E53&lt;&gt;"",AE53="")</formula>
    </cfRule>
  </conditionalFormatting>
  <conditionalFormatting sqref="FL3:FL83">
    <cfRule type="expression" dxfId="70" priority="604">
      <formula>AND(AO3&lt;&gt;"",AP3&lt;&gt;"",FL3="")</formula>
    </cfRule>
  </conditionalFormatting>
  <conditionalFormatting sqref="FG3:FK83">
    <cfRule type="expression" dxfId="69" priority="606">
      <formula>AND(AO3&lt;&gt;"",AP3&lt;&gt;"",FG3="")</formula>
    </cfRule>
  </conditionalFormatting>
  <conditionalFormatting sqref="ER3:FB83">
    <cfRule type="expression" dxfId="68" priority="608">
      <formula>AND(AM3&lt;&gt;"",AN3&lt;&gt;"",ER3="")</formula>
    </cfRule>
  </conditionalFormatting>
  <conditionalFormatting sqref="FC3:FF83">
    <cfRule type="expression" dxfId="67" priority="610">
      <formula>AND(AU3&lt;&gt;"",AV3&lt;&gt;"",FC3="")</formula>
    </cfRule>
  </conditionalFormatting>
  <conditionalFormatting sqref="EI3:EJ83">
    <cfRule type="expression" dxfId="66" priority="614">
      <formula>AND(AL3&lt;&gt;"",AM3&lt;&gt;"",EI3="")</formula>
    </cfRule>
  </conditionalFormatting>
  <conditionalFormatting sqref="EK3:EQ83">
    <cfRule type="expression" dxfId="65" priority="615">
      <formula>AND(AH3&lt;&gt;"",AI3&lt;&gt;"",EK3="")</formula>
    </cfRule>
  </conditionalFormatting>
  <conditionalFormatting sqref="AW3:AX83">
    <cfRule type="expression" dxfId="64" priority="623">
      <formula>AND(AA3&lt;&gt;"",AE3&lt;&gt;"",AW3="")</formula>
    </cfRule>
  </conditionalFormatting>
  <conditionalFormatting sqref="BE3:BI3">
    <cfRule type="expression" dxfId="63" priority="624">
      <formula>AND(U3&lt;&gt;"",AB3&lt;&gt;"",BE3="")</formula>
    </cfRule>
  </conditionalFormatting>
  <conditionalFormatting sqref="FM3:GC83">
    <cfRule type="expression" dxfId="62" priority="626">
      <formula>AND(AQ3&lt;&gt;"",AR3&lt;&gt;"",FM3="")</formula>
    </cfRule>
  </conditionalFormatting>
  <conditionalFormatting sqref="B33">
    <cfRule type="expression" dxfId="61" priority="5">
      <formula>AND(B25&lt;&gt;"",B33="")</formula>
    </cfRule>
  </conditionalFormatting>
  <conditionalFormatting sqref="B35">
    <cfRule type="expression" dxfId="60" priority="4">
      <formula>AND(B27&lt;&gt;"",B35="")</formula>
    </cfRule>
  </conditionalFormatting>
  <conditionalFormatting sqref="B37">
    <cfRule type="expression" dxfId="59" priority="3">
      <formula>AND(B29&lt;&gt;"",B37="")</formula>
    </cfRule>
  </conditionalFormatting>
  <conditionalFormatting sqref="B39">
    <cfRule type="expression" dxfId="58" priority="2">
      <formula>AND(B31&lt;&gt;"",B39="")</formula>
    </cfRule>
  </conditionalFormatting>
  <conditionalFormatting sqref="B41">
    <cfRule type="expression" dxfId="57" priority="1">
      <formula>AND(B33&lt;&gt;"",B41="")</formula>
    </cfRule>
  </conditionalFormatting>
  <conditionalFormatting sqref="AG3:AJ52 AG53:AI83">
    <cfRule type="expression" dxfId="56" priority="631">
      <formula>AND(E3&lt;&gt;"",F3&lt;&gt;"",AG3="")</formula>
    </cfRule>
  </conditionalFormatting>
  <conditionalFormatting sqref="BM3:BU83">
    <cfRule type="expression" dxfId="55"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57" r:id="rId4" name="CheckBox3">
          <controlPr defaultSize="0" autoLine="0" r:id="rId5">
            <anchor moveWithCells="1">
              <from>
                <xdr:col>19</xdr:col>
                <xdr:colOff>85725</xdr:colOff>
                <xdr:row>0</xdr:row>
                <xdr:rowOff>619125</xdr:rowOff>
              </from>
              <to>
                <xdr:col>21</xdr:col>
                <xdr:colOff>561975</xdr:colOff>
                <xdr:row>0</xdr:row>
                <xdr:rowOff>914400</xdr:rowOff>
              </to>
            </anchor>
          </controlPr>
        </control>
      </mc:Choice>
      <mc:Fallback>
        <control shapeId="806957" r:id="rId4" name="CheckBox3"/>
      </mc:Fallback>
    </mc:AlternateContent>
    <mc:AlternateContent xmlns:mc="http://schemas.openxmlformats.org/markup-compatibility/2006">
      <mc:Choice Requires="x14">
        <control shapeId="806956" r:id="rId6" name="CheckBox2">
          <controlPr defaultSize="0" autoLine="0" r:id="rId7">
            <anchor moveWithCells="1">
              <from>
                <xdr:col>19</xdr:col>
                <xdr:colOff>76200</xdr:colOff>
                <xdr:row>0</xdr:row>
                <xdr:rowOff>361950</xdr:rowOff>
              </from>
              <to>
                <xdr:col>21</xdr:col>
                <xdr:colOff>552450</xdr:colOff>
                <xdr:row>0</xdr:row>
                <xdr:rowOff>657225</xdr:rowOff>
              </to>
            </anchor>
          </controlPr>
        </control>
      </mc:Choice>
      <mc:Fallback>
        <control shapeId="806956" r:id="rId6" name="CheckBox2"/>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0" r:id="rId10" name="Bolt_Dbase">
          <controlPr defaultSize="0" autoFill="0" autoLine="0" r:id="rId11">
            <anchor moveWithCells="1">
              <from>
                <xdr:col>56</xdr:col>
                <xdr:colOff>123825</xdr:colOff>
                <xdr:row>0</xdr:row>
                <xdr:rowOff>800100</xdr:rowOff>
              </from>
              <to>
                <xdr:col>56</xdr:col>
                <xdr:colOff>1181100</xdr:colOff>
                <xdr:row>0</xdr:row>
                <xdr:rowOff>971550</xdr:rowOff>
              </to>
            </anchor>
          </controlPr>
        </control>
      </mc:Choice>
      <mc:Fallback>
        <control shapeId="806950" r:id="rId10" name="Bolt_Dbase"/>
      </mc:Fallback>
    </mc:AlternateContent>
    <mc:AlternateContent xmlns:mc="http://schemas.openxmlformats.org/markup-compatibility/2006">
      <mc:Choice Requires="x14">
        <control shapeId="806926" r:id="rId12" name="CheckBox1">
          <controlPr defaultSize="0" autoLine="0" r:id="rId13">
            <anchor moveWithCells="1">
              <from>
                <xdr:col>19</xdr:col>
                <xdr:colOff>76200</xdr:colOff>
                <xdr:row>0</xdr:row>
                <xdr:rowOff>104775</xdr:rowOff>
              </from>
              <to>
                <xdr:col>21</xdr:col>
                <xdr:colOff>552450</xdr:colOff>
                <xdr:row>0</xdr:row>
                <xdr:rowOff>400050</xdr:rowOff>
              </to>
            </anchor>
          </controlPr>
        </control>
      </mc:Choice>
      <mc:Fallback>
        <control shapeId="806926" r:id="rId12" name="CheckBox1"/>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3"/>
  <sheetViews>
    <sheetView showGridLines="0" zoomScaleNormal="100" workbookViewId="0">
      <pane xSplit="2" ySplit="3" topLeftCell="C4" activePane="bottomRight" state="frozen"/>
      <selection pane="topRight" activeCell="C1" sqref="C1"/>
      <selection pane="bottomLeft" activeCell="A4" sqref="A4"/>
      <selection pane="bottomRight" activeCell="B15" sqref="B15:AM16"/>
    </sheetView>
  </sheetViews>
  <sheetFormatPr defaultRowHeight="12.75" x14ac:dyDescent="0.2"/>
  <cols>
    <col min="2" max="2" width="30.7109375" customWidth="1"/>
    <col min="3" max="3" width="60" bestFit="1" customWidth="1"/>
    <col min="4" max="5" width="13.5703125" customWidth="1"/>
    <col min="6" max="6" width="14.140625" customWidth="1"/>
    <col min="7" max="7" width="9.7109375" customWidth="1"/>
    <col min="8" max="9" width="14.7109375" customWidth="1"/>
    <col min="10" max="10" width="13" hidden="1" customWidth="1"/>
    <col min="11" max="11" width="11" customWidth="1"/>
    <col min="12" max="14" width="9" hidden="1" customWidth="1"/>
    <col min="15" max="15" width="8.85546875" hidden="1" customWidth="1"/>
    <col min="16" max="16" width="13" hidden="1" customWidth="1"/>
    <col min="17" max="17" width="12.7109375" hidden="1" customWidth="1"/>
    <col min="18" max="18" width="11.140625" hidden="1" customWidth="1"/>
    <col min="19" max="19" width="11" hidden="1" customWidth="1"/>
    <col min="20" max="20" width="10.140625" hidden="1" customWidth="1"/>
    <col min="21" max="21" width="9.85546875" hidden="1" customWidth="1"/>
    <col min="22" max="22" width="13" hidden="1" customWidth="1"/>
    <col min="23" max="23" width="15.7109375" hidden="1" customWidth="1"/>
    <col min="24" max="25" width="13.28515625" hidden="1" customWidth="1"/>
    <col min="26" max="26" width="14.85546875" hidden="1" customWidth="1"/>
    <col min="27" max="27" width="14.5703125" hidden="1" customWidth="1"/>
    <col min="28" max="28" width="13.28515625" hidden="1" customWidth="1"/>
    <col min="29" max="29" width="14" hidden="1" customWidth="1"/>
    <col min="30" max="30" width="17" customWidth="1"/>
    <col min="31" max="31" width="16.7109375" customWidth="1"/>
    <col min="32" max="32" width="14.85546875" customWidth="1"/>
    <col min="33" max="33" width="16.140625" customWidth="1"/>
    <col min="34" max="34" width="14.85546875" hidden="1" customWidth="1"/>
    <col min="35" max="35" width="16.140625" hidden="1" customWidth="1"/>
    <col min="36" max="36" width="16.5703125" hidden="1" customWidth="1"/>
    <col min="37" max="38" width="16.5703125" customWidth="1"/>
    <col min="39" max="39" width="17" customWidth="1"/>
    <col min="40" max="40" width="9.28515625" hidden="1" customWidth="1"/>
    <col min="41" max="41" width="11.140625" hidden="1" customWidth="1"/>
    <col min="53" max="53" width="4.28515625" customWidth="1"/>
    <col min="54" max="63" width="7.42578125" customWidth="1"/>
  </cols>
  <sheetData>
    <row r="2" spans="2:63" s="16" customFormat="1" x14ac:dyDescent="0.2">
      <c r="B2" s="34"/>
      <c r="C2" s="34"/>
      <c r="D2" s="34"/>
      <c r="E2" s="34"/>
      <c r="F2" s="34"/>
      <c r="G2" s="34"/>
      <c r="H2" s="34"/>
      <c r="I2" s="34"/>
      <c r="J2" s="34" t="s">
        <v>145</v>
      </c>
      <c r="K2" s="34"/>
      <c r="L2" s="34" t="s">
        <v>145</v>
      </c>
      <c r="M2" s="34" t="s">
        <v>145</v>
      </c>
      <c r="N2" s="34" t="s">
        <v>145</v>
      </c>
      <c r="O2" s="34" t="s">
        <v>145</v>
      </c>
      <c r="P2" s="34" t="s">
        <v>145</v>
      </c>
      <c r="Q2" s="34" t="s">
        <v>145</v>
      </c>
      <c r="R2" s="34" t="s">
        <v>145</v>
      </c>
      <c r="S2" s="34" t="s">
        <v>145</v>
      </c>
      <c r="T2" s="34" t="s">
        <v>145</v>
      </c>
      <c r="U2" s="34" t="s">
        <v>145</v>
      </c>
      <c r="V2" s="34" t="s">
        <v>145</v>
      </c>
      <c r="W2" s="34" t="s">
        <v>145</v>
      </c>
      <c r="X2" s="34" t="s">
        <v>145</v>
      </c>
      <c r="Y2" s="34" t="s">
        <v>145</v>
      </c>
      <c r="Z2" s="34" t="s">
        <v>145</v>
      </c>
      <c r="AA2" s="34" t="s">
        <v>145</v>
      </c>
      <c r="AB2" s="34" t="s">
        <v>145</v>
      </c>
      <c r="AC2" s="34" t="s">
        <v>145</v>
      </c>
      <c r="AD2" s="34"/>
      <c r="AE2" s="34"/>
      <c r="AF2" s="34"/>
      <c r="AG2" s="34"/>
      <c r="AH2" s="34" t="s">
        <v>145</v>
      </c>
      <c r="AI2" s="34" t="s">
        <v>145</v>
      </c>
      <c r="AJ2" s="34" t="s">
        <v>145</v>
      </c>
      <c r="AK2" s="34"/>
      <c r="AL2" s="34"/>
    </row>
    <row r="3" spans="2:63" ht="54" customHeight="1" x14ac:dyDescent="0.3">
      <c r="B3" s="104" t="s">
        <v>419</v>
      </c>
      <c r="C3" s="104" t="s">
        <v>29</v>
      </c>
      <c r="D3" s="104" t="s">
        <v>420</v>
      </c>
      <c r="E3" s="104" t="s">
        <v>421</v>
      </c>
      <c r="F3" s="104" t="s">
        <v>422</v>
      </c>
      <c r="G3" s="104" t="s">
        <v>423</v>
      </c>
      <c r="H3" s="104" t="s">
        <v>424</v>
      </c>
      <c r="I3" s="104" t="s">
        <v>425</v>
      </c>
      <c r="J3" s="104" t="s">
        <v>426</v>
      </c>
      <c r="K3" s="104" t="s">
        <v>427</v>
      </c>
      <c r="L3" s="104" t="s">
        <v>428</v>
      </c>
      <c r="M3" s="104" t="s">
        <v>429</v>
      </c>
      <c r="N3" s="104" t="s">
        <v>430</v>
      </c>
      <c r="O3" s="104" t="s">
        <v>431</v>
      </c>
      <c r="P3" s="104" t="s">
        <v>432</v>
      </c>
      <c r="Q3" s="104" t="s">
        <v>433</v>
      </c>
      <c r="R3" s="104" t="s">
        <v>434</v>
      </c>
      <c r="S3" s="104" t="s">
        <v>435</v>
      </c>
      <c r="T3" s="104" t="s">
        <v>436</v>
      </c>
      <c r="U3" s="104" t="s">
        <v>437</v>
      </c>
      <c r="V3" s="104" t="s">
        <v>438</v>
      </c>
      <c r="W3" s="104" t="s">
        <v>439</v>
      </c>
      <c r="X3" s="104" t="s">
        <v>440</v>
      </c>
      <c r="Y3" s="104" t="s">
        <v>441</v>
      </c>
      <c r="Z3" s="104" t="s">
        <v>442</v>
      </c>
      <c r="AA3" s="104" t="s">
        <v>443</v>
      </c>
      <c r="AB3" s="104" t="s">
        <v>444</v>
      </c>
      <c r="AC3" s="104" t="s">
        <v>445</v>
      </c>
      <c r="AD3" s="104" t="s">
        <v>446</v>
      </c>
      <c r="AE3" s="104" t="s">
        <v>447</v>
      </c>
      <c r="AF3" s="104" t="s">
        <v>448</v>
      </c>
      <c r="AG3" s="104" t="s">
        <v>449</v>
      </c>
      <c r="AH3" s="104" t="s">
        <v>450</v>
      </c>
      <c r="AI3" s="104" t="s">
        <v>451</v>
      </c>
      <c r="AJ3" s="104" t="s">
        <v>452</v>
      </c>
      <c r="AK3" s="350" t="s">
        <v>453</v>
      </c>
      <c r="AL3" s="350" t="s">
        <v>454</v>
      </c>
      <c r="AM3" s="350" t="s">
        <v>455</v>
      </c>
      <c r="AN3" s="378" t="s">
        <v>456</v>
      </c>
      <c r="AO3" s="379" t="s">
        <v>126</v>
      </c>
    </row>
    <row r="4" spans="2:63" x14ac:dyDescent="0.2">
      <c r="B4" s="79" t="s">
        <v>457</v>
      </c>
      <c r="E4" t="str">
        <f>IF(Bolts[[#This Row],[Bolt Name]]="-","",Bolts[[#This Row],[Bolt Diameter (in)]]*25.4)</f>
        <v/>
      </c>
      <c r="F4" t="str">
        <f>IF(Bolts[[#This Row],[Bolt Name]]="-","",PI()/4*Bolts[[#This Row],[Bolt Diameter (in)]]^2)</f>
        <v/>
      </c>
      <c r="J4">
        <f>IF(Bolts[[#This Row],[Bolt Name]]="","",PI()/4*(Bolts[[#This Row],[Sleeve Outer Diameter (in)]]^2-Bolts[[#This Row],[Sleeve Inner Diameter (in)]]^2))</f>
        <v>0</v>
      </c>
      <c r="L4" t="str">
        <f>IF(Bolts[[#This Row],[Bolt Name]]="","",IF(Bolts[[#This Row],[Bolt Fu (ksi)]]=120,21,IF(Bolts[[#This Row],[Bolt Fu (ksi)]]=150,28,"Error")))</f>
        <v>Error</v>
      </c>
      <c r="M4" t="str">
        <f>IF(Bolts[[#This Row],[Bolt Name]]="","",IF(Bolts[[#This Row],[Bolt Fu (ksi)]]=120,30,IF(Bolts[[#This Row],[Bolt Fu (ksi)]]=150,40,"Error")))</f>
        <v>Error</v>
      </c>
      <c r="N4" t="e">
        <f>IF(Bolts[[#This Row],[Bolt Name]]="","",Bolts[[#This Row],[Rev. F FVN]]*Bolts[[#This Row],[Area of Bolt (in2)]])</f>
        <v>#VALUE!</v>
      </c>
      <c r="O4" t="e">
        <f>IF(Bolts[[#This Row],[Bolt Name]]="","",Bolts[[#This Row],[Rev. F FVX]]*Bolts[[#This Row],[Area of Bolt (in2)]])</f>
        <v>#VALUE!</v>
      </c>
      <c r="P4" t="e">
        <f>IF(Bolts[[#This Row],[Bolt Name]]="","",Bolts[[#This Row],[Rev. F FVX]]*(Bolts[[#This Row],[Sleeve Fu (ksi)]]/Bolts[[#This Row],[Bolt Fu (ksi)]]))</f>
        <v>#VALUE!</v>
      </c>
      <c r="Q4" t="e">
        <f>IF(Bolts[[#This Row],[Bolt Name]]="","",Bolts[[#This Row],[Rev. F Sleeve FVX]]*Bolts[[#This Row],[Sleeve Area (in2)]])</f>
        <v>#VALUE!</v>
      </c>
      <c r="R4">
        <f>IF(Bolts[[#This Row],[Bolt Name]]="","",0.45*Bolts[[#This Row],[Bolt Fu (ksi)]])</f>
        <v>0</v>
      </c>
      <c r="S4">
        <f>IF(Bolts[[#This Row],[Bolt Name]]="","",0.55*Bolts[[#This Row],[Bolt Fu (ksi)]])</f>
        <v>0</v>
      </c>
      <c r="T4" t="e">
        <f>IF(Bolts[[#This Row],[Bolt Name]]="","",φ_bolt_shear*Bolts[[#This Row],[Rev. G FNVN]]*Bolts[[#This Row],[Area of Bolt (in2)]])</f>
        <v>#VALUE!</v>
      </c>
      <c r="U4" t="e">
        <f>IF(Bolts[[#This Row],[Bolt Name]]="","",φ_bolt_shear*Bolts[[#This Row],[Rev. G FNVX]]*Bolts[[#This Row],[Area of Bolt (in2)]])</f>
        <v>#VALUE!</v>
      </c>
      <c r="V4">
        <f>IF(Bolts[[#This Row],[Bolt Name]]="","",0.55*Bolts[[#This Row],[Sleeve Fu (ksi)]])</f>
        <v>0</v>
      </c>
      <c r="W4">
        <f>IF(Bolts[[#This Row],[Bolt Name]]="","",φ_bolt_shear*Bolts[[#This Row],[Rev. G Sleeve FNVX]]*Bolts[[#This Row],[Sleeve Area (in2)]])</f>
        <v>0</v>
      </c>
      <c r="X4">
        <f>IF(Bolts[[#This Row],[Bolt Name]]="","",0.625*0.8*Bolts[[#This Row],[Bolt Fu (ksi)]])</f>
        <v>0</v>
      </c>
      <c r="Y4">
        <f>IF(Bolts[[#This Row],[Bolt Name]]="","",0.625*Bolts[[#This Row],[Bolt Fu (ksi)]])</f>
        <v>0</v>
      </c>
      <c r="Z4" t="e">
        <f>IF(Bolts[[#This Row],[Bolt Name]]="","",φ_bolt_shear*Bolts[[#This Row],[Rev. H FNVN]]*Bolts[[#This Row],[Area of Bolt (in2)]])</f>
        <v>#VALUE!</v>
      </c>
      <c r="AA4" t="e">
        <f>IF(Bolts[[#This Row],[Bolt Name]]="","",φ_bolt_shear*Bolts[[#This Row],[Rev. H FNVX]]*Bolts[[#This Row],[Area of Bolt (in2)]])</f>
        <v>#VALUE!</v>
      </c>
      <c r="AB4">
        <f>IF(Bolts[[#This Row],[Bolt Name]]="","",0.625*Bolts[[#This Row],[Sleeve Fu (ksi)]])</f>
        <v>0</v>
      </c>
      <c r="AC4">
        <f>IF(Bolts[[#This Row],[Bolt Name]]="","",φ_bolt_shear*Bolts[[#This Row],[Rev. H Sleeve FNVX]]*Bolts[[#This Row],[Sleeve Area (in2)]])</f>
        <v>0</v>
      </c>
      <c r="AD4" t="str">
        <f>IF(Bolts[[#This Row],[Bolt Name]]="-","",(Bolts[[#This Row],[Rev. F RN]]+Bolts[[#This Row],[Rev. F Sleeve RN]]))</f>
        <v/>
      </c>
      <c r="AE4" t="str">
        <f>IF(Bolts[[#This Row],[Bolt Name]]="-","",(Bolts[[#This Row],[Rev. F RX]]+Bolts[[#This Row],[Rev. F Sleeve RN]]))</f>
        <v/>
      </c>
      <c r="AF4" t="str">
        <f>IF(Bolts[[#This Row],[Bolt Name]]="-","",Bolts[[#This Row],[Rev. G ΦRNN]]+Bolts[[#This Row],[Rev. G Sleeve ΦRNX]])</f>
        <v/>
      </c>
      <c r="AG4" t="str">
        <f>IF(Bolts[[#This Row],[Bolt Name]]="-","",Bolts[[#This Row],[Rev. G ΦRNX]]+Bolts[[#This Row],[Rev. G Sleeve ΦRNX]])</f>
        <v/>
      </c>
      <c r="AH4" t="e">
        <f>IF(Bolts[[#This Row],[Bolt Name]]="","",Bolts[[#This Row],[Rev. H ΦRNN]])</f>
        <v>#VALUE!</v>
      </c>
      <c r="AI4" t="e">
        <f>IF(Bolts[[#This Row],[Bolt Name]]="","",Bolts[[#This Row],[Rev. H ΦRNX]])</f>
        <v>#VALUE!</v>
      </c>
      <c r="AJ4">
        <f>IF(Bolts[[#This Row],[Bolt Name]]="","",Bolts[[#This Row],[Rev. H Sleeve ΦRNX]])</f>
        <v>0</v>
      </c>
      <c r="AK4" t="str">
        <f>IF(Bolts[[#This Row],[Bolt Name]]="-","",Bolts[[#This Row],[Rev. H Bolt (N) Capacity]]+Bolts[[#This Row],[Rev. H Shear Sleeve Capacity]])</f>
        <v/>
      </c>
      <c r="AL4" t="str">
        <f>IF(Bolts[[#This Row],[Bolt Name]]="-","",Bolts[[#This Row],[Rev. H Bolt (X) Capacity]]+Bolts[[#This Row],[Rev. H Shear Sleeve Capacity]])</f>
        <v/>
      </c>
      <c r="AM4" s="16"/>
      <c r="AN4" s="104">
        <v>0</v>
      </c>
      <c r="AO4" t="b">
        <f>IF(Bolts[[#This Row],[Bolt Name]]="","",IF(ROW(Bolts[[#This Row],[Bolt Name]])&gt;15,FALSE,TRUE))</f>
        <v>1</v>
      </c>
    </row>
    <row r="5" spans="2:63" x14ac:dyDescent="0.2">
      <c r="B5" s="49" t="s">
        <v>355</v>
      </c>
      <c r="C5" s="49" t="s">
        <v>458</v>
      </c>
      <c r="D5">
        <f>20/25.4</f>
        <v>0.78740157480314965</v>
      </c>
      <c r="E5">
        <f>IF(Bolts[[#This Row],[Bolt Name]]="","",Bolts[[#This Row],[Bolt Diameter (in)]]*25.4)</f>
        <v>20</v>
      </c>
      <c r="F5">
        <f>IF(Bolts[[#This Row],[Bolt Name]]="","",PI()/4*Bolts[[#This Row],[Bolt Diameter (in)]]^2)</f>
        <v>0.48694783520208834</v>
      </c>
      <c r="G5">
        <v>120</v>
      </c>
      <c r="H5">
        <f>29/25.4</f>
        <v>1.1417322834645669</v>
      </c>
      <c r="I5">
        <f>20.295/25.4</f>
        <v>0.79901574803149622</v>
      </c>
      <c r="J5">
        <f>IF(Bolts[[#This Row],[Bolt Name]]="","",PI()/4*(Bolts[[#This Row],[Sleeve Outer Diameter (in)]]^2-Bolts[[#This Row],[Sleeve Inner Diameter (in)]]^2))</f>
        <v>0.52238908558344443</v>
      </c>
      <c r="K5">
        <v>100</v>
      </c>
      <c r="L5">
        <f>IF(Bolts[[#This Row],[Bolt Name]]="","",IF(Bolts[[#This Row],[Bolt Fu (ksi)]]=120,21,IF(Bolts[[#This Row],[Bolt Fu (ksi)]]=150,28,"Error")))</f>
        <v>21</v>
      </c>
      <c r="M5">
        <f>IF(Bolts[[#This Row],[Bolt Name]]="","",IF(Bolts[[#This Row],[Bolt Fu (ksi)]]=120,30,IF(Bolts[[#This Row],[Bolt Fu (ksi)]]=150,40,"Error")))</f>
        <v>30</v>
      </c>
      <c r="N5">
        <f>IF(Bolts[[#This Row],[Bolt Name]]="","",Bolts[[#This Row],[Rev. F FVN]]*Bolts[[#This Row],[Area of Bolt (in2)]])</f>
        <v>10.225904539243855</v>
      </c>
      <c r="O5">
        <f>IF(Bolts[[#This Row],[Bolt Name]]="","",Bolts[[#This Row],[Rev. F FVX]]*Bolts[[#This Row],[Area of Bolt (in2)]])</f>
        <v>14.60843505606265</v>
      </c>
      <c r="P5">
        <f>IF(Bolts[[#This Row],[Bolt Name]]="","",Bolts[[#This Row],[Rev. F FVX]]*(Bolts[[#This Row],[Sleeve Fu (ksi)]]/Bolts[[#This Row],[Bolt Fu (ksi)]]))</f>
        <v>25</v>
      </c>
      <c r="Q5">
        <f>IF(Bolts[[#This Row],[Bolt Name]]="","",Bolts[[#This Row],[Rev. F Sleeve FVX]]*Bolts[[#This Row],[Sleeve Area (in2)]])</f>
        <v>13.05972713958611</v>
      </c>
      <c r="R5">
        <f>IF(Bolts[[#This Row],[Bolt Name]]="","",0.45*Bolts[[#This Row],[Bolt Fu (ksi)]])</f>
        <v>54</v>
      </c>
      <c r="S5">
        <f>IF(Bolts[[#This Row],[Bolt Name]]="","",0.55*Bolts[[#This Row],[Bolt Fu (ksi)]])</f>
        <v>66</v>
      </c>
      <c r="T5">
        <f>IF(Bolts[[#This Row],[Bolt Name]]="","",φ_bolt_shear*Bolts[[#This Row],[Rev. G FNVN]]*Bolts[[#This Row],[Area of Bolt (in2)]])</f>
        <v>19.721387325684578</v>
      </c>
      <c r="U5">
        <f>IF(Bolts[[#This Row],[Bolt Name]]="","",φ_bolt_shear*Bolts[[#This Row],[Rev. G FNVX]]*Bolts[[#This Row],[Area of Bolt (in2)]])</f>
        <v>24.103917842503375</v>
      </c>
      <c r="V5">
        <f>IF(Bolts[[#This Row],[Bolt Name]]="","",0.55*Bolts[[#This Row],[Sleeve Fu (ksi)]])</f>
        <v>55.000000000000007</v>
      </c>
      <c r="W5">
        <f>IF(Bolts[[#This Row],[Bolt Name]]="","",φ_bolt_shear*Bolts[[#This Row],[Rev. G Sleeve FNVX]]*Bolts[[#This Row],[Sleeve Area (in2)]])</f>
        <v>21.548549780317085</v>
      </c>
      <c r="X5">
        <f>IF(Bolts[[#This Row],[Bolt Name]]="","",0.625*0.8*Bolts[[#This Row],[Bolt Fu (ksi)]])</f>
        <v>60</v>
      </c>
      <c r="Y5">
        <f>IF(Bolts[[#This Row],[Bolt Name]]="","",0.625*Bolts[[#This Row],[Bolt Fu (ksi)]])</f>
        <v>75</v>
      </c>
      <c r="Z5">
        <f>IF(Bolts[[#This Row],[Bolt Name]]="","",φ_bolt_shear*Bolts[[#This Row],[Rev. H FNVN]]*Bolts[[#This Row],[Area of Bolt (in2)]])</f>
        <v>21.912652584093976</v>
      </c>
      <c r="AA5">
        <f>IF(Bolts[[#This Row],[Bolt Name]]="","",φ_bolt_shear*Bolts[[#This Row],[Rev. H FNVX]]*Bolts[[#This Row],[Area of Bolt (in2)]])</f>
        <v>27.39081573011747</v>
      </c>
      <c r="AB5">
        <f>IF(Bolts[[#This Row],[Bolt Name]]="","",0.625*Bolts[[#This Row],[Sleeve Fu (ksi)]])</f>
        <v>62.5</v>
      </c>
      <c r="AC5">
        <f>IF(Bolts[[#This Row],[Bolt Name]]="","",φ_bolt_shear*Bolts[[#This Row],[Rev. H Sleeve FNVX]]*Bolts[[#This Row],[Sleeve Area (in2)]])</f>
        <v>24.486988386723958</v>
      </c>
      <c r="AD5">
        <f>IF(Bolts[[#This Row],[Bolt Name]]="","",(Bolts[[#This Row],[Rev. F RN]]+Bolts[[#This Row],[Rev. F Sleeve RN]]))</f>
        <v>23.285631678829965</v>
      </c>
      <c r="AE5">
        <f>IF(Bolts[[#This Row],[Bolt Name]]="","",(Bolts[[#This Row],[Rev. F RX]]+Bolts[[#This Row],[Rev. F Sleeve RN]]))</f>
        <v>27.668162195648762</v>
      </c>
      <c r="AF5">
        <f>IF(Bolts[[#This Row],[Bolt Name]]="","",Bolts[[#This Row],[Rev. G ΦRNN]]+Bolts[[#This Row],[Rev. G Sleeve ΦRNX]])</f>
        <v>41.269937106001663</v>
      </c>
      <c r="AG5">
        <f>IF(Bolts[[#This Row],[Bolt Name]]="","",Bolts[[#This Row],[Rev. G ΦRNX]]+Bolts[[#This Row],[Rev. G Sleeve ΦRNX]])</f>
        <v>45.65246762282046</v>
      </c>
      <c r="AH5">
        <f>IF(Bolts[[#This Row],[Bolt Name]]="","",Bolts[[#This Row],[Rev. H ΦRNN]])</f>
        <v>21.912652584093976</v>
      </c>
      <c r="AI5">
        <f>IF(Bolts[[#This Row],[Bolt Name]]="","",Bolts[[#This Row],[Rev. H ΦRNX]])</f>
        <v>27.39081573011747</v>
      </c>
      <c r="AJ5">
        <f>IF(Bolts[[#This Row],[Bolt Name]]="","",Bolts[[#This Row],[Rev. H Sleeve ΦRNX]])</f>
        <v>24.486988386723958</v>
      </c>
      <c r="AK5">
        <f>IF(Bolts[[#This Row],[Bolt Name]]="","",Bolts[[#This Row],[Rev. H Bolt (N) Capacity]]+Bolts[[#This Row],[Rev. H Shear Sleeve Capacity]])</f>
        <v>46.399640970817934</v>
      </c>
      <c r="AL5">
        <f>IF(Bolts[[#This Row],[Bolt Name]]="","",Bolts[[#This Row],[Rev. H Bolt (X) Capacity]]+Bolts[[#This Row],[Rev. H Shear Sleeve Capacity]])</f>
        <v>51.877804116841432</v>
      </c>
      <c r="AM5" s="16" t="b">
        <f>IF(Bolts[[#This Row],[Bolt Name]]="","",TRUE)</f>
        <v>1</v>
      </c>
      <c r="AN5">
        <v>1</v>
      </c>
      <c r="AO5" t="b">
        <f>IF(Bolts[[#This Row],[Bolt Name]]="","",IF(ROW(Bolts[[#This Row],[Bolt Name]])&gt;15,FALSE,TRUE))</f>
        <v>1</v>
      </c>
    </row>
    <row r="6" spans="2:63" x14ac:dyDescent="0.2">
      <c r="B6" s="49" t="s">
        <v>459</v>
      </c>
      <c r="C6" s="49" t="s">
        <v>460</v>
      </c>
      <c r="D6">
        <f>20/25.4</f>
        <v>0.78740157480314965</v>
      </c>
      <c r="E6">
        <f>IF(Bolts[[#This Row],[Bolt Name]]="","",Bolts[[#This Row],[Bolt Diameter (in)]]*25.4)</f>
        <v>20</v>
      </c>
      <c r="F6">
        <f>IF(Bolts[[#This Row],[Bolt Name]]="","",PI()/4*Bolts[[#This Row],[Bolt Diameter (in)]]^2)</f>
        <v>0.48694783520208834</v>
      </c>
      <c r="G6">
        <v>120</v>
      </c>
      <c r="H6">
        <f>29/25.4</f>
        <v>1.1417322834645669</v>
      </c>
      <c r="I6">
        <f>20.295/25.4</f>
        <v>0.79901574803149622</v>
      </c>
      <c r="J6">
        <f>IF(Bolts[[#This Row],[Bolt Name]]="","",PI()/4*(Bolts[[#This Row],[Sleeve Outer Diameter (in)]]^2-Bolts[[#This Row],[Sleeve Inner Diameter (in)]]^2))</f>
        <v>0.52238908558344443</v>
      </c>
      <c r="K6">
        <v>120</v>
      </c>
      <c r="L6">
        <f>IF(Bolts[[#This Row],[Bolt Name]]="","",IF(Bolts[[#This Row],[Bolt Fu (ksi)]]=120,21,IF(Bolts[[#This Row],[Bolt Fu (ksi)]]=150,28,"Error")))</f>
        <v>21</v>
      </c>
      <c r="M6">
        <f>IF(Bolts[[#This Row],[Bolt Name]]="","",IF(Bolts[[#This Row],[Bolt Fu (ksi)]]=120,30,IF(Bolts[[#This Row],[Bolt Fu (ksi)]]=150,40,"Error")))</f>
        <v>30</v>
      </c>
      <c r="N6">
        <f>IF(Bolts[[#This Row],[Bolt Name]]="","",Bolts[[#This Row],[Rev. F FVN]]*Bolts[[#This Row],[Area of Bolt (in2)]])</f>
        <v>10.225904539243855</v>
      </c>
      <c r="O6">
        <f>IF(Bolts[[#This Row],[Bolt Name]]="","",Bolts[[#This Row],[Rev. F FVX]]*Bolts[[#This Row],[Area of Bolt (in2)]])</f>
        <v>14.60843505606265</v>
      </c>
      <c r="P6">
        <f>IF(Bolts[[#This Row],[Bolt Name]]="","",Bolts[[#This Row],[Rev. F FVX]]*(Bolts[[#This Row],[Sleeve Fu (ksi)]]/Bolts[[#This Row],[Bolt Fu (ksi)]]))</f>
        <v>30</v>
      </c>
      <c r="Q6">
        <f>IF(Bolts[[#This Row],[Bolt Name]]="","",Bolts[[#This Row],[Rev. F Sleeve FVX]]*Bolts[[#This Row],[Sleeve Area (in2)]])</f>
        <v>15.671672567503332</v>
      </c>
      <c r="R6">
        <f>IF(Bolts[[#This Row],[Bolt Name]]="","",0.45*Bolts[[#This Row],[Bolt Fu (ksi)]])</f>
        <v>54</v>
      </c>
      <c r="S6">
        <f>IF(Bolts[[#This Row],[Bolt Name]]="","",0.55*Bolts[[#This Row],[Bolt Fu (ksi)]])</f>
        <v>66</v>
      </c>
      <c r="T6">
        <f>IF(Bolts[[#This Row],[Bolt Name]]="","",φ_bolt_shear*Bolts[[#This Row],[Rev. G FNVN]]*Bolts[[#This Row],[Area of Bolt (in2)]])</f>
        <v>19.721387325684578</v>
      </c>
      <c r="U6">
        <f>IF(Bolts[[#This Row],[Bolt Name]]="","",φ_bolt_shear*Bolts[[#This Row],[Rev. G FNVX]]*Bolts[[#This Row],[Area of Bolt (in2)]])</f>
        <v>24.103917842503375</v>
      </c>
      <c r="V6">
        <f>IF(Bolts[[#This Row],[Bolt Name]]="","",0.55*Bolts[[#This Row],[Sleeve Fu (ksi)]])</f>
        <v>66</v>
      </c>
      <c r="W6">
        <f>IF(Bolts[[#This Row],[Bolt Name]]="","",φ_bolt_shear*Bolts[[#This Row],[Rev. G Sleeve FNVX]]*Bolts[[#This Row],[Sleeve Area (in2)]])</f>
        <v>25.8582597363805</v>
      </c>
      <c r="X6">
        <f>IF(Bolts[[#This Row],[Bolt Name]]="","",0.625*0.8*Bolts[[#This Row],[Bolt Fu (ksi)]])</f>
        <v>60</v>
      </c>
      <c r="Y6">
        <f>IF(Bolts[[#This Row],[Bolt Name]]="","",0.625*Bolts[[#This Row],[Bolt Fu (ksi)]])</f>
        <v>75</v>
      </c>
      <c r="Z6">
        <f>IF(Bolts[[#This Row],[Bolt Name]]="","",φ_bolt_shear*Bolts[[#This Row],[Rev. H FNVN]]*Bolts[[#This Row],[Area of Bolt (in2)]])</f>
        <v>21.912652584093976</v>
      </c>
      <c r="AA6">
        <f>IF(Bolts[[#This Row],[Bolt Name]]="","",φ_bolt_shear*Bolts[[#This Row],[Rev. H FNVX]]*Bolts[[#This Row],[Area of Bolt (in2)]])</f>
        <v>27.39081573011747</v>
      </c>
      <c r="AB6">
        <f>IF(Bolts[[#This Row],[Bolt Name]]="","",0.625*Bolts[[#This Row],[Sleeve Fu (ksi)]])</f>
        <v>75</v>
      </c>
      <c r="AC6">
        <f>IF(Bolts[[#This Row],[Bolt Name]]="","",φ_bolt_shear*Bolts[[#This Row],[Rev. H Sleeve FNVX]]*Bolts[[#This Row],[Sleeve Area (in2)]])</f>
        <v>29.38438606406875</v>
      </c>
      <c r="AD6">
        <f>IF(Bolts[[#This Row],[Bolt Name]]="","",(Bolts[[#This Row],[Rev. F RN]]+Bolts[[#This Row],[Rev. F Sleeve RN]]))</f>
        <v>25.897577106747185</v>
      </c>
      <c r="AE6">
        <f>IF(Bolts[[#This Row],[Bolt Name]]="","",(Bolts[[#This Row],[Rev. F RX]]+Bolts[[#This Row],[Rev. F Sleeve RN]]))</f>
        <v>30.280107623565982</v>
      </c>
      <c r="AF6">
        <f>IF(Bolts[[#This Row],[Bolt Name]]="","",Bolts[[#This Row],[Rev. G ΦRNN]]+Bolts[[#This Row],[Rev. G Sleeve ΦRNX]])</f>
        <v>45.579647062065078</v>
      </c>
      <c r="AG6">
        <f>IF(Bolts[[#This Row],[Bolt Name]]="","",Bolts[[#This Row],[Rev. G ΦRNX]]+Bolts[[#This Row],[Rev. G Sleeve ΦRNX]])</f>
        <v>49.962177578883875</v>
      </c>
      <c r="AH6">
        <f>IF(Bolts[[#This Row],[Bolt Name]]="","",Bolts[[#This Row],[Rev. H ΦRNN]])</f>
        <v>21.912652584093976</v>
      </c>
      <c r="AI6">
        <f>IF(Bolts[[#This Row],[Bolt Name]]="","",Bolts[[#This Row],[Rev. H ΦRNX]])</f>
        <v>27.39081573011747</v>
      </c>
      <c r="AJ6">
        <f>IF(Bolts[[#This Row],[Bolt Name]]="","",Bolts[[#This Row],[Rev. H Sleeve ΦRNX]])</f>
        <v>29.38438606406875</v>
      </c>
      <c r="AK6">
        <f>IF(Bolts[[#This Row],[Bolt Name]]="","",Bolts[[#This Row],[Rev. H Bolt (N) Capacity]]+Bolts[[#This Row],[Rev. H Shear Sleeve Capacity]])</f>
        <v>51.297038648162726</v>
      </c>
      <c r="AL6">
        <f>IF(Bolts[[#This Row],[Bolt Name]]="","",Bolts[[#This Row],[Rev. H Bolt (X) Capacity]]+Bolts[[#This Row],[Rev. H Shear Sleeve Capacity]])</f>
        <v>56.775201794186216</v>
      </c>
      <c r="AM6" s="16" t="b">
        <f>IF(Bolts[[#This Row],[Bolt Name]]="","",TRUE)</f>
        <v>1</v>
      </c>
      <c r="AN6">
        <v>2</v>
      </c>
      <c r="AO6" t="b">
        <f>IF(Bolts[[#This Row],[Bolt Name]]="","",IF(ROW(Bolts[[#This Row],[Bolt Name]])&gt;15,FALSE,TRUE))</f>
        <v>1</v>
      </c>
      <c r="AW6" s="49"/>
      <c r="AX6" s="49"/>
      <c r="AY6" s="49"/>
      <c r="BA6" s="63"/>
      <c r="BB6" s="49"/>
      <c r="BC6" s="49"/>
      <c r="BD6" s="49"/>
      <c r="BE6" s="49"/>
      <c r="BF6" s="49"/>
      <c r="BG6" s="49"/>
      <c r="BH6" s="49"/>
      <c r="BI6" s="49"/>
      <c r="BJ6" s="49"/>
      <c r="BK6" s="49"/>
    </row>
    <row r="7" spans="2:63" x14ac:dyDescent="0.2">
      <c r="B7" t="s">
        <v>461</v>
      </c>
      <c r="C7" t="s">
        <v>462</v>
      </c>
      <c r="D7">
        <f>20/25.4</f>
        <v>0.78740157480314965</v>
      </c>
      <c r="E7">
        <f>IF(Bolts[[#This Row],[Bolt Name]]="","",Bolts[[#This Row],[Bolt Diameter (in)]]*25.4)</f>
        <v>20</v>
      </c>
      <c r="F7">
        <f>IF(Bolts[[#This Row],[Bolt Name]]="","",PI()/4*Bolts[[#This Row],[Bolt Diameter (in)]]^2)</f>
        <v>0.48694783520208834</v>
      </c>
      <c r="G7">
        <v>120</v>
      </c>
      <c r="H7">
        <f>29/25.4</f>
        <v>1.1417322834645669</v>
      </c>
      <c r="I7">
        <f>20.295/25.4</f>
        <v>0.79901574803149622</v>
      </c>
      <c r="J7" s="351">
        <v>0.434</v>
      </c>
      <c r="K7">
        <v>100</v>
      </c>
      <c r="L7">
        <f>IF(Bolts[[#This Row],[Bolt Name]]="","",IF(Bolts[[#This Row],[Bolt Fu (ksi)]]=120,21,IF(Bolts[[#This Row],[Bolt Fu (ksi)]]=150,28,"Error")))</f>
        <v>21</v>
      </c>
      <c r="M7">
        <f>IF(Bolts[[#This Row],[Bolt Name]]="","",IF(Bolts[[#This Row],[Bolt Fu (ksi)]]=120,30,IF(Bolts[[#This Row],[Bolt Fu (ksi)]]=150,40,"Error")))</f>
        <v>30</v>
      </c>
      <c r="N7">
        <f>IF(Bolts[[#This Row],[Bolt Name]]="","",Bolts[[#This Row],[Rev. F FVN]]*Bolts[[#This Row],[Area of Bolt (in2)]])</f>
        <v>10.225904539243855</v>
      </c>
      <c r="O7">
        <f>IF(Bolts[[#This Row],[Bolt Name]]="","",Bolts[[#This Row],[Rev. F FVX]]*Bolts[[#This Row],[Area of Bolt (in2)]])</f>
        <v>14.60843505606265</v>
      </c>
      <c r="P7">
        <f>IF(Bolts[[#This Row],[Bolt Name]]="","",Bolts[[#This Row],[Rev. F FVX]]*(Bolts[[#This Row],[Sleeve Fu (ksi)]]/Bolts[[#This Row],[Bolt Fu (ksi)]]))</f>
        <v>25</v>
      </c>
      <c r="Q7">
        <f>IF(Bolts[[#This Row],[Bolt Name]]="","",Bolts[[#This Row],[Rev. F Sleeve FVX]]*Bolts[[#This Row],[Sleeve Area (in2)]])</f>
        <v>10.85</v>
      </c>
      <c r="R7">
        <f>IF(Bolts[[#This Row],[Bolt Name]]="","",0.45*Bolts[[#This Row],[Bolt Fu (ksi)]])</f>
        <v>54</v>
      </c>
      <c r="S7">
        <f>IF(Bolts[[#This Row],[Bolt Name]]="","",0.55*Bolts[[#This Row],[Bolt Fu (ksi)]])</f>
        <v>66</v>
      </c>
      <c r="T7">
        <f>IF(Bolts[[#This Row],[Bolt Name]]="","",φ_bolt_shear*Bolts[[#This Row],[Rev. G FNVN]]*Bolts[[#This Row],[Area of Bolt (in2)]])</f>
        <v>19.721387325684578</v>
      </c>
      <c r="U7">
        <f>IF(Bolts[[#This Row],[Bolt Name]]="","",φ_bolt_shear*Bolts[[#This Row],[Rev. G FNVX]]*Bolts[[#This Row],[Area of Bolt (in2)]])</f>
        <v>24.103917842503375</v>
      </c>
      <c r="V7">
        <f>IF(Bolts[[#This Row],[Bolt Name]]="","",0.55*Bolts[[#This Row],[Sleeve Fu (ksi)]])</f>
        <v>55.000000000000007</v>
      </c>
      <c r="W7">
        <f>IF(Bolts[[#This Row],[Bolt Name]]="","",φ_bolt_shear*Bolts[[#This Row],[Rev. G Sleeve FNVX]]*Bolts[[#This Row],[Sleeve Area (in2)]])</f>
        <v>17.902500000000003</v>
      </c>
      <c r="X7">
        <f>IF(Bolts[[#This Row],[Bolt Name]]="","",0.625*0.8*Bolts[[#This Row],[Bolt Fu (ksi)]])</f>
        <v>60</v>
      </c>
      <c r="Y7">
        <f>IF(Bolts[[#This Row],[Bolt Name]]="","",0.625*Bolts[[#This Row],[Bolt Fu (ksi)]])</f>
        <v>75</v>
      </c>
      <c r="Z7">
        <f>IF(Bolts[[#This Row],[Bolt Name]]="","",φ_bolt_shear*Bolts[[#This Row],[Rev. H FNVN]]*Bolts[[#This Row],[Area of Bolt (in2)]])</f>
        <v>21.912652584093976</v>
      </c>
      <c r="AA7">
        <f>IF(Bolts[[#This Row],[Bolt Name]]="","",φ_bolt_shear*Bolts[[#This Row],[Rev. H FNVX]]*Bolts[[#This Row],[Area of Bolt (in2)]])</f>
        <v>27.39081573011747</v>
      </c>
      <c r="AB7">
        <f>IF(Bolts[[#This Row],[Bolt Name]]="","",0.625*Bolts[[#This Row],[Sleeve Fu (ksi)]])</f>
        <v>62.5</v>
      </c>
      <c r="AC7">
        <f>IF(Bolts[[#This Row],[Bolt Name]]="","",φ_bolt_shear*Bolts[[#This Row],[Rev. H Sleeve FNVX]]*Bolts[[#This Row],[Sleeve Area (in2)]])</f>
        <v>20.34375</v>
      </c>
      <c r="AD7">
        <v>29.225000000000001</v>
      </c>
      <c r="AE7">
        <v>34.396000000000001</v>
      </c>
      <c r="AF7">
        <f>43.837*0.9</f>
        <v>39.453300000000006</v>
      </c>
      <c r="AG7">
        <f>51.593*0.9</f>
        <v>46.433700000000002</v>
      </c>
      <c r="AH7">
        <f>IF(Bolts[[#This Row],[Bolt Name]]="","",Bolts[[#This Row],[Rev. H ΦRNN]])</f>
        <v>21.912652584093976</v>
      </c>
      <c r="AI7">
        <f>IF(Bolts[[#This Row],[Bolt Name]]="","",Bolts[[#This Row],[Rev. H ΦRNX]])</f>
        <v>27.39081573011747</v>
      </c>
      <c r="AJ7">
        <f>IF(Bolts[[#This Row],[Bolt Name]]="","",Bolts[[#This Row],[Rev. H Sleeve ΦRNX]])</f>
        <v>20.34375</v>
      </c>
      <c r="AK7">
        <v>43.837000000000003</v>
      </c>
      <c r="AL7">
        <v>51.593000000000004</v>
      </c>
      <c r="AM7" s="16" t="b">
        <f>IF(Bolts[[#This Row],[Bolt Name]]="","",TRUE)</f>
        <v>1</v>
      </c>
      <c r="AN7">
        <v>3</v>
      </c>
      <c r="AO7" t="b">
        <f>IF(Bolts[[#This Row],[Bolt Name]]="","",IF(ROW(Bolts[[#This Row],[Bolt Name]])&gt;15,FALSE,TRUE))</f>
        <v>1</v>
      </c>
      <c r="AW7" s="49"/>
      <c r="AX7" s="49"/>
      <c r="AY7" s="49"/>
      <c r="BA7" s="63"/>
      <c r="BB7" s="49"/>
      <c r="BC7" s="49"/>
      <c r="BD7" s="49"/>
      <c r="BE7" s="49"/>
      <c r="BF7" s="49"/>
      <c r="BG7" s="49"/>
      <c r="BH7" s="49"/>
      <c r="BI7" s="49"/>
      <c r="BJ7" s="49"/>
      <c r="BK7" s="49"/>
    </row>
    <row r="8" spans="2:63" x14ac:dyDescent="0.2">
      <c r="B8" t="s">
        <v>463</v>
      </c>
      <c r="C8" t="s">
        <v>464</v>
      </c>
      <c r="D8">
        <f>20/25.4</f>
        <v>0.78740157480314965</v>
      </c>
      <c r="E8">
        <f>IF(Bolts[[#This Row],[Bolt Name]]="","",Bolts[[#This Row],[Bolt Diameter (in)]]*25.4)</f>
        <v>20</v>
      </c>
      <c r="F8">
        <f>IF(Bolts[[#This Row],[Bolt Name]]="","",PI()/4*Bolts[[#This Row],[Bolt Diameter (in)]]^2)</f>
        <v>0.48694783520208834</v>
      </c>
      <c r="G8">
        <v>120</v>
      </c>
      <c r="H8">
        <f>29/25.4</f>
        <v>1.1417322834645669</v>
      </c>
      <c r="I8">
        <f>20.295/25.4</f>
        <v>0.79901574803149622</v>
      </c>
      <c r="J8" s="351">
        <v>0.434</v>
      </c>
      <c r="K8">
        <v>120</v>
      </c>
      <c r="L8">
        <f>IF(Bolts[[#This Row],[Bolt Name]]="","",IF(Bolts[[#This Row],[Bolt Fu (ksi)]]=120,21,IF(Bolts[[#This Row],[Bolt Fu (ksi)]]=150,28,"Error")))</f>
        <v>21</v>
      </c>
      <c r="M8">
        <f>IF(Bolts[[#This Row],[Bolt Name]]="","",IF(Bolts[[#This Row],[Bolt Fu (ksi)]]=120,30,IF(Bolts[[#This Row],[Bolt Fu (ksi)]]=150,40,"Error")))</f>
        <v>30</v>
      </c>
      <c r="N8">
        <f>IF(Bolts[[#This Row],[Bolt Name]]="","",Bolts[[#This Row],[Rev. F FVN]]*Bolts[[#This Row],[Area of Bolt (in2)]])</f>
        <v>10.225904539243855</v>
      </c>
      <c r="O8">
        <f>IF(Bolts[[#This Row],[Bolt Name]]="","",Bolts[[#This Row],[Rev. F FVX]]*Bolts[[#This Row],[Area of Bolt (in2)]])</f>
        <v>14.60843505606265</v>
      </c>
      <c r="P8">
        <f>IF(Bolts[[#This Row],[Bolt Name]]="","",Bolts[[#This Row],[Rev. F FVX]]*(Bolts[[#This Row],[Sleeve Fu (ksi)]]/Bolts[[#This Row],[Bolt Fu (ksi)]]))</f>
        <v>30</v>
      </c>
      <c r="Q8">
        <f>IF(Bolts[[#This Row],[Bolt Name]]="","",Bolts[[#This Row],[Rev. F Sleeve FVX]]*Bolts[[#This Row],[Sleeve Area (in2)]])</f>
        <v>13.02</v>
      </c>
      <c r="R8">
        <f>IF(Bolts[[#This Row],[Bolt Name]]="","",0.45*Bolts[[#This Row],[Bolt Fu (ksi)]])</f>
        <v>54</v>
      </c>
      <c r="S8">
        <f>IF(Bolts[[#This Row],[Bolt Name]]="","",0.55*Bolts[[#This Row],[Bolt Fu (ksi)]])</f>
        <v>66</v>
      </c>
      <c r="T8">
        <f>IF(Bolts[[#This Row],[Bolt Name]]="","",φ_bolt_shear*Bolts[[#This Row],[Rev. G FNVN]]*Bolts[[#This Row],[Area of Bolt (in2)]])</f>
        <v>19.721387325684578</v>
      </c>
      <c r="U8">
        <f>IF(Bolts[[#This Row],[Bolt Name]]="","",φ_bolt_shear*Bolts[[#This Row],[Rev. G FNVX]]*Bolts[[#This Row],[Area of Bolt (in2)]])</f>
        <v>24.103917842503375</v>
      </c>
      <c r="V8">
        <f>IF(Bolts[[#This Row],[Bolt Name]]="","",0.55*Bolts[[#This Row],[Sleeve Fu (ksi)]])</f>
        <v>66</v>
      </c>
      <c r="W8">
        <f>IF(Bolts[[#This Row],[Bolt Name]]="","",φ_bolt_shear*Bolts[[#This Row],[Rev. G Sleeve FNVX]]*Bolts[[#This Row],[Sleeve Area (in2)]])</f>
        <v>21.483000000000001</v>
      </c>
      <c r="X8">
        <f>IF(Bolts[[#This Row],[Bolt Name]]="","",0.625*0.8*Bolts[[#This Row],[Bolt Fu (ksi)]])</f>
        <v>60</v>
      </c>
      <c r="Y8">
        <f>IF(Bolts[[#This Row],[Bolt Name]]="","",0.625*Bolts[[#This Row],[Bolt Fu (ksi)]])</f>
        <v>75</v>
      </c>
      <c r="Z8">
        <f>IF(Bolts[[#This Row],[Bolt Name]]="","",φ_bolt_shear*Bolts[[#This Row],[Rev. H FNVN]]*Bolts[[#This Row],[Area of Bolt (in2)]])</f>
        <v>21.912652584093976</v>
      </c>
      <c r="AA8">
        <f>IF(Bolts[[#This Row],[Bolt Name]]="","",φ_bolt_shear*Bolts[[#This Row],[Rev. H FNVX]]*Bolts[[#This Row],[Area of Bolt (in2)]])</f>
        <v>27.39081573011747</v>
      </c>
      <c r="AB8">
        <f>IF(Bolts[[#This Row],[Bolt Name]]="","",0.625*Bolts[[#This Row],[Sleeve Fu (ksi)]])</f>
        <v>75</v>
      </c>
      <c r="AC8">
        <f>IF(Bolts[[#This Row],[Bolt Name]]="","",φ_bolt_shear*Bolts[[#This Row],[Rev. H Sleeve FNVX]]*Bolts[[#This Row],[Sleeve Area (in2)]])</f>
        <v>24.412500000000001</v>
      </c>
      <c r="AD8">
        <v>36.194000000000003</v>
      </c>
      <c r="AE8">
        <v>41.365000000000002</v>
      </c>
      <c r="AF8">
        <f>54.29*0.9</f>
        <v>48.860999999999997</v>
      </c>
      <c r="AG8">
        <f>62.047*0.9</f>
        <v>55.842300000000002</v>
      </c>
      <c r="AH8">
        <f>IF(Bolts[[#This Row],[Bolt Name]]="","",Bolts[[#This Row],[Rev. H ΦRNN]])</f>
        <v>21.912652584093976</v>
      </c>
      <c r="AI8">
        <f>IF(Bolts[[#This Row],[Bolt Name]]="","",Bolts[[#This Row],[Rev. H ΦRNX]])</f>
        <v>27.39081573011747</v>
      </c>
      <c r="AJ8">
        <f>IF(Bolts[[#This Row],[Bolt Name]]="","",Bolts[[#This Row],[Rev. H Sleeve ΦRNX]])</f>
        <v>24.412500000000001</v>
      </c>
      <c r="AK8">
        <v>54.29</v>
      </c>
      <c r="AL8">
        <v>62.046999999999997</v>
      </c>
      <c r="AM8" s="16" t="b">
        <f>IF(Bolts[[#This Row],[Bolt Name]]="","",TRUE)</f>
        <v>1</v>
      </c>
      <c r="AN8">
        <v>4</v>
      </c>
      <c r="AO8" t="b">
        <f>IF(Bolts[[#This Row],[Bolt Name]]="","",IF(ROW(Bolts[[#This Row],[Bolt Name]])&gt;15,FALSE,TRUE))</f>
        <v>1</v>
      </c>
      <c r="AW8" s="49"/>
      <c r="AX8" s="49"/>
      <c r="AY8" s="49"/>
      <c r="BA8" s="63"/>
      <c r="BB8" s="49"/>
      <c r="BC8" s="49"/>
      <c r="BD8" s="49"/>
      <c r="BE8" s="49"/>
      <c r="BF8" s="49"/>
      <c r="BG8" s="49"/>
      <c r="BH8" s="49"/>
      <c r="BI8" s="49"/>
      <c r="BJ8" s="49"/>
      <c r="BK8" s="49"/>
    </row>
    <row r="9" spans="2:63" x14ac:dyDescent="0.2">
      <c r="B9" s="49" t="s">
        <v>465</v>
      </c>
      <c r="C9" s="49" t="s">
        <v>466</v>
      </c>
      <c r="D9">
        <f>20/25.4</f>
        <v>0.78740157480314965</v>
      </c>
      <c r="E9">
        <f>IF(Bolts[[#This Row],[Bolt Name]]="","",Bolts[[#This Row],[Bolt Diameter (in)]]*25.4)</f>
        <v>20</v>
      </c>
      <c r="F9">
        <f>IF(Bolts[[#This Row],[Bolt Name]]="","",PI()/4*Bolts[[#This Row],[Bolt Diameter (in)]]^2)</f>
        <v>0.48694783520208834</v>
      </c>
      <c r="G9">
        <v>150</v>
      </c>
      <c r="H9">
        <f>29/25.4</f>
        <v>1.1417322834645669</v>
      </c>
      <c r="I9">
        <f>20.295/25.4</f>
        <v>0.79901574803149622</v>
      </c>
      <c r="J9">
        <f>IF(Bolts[[#This Row],[Bolt Name]]="","",PI()/4*(Bolts[[#This Row],[Sleeve Outer Diameter (in)]]^2-Bolts[[#This Row],[Sleeve Inner Diameter (in)]]^2))</f>
        <v>0.52238908558344443</v>
      </c>
      <c r="K9">
        <v>120</v>
      </c>
      <c r="L9">
        <f>IF(Bolts[[#This Row],[Bolt Name]]="","",IF(Bolts[[#This Row],[Bolt Fu (ksi)]]=120,21,IF(Bolts[[#This Row],[Bolt Fu (ksi)]]=150,28,"Error")))</f>
        <v>28</v>
      </c>
      <c r="M9">
        <f>IF(Bolts[[#This Row],[Bolt Name]]="","",IF(Bolts[[#This Row],[Bolt Fu (ksi)]]=120,30,IF(Bolts[[#This Row],[Bolt Fu (ksi)]]=150,40,"Error")))</f>
        <v>40</v>
      </c>
      <c r="N9">
        <f>IF(Bolts[[#This Row],[Bolt Name]]="","",Bolts[[#This Row],[Rev. F FVN]]*Bolts[[#This Row],[Area of Bolt (in2)]])</f>
        <v>13.634539385658474</v>
      </c>
      <c r="O9">
        <f>IF(Bolts[[#This Row],[Bolt Name]]="","",Bolts[[#This Row],[Rev. F FVX]]*Bolts[[#This Row],[Area of Bolt (in2)]])</f>
        <v>19.477913408083534</v>
      </c>
      <c r="P9" s="351">
        <v>30</v>
      </c>
      <c r="Q9">
        <f>IF(Bolts[[#This Row],[Bolt Name]]="","",Bolts[[#This Row],[Rev. F Sleeve FVX]]*Bolts[[#This Row],[Sleeve Area (in2)]])</f>
        <v>15.671672567503332</v>
      </c>
      <c r="R9">
        <f>IF(Bolts[[#This Row],[Bolt Name]]="","",0.45*Bolts[[#This Row],[Bolt Fu (ksi)]])</f>
        <v>67.5</v>
      </c>
      <c r="S9">
        <f>IF(Bolts[[#This Row],[Bolt Name]]="","",0.55*Bolts[[#This Row],[Bolt Fu (ksi)]])</f>
        <v>82.5</v>
      </c>
      <c r="T9">
        <f>IF(Bolts[[#This Row],[Bolt Name]]="","",φ_bolt_shear*Bolts[[#This Row],[Rev. G FNVN]]*Bolts[[#This Row],[Area of Bolt (in2)]])</f>
        <v>24.651734157105722</v>
      </c>
      <c r="U9">
        <f>IF(Bolts[[#This Row],[Bolt Name]]="","",φ_bolt_shear*Bolts[[#This Row],[Rev. G FNVX]]*Bolts[[#This Row],[Area of Bolt (in2)]])</f>
        <v>30.129897303129216</v>
      </c>
      <c r="V9">
        <f>IF(Bolts[[#This Row],[Bolt Name]]="","",0.55*Bolts[[#This Row],[Sleeve Fu (ksi)]])</f>
        <v>66</v>
      </c>
      <c r="W9">
        <f>IF(Bolts[[#This Row],[Bolt Name]]="","",φ_bolt_shear*Bolts[[#This Row],[Rev. G Sleeve FNVX]]*Bolts[[#This Row],[Sleeve Area (in2)]])</f>
        <v>25.8582597363805</v>
      </c>
      <c r="X9">
        <f>IF(Bolts[[#This Row],[Bolt Name]]="","",0.625*0.8*Bolts[[#This Row],[Bolt Fu (ksi)]])</f>
        <v>75</v>
      </c>
      <c r="Y9">
        <f>IF(Bolts[[#This Row],[Bolt Name]]="","",0.625*Bolts[[#This Row],[Bolt Fu (ksi)]])</f>
        <v>93.75</v>
      </c>
      <c r="Z9">
        <f>IF(Bolts[[#This Row],[Bolt Name]]="","",φ_bolt_shear*Bolts[[#This Row],[Rev. H FNVN]]*Bolts[[#This Row],[Area of Bolt (in2)]])</f>
        <v>27.39081573011747</v>
      </c>
      <c r="AA9">
        <f>IF(Bolts[[#This Row],[Bolt Name]]="","",φ_bolt_shear*Bolts[[#This Row],[Rev. H FNVX]]*Bolts[[#This Row],[Area of Bolt (in2)]])</f>
        <v>34.238519662646837</v>
      </c>
      <c r="AB9">
        <f>IF(Bolts[[#This Row],[Bolt Name]]="","",0.625*Bolts[[#This Row],[Sleeve Fu (ksi)]])</f>
        <v>75</v>
      </c>
      <c r="AC9">
        <f>IF(Bolts[[#This Row],[Bolt Name]]="","",φ_bolt_shear*Bolts[[#This Row],[Rev. H Sleeve FNVX]]*Bolts[[#This Row],[Sleeve Area (in2)]])</f>
        <v>29.38438606406875</v>
      </c>
      <c r="AD9">
        <f>IF(Bolts[[#This Row],[Bolt Name]]="","",(Bolts[[#This Row],[Rev. F RN]]+Bolts[[#This Row],[Rev. F Sleeve RN]]))</f>
        <v>29.306211953161807</v>
      </c>
      <c r="AE9">
        <f>IF(Bolts[[#This Row],[Bolt Name]]="","",(Bolts[[#This Row],[Rev. F RX]]+Bolts[[#This Row],[Rev. F Sleeve RN]]))</f>
        <v>35.149585975586866</v>
      </c>
      <c r="AF9">
        <f>IF(Bolts[[#This Row],[Bolt Name]]="","",Bolts[[#This Row],[Rev. G ΦRNN]]+Bolts[[#This Row],[Rev. G Sleeve ΦRNX]])</f>
        <v>50.509993893486225</v>
      </c>
      <c r="AG9">
        <f>IF(Bolts[[#This Row],[Bolt Name]]="","",Bolts[[#This Row],[Rev. G ΦRNX]]+Bolts[[#This Row],[Rev. G Sleeve ΦRNX]])</f>
        <v>55.988157039509716</v>
      </c>
      <c r="AH9">
        <f>IF(Bolts[[#This Row],[Bolt Name]]="","",Bolts[[#This Row],[Rev. H ΦRNN]])</f>
        <v>27.39081573011747</v>
      </c>
      <c r="AI9">
        <f>IF(Bolts[[#This Row],[Bolt Name]]="","",Bolts[[#This Row],[Rev. H ΦRNX]])</f>
        <v>34.238519662646837</v>
      </c>
      <c r="AJ9">
        <f>IF(Bolts[[#This Row],[Bolt Name]]="","",Bolts[[#This Row],[Rev. H Sleeve ΦRNX]])</f>
        <v>29.38438606406875</v>
      </c>
      <c r="AK9">
        <f>IF(Bolts[[#This Row],[Bolt Name]]="","",Bolts[[#This Row],[Rev. H Bolt (N) Capacity]]+Bolts[[#This Row],[Rev. H Shear Sleeve Capacity]])</f>
        <v>56.775201794186216</v>
      </c>
      <c r="AL9">
        <f>IF(Bolts[[#This Row],[Bolt Name]]="","",Bolts[[#This Row],[Rev. H Bolt (X) Capacity]]+Bolts[[#This Row],[Rev. H Shear Sleeve Capacity]])</f>
        <v>63.622905726715587</v>
      </c>
      <c r="AM9" s="16" t="b">
        <f>IF(Bolts[[#This Row],[Bolt Name]]="","",TRUE)</f>
        <v>1</v>
      </c>
      <c r="AN9">
        <v>5</v>
      </c>
      <c r="AO9" t="b">
        <f>IF(Bolts[[#This Row],[Bolt Name]]="","",IF(ROW(Bolts[[#This Row],[Bolt Name]])&gt;15,FALSE,TRUE))</f>
        <v>1</v>
      </c>
      <c r="AW9" s="16"/>
      <c r="AX9" s="16"/>
      <c r="AY9" s="16"/>
      <c r="BA9" s="63"/>
    </row>
    <row r="10" spans="2:63" x14ac:dyDescent="0.2">
      <c r="B10" s="49" t="s">
        <v>467</v>
      </c>
      <c r="C10" s="49" t="s">
        <v>468</v>
      </c>
      <c r="D10">
        <f>22/25.4</f>
        <v>0.86614173228346458</v>
      </c>
      <c r="E10">
        <f>IF(Bolts[[#This Row],[Bolt Name]]="","",Bolts[[#This Row],[Bolt Diameter (in)]]*25.4)</f>
        <v>22</v>
      </c>
      <c r="F10">
        <f>IF(Bolts[[#This Row],[Bolt Name]]="","",PI()/4*Bolts[[#This Row],[Bolt Diameter (in)]]^2)</f>
        <v>0.58920688059452686</v>
      </c>
      <c r="G10">
        <v>120</v>
      </c>
      <c r="H10">
        <f>30/25.4</f>
        <v>1.1811023622047245</v>
      </c>
      <c r="I10">
        <f>22/25.4</f>
        <v>0.86614173228346458</v>
      </c>
      <c r="J10" s="351">
        <v>0.46922599999999998</v>
      </c>
      <c r="K10">
        <v>120</v>
      </c>
      <c r="L10" s="351">
        <v>34</v>
      </c>
      <c r="M10" s="351">
        <v>34</v>
      </c>
      <c r="N10">
        <f>IF(Bolts[[#This Row],[Bolt Name]]="","",Bolts[[#This Row],[Rev. F FVN]]*Bolts[[#This Row],[Area of Bolt (in2)]])</f>
        <v>20.033033940213912</v>
      </c>
      <c r="O10">
        <f>IF(Bolts[[#This Row],[Bolt Name]]="","",Bolts[[#This Row],[Rev. F FVX]]*Bolts[[#This Row],[Area of Bolt (in2)]])</f>
        <v>20.033033940213912</v>
      </c>
      <c r="P10" s="351">
        <v>34</v>
      </c>
      <c r="Q10">
        <f>IF(Bolts[[#This Row],[Bolt Name]]="","",Bolts[[#This Row],[Rev. F Sleeve FVX]]*Bolts[[#This Row],[Sleeve Area (in2)]])</f>
        <v>15.953683999999999</v>
      </c>
      <c r="R10" s="351">
        <v>68</v>
      </c>
      <c r="S10" s="351">
        <v>68</v>
      </c>
      <c r="T10">
        <f>IF(Bolts[[#This Row],[Bolt Name]]="","",φ_bolt_shear*Bolts[[#This Row],[Rev. G FNVN]]*Bolts[[#This Row],[Area of Bolt (in2)]])</f>
        <v>30.049550910320871</v>
      </c>
      <c r="U10">
        <f>IF(Bolts[[#This Row],[Bolt Name]]="","",φ_bolt_shear*Bolts[[#This Row],[Rev. G FNVX]]*Bolts[[#This Row],[Area of Bolt (in2)]])</f>
        <v>30.049550910320871</v>
      </c>
      <c r="V10" s="351">
        <v>68</v>
      </c>
      <c r="W10">
        <f>IF(Bolts[[#This Row],[Bolt Name]]="","",φ_bolt_shear*Bolts[[#This Row],[Rev. G Sleeve FNVX]]*Bolts[[#This Row],[Sleeve Area (in2)]])</f>
        <v>23.930526</v>
      </c>
      <c r="X10">
        <f>IF(Bolts[[#This Row],[Bolt Name]]="","",0.625*0.8*Bolts[[#This Row],[Bolt Fu (ksi)]])</f>
        <v>60</v>
      </c>
      <c r="Y10">
        <f>IF(Bolts[[#This Row],[Bolt Name]]="","",0.625*Bolts[[#This Row],[Bolt Fu (ksi)]])</f>
        <v>75</v>
      </c>
      <c r="Z10">
        <f>IF(Bolts[[#This Row],[Bolt Name]]="","",φ_bolt_shear*Bolts[[#This Row],[Rev. H FNVN]]*Bolts[[#This Row],[Area of Bolt (in2)]])</f>
        <v>26.514309626753708</v>
      </c>
      <c r="AA10">
        <f>IF(Bolts[[#This Row],[Bolt Name]]="","",φ_bolt_shear*Bolts[[#This Row],[Rev. H FNVX]]*Bolts[[#This Row],[Area of Bolt (in2)]])</f>
        <v>33.142887033442136</v>
      </c>
      <c r="AB10">
        <f>IF(Bolts[[#This Row],[Bolt Name]]="","",0.625*Bolts[[#This Row],[Sleeve Fu (ksi)]])</f>
        <v>75</v>
      </c>
      <c r="AC10">
        <f>IF(Bolts[[#This Row],[Bolt Name]]="","",φ_bolt_shear*Bolts[[#This Row],[Rev. H Sleeve FNVX]]*Bolts[[#This Row],[Sleeve Area (in2)]])</f>
        <v>26.393962499999997</v>
      </c>
      <c r="AD10">
        <v>35.987000000000002</v>
      </c>
      <c r="AE10">
        <v>35.987000000000002</v>
      </c>
      <c r="AF10">
        <f>53.98</f>
        <v>53.98</v>
      </c>
      <c r="AG10">
        <f>53.98</f>
        <v>53.98</v>
      </c>
      <c r="AH10">
        <f>IF(Bolts[[#This Row],[Bolt Name]]="","",Bolts[[#This Row],[Rev. H ΦRNN]])</f>
        <v>26.514309626753708</v>
      </c>
      <c r="AI10">
        <f>IF(Bolts[[#This Row],[Bolt Name]]="","",Bolts[[#This Row],[Rev. H ΦRNX]])</f>
        <v>33.142887033442136</v>
      </c>
      <c r="AJ10">
        <f>IF(Bolts[[#This Row],[Bolt Name]]="","",Bolts[[#This Row],[Rev. H Sleeve ΦRNX]])</f>
        <v>26.393962499999997</v>
      </c>
      <c r="AK10" s="49">
        <f>53.98/0.9</f>
        <v>59.977777777777774</v>
      </c>
      <c r="AL10" s="49">
        <f>53.98/0.9</f>
        <v>59.977777777777774</v>
      </c>
      <c r="AM10" s="16" t="b">
        <f>IF(Bolts[[#This Row],[Bolt Name]]="","",TRUE)</f>
        <v>1</v>
      </c>
      <c r="AN10">
        <v>6</v>
      </c>
      <c r="AO10" t="b">
        <f>IF(Bolts[[#This Row],[Bolt Name]]="","",IF(ROW(Bolts[[#This Row],[Bolt Name]])&gt;15,FALSE,TRUE))</f>
        <v>1</v>
      </c>
      <c r="AW10" s="16"/>
      <c r="AX10" s="16"/>
      <c r="AY10" s="16"/>
      <c r="BA10" s="63"/>
    </row>
    <row r="11" spans="2:63" x14ac:dyDescent="0.2">
      <c r="B11" s="49" t="s">
        <v>469</v>
      </c>
      <c r="C11" s="49" t="s">
        <v>470</v>
      </c>
      <c r="D11">
        <f>22/25.4</f>
        <v>0.86614173228346458</v>
      </c>
      <c r="E11">
        <f>IF(Bolts[[#This Row],[Bolt Name]]="","",Bolts[[#This Row],[Bolt Diameter (in)]]*25.4)</f>
        <v>22</v>
      </c>
      <c r="F11">
        <f>IF(Bolts[[#This Row],[Bolt Name]]="","",PI()/4*Bolts[[#This Row],[Bolt Diameter (in)]]^2)</f>
        <v>0.58920688059452686</v>
      </c>
      <c r="G11">
        <v>150</v>
      </c>
      <c r="H11">
        <f>30/25.4</f>
        <v>1.1811023622047245</v>
      </c>
      <c r="I11">
        <f>22/25.4</f>
        <v>0.86614173228346458</v>
      </c>
      <c r="J11" s="351">
        <v>0.46922599999999998</v>
      </c>
      <c r="K11">
        <v>120</v>
      </c>
      <c r="L11" s="351">
        <v>42</v>
      </c>
      <c r="M11" s="351">
        <v>42</v>
      </c>
      <c r="N11">
        <f>IF(Bolts[[#This Row],[Bolt Name]]="","",Bolts[[#This Row],[Rev. F FVN]]*Bolts[[#This Row],[Area of Bolt (in2)]])</f>
        <v>24.746688984970127</v>
      </c>
      <c r="O11">
        <f>IF(Bolts[[#This Row],[Bolt Name]]="","",Bolts[[#This Row],[Rev. F FVX]]*Bolts[[#This Row],[Area of Bolt (in2)]])</f>
        <v>24.746688984970127</v>
      </c>
      <c r="P11" s="351">
        <v>42</v>
      </c>
      <c r="Q11">
        <f>IF(Bolts[[#This Row],[Bolt Name]]="","",Bolts[[#This Row],[Rev. F Sleeve FVX]]*Bolts[[#This Row],[Sleeve Area (in2)]])</f>
        <v>19.707491999999998</v>
      </c>
      <c r="R11" s="351">
        <v>84</v>
      </c>
      <c r="S11" s="351">
        <v>84</v>
      </c>
      <c r="T11">
        <f>IF(Bolts[[#This Row],[Bolt Name]]="","",φ_bolt_shear*Bolts[[#This Row],[Rev. G FNVN]]*Bolts[[#This Row],[Area of Bolt (in2)]])</f>
        <v>37.120033477455195</v>
      </c>
      <c r="U11">
        <f>IF(Bolts[[#This Row],[Bolt Name]]="","",φ_bolt_shear*Bolts[[#This Row],[Rev. G FNVX]]*Bolts[[#This Row],[Area of Bolt (in2)]])</f>
        <v>37.120033477455195</v>
      </c>
      <c r="V11" s="351">
        <v>84</v>
      </c>
      <c r="W11">
        <f>IF(Bolts[[#This Row],[Bolt Name]]="","",φ_bolt_shear*Bolts[[#This Row],[Rev. G Sleeve FNVX]]*Bolts[[#This Row],[Sleeve Area (in2)]])</f>
        <v>29.561237999999999</v>
      </c>
      <c r="X11">
        <f>IF(Bolts[[#This Row],[Bolt Name]]="","",0.625*0.8*Bolts[[#This Row],[Bolt Fu (ksi)]])</f>
        <v>75</v>
      </c>
      <c r="Y11">
        <f>IF(Bolts[[#This Row],[Bolt Name]]="","",0.625*Bolts[[#This Row],[Bolt Fu (ksi)]])</f>
        <v>93.75</v>
      </c>
      <c r="Z11">
        <f>IF(Bolts[[#This Row],[Bolt Name]]="","",φ_bolt_shear*Bolts[[#This Row],[Rev. H FNVN]]*Bolts[[#This Row],[Area of Bolt (in2)]])</f>
        <v>33.142887033442136</v>
      </c>
      <c r="AA11">
        <f>IF(Bolts[[#This Row],[Bolt Name]]="","",φ_bolt_shear*Bolts[[#This Row],[Rev. H FNVX]]*Bolts[[#This Row],[Area of Bolt (in2)]])</f>
        <v>41.428608791802667</v>
      </c>
      <c r="AB11">
        <f>IF(Bolts[[#This Row],[Bolt Name]]="","",0.625*Bolts[[#This Row],[Sleeve Fu (ksi)]])</f>
        <v>75</v>
      </c>
      <c r="AC11">
        <f>IF(Bolts[[#This Row],[Bolt Name]]="","",φ_bolt_shear*Bolts[[#This Row],[Rev. H Sleeve FNVX]]*Bolts[[#This Row],[Sleeve Area (in2)]])</f>
        <v>26.393962499999997</v>
      </c>
      <c r="AD11">
        <v>44.453000000000003</v>
      </c>
      <c r="AE11">
        <v>44.453000000000003</v>
      </c>
      <c r="AF11">
        <v>66.680000000000007</v>
      </c>
      <c r="AG11">
        <v>66.680000000000007</v>
      </c>
      <c r="AH11">
        <f>IF(Bolts[[#This Row],[Bolt Name]]="","",Bolts[[#This Row],[Rev. H ΦRNN]])</f>
        <v>33.142887033442136</v>
      </c>
      <c r="AI11">
        <f>IF(Bolts[[#This Row],[Bolt Name]]="","",Bolts[[#This Row],[Rev. H ΦRNX]])</f>
        <v>41.428608791802667</v>
      </c>
      <c r="AJ11">
        <f>IF(Bolts[[#This Row],[Bolt Name]]="","",Bolts[[#This Row],[Rev. H Sleeve ΦRNX]])</f>
        <v>26.393962499999997</v>
      </c>
      <c r="AK11">
        <f>66.68/0.9</f>
        <v>74.088888888888889</v>
      </c>
      <c r="AL11">
        <f>66.68/0.9</f>
        <v>74.088888888888889</v>
      </c>
      <c r="AM11" s="16" t="b">
        <f>IF(Bolts[[#This Row],[Bolt Name]]="","",TRUE)</f>
        <v>1</v>
      </c>
      <c r="AN11">
        <v>7</v>
      </c>
      <c r="AO11" t="b">
        <f>IF(Bolts[[#This Row],[Bolt Name]]="","",IF(ROW(Bolts[[#This Row],[Bolt Name]])&gt;15,FALSE,TRUE))</f>
        <v>1</v>
      </c>
      <c r="AW11" s="34"/>
      <c r="AX11" s="16"/>
      <c r="AY11" s="34"/>
      <c r="BA11" s="63"/>
    </row>
    <row r="12" spans="2:63" x14ac:dyDescent="0.2">
      <c r="B12" s="49" t="s">
        <v>471</v>
      </c>
      <c r="C12" s="49" t="s">
        <v>472</v>
      </c>
      <c r="D12">
        <v>0.625</v>
      </c>
      <c r="E12">
        <f>IF(Bolts[[#This Row],[Bolt Name]]="","",Bolts[[#This Row],[Bolt Diameter (in)]]*25.4)</f>
        <v>15.875</v>
      </c>
      <c r="F12">
        <f>IF(Bolts[[#This Row],[Bolt Name]]="","",PI()/4*Bolts[[#This Row],[Bolt Diameter (in)]]^2)</f>
        <v>0.30679615757712825</v>
      </c>
      <c r="G12">
        <v>120</v>
      </c>
      <c r="H12">
        <v>0.68500000000000005</v>
      </c>
      <c r="I12">
        <v>0.625</v>
      </c>
      <c r="J12">
        <f>IF(Bolts[[#This Row],[Bolt Name]]="","",PI()/4*(Bolts[[#This Row],[Sleeve Outer Diameter (in)]]^2-Bolts[[#This Row],[Sleeve Inner Diameter (in)]]^2))</f>
        <v>6.1732295643039482E-2</v>
      </c>
      <c r="K12">
        <v>120</v>
      </c>
      <c r="L12">
        <f>IF(Bolts[[#This Row],[Bolt Name]]="","",IF(Bolts[[#This Row],[Bolt Fu (ksi)]]=120,21,IF(Bolts[[#This Row],[Bolt Fu (ksi)]]=150,28,"Error")))</f>
        <v>21</v>
      </c>
      <c r="M12">
        <f>IF(Bolts[[#This Row],[Bolt Name]]="","",IF(Bolts[[#This Row],[Bolt Fu (ksi)]]=120,30,IF(Bolts[[#This Row],[Bolt Fu (ksi)]]=150,40,"Error")))</f>
        <v>30</v>
      </c>
      <c r="N12">
        <f>IF(Bolts[[#This Row],[Bolt Name]]="","",Bolts[[#This Row],[Rev. F FVN]]*Bolts[[#This Row],[Area of Bolt (in2)]])</f>
        <v>6.4427193091196928</v>
      </c>
      <c r="O12">
        <f>IF(Bolts[[#This Row],[Bolt Name]]="","",Bolts[[#This Row],[Rev. F FVX]]*Bolts[[#This Row],[Area of Bolt (in2)]])</f>
        <v>9.2038847273138469</v>
      </c>
      <c r="P12">
        <f>IF(Bolts[[#This Row],[Bolt Name]]="","",Bolts[[#This Row],[Rev. F FVX]]*(Bolts[[#This Row],[Sleeve Fu (ksi)]]/Bolts[[#This Row],[Bolt Fu (ksi)]]))</f>
        <v>30</v>
      </c>
      <c r="Q12">
        <f>IF(Bolts[[#This Row],[Bolt Name]]="","",Bolts[[#This Row],[Rev. F Sleeve FVX]]*Bolts[[#This Row],[Sleeve Area (in2)]])</f>
        <v>1.8519688692911844</v>
      </c>
      <c r="R12">
        <f>IF(Bolts[[#This Row],[Bolt Name]]="","",0.45*Bolts[[#This Row],[Bolt Fu (ksi)]])</f>
        <v>54</v>
      </c>
      <c r="S12">
        <f>IF(Bolts[[#This Row],[Bolt Name]]="","",0.55*Bolts[[#This Row],[Bolt Fu (ksi)]])</f>
        <v>66</v>
      </c>
      <c r="T12">
        <f>IF(Bolts[[#This Row],[Bolt Name]]="","",φ_bolt_shear*Bolts[[#This Row],[Rev. G FNVN]]*Bolts[[#This Row],[Area of Bolt (in2)]])</f>
        <v>12.425244381873695</v>
      </c>
      <c r="U12">
        <f>IF(Bolts[[#This Row],[Bolt Name]]="","",φ_bolt_shear*Bolts[[#This Row],[Rev. G FNVX]]*Bolts[[#This Row],[Area of Bolt (in2)]])</f>
        <v>15.186409800067848</v>
      </c>
      <c r="V12">
        <f>IF(Bolts[[#This Row],[Bolt Name]]="","",0.55*Bolts[[#This Row],[Sleeve Fu (ksi)]])</f>
        <v>66</v>
      </c>
      <c r="W12">
        <f>IF(Bolts[[#This Row],[Bolt Name]]="","",φ_bolt_shear*Bolts[[#This Row],[Rev. G Sleeve FNVX]]*Bolts[[#This Row],[Sleeve Area (in2)]])</f>
        <v>3.0557486343304543</v>
      </c>
      <c r="X12">
        <f>IF(Bolts[[#This Row],[Bolt Name]]="","",0.625*0.8*Bolts[[#This Row],[Bolt Fu (ksi)]])</f>
        <v>60</v>
      </c>
      <c r="Y12">
        <f>IF(Bolts[[#This Row],[Bolt Name]]="","",0.625*Bolts[[#This Row],[Bolt Fu (ksi)]])</f>
        <v>75</v>
      </c>
      <c r="Z12">
        <f>IF(Bolts[[#This Row],[Bolt Name]]="","",φ_bolt_shear*Bolts[[#This Row],[Rev. H FNVN]]*Bolts[[#This Row],[Area of Bolt (in2)]])</f>
        <v>13.805827090970771</v>
      </c>
      <c r="AA12">
        <f>IF(Bolts[[#This Row],[Bolt Name]]="","",φ_bolt_shear*Bolts[[#This Row],[Rev. H FNVX]]*Bolts[[#This Row],[Area of Bolt (in2)]])</f>
        <v>17.257283863713464</v>
      </c>
      <c r="AB12">
        <f>IF(Bolts[[#This Row],[Bolt Name]]="","",0.625*Bolts[[#This Row],[Sleeve Fu (ksi)]])</f>
        <v>75</v>
      </c>
      <c r="AC12">
        <f>IF(Bolts[[#This Row],[Bolt Name]]="","",φ_bolt_shear*Bolts[[#This Row],[Rev. H Sleeve FNVX]]*Bolts[[#This Row],[Sleeve Area (in2)]])</f>
        <v>3.4724416299209708</v>
      </c>
      <c r="AD12">
        <v>14.25</v>
      </c>
      <c r="AE12">
        <v>14.25</v>
      </c>
      <c r="AF12">
        <v>21.375</v>
      </c>
      <c r="AG12">
        <v>21.375</v>
      </c>
      <c r="AH12">
        <f>IF(Bolts[[#This Row],[Bolt Name]]="","",Bolts[[#This Row],[Rev. H ΦRNN]])</f>
        <v>13.805827090970771</v>
      </c>
      <c r="AI12">
        <f>IF(Bolts[[#This Row],[Bolt Name]]="","",Bolts[[#This Row],[Rev. H ΦRNX]])</f>
        <v>17.257283863713464</v>
      </c>
      <c r="AJ12">
        <f>IF(Bolts[[#This Row],[Bolt Name]]="","",Bolts[[#This Row],[Rev. H Sleeve ΦRNX]])</f>
        <v>3.4724416299209708</v>
      </c>
      <c r="AK12">
        <v>21.375</v>
      </c>
      <c r="AL12">
        <v>21.375</v>
      </c>
      <c r="AM12" s="16" t="b">
        <v>0</v>
      </c>
      <c r="AN12">
        <v>8</v>
      </c>
      <c r="AO12" t="b">
        <f>IF(Bolts[[#This Row],[Bolt Name]]="","",IF(ROW(Bolts[[#This Row],[Bolt Name]])&gt;15,FALSE,TRUE))</f>
        <v>1</v>
      </c>
      <c r="AW12" s="16"/>
      <c r="AX12" s="34"/>
      <c r="AY12" s="16"/>
      <c r="BA12" s="63"/>
    </row>
    <row r="13" spans="2:63" x14ac:dyDescent="0.2">
      <c r="B13" s="49" t="s">
        <v>473</v>
      </c>
      <c r="C13" s="49" t="s">
        <v>474</v>
      </c>
      <c r="D13">
        <v>0.625</v>
      </c>
      <c r="E13">
        <f>IF(Bolts[[#This Row],[Bolt Name]]="","",Bolts[[#This Row],[Bolt Diameter (in)]]*25.4)</f>
        <v>15.875</v>
      </c>
      <c r="F13">
        <f>IF(Bolts[[#This Row],[Bolt Name]]="","",PI()/4*Bolts[[#This Row],[Bolt Diameter (in)]]^2)</f>
        <v>0.30679615757712825</v>
      </c>
      <c r="G13">
        <v>120</v>
      </c>
      <c r="H13">
        <v>1</v>
      </c>
      <c r="I13">
        <v>0.625</v>
      </c>
      <c r="J13">
        <f>IF(Bolts[[#This Row],[Bolt Name]]="","",PI()/4*(Bolts[[#This Row],[Sleeve Outer Diameter (in)]]^2-Bolts[[#This Row],[Sleeve Inner Diameter (in)]]^2))</f>
        <v>0.47860200582032003</v>
      </c>
      <c r="K13">
        <v>120</v>
      </c>
      <c r="L13">
        <f>IF(Bolts[[#This Row],[Bolt Name]]="","",IF(Bolts[[#This Row],[Bolt Fu (ksi)]]=120,21,IF(Bolts[[#This Row],[Bolt Fu (ksi)]]=150,28,"Error")))</f>
        <v>21</v>
      </c>
      <c r="M13">
        <f>IF(Bolts[[#This Row],[Bolt Name]]="","",IF(Bolts[[#This Row],[Bolt Fu (ksi)]]=120,30,IF(Bolts[[#This Row],[Bolt Fu (ksi)]]=150,40,"Error")))</f>
        <v>30</v>
      </c>
      <c r="N13">
        <f>IF(Bolts[[#This Row],[Bolt Name]]="","",Bolts[[#This Row],[Rev. F FVN]]*Bolts[[#This Row],[Area of Bolt (in2)]])</f>
        <v>6.4427193091196928</v>
      </c>
      <c r="O13">
        <f>IF(Bolts[[#This Row],[Bolt Name]]="","",Bolts[[#This Row],[Rev. F FVX]]*Bolts[[#This Row],[Area of Bolt (in2)]])</f>
        <v>9.2038847273138469</v>
      </c>
      <c r="P13">
        <f>IF(Bolts[[#This Row],[Bolt Name]]="","",Bolts[[#This Row],[Rev. F FVX]]*(Bolts[[#This Row],[Sleeve Fu (ksi)]]/Bolts[[#This Row],[Bolt Fu (ksi)]]))</f>
        <v>30</v>
      </c>
      <c r="Q13">
        <f>IF(Bolts[[#This Row],[Bolt Name]]="","",Bolts[[#This Row],[Rev. F Sleeve FVX]]*Bolts[[#This Row],[Sleeve Area (in2)]])</f>
        <v>14.358060174609601</v>
      </c>
      <c r="R13">
        <f>IF(Bolts[[#This Row],[Bolt Name]]="","",0.45*Bolts[[#This Row],[Bolt Fu (ksi)]])</f>
        <v>54</v>
      </c>
      <c r="S13">
        <f>IF(Bolts[[#This Row],[Bolt Name]]="","",0.55*Bolts[[#This Row],[Bolt Fu (ksi)]])</f>
        <v>66</v>
      </c>
      <c r="T13">
        <f>IF(Bolts[[#This Row],[Bolt Name]]="","",φ_bolt_shear*Bolts[[#This Row],[Rev. G FNVN]]*Bolts[[#This Row],[Area of Bolt (in2)]])</f>
        <v>12.425244381873695</v>
      </c>
      <c r="U13">
        <f>IF(Bolts[[#This Row],[Bolt Name]]="","",φ_bolt_shear*Bolts[[#This Row],[Rev. G FNVX]]*Bolts[[#This Row],[Area of Bolt (in2)]])</f>
        <v>15.186409800067848</v>
      </c>
      <c r="V13">
        <f>IF(Bolts[[#This Row],[Bolt Name]]="","",0.55*Bolts[[#This Row],[Sleeve Fu (ksi)]])</f>
        <v>66</v>
      </c>
      <c r="W13">
        <f>IF(Bolts[[#This Row],[Bolt Name]]="","",φ_bolt_shear*Bolts[[#This Row],[Rev. G Sleeve FNVX]]*Bolts[[#This Row],[Sleeve Area (in2)]])</f>
        <v>23.69079928810584</v>
      </c>
      <c r="X13">
        <f>IF(Bolts[[#This Row],[Bolt Name]]="","",0.625*0.8*Bolts[[#This Row],[Bolt Fu (ksi)]])</f>
        <v>60</v>
      </c>
      <c r="Y13">
        <f>IF(Bolts[[#This Row],[Bolt Name]]="","",0.625*Bolts[[#This Row],[Bolt Fu (ksi)]])</f>
        <v>75</v>
      </c>
      <c r="Z13">
        <f>IF(Bolts[[#This Row],[Bolt Name]]="","",φ_bolt_shear*Bolts[[#This Row],[Rev. H FNVN]]*Bolts[[#This Row],[Area of Bolt (in2)]])</f>
        <v>13.805827090970771</v>
      </c>
      <c r="AA13">
        <f>IF(Bolts[[#This Row],[Bolt Name]]="","",φ_bolt_shear*Bolts[[#This Row],[Rev. H FNVX]]*Bolts[[#This Row],[Area of Bolt (in2)]])</f>
        <v>17.257283863713464</v>
      </c>
      <c r="AB13">
        <f>IF(Bolts[[#This Row],[Bolt Name]]="","",0.625*Bolts[[#This Row],[Sleeve Fu (ksi)]])</f>
        <v>75</v>
      </c>
      <c r="AC13">
        <f>IF(Bolts[[#This Row],[Bolt Name]]="","",φ_bolt_shear*Bolts[[#This Row],[Rev. H Sleeve FNVX]]*Bolts[[#This Row],[Sleeve Area (in2)]])</f>
        <v>26.921362827393001</v>
      </c>
      <c r="AD13">
        <v>19.719000000000001</v>
      </c>
      <c r="AE13">
        <v>19.719000000000001</v>
      </c>
      <c r="AF13">
        <v>29.577999999999999</v>
      </c>
      <c r="AG13">
        <v>29.577999999999999</v>
      </c>
      <c r="AH13">
        <f>IF(Bolts[[#This Row],[Bolt Name]]="","",Bolts[[#This Row],[Rev. H ΦRNN]])</f>
        <v>13.805827090970771</v>
      </c>
      <c r="AI13">
        <f>IF(Bolts[[#This Row],[Bolt Name]]="","",Bolts[[#This Row],[Rev. H ΦRNX]])</f>
        <v>17.257283863713464</v>
      </c>
      <c r="AJ13">
        <f>IF(Bolts[[#This Row],[Bolt Name]]="","",Bolts[[#This Row],[Rev. H Sleeve ΦRNX]])</f>
        <v>26.921362827393001</v>
      </c>
      <c r="AK13">
        <v>29.577999999999999</v>
      </c>
      <c r="AL13">
        <v>29.577999999999999</v>
      </c>
      <c r="AM13" s="16" t="b">
        <v>0</v>
      </c>
      <c r="AN13">
        <v>9</v>
      </c>
      <c r="AO13" t="b">
        <f>IF(Bolts[[#This Row],[Bolt Name]]="","",IF(ROW(Bolts[[#This Row],[Bolt Name]])&gt;15,FALSE,TRUE))</f>
        <v>1</v>
      </c>
      <c r="AW13" s="16"/>
      <c r="AX13" s="16"/>
      <c r="AY13" s="16"/>
      <c r="BA13" s="63"/>
    </row>
    <row r="14" spans="2:63" x14ac:dyDescent="0.2">
      <c r="B14" s="696" t="s">
        <v>475</v>
      </c>
      <c r="C14" s="695" t="s">
        <v>476</v>
      </c>
      <c r="D14" s="695">
        <v>0.625</v>
      </c>
      <c r="E14" s="695">
        <f>IF(Bolts[[#This Row],[Bolt Name]]="","",Bolts[[#This Row],[Bolt Diameter (in)]]*25.4)</f>
        <v>15.875</v>
      </c>
      <c r="F14" s="695">
        <f>IF(Bolts[[#This Row],[Bolt Name]]="","",PI()/4*Bolts[[#This Row],[Bolt Diameter (in)]]^2)</f>
        <v>0.30679615757712825</v>
      </c>
      <c r="G14" s="695">
        <v>120</v>
      </c>
      <c r="H14" s="695">
        <v>1</v>
      </c>
      <c r="I14" s="695">
        <v>0.625</v>
      </c>
      <c r="J14" s="695">
        <f>IF(Bolts[[#This Row],[Bolt Name]]="","",PI()/4*(Bolts[[#This Row],[Sleeve Outer Diameter (in)]]^2-Bolts[[#This Row],[Sleeve Inner Diameter (in)]]^2))</f>
        <v>0.47860200582032003</v>
      </c>
      <c r="K14" s="695">
        <v>120</v>
      </c>
      <c r="L14" s="695">
        <f>IF(Bolts[[#This Row],[Bolt Name]]="","",IF(Bolts[[#This Row],[Bolt Fu (ksi)]]=120,21,IF(Bolts[[#This Row],[Bolt Fu (ksi)]]=150,28,"Error")))</f>
        <v>21</v>
      </c>
      <c r="M14" s="695">
        <f>IF(Bolts[[#This Row],[Bolt Name]]="","",IF(Bolts[[#This Row],[Bolt Fu (ksi)]]=120,30,IF(Bolts[[#This Row],[Bolt Fu (ksi)]]=150,40,"Error")))</f>
        <v>30</v>
      </c>
      <c r="N14" s="695">
        <f>IF(Bolts[[#This Row],[Bolt Name]]="","",Bolts[[#This Row],[Rev. F FVN]]*Bolts[[#This Row],[Area of Bolt (in2)]])</f>
        <v>6.4427193091196928</v>
      </c>
      <c r="O14" s="695">
        <f>IF(Bolts[[#This Row],[Bolt Name]]="","",Bolts[[#This Row],[Rev. F FVX]]*Bolts[[#This Row],[Area of Bolt (in2)]])</f>
        <v>9.2038847273138469</v>
      </c>
      <c r="P14" s="695">
        <f>IF(Bolts[[#This Row],[Bolt Name]]="","",Bolts[[#This Row],[Rev. F FVX]]*(Bolts[[#This Row],[Sleeve Fu (ksi)]]/Bolts[[#This Row],[Bolt Fu (ksi)]]))</f>
        <v>30</v>
      </c>
      <c r="Q14" s="695">
        <f>IF(Bolts[[#This Row],[Bolt Name]]="","",Bolts[[#This Row],[Rev. F Sleeve FVX]]*Bolts[[#This Row],[Sleeve Area (in2)]])</f>
        <v>14.358060174609601</v>
      </c>
      <c r="R14" s="695">
        <f>IF(Bolts[[#This Row],[Bolt Name]]="","",0.45*Bolts[[#This Row],[Bolt Fu (ksi)]])</f>
        <v>54</v>
      </c>
      <c r="S14" s="695">
        <f>IF(Bolts[[#This Row],[Bolt Name]]="","",0.55*Bolts[[#This Row],[Bolt Fu (ksi)]])</f>
        <v>66</v>
      </c>
      <c r="T14" s="695">
        <f>IF(Bolts[[#This Row],[Bolt Name]]="","",φ_bolt_shear*Bolts[[#This Row],[Rev. G FNVN]]*Bolts[[#This Row],[Area of Bolt (in2)]])</f>
        <v>12.425244381873695</v>
      </c>
      <c r="U14" s="695">
        <f>IF(Bolts[[#This Row],[Bolt Name]]="","",φ_bolt_shear*Bolts[[#This Row],[Rev. G FNVX]]*Bolts[[#This Row],[Area of Bolt (in2)]])</f>
        <v>15.186409800067848</v>
      </c>
      <c r="V14" s="695">
        <f>IF(Bolts[[#This Row],[Bolt Name]]="","",0.55*Bolts[[#This Row],[Sleeve Fu (ksi)]])</f>
        <v>66</v>
      </c>
      <c r="W14" s="695">
        <f>IF(Bolts[[#This Row],[Bolt Name]]="","",φ_bolt_shear*Bolts[[#This Row],[Rev. G Sleeve FNVX]]*Bolts[[#This Row],[Sleeve Area (in2)]])</f>
        <v>23.69079928810584</v>
      </c>
      <c r="X14" s="695">
        <f>IF(Bolts[[#This Row],[Bolt Name]]="","",0.625*0.8*Bolts[[#This Row],[Bolt Fu (ksi)]])</f>
        <v>60</v>
      </c>
      <c r="Y14" s="695">
        <f>IF(Bolts[[#This Row],[Bolt Name]]="","",0.625*Bolts[[#This Row],[Bolt Fu (ksi)]])</f>
        <v>75</v>
      </c>
      <c r="Z14" s="695">
        <f>IF(Bolts[[#This Row],[Bolt Name]]="","",φ_bolt_shear*Bolts[[#This Row],[Rev. H FNVN]]*Bolts[[#This Row],[Area of Bolt (in2)]])</f>
        <v>13.805827090970771</v>
      </c>
      <c r="AA14" s="695">
        <f>IF(Bolts[[#This Row],[Bolt Name]]="","",φ_bolt_shear*Bolts[[#This Row],[Rev. H FNVX]]*Bolts[[#This Row],[Area of Bolt (in2)]])</f>
        <v>17.257283863713464</v>
      </c>
      <c r="AB14" s="695">
        <f>IF(Bolts[[#This Row],[Bolt Name]]="","",0.625*Bolts[[#This Row],[Sleeve Fu (ksi)]])</f>
        <v>75</v>
      </c>
      <c r="AC14" s="695">
        <f>IF(Bolts[[#This Row],[Bolt Name]]="","",φ_bolt_shear*Bolts[[#This Row],[Rev. H Sleeve FNVX]]*Bolts[[#This Row],[Sleeve Area (in2)]])</f>
        <v>26.921362827393001</v>
      </c>
      <c r="AD14" s="695">
        <v>7.2850000000000001</v>
      </c>
      <c r="AE14" s="695">
        <v>7.2850000000000001</v>
      </c>
      <c r="AF14" s="695">
        <v>11.645</v>
      </c>
      <c r="AG14" s="695">
        <v>11.645</v>
      </c>
      <c r="AH14" s="695">
        <f>IF(Bolts[[#This Row],[Bolt Name]]="","",Bolts[[#This Row],[Rev. H ΦRNN]])</f>
        <v>13.805827090970771</v>
      </c>
      <c r="AI14" s="695">
        <f>IF(Bolts[[#This Row],[Bolt Name]]="","",Bolts[[#This Row],[Rev. H ΦRNX]])</f>
        <v>17.257283863713464</v>
      </c>
      <c r="AJ14" s="695">
        <f>IF(Bolts[[#This Row],[Bolt Name]]="","",Bolts[[#This Row],[Rev. H Sleeve ΦRNX]])</f>
        <v>26.921362827393001</v>
      </c>
      <c r="AK14" s="695">
        <v>11.645</v>
      </c>
      <c r="AL14" s="695">
        <v>11.645</v>
      </c>
      <c r="AM14" s="697" t="b">
        <v>0</v>
      </c>
      <c r="AN14">
        <v>10</v>
      </c>
      <c r="AO14" t="b">
        <f>IF(Bolts[[#This Row],[Bolt Name]]="","",IF(ROW(Bolts[[#This Row],[Bolt Name]])&gt;15,FALSE,TRUE))</f>
        <v>1</v>
      </c>
      <c r="AW14" s="16"/>
      <c r="AX14" s="34"/>
      <c r="AY14" s="16"/>
      <c r="BA14" s="63"/>
    </row>
    <row r="15" spans="2:63" s="49" customFormat="1" x14ac:dyDescent="0.2">
      <c r="B15" s="695"/>
      <c r="C15" s="695"/>
      <c r="D15" s="695"/>
      <c r="E15" s="695"/>
      <c r="F15" s="695"/>
      <c r="G15" s="695"/>
      <c r="H15" s="695"/>
      <c r="I15" s="695"/>
      <c r="J15" s="695"/>
      <c r="K15" s="695"/>
      <c r="L15" s="695"/>
      <c r="M15" s="695"/>
      <c r="N15" s="695"/>
      <c r="O15" s="695"/>
      <c r="P15" s="695"/>
      <c r="Q15" s="695"/>
      <c r="R15" s="695"/>
      <c r="S15" s="695"/>
      <c r="T15" s="695"/>
      <c r="U15" s="695"/>
      <c r="V15" s="695"/>
      <c r="W15" s="695"/>
      <c r="X15" s="695"/>
      <c r="Y15" s="695"/>
      <c r="Z15" s="695"/>
      <c r="AA15" s="695"/>
      <c r="AB15" s="695"/>
      <c r="AC15" s="695"/>
      <c r="AD15" s="695"/>
      <c r="AE15" s="695"/>
      <c r="AF15" s="695"/>
      <c r="AG15" s="695"/>
      <c r="AH15" s="695"/>
      <c r="AI15" s="695"/>
      <c r="AJ15" s="695"/>
      <c r="AK15" s="695"/>
      <c r="AL15" s="695"/>
      <c r="AM15" s="695"/>
      <c r="AN15" s="49">
        <v>11</v>
      </c>
      <c r="AO15" s="49" t="str">
        <f>IF(Bolts[[#This Row],[Bolt Name]]="","",IF(ROW(Bolts[[#This Row],[Bolt Name]])&gt;15,FALSE,TRUE))</f>
        <v/>
      </c>
      <c r="AW15" s="34"/>
      <c r="AX15" s="34"/>
      <c r="AY15" s="34"/>
      <c r="BA15" s="63"/>
    </row>
    <row r="16" spans="2:63" x14ac:dyDescent="0.2">
      <c r="AN16">
        <v>12</v>
      </c>
      <c r="AO16" t="str">
        <f>IF(Bolts[[#This Row],[Bolt Name]]="","",IF(ROW(Bolts[[#This Row],[Bolt Name]])&gt;15,FALSE,TRUE))</f>
        <v/>
      </c>
      <c r="AW16" s="16"/>
      <c r="AX16" s="16"/>
      <c r="AY16" s="34"/>
      <c r="BA16" s="63"/>
    </row>
    <row r="17" spans="2:53" x14ac:dyDescent="0.2">
      <c r="B17" s="94"/>
      <c r="C17" s="94"/>
      <c r="D17" s="50"/>
      <c r="E17" s="50" t="str">
        <f>IF(Bolts[[#This Row],[Bolt Name]]="","",Bolts[[#This Row],[Bolt Diameter (in)]]*25.4)</f>
        <v/>
      </c>
      <c r="F17" s="50" t="str">
        <f>IF(Bolts[[#This Row],[Bolt Name]]="","",PI()/4*Bolts[[#This Row],[Bolt Diameter (in)]]^2)</f>
        <v/>
      </c>
      <c r="G17" s="50"/>
      <c r="H17" s="50"/>
      <c r="I17" s="50"/>
      <c r="J17" s="50" t="str">
        <f>IF(Bolts[[#This Row],[Bolt Name]]="","",PI()/4*(Bolts[[#This Row],[Sleeve Outer Diameter (in)]]^2-Bolts[[#This Row],[Sleeve Inner Diameter (in)]]^2))</f>
        <v/>
      </c>
      <c r="K17" s="50"/>
      <c r="L17" s="50" t="str">
        <f>IF(Bolts[[#This Row],[Bolt Name]]="","",IF(Bolts[[#This Row],[Bolt Fu (ksi)]]=120,21,IF(Bolts[[#This Row],[Bolt Fu (ksi)]]=150,28,"Error")))</f>
        <v/>
      </c>
      <c r="M17" s="50" t="str">
        <f>IF(Bolts[[#This Row],[Bolt Name]]="","",IF(Bolts[[#This Row],[Bolt Fu (ksi)]]=120,30,IF(Bolts[[#This Row],[Bolt Fu (ksi)]]=150,40,"Error")))</f>
        <v/>
      </c>
      <c r="N17" s="50" t="str">
        <f>IF(Bolts[[#This Row],[Bolt Name]]="","",Bolts[[#This Row],[Rev. F FVN]]*Bolts[[#This Row],[Area of Bolt (in2)]])</f>
        <v/>
      </c>
      <c r="O17" s="50" t="str">
        <f>IF(Bolts[[#This Row],[Bolt Name]]="","",Bolts[[#This Row],[Rev. F FVX]]*Bolts[[#This Row],[Area of Bolt (in2)]])</f>
        <v/>
      </c>
      <c r="P17" s="50" t="str">
        <f>IF(Bolts[[#This Row],[Bolt Name]]="","",Bolts[[#This Row],[Rev. F FVX]]*(Bolts[[#This Row],[Sleeve Fu (ksi)]]/Bolts[[#This Row],[Bolt Fu (ksi)]]))</f>
        <v/>
      </c>
      <c r="Q17" s="50" t="str">
        <f>IF(Bolts[[#This Row],[Bolt Name]]="","",Bolts[[#This Row],[Rev. F Sleeve FVX]]*Bolts[[#This Row],[Sleeve Area (in2)]])</f>
        <v/>
      </c>
      <c r="R17" s="50" t="str">
        <f>IF(Bolts[[#This Row],[Bolt Name]]="","",0.45*Bolts[[#This Row],[Bolt Fu (ksi)]])</f>
        <v/>
      </c>
      <c r="S17" s="50" t="str">
        <f>IF(Bolts[[#This Row],[Bolt Name]]="","",0.55*Bolts[[#This Row],[Bolt Fu (ksi)]])</f>
        <v/>
      </c>
      <c r="T17" s="50" t="str">
        <f>IF(Bolts[[#This Row],[Bolt Name]]="","",φ_bolt_shear*Bolts[[#This Row],[Rev. G FNVN]]*Bolts[[#This Row],[Area of Bolt (in2)]])</f>
        <v/>
      </c>
      <c r="U17" s="50" t="str">
        <f>IF(Bolts[[#This Row],[Bolt Name]]="","",φ_bolt_shear*Bolts[[#This Row],[Rev. G FNVX]]*Bolts[[#This Row],[Area of Bolt (in2)]])</f>
        <v/>
      </c>
      <c r="V17" s="50" t="str">
        <f>IF(Bolts[[#This Row],[Bolt Name]]="","",0.55*Bolts[[#This Row],[Sleeve Fu (ksi)]])</f>
        <v/>
      </c>
      <c r="W17" s="50" t="str">
        <f>IF(Bolts[[#This Row],[Bolt Name]]="","",φ_bolt_shear*Bolts[[#This Row],[Rev. G Sleeve FNVX]]*Bolts[[#This Row],[Sleeve Area (in2)]])</f>
        <v/>
      </c>
      <c r="X17" s="50" t="str">
        <f>IF(Bolts[[#This Row],[Bolt Name]]="","",0.625*0.8*Bolts[[#This Row],[Bolt Fu (ksi)]])</f>
        <v/>
      </c>
      <c r="Y17" s="50" t="str">
        <f>IF(Bolts[[#This Row],[Bolt Name]]="","",0.625*Bolts[[#This Row],[Bolt Fu (ksi)]])</f>
        <v/>
      </c>
      <c r="Z17" s="50" t="str">
        <f>IF(Bolts[[#This Row],[Bolt Name]]="","",φ_bolt_shear*Bolts[[#This Row],[Rev. H FNVN]]*Bolts[[#This Row],[Area of Bolt (in2)]])</f>
        <v/>
      </c>
      <c r="AA17" s="50" t="str">
        <f>IF(Bolts[[#This Row],[Bolt Name]]="","",φ_bolt_shear*Bolts[[#This Row],[Rev. H FNVX]]*Bolts[[#This Row],[Area of Bolt (in2)]])</f>
        <v/>
      </c>
      <c r="AB17" s="50" t="str">
        <f>IF(Bolts[[#This Row],[Bolt Name]]="","",0.625*Bolts[[#This Row],[Sleeve Fu (ksi)]])</f>
        <v/>
      </c>
      <c r="AC17" s="50" t="str">
        <f>IF(Bolts[[#This Row],[Bolt Name]]="","",φ_bolt_shear*Bolts[[#This Row],[Rev. H Sleeve FNVX]]*Bolts[[#This Row],[Sleeve Area (in2)]])</f>
        <v/>
      </c>
      <c r="AD17" s="50" t="str">
        <f>IF(Bolts[[#This Row],[Bolt Name]]="","",(Bolts[[#This Row],[Rev. F RN]]+Bolts[[#This Row],[Rev. F Sleeve RN]]))</f>
        <v/>
      </c>
      <c r="AE17" s="50" t="str">
        <f>IF(Bolts[[#This Row],[Bolt Name]]="","",(Bolts[[#This Row],[Rev. F RX]]+Bolts[[#This Row],[Rev. F Sleeve RN]]))</f>
        <v/>
      </c>
      <c r="AF17" s="50" t="str">
        <f>IF(Bolts[[#This Row],[Bolt Name]]="","",Bolts[[#This Row],[Rev. G ΦRNN]]+Bolts[[#This Row],[Rev. G Sleeve ΦRNX]])</f>
        <v/>
      </c>
      <c r="AG17" s="50" t="str">
        <f>IF(Bolts[[#This Row],[Bolt Name]]="","",Bolts[[#This Row],[Rev. G ΦRNX]]+Bolts[[#This Row],[Rev. G Sleeve ΦRNX]])</f>
        <v/>
      </c>
      <c r="AH17" s="50" t="str">
        <f>IF(Bolts[[#This Row],[Bolt Name]]="","",Bolts[[#This Row],[Rev. H ΦRNN]])</f>
        <v/>
      </c>
      <c r="AI17" s="50" t="str">
        <f>IF(Bolts[[#This Row],[Bolt Name]]="","",Bolts[[#This Row],[Rev. H ΦRNX]])</f>
        <v/>
      </c>
      <c r="AJ17" s="50" t="str">
        <f>IF(Bolts[[#This Row],[Bolt Name]]="","",Bolts[[#This Row],[Rev. H Sleeve ΦRNX]])</f>
        <v/>
      </c>
      <c r="AK17" s="50" t="str">
        <f>IF(Bolts[[#This Row],[Bolt Name]]="","",Bolts[[#This Row],[Rev. H Bolt (N) Capacity]]+Bolts[[#This Row],[Rev. H Shear Sleeve Capacity]])</f>
        <v/>
      </c>
      <c r="AL17" s="50" t="str">
        <f>IF(Bolts[[#This Row],[Bolt Name]]="","",Bolts[[#This Row],[Rev. H Bolt (X) Capacity]]+Bolts[[#This Row],[Rev. H Shear Sleeve Capacity]])</f>
        <v/>
      </c>
      <c r="AM17" s="16" t="str">
        <f>IF(Bolts[[#This Row],[Bolt Name]]="","",TRUE)</f>
        <v/>
      </c>
      <c r="AN17">
        <v>13</v>
      </c>
      <c r="AO17" t="str">
        <f>IF(Bolts[[#This Row],[Bolt Name]]="","",IF(ROW(Bolts[[#This Row],[Bolt Name]])&gt;15,FALSE,TRUE))</f>
        <v/>
      </c>
      <c r="AW17" s="16"/>
      <c r="AX17" s="16"/>
      <c r="AY17" s="16"/>
      <c r="BA17" s="63"/>
    </row>
    <row r="18" spans="2:53" x14ac:dyDescent="0.2">
      <c r="B18" s="94"/>
      <c r="C18" s="94"/>
      <c r="D18" s="50"/>
      <c r="E18" s="50" t="str">
        <f>IF(Bolts[[#This Row],[Bolt Name]]="","",Bolts[[#This Row],[Bolt Diameter (in)]]*25.4)</f>
        <v/>
      </c>
      <c r="F18" s="50" t="str">
        <f>IF(Bolts[[#This Row],[Bolt Name]]="","",PI()/4*Bolts[[#This Row],[Bolt Diameter (in)]]^2)</f>
        <v/>
      </c>
      <c r="G18" s="50"/>
      <c r="H18" s="50"/>
      <c r="I18" s="50"/>
      <c r="J18" s="50" t="str">
        <f>IF(Bolts[[#This Row],[Bolt Name]]="","",PI()/4*(Bolts[[#This Row],[Sleeve Outer Diameter (in)]]^2-Bolts[[#This Row],[Sleeve Inner Diameter (in)]]^2))</f>
        <v/>
      </c>
      <c r="K18" s="50"/>
      <c r="L18" s="50" t="str">
        <f>IF(Bolts[[#This Row],[Bolt Name]]="","",IF(Bolts[[#This Row],[Bolt Fu (ksi)]]=120,21,IF(Bolts[[#This Row],[Bolt Fu (ksi)]]=150,28,"Error")))</f>
        <v/>
      </c>
      <c r="M18" s="50" t="str">
        <f>IF(Bolts[[#This Row],[Bolt Name]]="","",IF(Bolts[[#This Row],[Bolt Fu (ksi)]]=120,30,IF(Bolts[[#This Row],[Bolt Fu (ksi)]]=150,40,"Error")))</f>
        <v/>
      </c>
      <c r="N18" s="50" t="str">
        <f>IF(Bolts[[#This Row],[Bolt Name]]="","",Bolts[[#This Row],[Rev. F FVN]]*Bolts[[#This Row],[Area of Bolt (in2)]])</f>
        <v/>
      </c>
      <c r="O18" s="50" t="str">
        <f>IF(Bolts[[#This Row],[Bolt Name]]="","",Bolts[[#This Row],[Rev. F FVX]]*Bolts[[#This Row],[Area of Bolt (in2)]])</f>
        <v/>
      </c>
      <c r="P18" s="50" t="str">
        <f>IF(Bolts[[#This Row],[Bolt Name]]="","",Bolts[[#This Row],[Rev. F FVX]]*(Bolts[[#This Row],[Sleeve Fu (ksi)]]/Bolts[[#This Row],[Bolt Fu (ksi)]]))</f>
        <v/>
      </c>
      <c r="Q18" s="50" t="str">
        <f>IF(Bolts[[#This Row],[Bolt Name]]="","",Bolts[[#This Row],[Rev. F Sleeve FVX]]*Bolts[[#This Row],[Sleeve Area (in2)]])</f>
        <v/>
      </c>
      <c r="R18" s="50" t="str">
        <f>IF(Bolts[[#This Row],[Bolt Name]]="","",0.45*Bolts[[#This Row],[Bolt Fu (ksi)]])</f>
        <v/>
      </c>
      <c r="S18" s="50" t="str">
        <f>IF(Bolts[[#This Row],[Bolt Name]]="","",0.55*Bolts[[#This Row],[Bolt Fu (ksi)]])</f>
        <v/>
      </c>
      <c r="T18" s="50" t="str">
        <f>IF(Bolts[[#This Row],[Bolt Name]]="","",φ_bolt_shear*Bolts[[#This Row],[Rev. G FNVN]]*Bolts[[#This Row],[Area of Bolt (in2)]])</f>
        <v/>
      </c>
      <c r="U18" s="50" t="str">
        <f>IF(Bolts[[#This Row],[Bolt Name]]="","",φ_bolt_shear*Bolts[[#This Row],[Rev. G FNVX]]*Bolts[[#This Row],[Area of Bolt (in2)]])</f>
        <v/>
      </c>
      <c r="V18" s="50" t="str">
        <f>IF(Bolts[[#This Row],[Bolt Name]]="","",0.55*Bolts[[#This Row],[Sleeve Fu (ksi)]])</f>
        <v/>
      </c>
      <c r="W18" s="50" t="str">
        <f>IF(Bolts[[#This Row],[Bolt Name]]="","",φ_bolt_shear*Bolts[[#This Row],[Rev. G Sleeve FNVX]]*Bolts[[#This Row],[Sleeve Area (in2)]])</f>
        <v/>
      </c>
      <c r="X18" s="50" t="str">
        <f>IF(Bolts[[#This Row],[Bolt Name]]="","",0.625*0.8*Bolts[[#This Row],[Bolt Fu (ksi)]])</f>
        <v/>
      </c>
      <c r="Y18" s="50" t="str">
        <f>IF(Bolts[[#This Row],[Bolt Name]]="","",0.625*Bolts[[#This Row],[Bolt Fu (ksi)]])</f>
        <v/>
      </c>
      <c r="Z18" s="50" t="str">
        <f>IF(Bolts[[#This Row],[Bolt Name]]="","",φ_bolt_shear*Bolts[[#This Row],[Rev. H FNVN]]*Bolts[[#This Row],[Area of Bolt (in2)]])</f>
        <v/>
      </c>
      <c r="AA18" s="50" t="str">
        <f>IF(Bolts[[#This Row],[Bolt Name]]="","",φ_bolt_shear*Bolts[[#This Row],[Rev. H FNVX]]*Bolts[[#This Row],[Area of Bolt (in2)]])</f>
        <v/>
      </c>
      <c r="AB18" s="50" t="str">
        <f>IF(Bolts[[#This Row],[Bolt Name]]="","",0.625*Bolts[[#This Row],[Sleeve Fu (ksi)]])</f>
        <v/>
      </c>
      <c r="AC18" s="50" t="str">
        <f>IF(Bolts[[#This Row],[Bolt Name]]="","",φ_bolt_shear*Bolts[[#This Row],[Rev. H Sleeve FNVX]]*Bolts[[#This Row],[Sleeve Area (in2)]])</f>
        <v/>
      </c>
      <c r="AD18" s="50" t="str">
        <f>IF(Bolts[[#This Row],[Bolt Name]]="","",(Bolts[[#This Row],[Rev. F RN]]+Bolts[[#This Row],[Rev. F Sleeve RN]]))</f>
        <v/>
      </c>
      <c r="AE18" s="50" t="str">
        <f>IF(Bolts[[#This Row],[Bolt Name]]="","",(Bolts[[#This Row],[Rev. F RX]]+Bolts[[#This Row],[Rev. F Sleeve RN]]))</f>
        <v/>
      </c>
      <c r="AF18" s="50" t="str">
        <f>IF(Bolts[[#This Row],[Bolt Name]]="","",Bolts[[#This Row],[Rev. G ΦRNN]]+Bolts[[#This Row],[Rev. G Sleeve ΦRNX]])</f>
        <v/>
      </c>
      <c r="AG18" s="50" t="str">
        <f>IF(Bolts[[#This Row],[Bolt Name]]="","",Bolts[[#This Row],[Rev. G ΦRNX]]+Bolts[[#This Row],[Rev. G Sleeve ΦRNX]])</f>
        <v/>
      </c>
      <c r="AH18" s="50" t="str">
        <f>IF(Bolts[[#This Row],[Bolt Name]]="","",Bolts[[#This Row],[Rev. H ΦRNN]])</f>
        <v/>
      </c>
      <c r="AI18" s="50" t="str">
        <f>IF(Bolts[[#This Row],[Bolt Name]]="","",Bolts[[#This Row],[Rev. H ΦRNX]])</f>
        <v/>
      </c>
      <c r="AJ18" s="50" t="str">
        <f>IF(Bolts[[#This Row],[Bolt Name]]="","",Bolts[[#This Row],[Rev. H Sleeve ΦRNX]])</f>
        <v/>
      </c>
      <c r="AK18" s="50" t="str">
        <f>IF(Bolts[[#This Row],[Bolt Name]]="","",Bolts[[#This Row],[Rev. H Bolt (N) Capacity]]+Bolts[[#This Row],[Rev. H Shear Sleeve Capacity]])</f>
        <v/>
      </c>
      <c r="AL18" s="50" t="str">
        <f>IF(Bolts[[#This Row],[Bolt Name]]="","",Bolts[[#This Row],[Rev. H Bolt (X) Capacity]]+Bolts[[#This Row],[Rev. H Shear Sleeve Capacity]])</f>
        <v/>
      </c>
      <c r="AM18" s="16" t="str">
        <f>IF(Bolts[[#This Row],[Bolt Name]]="","",TRUE)</f>
        <v/>
      </c>
      <c r="AN18">
        <v>14</v>
      </c>
      <c r="AO18" t="str">
        <f>IF(Bolts[[#This Row],[Bolt Name]]="","",IF(ROW(Bolts[[#This Row],[Bolt Name]])&gt;15,FALSE,TRUE))</f>
        <v/>
      </c>
      <c r="AW18" s="16"/>
      <c r="AX18" s="16"/>
      <c r="AY18" s="16"/>
      <c r="BA18" s="63"/>
    </row>
    <row r="19" spans="2:53" x14ac:dyDescent="0.2">
      <c r="B19" s="94"/>
      <c r="C19" s="94"/>
      <c r="D19" s="50"/>
      <c r="E19" s="50" t="str">
        <f>IF(Bolts[[#This Row],[Bolt Name]]="","",Bolts[[#This Row],[Bolt Diameter (in)]]*25.4)</f>
        <v/>
      </c>
      <c r="F19" s="50" t="str">
        <f>IF(Bolts[[#This Row],[Bolt Name]]="","",PI()/4*Bolts[[#This Row],[Bolt Diameter (in)]]^2)</f>
        <v/>
      </c>
      <c r="G19" s="50"/>
      <c r="H19" s="50"/>
      <c r="I19" s="50"/>
      <c r="J19" s="50" t="str">
        <f>IF(Bolts[[#This Row],[Bolt Name]]="","",PI()/4*(Bolts[[#This Row],[Sleeve Outer Diameter (in)]]^2-Bolts[[#This Row],[Sleeve Inner Diameter (in)]]^2))</f>
        <v/>
      </c>
      <c r="K19" s="50"/>
      <c r="L19" s="50" t="str">
        <f>IF(Bolts[[#This Row],[Bolt Name]]="","",IF(Bolts[[#This Row],[Bolt Fu (ksi)]]=120,21,IF(Bolts[[#This Row],[Bolt Fu (ksi)]]=150,28,"Error")))</f>
        <v/>
      </c>
      <c r="M19" s="50" t="str">
        <f>IF(Bolts[[#This Row],[Bolt Name]]="","",IF(Bolts[[#This Row],[Bolt Fu (ksi)]]=120,30,IF(Bolts[[#This Row],[Bolt Fu (ksi)]]=150,40,"Error")))</f>
        <v/>
      </c>
      <c r="N19" s="50" t="str">
        <f>IF(Bolts[[#This Row],[Bolt Name]]="","",Bolts[[#This Row],[Rev. F FVN]]*Bolts[[#This Row],[Area of Bolt (in2)]])</f>
        <v/>
      </c>
      <c r="O19" s="50" t="str">
        <f>IF(Bolts[[#This Row],[Bolt Name]]="","",Bolts[[#This Row],[Rev. F FVX]]*Bolts[[#This Row],[Area of Bolt (in2)]])</f>
        <v/>
      </c>
      <c r="P19" s="50" t="str">
        <f>IF(Bolts[[#This Row],[Bolt Name]]="","",Bolts[[#This Row],[Rev. F FVX]]*(Bolts[[#This Row],[Sleeve Fu (ksi)]]/Bolts[[#This Row],[Bolt Fu (ksi)]]))</f>
        <v/>
      </c>
      <c r="Q19" s="50" t="str">
        <f>IF(Bolts[[#This Row],[Bolt Name]]="","",Bolts[[#This Row],[Rev. F Sleeve FVX]]*Bolts[[#This Row],[Sleeve Area (in2)]])</f>
        <v/>
      </c>
      <c r="R19" s="50" t="str">
        <f>IF(Bolts[[#This Row],[Bolt Name]]="","",0.45*Bolts[[#This Row],[Bolt Fu (ksi)]])</f>
        <v/>
      </c>
      <c r="S19" s="50" t="str">
        <f>IF(Bolts[[#This Row],[Bolt Name]]="","",0.55*Bolts[[#This Row],[Bolt Fu (ksi)]])</f>
        <v/>
      </c>
      <c r="T19" s="50" t="str">
        <f>IF(Bolts[[#This Row],[Bolt Name]]="","",φ_bolt_shear*Bolts[[#This Row],[Rev. G FNVN]]*Bolts[[#This Row],[Area of Bolt (in2)]])</f>
        <v/>
      </c>
      <c r="U19" s="50" t="str">
        <f>IF(Bolts[[#This Row],[Bolt Name]]="","",φ_bolt_shear*Bolts[[#This Row],[Rev. G FNVX]]*Bolts[[#This Row],[Area of Bolt (in2)]])</f>
        <v/>
      </c>
      <c r="V19" s="50" t="str">
        <f>IF(Bolts[[#This Row],[Bolt Name]]="","",0.55*Bolts[[#This Row],[Sleeve Fu (ksi)]])</f>
        <v/>
      </c>
      <c r="W19" s="50" t="str">
        <f>IF(Bolts[[#This Row],[Bolt Name]]="","",φ_bolt_shear*Bolts[[#This Row],[Rev. G Sleeve FNVX]]*Bolts[[#This Row],[Sleeve Area (in2)]])</f>
        <v/>
      </c>
      <c r="X19" s="50" t="str">
        <f>IF(Bolts[[#This Row],[Bolt Name]]="","",0.625*0.8*Bolts[[#This Row],[Bolt Fu (ksi)]])</f>
        <v/>
      </c>
      <c r="Y19" s="50" t="str">
        <f>IF(Bolts[[#This Row],[Bolt Name]]="","",0.625*Bolts[[#This Row],[Bolt Fu (ksi)]])</f>
        <v/>
      </c>
      <c r="Z19" s="50" t="str">
        <f>IF(Bolts[[#This Row],[Bolt Name]]="","",φ_bolt_shear*Bolts[[#This Row],[Rev. H FNVN]]*Bolts[[#This Row],[Area of Bolt (in2)]])</f>
        <v/>
      </c>
      <c r="AA19" s="50" t="str">
        <f>IF(Bolts[[#This Row],[Bolt Name]]="","",φ_bolt_shear*Bolts[[#This Row],[Rev. H FNVX]]*Bolts[[#This Row],[Area of Bolt (in2)]])</f>
        <v/>
      </c>
      <c r="AB19" s="50" t="str">
        <f>IF(Bolts[[#This Row],[Bolt Name]]="","",0.625*Bolts[[#This Row],[Sleeve Fu (ksi)]])</f>
        <v/>
      </c>
      <c r="AC19" s="50" t="str">
        <f>IF(Bolts[[#This Row],[Bolt Name]]="","",φ_bolt_shear*Bolts[[#This Row],[Rev. H Sleeve FNVX]]*Bolts[[#This Row],[Sleeve Area (in2)]])</f>
        <v/>
      </c>
      <c r="AD19" s="50" t="str">
        <f>IF(Bolts[[#This Row],[Bolt Name]]="","",(Bolts[[#This Row],[Rev. F RN]]+Bolts[[#This Row],[Rev. F Sleeve RN]]))</f>
        <v/>
      </c>
      <c r="AE19" s="50" t="str">
        <f>IF(Bolts[[#This Row],[Bolt Name]]="","",(Bolts[[#This Row],[Rev. F RX]]+Bolts[[#This Row],[Rev. F Sleeve RN]]))</f>
        <v/>
      </c>
      <c r="AF19" s="50" t="str">
        <f>IF(Bolts[[#This Row],[Bolt Name]]="","",Bolts[[#This Row],[Rev. G ΦRNN]]+Bolts[[#This Row],[Rev. G Sleeve ΦRNX]])</f>
        <v/>
      </c>
      <c r="AG19" s="50" t="str">
        <f>IF(Bolts[[#This Row],[Bolt Name]]="","",Bolts[[#This Row],[Rev. G ΦRNX]]+Bolts[[#This Row],[Rev. G Sleeve ΦRNX]])</f>
        <v/>
      </c>
      <c r="AH19" s="50" t="str">
        <f>IF(Bolts[[#This Row],[Bolt Name]]="","",Bolts[[#This Row],[Rev. H ΦRNN]])</f>
        <v/>
      </c>
      <c r="AI19" s="50" t="str">
        <f>IF(Bolts[[#This Row],[Bolt Name]]="","",Bolts[[#This Row],[Rev. H ΦRNX]])</f>
        <v/>
      </c>
      <c r="AJ19" s="50" t="str">
        <f>IF(Bolts[[#This Row],[Bolt Name]]="","",Bolts[[#This Row],[Rev. H Sleeve ΦRNX]])</f>
        <v/>
      </c>
      <c r="AK19" s="50" t="str">
        <f>IF(Bolts[[#This Row],[Bolt Name]]="","",Bolts[[#This Row],[Rev. H Bolt (N) Capacity]]+Bolts[[#This Row],[Rev. H Shear Sleeve Capacity]])</f>
        <v/>
      </c>
      <c r="AL19" s="50" t="str">
        <f>IF(Bolts[[#This Row],[Bolt Name]]="","",Bolts[[#This Row],[Rev. H Bolt (X) Capacity]]+Bolts[[#This Row],[Rev. H Shear Sleeve Capacity]])</f>
        <v/>
      </c>
      <c r="AM19" s="16" t="str">
        <f>IF(Bolts[[#This Row],[Bolt Name]]="","",TRUE)</f>
        <v/>
      </c>
      <c r="AN19">
        <v>15</v>
      </c>
      <c r="AO19" t="str">
        <f>IF(Bolts[[#This Row],[Bolt Name]]="","",IF(ROW(Bolts[[#This Row],[Bolt Name]])&gt;15,FALSE,TRUE))</f>
        <v/>
      </c>
      <c r="AW19" s="16"/>
      <c r="AX19" s="16"/>
      <c r="AY19" s="16"/>
      <c r="BA19" s="63"/>
    </row>
    <row r="20" spans="2:53" x14ac:dyDescent="0.2">
      <c r="B20" s="94"/>
      <c r="C20" s="94"/>
      <c r="D20" s="50"/>
      <c r="E20" s="50" t="str">
        <f>IF(Bolts[[#This Row],[Bolt Name]]="","",Bolts[[#This Row],[Bolt Diameter (in)]]*25.4)</f>
        <v/>
      </c>
      <c r="F20" s="50" t="str">
        <f>IF(Bolts[[#This Row],[Bolt Name]]="","",PI()/4*Bolts[[#This Row],[Bolt Diameter (in)]]^2)</f>
        <v/>
      </c>
      <c r="G20" s="50"/>
      <c r="H20" s="50"/>
      <c r="I20" s="50"/>
      <c r="J20" s="50" t="str">
        <f>IF(Bolts[[#This Row],[Bolt Name]]="","",PI()/4*(Bolts[[#This Row],[Sleeve Outer Diameter (in)]]^2-Bolts[[#This Row],[Sleeve Inner Diameter (in)]]^2))</f>
        <v/>
      </c>
      <c r="K20" s="50"/>
      <c r="L20" s="50" t="str">
        <f>IF(Bolts[[#This Row],[Bolt Name]]="","",IF(Bolts[[#This Row],[Bolt Fu (ksi)]]=120,21,IF(Bolts[[#This Row],[Bolt Fu (ksi)]]=150,28,"Error")))</f>
        <v/>
      </c>
      <c r="M20" s="50" t="str">
        <f>IF(Bolts[[#This Row],[Bolt Name]]="","",IF(Bolts[[#This Row],[Bolt Fu (ksi)]]=120,30,IF(Bolts[[#This Row],[Bolt Fu (ksi)]]=150,40,"Error")))</f>
        <v/>
      </c>
      <c r="N20" s="50" t="str">
        <f>IF(Bolts[[#This Row],[Bolt Name]]="","",Bolts[[#This Row],[Rev. F FVN]]*Bolts[[#This Row],[Area of Bolt (in2)]])</f>
        <v/>
      </c>
      <c r="O20" s="50" t="str">
        <f>IF(Bolts[[#This Row],[Bolt Name]]="","",Bolts[[#This Row],[Rev. F FVX]]*Bolts[[#This Row],[Area of Bolt (in2)]])</f>
        <v/>
      </c>
      <c r="P20" s="50" t="str">
        <f>IF(Bolts[[#This Row],[Bolt Name]]="","",Bolts[[#This Row],[Rev. F FVX]]*(Bolts[[#This Row],[Sleeve Fu (ksi)]]/Bolts[[#This Row],[Bolt Fu (ksi)]]))</f>
        <v/>
      </c>
      <c r="Q20" s="50" t="str">
        <f>IF(Bolts[[#This Row],[Bolt Name]]="","",Bolts[[#This Row],[Rev. F Sleeve FVX]]*Bolts[[#This Row],[Sleeve Area (in2)]])</f>
        <v/>
      </c>
      <c r="R20" s="50" t="str">
        <f>IF(Bolts[[#This Row],[Bolt Name]]="","",0.45*Bolts[[#This Row],[Bolt Fu (ksi)]])</f>
        <v/>
      </c>
      <c r="S20" s="50" t="str">
        <f>IF(Bolts[[#This Row],[Bolt Name]]="","",0.55*Bolts[[#This Row],[Bolt Fu (ksi)]])</f>
        <v/>
      </c>
      <c r="T20" s="50" t="str">
        <f>IF(Bolts[[#This Row],[Bolt Name]]="","",φ_bolt_shear*Bolts[[#This Row],[Rev. G FNVN]]*Bolts[[#This Row],[Area of Bolt (in2)]])</f>
        <v/>
      </c>
      <c r="U20" s="50" t="str">
        <f>IF(Bolts[[#This Row],[Bolt Name]]="","",φ_bolt_shear*Bolts[[#This Row],[Rev. G FNVX]]*Bolts[[#This Row],[Area of Bolt (in2)]])</f>
        <v/>
      </c>
      <c r="V20" s="50" t="str">
        <f>IF(Bolts[[#This Row],[Bolt Name]]="","",0.55*Bolts[[#This Row],[Sleeve Fu (ksi)]])</f>
        <v/>
      </c>
      <c r="W20" s="50" t="str">
        <f>IF(Bolts[[#This Row],[Bolt Name]]="","",φ_bolt_shear*Bolts[[#This Row],[Rev. G Sleeve FNVX]]*Bolts[[#This Row],[Sleeve Area (in2)]])</f>
        <v/>
      </c>
      <c r="X20" s="50" t="str">
        <f>IF(Bolts[[#This Row],[Bolt Name]]="","",0.625*0.8*Bolts[[#This Row],[Bolt Fu (ksi)]])</f>
        <v/>
      </c>
      <c r="Y20" s="50" t="str">
        <f>IF(Bolts[[#This Row],[Bolt Name]]="","",0.625*Bolts[[#This Row],[Bolt Fu (ksi)]])</f>
        <v/>
      </c>
      <c r="Z20" s="50" t="str">
        <f>IF(Bolts[[#This Row],[Bolt Name]]="","",φ_bolt_shear*Bolts[[#This Row],[Rev. H FNVN]]*Bolts[[#This Row],[Area of Bolt (in2)]])</f>
        <v/>
      </c>
      <c r="AA20" s="50" t="str">
        <f>IF(Bolts[[#This Row],[Bolt Name]]="","",φ_bolt_shear*Bolts[[#This Row],[Rev. H FNVX]]*Bolts[[#This Row],[Area of Bolt (in2)]])</f>
        <v/>
      </c>
      <c r="AB20" s="50" t="str">
        <f>IF(Bolts[[#This Row],[Bolt Name]]="","",0.625*Bolts[[#This Row],[Sleeve Fu (ksi)]])</f>
        <v/>
      </c>
      <c r="AC20" s="50" t="str">
        <f>IF(Bolts[[#This Row],[Bolt Name]]="","",φ_bolt_shear*Bolts[[#This Row],[Rev. H Sleeve FNVX]]*Bolts[[#This Row],[Sleeve Area (in2)]])</f>
        <v/>
      </c>
      <c r="AD20" s="50" t="str">
        <f>IF(Bolts[[#This Row],[Bolt Name]]="","",(Bolts[[#This Row],[Rev. F RN]]+Bolts[[#This Row],[Rev. F Sleeve RN]]))</f>
        <v/>
      </c>
      <c r="AE20" s="50" t="str">
        <f>IF(Bolts[[#This Row],[Bolt Name]]="","",(Bolts[[#This Row],[Rev. F RX]]+Bolts[[#This Row],[Rev. F Sleeve RN]]))</f>
        <v/>
      </c>
      <c r="AF20" s="50" t="str">
        <f>IF(Bolts[[#This Row],[Bolt Name]]="","",Bolts[[#This Row],[Rev. G ΦRNN]]+Bolts[[#This Row],[Rev. G Sleeve ΦRNX]])</f>
        <v/>
      </c>
      <c r="AG20" s="50" t="str">
        <f>IF(Bolts[[#This Row],[Bolt Name]]="","",Bolts[[#This Row],[Rev. G ΦRNX]]+Bolts[[#This Row],[Rev. G Sleeve ΦRNX]])</f>
        <v/>
      </c>
      <c r="AH20" s="50" t="str">
        <f>IF(Bolts[[#This Row],[Bolt Name]]="","",Bolts[[#This Row],[Rev. H ΦRNN]])</f>
        <v/>
      </c>
      <c r="AI20" s="50" t="str">
        <f>IF(Bolts[[#This Row],[Bolt Name]]="","",Bolts[[#This Row],[Rev. H ΦRNX]])</f>
        <v/>
      </c>
      <c r="AJ20" s="50" t="str">
        <f>IF(Bolts[[#This Row],[Bolt Name]]="","",Bolts[[#This Row],[Rev. H Sleeve ΦRNX]])</f>
        <v/>
      </c>
      <c r="AK20" s="50" t="str">
        <f>IF(Bolts[[#This Row],[Bolt Name]]="","",Bolts[[#This Row],[Rev. H Bolt (N) Capacity]]+Bolts[[#This Row],[Rev. H Shear Sleeve Capacity]])</f>
        <v/>
      </c>
      <c r="AL20" s="50" t="str">
        <f>IF(Bolts[[#This Row],[Bolt Name]]="","",Bolts[[#This Row],[Rev. H Bolt (X) Capacity]]+Bolts[[#This Row],[Rev. H Shear Sleeve Capacity]])</f>
        <v/>
      </c>
      <c r="AM20" s="16" t="str">
        <f>IF(Bolts[[#This Row],[Bolt Name]]="","",TRUE)</f>
        <v/>
      </c>
      <c r="AN20">
        <v>16</v>
      </c>
      <c r="AO20" t="str">
        <f>IF(Bolts[[#This Row],[Bolt Name]]="","",IF(ROW(Bolts[[#This Row],[Bolt Name]])&gt;15,FALSE,TRUE))</f>
        <v/>
      </c>
      <c r="AW20" s="16"/>
      <c r="AX20" s="16"/>
      <c r="AY20" s="16"/>
      <c r="BA20" s="63"/>
    </row>
    <row r="21" spans="2:53" x14ac:dyDescent="0.2">
      <c r="B21" s="94"/>
      <c r="C21" s="94"/>
      <c r="D21" s="50"/>
      <c r="E21" s="50" t="str">
        <f>IF(Bolts[[#This Row],[Bolt Name]]="","",Bolts[[#This Row],[Bolt Diameter (in)]]*25.4)</f>
        <v/>
      </c>
      <c r="F21" s="50" t="str">
        <f>IF(Bolts[[#This Row],[Bolt Name]]="","",PI()/4*Bolts[[#This Row],[Bolt Diameter (in)]]^2)</f>
        <v/>
      </c>
      <c r="G21" s="50"/>
      <c r="H21" s="50"/>
      <c r="I21" s="50"/>
      <c r="J21" s="50" t="str">
        <f>IF(Bolts[[#This Row],[Bolt Name]]="","",PI()/4*(Bolts[[#This Row],[Sleeve Outer Diameter (in)]]^2-Bolts[[#This Row],[Sleeve Inner Diameter (in)]]^2))</f>
        <v/>
      </c>
      <c r="K21" s="50"/>
      <c r="L21" s="50" t="str">
        <f>IF(Bolts[[#This Row],[Bolt Name]]="","",IF(Bolts[[#This Row],[Bolt Fu (ksi)]]=120,21,IF(Bolts[[#This Row],[Bolt Fu (ksi)]]=150,28,"Error")))</f>
        <v/>
      </c>
      <c r="M21" s="50" t="str">
        <f>IF(Bolts[[#This Row],[Bolt Name]]="","",IF(Bolts[[#This Row],[Bolt Fu (ksi)]]=120,30,IF(Bolts[[#This Row],[Bolt Fu (ksi)]]=150,40,"Error")))</f>
        <v/>
      </c>
      <c r="N21" s="50" t="str">
        <f>IF(Bolts[[#This Row],[Bolt Name]]="","",Bolts[[#This Row],[Rev. F FVN]]*Bolts[[#This Row],[Area of Bolt (in2)]])</f>
        <v/>
      </c>
      <c r="O21" s="50" t="str">
        <f>IF(Bolts[[#This Row],[Bolt Name]]="","",Bolts[[#This Row],[Rev. F FVX]]*Bolts[[#This Row],[Area of Bolt (in2)]])</f>
        <v/>
      </c>
      <c r="P21" s="50" t="str">
        <f>IF(Bolts[[#This Row],[Bolt Name]]="","",Bolts[[#This Row],[Rev. F FVX]]*(Bolts[[#This Row],[Sleeve Fu (ksi)]]/Bolts[[#This Row],[Bolt Fu (ksi)]]))</f>
        <v/>
      </c>
      <c r="Q21" s="50" t="str">
        <f>IF(Bolts[[#This Row],[Bolt Name]]="","",Bolts[[#This Row],[Rev. F Sleeve FVX]]*Bolts[[#This Row],[Sleeve Area (in2)]])</f>
        <v/>
      </c>
      <c r="R21" s="50" t="str">
        <f>IF(Bolts[[#This Row],[Bolt Name]]="","",0.45*Bolts[[#This Row],[Bolt Fu (ksi)]])</f>
        <v/>
      </c>
      <c r="S21" s="50" t="str">
        <f>IF(Bolts[[#This Row],[Bolt Name]]="","",0.55*Bolts[[#This Row],[Bolt Fu (ksi)]])</f>
        <v/>
      </c>
      <c r="T21" s="50" t="str">
        <f>IF(Bolts[[#This Row],[Bolt Name]]="","",φ_bolt_shear*Bolts[[#This Row],[Rev. G FNVN]]*Bolts[[#This Row],[Area of Bolt (in2)]])</f>
        <v/>
      </c>
      <c r="U21" s="50" t="str">
        <f>IF(Bolts[[#This Row],[Bolt Name]]="","",φ_bolt_shear*Bolts[[#This Row],[Rev. G FNVX]]*Bolts[[#This Row],[Area of Bolt (in2)]])</f>
        <v/>
      </c>
      <c r="V21" s="50" t="str">
        <f>IF(Bolts[[#This Row],[Bolt Name]]="","",0.55*Bolts[[#This Row],[Sleeve Fu (ksi)]])</f>
        <v/>
      </c>
      <c r="W21" s="50" t="str">
        <f>IF(Bolts[[#This Row],[Bolt Name]]="","",φ_bolt_shear*Bolts[[#This Row],[Rev. G Sleeve FNVX]]*Bolts[[#This Row],[Sleeve Area (in2)]])</f>
        <v/>
      </c>
      <c r="X21" s="50" t="str">
        <f>IF(Bolts[[#This Row],[Bolt Name]]="","",0.625*0.8*Bolts[[#This Row],[Bolt Fu (ksi)]])</f>
        <v/>
      </c>
      <c r="Y21" s="50" t="str">
        <f>IF(Bolts[[#This Row],[Bolt Name]]="","",0.625*Bolts[[#This Row],[Bolt Fu (ksi)]])</f>
        <v/>
      </c>
      <c r="Z21" s="50" t="str">
        <f>IF(Bolts[[#This Row],[Bolt Name]]="","",φ_bolt_shear*Bolts[[#This Row],[Rev. H FNVN]]*Bolts[[#This Row],[Area of Bolt (in2)]])</f>
        <v/>
      </c>
      <c r="AA21" s="50" t="str">
        <f>IF(Bolts[[#This Row],[Bolt Name]]="","",φ_bolt_shear*Bolts[[#This Row],[Rev. H FNVX]]*Bolts[[#This Row],[Area of Bolt (in2)]])</f>
        <v/>
      </c>
      <c r="AB21" s="50" t="str">
        <f>IF(Bolts[[#This Row],[Bolt Name]]="","",0.625*Bolts[[#This Row],[Sleeve Fu (ksi)]])</f>
        <v/>
      </c>
      <c r="AC21" s="50" t="str">
        <f>IF(Bolts[[#This Row],[Bolt Name]]="","",φ_bolt_shear*Bolts[[#This Row],[Rev. H Sleeve FNVX]]*Bolts[[#This Row],[Sleeve Area (in2)]])</f>
        <v/>
      </c>
      <c r="AD21" s="50" t="str">
        <f>IF(Bolts[[#This Row],[Bolt Name]]="","",(Bolts[[#This Row],[Rev. F RN]]+Bolts[[#This Row],[Rev. F Sleeve RN]]))</f>
        <v/>
      </c>
      <c r="AE21" s="50" t="str">
        <f>IF(Bolts[[#This Row],[Bolt Name]]="","",(Bolts[[#This Row],[Rev. F RX]]+Bolts[[#This Row],[Rev. F Sleeve RN]]))</f>
        <v/>
      </c>
      <c r="AF21" s="50" t="str">
        <f>IF(Bolts[[#This Row],[Bolt Name]]="","",Bolts[[#This Row],[Rev. G ΦRNN]]+Bolts[[#This Row],[Rev. G Sleeve ΦRNX]])</f>
        <v/>
      </c>
      <c r="AG21" s="50" t="str">
        <f>IF(Bolts[[#This Row],[Bolt Name]]="","",Bolts[[#This Row],[Rev. G ΦRNX]]+Bolts[[#This Row],[Rev. G Sleeve ΦRNX]])</f>
        <v/>
      </c>
      <c r="AH21" s="50" t="str">
        <f>IF(Bolts[[#This Row],[Bolt Name]]="","",Bolts[[#This Row],[Rev. H ΦRNN]])</f>
        <v/>
      </c>
      <c r="AI21" s="50" t="str">
        <f>IF(Bolts[[#This Row],[Bolt Name]]="","",Bolts[[#This Row],[Rev. H ΦRNX]])</f>
        <v/>
      </c>
      <c r="AJ21" s="50" t="str">
        <f>IF(Bolts[[#This Row],[Bolt Name]]="","",Bolts[[#This Row],[Rev. H Sleeve ΦRNX]])</f>
        <v/>
      </c>
      <c r="AK21" s="50" t="str">
        <f>IF(Bolts[[#This Row],[Bolt Name]]="","",Bolts[[#This Row],[Rev. H Bolt (N) Capacity]]+Bolts[[#This Row],[Rev. H Shear Sleeve Capacity]])</f>
        <v/>
      </c>
      <c r="AL21" s="50" t="str">
        <f>IF(Bolts[[#This Row],[Bolt Name]]="","",Bolts[[#This Row],[Rev. H Bolt (X) Capacity]]+Bolts[[#This Row],[Rev. H Shear Sleeve Capacity]])</f>
        <v/>
      </c>
      <c r="AM21" s="16" t="str">
        <f>IF(Bolts[[#This Row],[Bolt Name]]="","",TRUE)</f>
        <v/>
      </c>
      <c r="AN21">
        <v>17</v>
      </c>
      <c r="AO21" t="str">
        <f>IF(Bolts[[#This Row],[Bolt Name]]="","",IF(ROW(Bolts[[#This Row],[Bolt Name]])&gt;15,FALSE,TRUE))</f>
        <v/>
      </c>
      <c r="AW21" s="16"/>
      <c r="AX21" s="16"/>
      <c r="AY21" s="16"/>
      <c r="BA21" s="63"/>
    </row>
    <row r="22" spans="2:53" x14ac:dyDescent="0.2">
      <c r="B22" s="50"/>
      <c r="C22" s="50"/>
      <c r="D22" s="50"/>
      <c r="E22" s="50" t="str">
        <f>IF(Bolts[[#This Row],[Bolt Name]]="","",Bolts[[#This Row],[Bolt Diameter (in)]]*25.4)</f>
        <v/>
      </c>
      <c r="F22" s="50" t="str">
        <f>IF(Bolts[[#This Row],[Bolt Name]]="","",PI()/4*Bolts[[#This Row],[Bolt Diameter (in)]]^2)</f>
        <v/>
      </c>
      <c r="G22" s="50"/>
      <c r="H22" s="50"/>
      <c r="I22" s="50"/>
      <c r="J22" s="50" t="str">
        <f>IF(Bolts[[#This Row],[Bolt Name]]="","",PI()/4*(Bolts[[#This Row],[Sleeve Outer Diameter (in)]]^2-Bolts[[#This Row],[Sleeve Inner Diameter (in)]]^2))</f>
        <v/>
      </c>
      <c r="K22" s="50"/>
      <c r="L22" s="50" t="str">
        <f>IF(Bolts[[#This Row],[Bolt Name]]="","",IF(Bolts[[#This Row],[Bolt Fu (ksi)]]=120,21,IF(Bolts[[#This Row],[Bolt Fu (ksi)]]=150,28,"Error")))</f>
        <v/>
      </c>
      <c r="M22" s="50" t="str">
        <f>IF(Bolts[[#This Row],[Bolt Name]]="","",IF(Bolts[[#This Row],[Bolt Fu (ksi)]]=120,30,IF(Bolts[[#This Row],[Bolt Fu (ksi)]]=150,40,"Error")))</f>
        <v/>
      </c>
      <c r="N22" s="50" t="str">
        <f>IF(Bolts[[#This Row],[Bolt Name]]="","",Bolts[[#This Row],[Rev. F FVN]]*Bolts[[#This Row],[Area of Bolt (in2)]])</f>
        <v/>
      </c>
      <c r="O22" s="50" t="str">
        <f>IF(Bolts[[#This Row],[Bolt Name]]="","",Bolts[[#This Row],[Rev. F FVX]]*Bolts[[#This Row],[Area of Bolt (in2)]])</f>
        <v/>
      </c>
      <c r="P22" s="50" t="str">
        <f>IF(Bolts[[#This Row],[Bolt Name]]="","",Bolts[[#This Row],[Rev. F FVX]]*(Bolts[[#This Row],[Sleeve Fu (ksi)]]/Bolts[[#This Row],[Bolt Fu (ksi)]]))</f>
        <v/>
      </c>
      <c r="Q22" s="50" t="str">
        <f>IF(Bolts[[#This Row],[Bolt Name]]="","",Bolts[[#This Row],[Rev. F Sleeve FVX]]*Bolts[[#This Row],[Sleeve Area (in2)]])</f>
        <v/>
      </c>
      <c r="R22" s="50" t="str">
        <f>IF(Bolts[[#This Row],[Bolt Name]]="","",0.45*Bolts[[#This Row],[Bolt Fu (ksi)]])</f>
        <v/>
      </c>
      <c r="S22" s="50" t="str">
        <f>IF(Bolts[[#This Row],[Bolt Name]]="","",0.55*Bolts[[#This Row],[Bolt Fu (ksi)]])</f>
        <v/>
      </c>
      <c r="T22" s="50" t="str">
        <f>IF(Bolts[[#This Row],[Bolt Name]]="","",φ_bolt_shear*Bolts[[#This Row],[Rev. G FNVN]]*Bolts[[#This Row],[Area of Bolt (in2)]])</f>
        <v/>
      </c>
      <c r="U22" s="50" t="str">
        <f>IF(Bolts[[#This Row],[Bolt Name]]="","",φ_bolt_shear*Bolts[[#This Row],[Rev. G FNVX]]*Bolts[[#This Row],[Area of Bolt (in2)]])</f>
        <v/>
      </c>
      <c r="V22" s="50" t="str">
        <f>IF(Bolts[[#This Row],[Bolt Name]]="","",0.55*Bolts[[#This Row],[Sleeve Fu (ksi)]])</f>
        <v/>
      </c>
      <c r="W22" s="50" t="str">
        <f>IF(Bolts[[#This Row],[Bolt Name]]="","",φ_bolt_shear*Bolts[[#This Row],[Rev. G Sleeve FNVX]]*Bolts[[#This Row],[Sleeve Area (in2)]])</f>
        <v/>
      </c>
      <c r="X22" s="50" t="str">
        <f>IF(Bolts[[#This Row],[Bolt Name]]="","",0.625*0.8*Bolts[[#This Row],[Bolt Fu (ksi)]])</f>
        <v/>
      </c>
      <c r="Y22" s="50" t="str">
        <f>IF(Bolts[[#This Row],[Bolt Name]]="","",0.625*Bolts[[#This Row],[Bolt Fu (ksi)]])</f>
        <v/>
      </c>
      <c r="Z22" s="50" t="str">
        <f>IF(Bolts[[#This Row],[Bolt Name]]="","",φ_bolt_shear*Bolts[[#This Row],[Rev. H FNVN]]*Bolts[[#This Row],[Area of Bolt (in2)]])</f>
        <v/>
      </c>
      <c r="AA22" s="50" t="str">
        <f>IF(Bolts[[#This Row],[Bolt Name]]="","",φ_bolt_shear*Bolts[[#This Row],[Rev. H FNVX]]*Bolts[[#This Row],[Area of Bolt (in2)]])</f>
        <v/>
      </c>
      <c r="AB22" s="50" t="str">
        <f>IF(Bolts[[#This Row],[Bolt Name]]="","",0.625*Bolts[[#This Row],[Sleeve Fu (ksi)]])</f>
        <v/>
      </c>
      <c r="AC22" s="50" t="str">
        <f>IF(Bolts[[#This Row],[Bolt Name]]="","",φ_bolt_shear*Bolts[[#This Row],[Rev. H Sleeve FNVX]]*Bolts[[#This Row],[Sleeve Area (in2)]])</f>
        <v/>
      </c>
      <c r="AD22" s="50" t="str">
        <f>IF(Bolts[[#This Row],[Bolt Name]]="","",(Bolts[[#This Row],[Rev. F RN]]+Bolts[[#This Row],[Rev. F Sleeve RN]]))</f>
        <v/>
      </c>
      <c r="AE22" s="50" t="str">
        <f>IF(Bolts[[#This Row],[Bolt Name]]="","",(Bolts[[#This Row],[Rev. F RX]]+Bolts[[#This Row],[Rev. F Sleeve RN]]))</f>
        <v/>
      </c>
      <c r="AF22" s="50" t="str">
        <f>IF(Bolts[[#This Row],[Bolt Name]]="","",Bolts[[#This Row],[Rev. G ΦRNN]]+Bolts[[#This Row],[Rev. G Sleeve ΦRNX]])</f>
        <v/>
      </c>
      <c r="AG22" s="50" t="str">
        <f>IF(Bolts[[#This Row],[Bolt Name]]="","",Bolts[[#This Row],[Rev. G ΦRNX]]+Bolts[[#This Row],[Rev. G Sleeve ΦRNX]])</f>
        <v/>
      </c>
      <c r="AH22" s="50" t="str">
        <f>IF(Bolts[[#This Row],[Bolt Name]]="","",Bolts[[#This Row],[Rev. H ΦRNN]])</f>
        <v/>
      </c>
      <c r="AI22" s="50" t="str">
        <f>IF(Bolts[[#This Row],[Bolt Name]]="","",Bolts[[#This Row],[Rev. H ΦRNX]])</f>
        <v/>
      </c>
      <c r="AJ22" s="50" t="str">
        <f>IF(Bolts[[#This Row],[Bolt Name]]="","",Bolts[[#This Row],[Rev. H Sleeve ΦRNX]])</f>
        <v/>
      </c>
      <c r="AK22" s="50" t="str">
        <f>IF(Bolts[[#This Row],[Bolt Name]]="","",Bolts[[#This Row],[Rev. H Bolt (N) Capacity]]+Bolts[[#This Row],[Rev. H Shear Sleeve Capacity]])</f>
        <v/>
      </c>
      <c r="AL22" s="50" t="str">
        <f>IF(Bolts[[#This Row],[Bolt Name]]="","",Bolts[[#This Row],[Rev. H Bolt (X) Capacity]]+Bolts[[#This Row],[Rev. H Shear Sleeve Capacity]])</f>
        <v/>
      </c>
      <c r="AM22" s="16" t="str">
        <f>IF(Bolts[[#This Row],[Bolt Name]]="","",TRUE)</f>
        <v/>
      </c>
      <c r="AN22">
        <v>18</v>
      </c>
      <c r="AO22" t="str">
        <f>IF(Bolts[[#This Row],[Bolt Name]]="","",IF(ROW(Bolts[[#This Row],[Bolt Name]])&gt;15,FALSE,TRUE))</f>
        <v/>
      </c>
      <c r="AW22" s="16"/>
      <c r="AX22" s="16"/>
      <c r="AY22" s="16"/>
      <c r="BA22" s="63"/>
    </row>
    <row r="23" spans="2:53" x14ac:dyDescent="0.2">
      <c r="B23" s="94"/>
      <c r="C23" s="94"/>
      <c r="D23" s="50"/>
      <c r="E23" s="50" t="str">
        <f>IF(Bolts[[#This Row],[Bolt Name]]="","",Bolts[[#This Row],[Bolt Diameter (in)]]*25.4)</f>
        <v/>
      </c>
      <c r="F23" s="50" t="str">
        <f>IF(Bolts[[#This Row],[Bolt Name]]="","",PI()/4*Bolts[[#This Row],[Bolt Diameter (in)]]^2)</f>
        <v/>
      </c>
      <c r="G23" s="50"/>
      <c r="H23" s="50"/>
      <c r="I23" s="50"/>
      <c r="J23" s="50" t="str">
        <f>IF(Bolts[[#This Row],[Bolt Name]]="","",PI()/4*(Bolts[[#This Row],[Sleeve Outer Diameter (in)]]^2-Bolts[[#This Row],[Sleeve Inner Diameter (in)]]^2))</f>
        <v/>
      </c>
      <c r="K23" s="50"/>
      <c r="L23" s="50" t="str">
        <f>IF(Bolts[[#This Row],[Bolt Name]]="","",IF(Bolts[[#This Row],[Bolt Fu (ksi)]]=120,21,IF(Bolts[[#This Row],[Bolt Fu (ksi)]]=150,28,"Error")))</f>
        <v/>
      </c>
      <c r="M23" s="50" t="str">
        <f>IF(Bolts[[#This Row],[Bolt Name]]="","",IF(Bolts[[#This Row],[Bolt Fu (ksi)]]=120,30,IF(Bolts[[#This Row],[Bolt Fu (ksi)]]=150,40,"Error")))</f>
        <v/>
      </c>
      <c r="N23" s="50" t="str">
        <f>IF(Bolts[[#This Row],[Bolt Name]]="","",Bolts[[#This Row],[Rev. F FVN]]*Bolts[[#This Row],[Area of Bolt (in2)]])</f>
        <v/>
      </c>
      <c r="O23" s="50" t="str">
        <f>IF(Bolts[[#This Row],[Bolt Name]]="","",Bolts[[#This Row],[Rev. F FVX]]*Bolts[[#This Row],[Area of Bolt (in2)]])</f>
        <v/>
      </c>
      <c r="P23" s="50" t="str">
        <f>IF(Bolts[[#This Row],[Bolt Name]]="","",Bolts[[#This Row],[Rev. F FVX]]*(Bolts[[#This Row],[Sleeve Fu (ksi)]]/Bolts[[#This Row],[Bolt Fu (ksi)]]))</f>
        <v/>
      </c>
      <c r="Q23" s="50" t="str">
        <f>IF(Bolts[[#This Row],[Bolt Name]]="","",Bolts[[#This Row],[Rev. F Sleeve FVX]]*Bolts[[#This Row],[Sleeve Area (in2)]])</f>
        <v/>
      </c>
      <c r="R23" s="50" t="str">
        <f>IF(Bolts[[#This Row],[Bolt Name]]="","",0.45*Bolts[[#This Row],[Bolt Fu (ksi)]])</f>
        <v/>
      </c>
      <c r="S23" s="50" t="str">
        <f>IF(Bolts[[#This Row],[Bolt Name]]="","",0.55*Bolts[[#This Row],[Bolt Fu (ksi)]])</f>
        <v/>
      </c>
      <c r="T23" s="50" t="str">
        <f>IF(Bolts[[#This Row],[Bolt Name]]="","",φ_bolt_shear*Bolts[[#This Row],[Rev. G FNVN]]*Bolts[[#This Row],[Area of Bolt (in2)]])</f>
        <v/>
      </c>
      <c r="U23" s="50" t="str">
        <f>IF(Bolts[[#This Row],[Bolt Name]]="","",φ_bolt_shear*Bolts[[#This Row],[Rev. G FNVX]]*Bolts[[#This Row],[Area of Bolt (in2)]])</f>
        <v/>
      </c>
      <c r="V23" s="50" t="str">
        <f>IF(Bolts[[#This Row],[Bolt Name]]="","",0.55*Bolts[[#This Row],[Sleeve Fu (ksi)]])</f>
        <v/>
      </c>
      <c r="W23" s="50" t="str">
        <f>IF(Bolts[[#This Row],[Bolt Name]]="","",φ_bolt_shear*Bolts[[#This Row],[Rev. G Sleeve FNVX]]*Bolts[[#This Row],[Sleeve Area (in2)]])</f>
        <v/>
      </c>
      <c r="X23" s="50" t="str">
        <f>IF(Bolts[[#This Row],[Bolt Name]]="","",0.625*0.8*Bolts[[#This Row],[Bolt Fu (ksi)]])</f>
        <v/>
      </c>
      <c r="Y23" s="50" t="str">
        <f>IF(Bolts[[#This Row],[Bolt Name]]="","",0.625*Bolts[[#This Row],[Bolt Fu (ksi)]])</f>
        <v/>
      </c>
      <c r="Z23" s="50" t="str">
        <f>IF(Bolts[[#This Row],[Bolt Name]]="","",φ_bolt_shear*Bolts[[#This Row],[Rev. H FNVN]]*Bolts[[#This Row],[Area of Bolt (in2)]])</f>
        <v/>
      </c>
      <c r="AA23" s="50" t="str">
        <f>IF(Bolts[[#This Row],[Bolt Name]]="","",φ_bolt_shear*Bolts[[#This Row],[Rev. H FNVX]]*Bolts[[#This Row],[Area of Bolt (in2)]])</f>
        <v/>
      </c>
      <c r="AB23" s="50" t="str">
        <f>IF(Bolts[[#This Row],[Bolt Name]]="","",0.625*Bolts[[#This Row],[Sleeve Fu (ksi)]])</f>
        <v/>
      </c>
      <c r="AC23" s="50" t="str">
        <f>IF(Bolts[[#This Row],[Bolt Name]]="","",φ_bolt_shear*Bolts[[#This Row],[Rev. H Sleeve FNVX]]*Bolts[[#This Row],[Sleeve Area (in2)]])</f>
        <v/>
      </c>
      <c r="AD23" s="50" t="str">
        <f>IF(Bolts[[#This Row],[Bolt Name]]="","",(Bolts[[#This Row],[Rev. F RN]]+Bolts[[#This Row],[Rev. F Sleeve RN]]))</f>
        <v/>
      </c>
      <c r="AE23" s="50" t="str">
        <f>IF(Bolts[[#This Row],[Bolt Name]]="","",(Bolts[[#This Row],[Rev. F RX]]+Bolts[[#This Row],[Rev. F Sleeve RN]]))</f>
        <v/>
      </c>
      <c r="AF23" s="50" t="str">
        <f>IF(Bolts[[#This Row],[Bolt Name]]="","",Bolts[[#This Row],[Rev. G ΦRNN]]+Bolts[[#This Row],[Rev. G Sleeve ΦRNX]])</f>
        <v/>
      </c>
      <c r="AG23" s="50" t="str">
        <f>IF(Bolts[[#This Row],[Bolt Name]]="","",Bolts[[#This Row],[Rev. G ΦRNX]]+Bolts[[#This Row],[Rev. G Sleeve ΦRNX]])</f>
        <v/>
      </c>
      <c r="AH23" s="50" t="str">
        <f>IF(Bolts[[#This Row],[Bolt Name]]="","",Bolts[[#This Row],[Rev. H ΦRNN]])</f>
        <v/>
      </c>
      <c r="AI23" s="50" t="str">
        <f>IF(Bolts[[#This Row],[Bolt Name]]="","",Bolts[[#This Row],[Rev. H ΦRNX]])</f>
        <v/>
      </c>
      <c r="AJ23" s="50" t="str">
        <f>IF(Bolts[[#This Row],[Bolt Name]]="","",Bolts[[#This Row],[Rev. H Sleeve ΦRNX]])</f>
        <v/>
      </c>
      <c r="AK23" s="50" t="str">
        <f>IF(Bolts[[#This Row],[Bolt Name]]="","",Bolts[[#This Row],[Rev. H Bolt (N) Capacity]]+Bolts[[#This Row],[Rev. H Shear Sleeve Capacity]])</f>
        <v/>
      </c>
      <c r="AL23" s="50" t="str">
        <f>IF(Bolts[[#This Row],[Bolt Name]]="","",Bolts[[#This Row],[Rev. H Bolt (X) Capacity]]+Bolts[[#This Row],[Rev. H Shear Sleeve Capacity]])</f>
        <v/>
      </c>
      <c r="AM23" s="16" t="str">
        <f>IF(Bolts[[#This Row],[Bolt Name]]="","",TRUE)</f>
        <v/>
      </c>
      <c r="AN23">
        <v>19</v>
      </c>
      <c r="AO23" t="str">
        <f>IF(Bolts[[#This Row],[Bolt Name]]="","",IF(ROW(Bolts[[#This Row],[Bolt Name]])&gt;15,FALSE,TRUE))</f>
        <v/>
      </c>
      <c r="AW23" s="16"/>
      <c r="AX23" s="16"/>
      <c r="AY23" s="16"/>
      <c r="BA23" s="63"/>
    </row>
    <row r="24" spans="2:53" x14ac:dyDescent="0.2">
      <c r="B24" s="94"/>
      <c r="C24" s="94"/>
      <c r="D24" s="50"/>
      <c r="E24" s="50" t="str">
        <f>IF(Bolts[[#This Row],[Bolt Name]]="","",Bolts[[#This Row],[Bolt Diameter (in)]]*25.4)</f>
        <v/>
      </c>
      <c r="F24" s="50" t="str">
        <f>IF(Bolts[[#This Row],[Bolt Name]]="","",PI()/4*Bolts[[#This Row],[Bolt Diameter (in)]]^2)</f>
        <v/>
      </c>
      <c r="G24" s="50"/>
      <c r="H24" s="50"/>
      <c r="I24" s="50"/>
      <c r="J24" s="50" t="str">
        <f>IF(Bolts[[#This Row],[Bolt Name]]="","",PI()/4*(Bolts[[#This Row],[Sleeve Outer Diameter (in)]]^2-Bolts[[#This Row],[Sleeve Inner Diameter (in)]]^2))</f>
        <v/>
      </c>
      <c r="K24" s="50"/>
      <c r="L24" s="50" t="str">
        <f>IF(Bolts[[#This Row],[Bolt Name]]="","",IF(Bolts[[#This Row],[Bolt Fu (ksi)]]=120,21,IF(Bolts[[#This Row],[Bolt Fu (ksi)]]=150,28,"Error")))</f>
        <v/>
      </c>
      <c r="M24" s="50" t="str">
        <f>IF(Bolts[[#This Row],[Bolt Name]]="","",IF(Bolts[[#This Row],[Bolt Fu (ksi)]]=120,30,IF(Bolts[[#This Row],[Bolt Fu (ksi)]]=150,40,"Error")))</f>
        <v/>
      </c>
      <c r="N24" s="50" t="str">
        <f>IF(Bolts[[#This Row],[Bolt Name]]="","",Bolts[[#This Row],[Rev. F FVN]]*Bolts[[#This Row],[Area of Bolt (in2)]])</f>
        <v/>
      </c>
      <c r="O24" s="50" t="str">
        <f>IF(Bolts[[#This Row],[Bolt Name]]="","",Bolts[[#This Row],[Rev. F FVX]]*Bolts[[#This Row],[Area of Bolt (in2)]])</f>
        <v/>
      </c>
      <c r="P24" s="50" t="str">
        <f>IF(Bolts[[#This Row],[Bolt Name]]="","",Bolts[[#This Row],[Rev. F FVX]]*(Bolts[[#This Row],[Sleeve Fu (ksi)]]/Bolts[[#This Row],[Bolt Fu (ksi)]]))</f>
        <v/>
      </c>
      <c r="Q24" s="50" t="str">
        <f>IF(Bolts[[#This Row],[Bolt Name]]="","",Bolts[[#This Row],[Rev. F Sleeve FVX]]*Bolts[[#This Row],[Sleeve Area (in2)]])</f>
        <v/>
      </c>
      <c r="R24" s="50" t="str">
        <f>IF(Bolts[[#This Row],[Bolt Name]]="","",0.45*Bolts[[#This Row],[Bolt Fu (ksi)]])</f>
        <v/>
      </c>
      <c r="S24" s="50" t="str">
        <f>IF(Bolts[[#This Row],[Bolt Name]]="","",0.55*Bolts[[#This Row],[Bolt Fu (ksi)]])</f>
        <v/>
      </c>
      <c r="T24" s="50" t="str">
        <f>IF(Bolts[[#This Row],[Bolt Name]]="","",φ_bolt_shear*Bolts[[#This Row],[Rev. G FNVN]]*Bolts[[#This Row],[Area of Bolt (in2)]])</f>
        <v/>
      </c>
      <c r="U24" s="50" t="str">
        <f>IF(Bolts[[#This Row],[Bolt Name]]="","",φ_bolt_shear*Bolts[[#This Row],[Rev. G FNVX]]*Bolts[[#This Row],[Area of Bolt (in2)]])</f>
        <v/>
      </c>
      <c r="V24" s="50" t="str">
        <f>IF(Bolts[[#This Row],[Bolt Name]]="","",0.55*Bolts[[#This Row],[Sleeve Fu (ksi)]])</f>
        <v/>
      </c>
      <c r="W24" s="50" t="str">
        <f>IF(Bolts[[#This Row],[Bolt Name]]="","",φ_bolt_shear*Bolts[[#This Row],[Rev. G Sleeve FNVX]]*Bolts[[#This Row],[Sleeve Area (in2)]])</f>
        <v/>
      </c>
      <c r="X24" s="50" t="str">
        <f>IF(Bolts[[#This Row],[Bolt Name]]="","",0.625*0.8*Bolts[[#This Row],[Bolt Fu (ksi)]])</f>
        <v/>
      </c>
      <c r="Y24" s="50" t="str">
        <f>IF(Bolts[[#This Row],[Bolt Name]]="","",0.625*Bolts[[#This Row],[Bolt Fu (ksi)]])</f>
        <v/>
      </c>
      <c r="Z24" s="50" t="str">
        <f>IF(Bolts[[#This Row],[Bolt Name]]="","",φ_bolt_shear*Bolts[[#This Row],[Rev. H FNVN]]*Bolts[[#This Row],[Area of Bolt (in2)]])</f>
        <v/>
      </c>
      <c r="AA24" s="50" t="str">
        <f>IF(Bolts[[#This Row],[Bolt Name]]="","",φ_bolt_shear*Bolts[[#This Row],[Rev. H FNVX]]*Bolts[[#This Row],[Area of Bolt (in2)]])</f>
        <v/>
      </c>
      <c r="AB24" s="50" t="str">
        <f>IF(Bolts[[#This Row],[Bolt Name]]="","",0.625*Bolts[[#This Row],[Sleeve Fu (ksi)]])</f>
        <v/>
      </c>
      <c r="AC24" s="50" t="str">
        <f>IF(Bolts[[#This Row],[Bolt Name]]="","",φ_bolt_shear*Bolts[[#This Row],[Rev. H Sleeve FNVX]]*Bolts[[#This Row],[Sleeve Area (in2)]])</f>
        <v/>
      </c>
      <c r="AD24" s="50" t="str">
        <f>IF(Bolts[[#This Row],[Bolt Name]]="","",(Bolts[[#This Row],[Rev. F RN]]+Bolts[[#This Row],[Rev. F Sleeve RN]]))</f>
        <v/>
      </c>
      <c r="AE24" s="50" t="str">
        <f>IF(Bolts[[#This Row],[Bolt Name]]="","",(Bolts[[#This Row],[Rev. F RX]]+Bolts[[#This Row],[Rev. F Sleeve RN]]))</f>
        <v/>
      </c>
      <c r="AF24" s="50" t="str">
        <f>IF(Bolts[[#This Row],[Bolt Name]]="","",Bolts[[#This Row],[Rev. G ΦRNN]]+Bolts[[#This Row],[Rev. G Sleeve ΦRNX]])</f>
        <v/>
      </c>
      <c r="AG24" s="50" t="str">
        <f>IF(Bolts[[#This Row],[Bolt Name]]="","",Bolts[[#This Row],[Rev. G ΦRNX]]+Bolts[[#This Row],[Rev. G Sleeve ΦRNX]])</f>
        <v/>
      </c>
      <c r="AH24" s="50" t="str">
        <f>IF(Bolts[[#This Row],[Bolt Name]]="","",Bolts[[#This Row],[Rev. H ΦRNN]])</f>
        <v/>
      </c>
      <c r="AI24" s="50" t="str">
        <f>IF(Bolts[[#This Row],[Bolt Name]]="","",Bolts[[#This Row],[Rev. H ΦRNX]])</f>
        <v/>
      </c>
      <c r="AJ24" s="50" t="str">
        <f>IF(Bolts[[#This Row],[Bolt Name]]="","",Bolts[[#This Row],[Rev. H Sleeve ΦRNX]])</f>
        <v/>
      </c>
      <c r="AK24" s="50" t="str">
        <f>IF(Bolts[[#This Row],[Bolt Name]]="","",Bolts[[#This Row],[Rev. H Bolt (N) Capacity]]+Bolts[[#This Row],[Rev. H Shear Sleeve Capacity]])</f>
        <v/>
      </c>
      <c r="AL24" s="50" t="str">
        <f>IF(Bolts[[#This Row],[Bolt Name]]="","",Bolts[[#This Row],[Rev. H Bolt (X) Capacity]]+Bolts[[#This Row],[Rev. H Shear Sleeve Capacity]])</f>
        <v/>
      </c>
      <c r="AM24" s="16" t="str">
        <f>IF(Bolts[[#This Row],[Bolt Name]]="","",TRUE)</f>
        <v/>
      </c>
      <c r="AN24">
        <v>20</v>
      </c>
      <c r="AO24" t="str">
        <f>IF(Bolts[[#This Row],[Bolt Name]]="","",IF(ROW(Bolts[[#This Row],[Bolt Name]])&gt;15,FALSE,TRUE))</f>
        <v/>
      </c>
    </row>
    <row r="25" spans="2:53" x14ac:dyDescent="0.2">
      <c r="AF25" s="352"/>
      <c r="AG25" s="352"/>
      <c r="AH25" s="352"/>
      <c r="AI25" s="352"/>
      <c r="AJ25" s="352"/>
      <c r="AK25" s="352"/>
      <c r="AL25" s="352"/>
    </row>
    <row r="26" spans="2:53" x14ac:dyDescent="0.2">
      <c r="B26" s="63" t="s">
        <v>479</v>
      </c>
    </row>
    <row r="27" spans="2:53" x14ac:dyDescent="0.2">
      <c r="B27" s="49" t="s">
        <v>480</v>
      </c>
    </row>
    <row r="28" spans="2:53" x14ac:dyDescent="0.2">
      <c r="B28" t="s">
        <v>481</v>
      </c>
    </row>
    <row r="29" spans="2:53" x14ac:dyDescent="0.2">
      <c r="B29" s="356" t="s">
        <v>482</v>
      </c>
    </row>
    <row r="30" spans="2:53" x14ac:dyDescent="0.2">
      <c r="B30" s="355"/>
    </row>
    <row r="33" spans="3:3" x14ac:dyDescent="0.2">
      <c r="C33" s="49"/>
    </row>
  </sheetData>
  <sheetProtection algorithmName="SHA-512" hashValue="0neJTqRgKD+ozi2tjGLcmNNREpSTVu95oxr8Xb4gorGpEUdzUel8wjHJ44fzSWkLfn05fTiyW39KsFjKSEM5rg==" saltValue="DGIYz/OCgXdibH1gJzy8ag=="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H26" sqref="H26"/>
    </sheetView>
  </sheetViews>
  <sheetFormatPr defaultColWidth="9.140625" defaultRowHeight="12.75" x14ac:dyDescent="0.2"/>
  <cols>
    <col min="1" max="2" width="11.5703125" style="148" customWidth="1"/>
    <col min="3" max="3" width="13.140625" style="148" customWidth="1"/>
    <col min="4" max="4" width="12.42578125" style="148" customWidth="1"/>
    <col min="5" max="5" width="10.7109375" style="148" customWidth="1"/>
    <col min="6" max="6" width="15" style="148" customWidth="1"/>
    <col min="7" max="7" width="10.7109375" style="148" customWidth="1"/>
    <col min="8" max="8" width="14.42578125" style="148" customWidth="1"/>
    <col min="9" max="13" width="10.7109375" style="148" customWidth="1"/>
    <col min="14" max="14" width="14" style="148" customWidth="1"/>
    <col min="15" max="15" width="10.7109375" style="148" customWidth="1"/>
    <col min="16" max="16" width="12.7109375" style="148" customWidth="1"/>
    <col min="17" max="20" width="10.7109375" style="148" customWidth="1"/>
    <col min="21" max="21" width="11.28515625" style="148" customWidth="1"/>
    <col min="22" max="25" width="10.7109375" style="148" customWidth="1"/>
    <col min="26" max="26" width="11.85546875" style="148" customWidth="1"/>
    <col min="27" max="27" width="13.28515625" style="148" customWidth="1"/>
    <col min="28" max="28" width="11.42578125" style="148" customWidth="1"/>
    <col min="29" max="29" width="13.28515625" style="148" customWidth="1"/>
    <col min="30" max="30" width="14.85546875" style="148" customWidth="1"/>
    <col min="31" max="36" width="10.7109375" style="148" customWidth="1"/>
    <col min="37" max="38" width="12.5703125" style="148" customWidth="1"/>
    <col min="39" max="39" width="12.140625" style="148" customWidth="1"/>
    <col min="40" max="40" width="9.7109375" style="148" customWidth="1"/>
    <col min="41" max="42" width="10.7109375" style="148" customWidth="1"/>
    <col min="43" max="43" width="12.42578125" style="148" customWidth="1"/>
    <col min="44" max="45" width="10.7109375" style="148" customWidth="1"/>
    <col min="46" max="46" width="12.5703125" style="49" customWidth="1"/>
    <col min="47" max="50" width="10.7109375" style="148" customWidth="1"/>
    <col min="51" max="51" width="14.85546875" style="148" customWidth="1"/>
    <col min="52" max="52" width="14.28515625" style="148" customWidth="1"/>
    <col min="53" max="55" width="10.7109375" style="148" customWidth="1"/>
    <col min="56" max="56" width="12.42578125" style="148" customWidth="1"/>
    <col min="57" max="58" width="10.7109375" style="148" customWidth="1"/>
    <col min="59" max="59" width="13.140625" style="148" customWidth="1"/>
    <col min="60" max="60" width="14.7109375" style="148" customWidth="1"/>
    <col min="61" max="61" width="10.7109375" style="148" customWidth="1"/>
    <col min="62" max="62" width="14.140625" style="148" customWidth="1"/>
    <col min="63" max="63" width="10.7109375" style="148" customWidth="1"/>
    <col min="64" max="64" width="11.5703125" style="49" customWidth="1"/>
    <col min="65" max="67" width="10.7109375" style="148" customWidth="1"/>
    <col min="68" max="68" width="13" style="49" bestFit="1" customWidth="1"/>
    <col min="69" max="69" width="15.7109375" style="49" customWidth="1"/>
    <col min="70" max="70" width="32.140625" style="49" customWidth="1"/>
    <col min="71" max="72" width="9.140625" style="49"/>
    <col min="73" max="73" width="10.42578125" style="49" customWidth="1"/>
    <col min="74" max="74" width="10.7109375" style="49" customWidth="1"/>
    <col min="75" max="75" width="9.140625" style="49"/>
    <col min="76" max="76" width="10.28515625" style="49" customWidth="1"/>
    <col min="77" max="77" width="9.140625" style="49"/>
    <col min="78" max="78" width="0" style="49" hidden="1" customWidth="1"/>
    <col min="79" max="79" width="9.140625" style="49"/>
    <col min="80" max="80" width="12.7109375" style="49" customWidth="1"/>
    <col min="81" max="81" width="13" style="49" customWidth="1"/>
    <col min="82" max="82" width="9.140625" style="49"/>
    <col min="83" max="83" width="13.5703125" style="49" hidden="1" customWidth="1"/>
    <col min="84" max="84" width="0" style="49" hidden="1" customWidth="1"/>
    <col min="85" max="87" width="9.140625" style="49"/>
    <col min="88" max="90" width="9.140625" style="148"/>
    <col min="91" max="91" width="10.7109375" style="148" customWidth="1"/>
    <col min="92" max="92" width="9.5703125" style="148" customWidth="1"/>
    <col min="93" max="93" width="9.140625" style="148"/>
    <col min="94" max="94" width="10.28515625" style="148" customWidth="1"/>
    <col min="95" max="96" width="9.140625" style="148"/>
    <col min="97" max="101" width="10.28515625" style="148" customWidth="1"/>
    <col min="102" max="102" width="10.140625" style="148" customWidth="1"/>
    <col min="103" max="103" width="9.140625" style="148"/>
    <col min="104" max="105" width="10.7109375" style="148" customWidth="1"/>
    <col min="106" max="107" width="9.140625" style="148"/>
    <col min="108" max="108" width="9.7109375" style="148" customWidth="1"/>
    <col min="109" max="109" width="10.140625" style="148" customWidth="1"/>
    <col min="110" max="113" width="9.140625" style="148"/>
    <col min="114" max="114" width="11.28515625" style="148" hidden="1" customWidth="1"/>
    <col min="115" max="16384" width="9.140625" style="148"/>
  </cols>
  <sheetData>
    <row r="1" spans="1:70" ht="60" customHeight="1" x14ac:dyDescent="0.25">
      <c r="A1" s="638" t="s">
        <v>483</v>
      </c>
      <c r="B1" s="638"/>
      <c r="C1" s="638"/>
      <c r="D1" s="638"/>
      <c r="E1" s="203" t="str">
        <f>"               (Rev. "&amp;Rev&amp;")"</f>
        <v xml:space="preserve">               (Rev. H)</v>
      </c>
      <c r="AO1" s="149"/>
      <c r="AP1" s="149"/>
      <c r="AQ1" s="149"/>
      <c r="AR1" s="149"/>
      <c r="AS1" s="149"/>
      <c r="AT1" s="25"/>
      <c r="AU1" s="149"/>
      <c r="AV1" s="149"/>
      <c r="AW1" s="149"/>
      <c r="AX1" s="149"/>
      <c r="AY1" s="149"/>
      <c r="AZ1" s="149"/>
      <c r="BA1" s="149"/>
      <c r="BB1" s="149"/>
      <c r="BC1" s="149"/>
    </row>
    <row r="2" spans="1:70" ht="21.75" thickBot="1" x14ac:dyDescent="0.4">
      <c r="A2" s="150"/>
      <c r="B2" s="639" t="s">
        <v>484</v>
      </c>
      <c r="C2" s="639"/>
      <c r="D2" s="639"/>
      <c r="E2" s="639"/>
      <c r="F2" s="639"/>
      <c r="G2" s="639"/>
      <c r="V2" s="149"/>
      <c r="AO2" s="149"/>
      <c r="AP2" s="149"/>
      <c r="AQ2" s="149"/>
      <c r="AR2" s="149"/>
      <c r="AS2" s="149"/>
      <c r="AT2" s="25"/>
      <c r="AU2" s="149"/>
      <c r="AV2" s="149"/>
      <c r="AW2" s="149"/>
      <c r="AX2" s="149"/>
      <c r="AY2" s="149"/>
      <c r="AZ2" s="149"/>
      <c r="BA2" s="149"/>
      <c r="BB2" s="149"/>
      <c r="BC2" s="149"/>
      <c r="BE2" s="47"/>
      <c r="BF2" s="47"/>
      <c r="BG2" s="47"/>
      <c r="BH2" s="47"/>
      <c r="BI2" s="47"/>
      <c r="BJ2" s="47"/>
      <c r="BK2" s="47"/>
      <c r="BL2" s="47"/>
      <c r="BM2" s="47"/>
      <c r="BN2" s="47"/>
      <c r="BO2" s="47"/>
      <c r="BP2" s="47"/>
      <c r="BQ2" s="47"/>
      <c r="BR2" s="47"/>
    </row>
    <row r="3" spans="1:70" ht="21.75" thickTop="1" x14ac:dyDescent="0.35">
      <c r="A3" s="150"/>
      <c r="B3" s="204"/>
      <c r="C3" s="205"/>
      <c r="D3" s="380" t="e">
        <f>VLOOKUP(D4,'Macro References'!BB2:BC101,2,FALSE)</f>
        <v>#N/A</v>
      </c>
      <c r="E3" s="205"/>
      <c r="F3" s="205"/>
      <c r="G3" s="206"/>
      <c r="AO3" s="149"/>
      <c r="AP3" s="149"/>
      <c r="AQ3" s="149"/>
      <c r="AR3" s="149"/>
      <c r="AS3" s="149"/>
      <c r="AT3" s="25"/>
      <c r="AU3" s="149"/>
      <c r="AV3" s="149"/>
      <c r="AW3" s="149"/>
      <c r="AX3" s="149"/>
      <c r="AY3" s="149"/>
      <c r="AZ3" s="149"/>
      <c r="BA3" s="149"/>
      <c r="BB3" s="149"/>
      <c r="BC3" s="149"/>
      <c r="BE3" s="47"/>
      <c r="BF3" s="47"/>
      <c r="BG3" s="47"/>
      <c r="BH3" s="47"/>
      <c r="BI3" s="47"/>
      <c r="BJ3" s="47"/>
      <c r="BK3" s="47"/>
      <c r="BL3" s="47"/>
      <c r="BM3" s="47"/>
      <c r="BN3" s="47"/>
      <c r="BO3" s="47"/>
      <c r="BP3" s="47"/>
      <c r="BQ3" s="47"/>
      <c r="BR3" s="47"/>
    </row>
    <row r="4" spans="1:70" ht="15" customHeight="1" thickBot="1" x14ac:dyDescent="0.4">
      <c r="A4" s="150"/>
      <c r="B4" s="207"/>
      <c r="C4" s="111" t="s">
        <v>78</v>
      </c>
      <c r="D4" s="208">
        <v>0</v>
      </c>
      <c r="E4" s="49"/>
      <c r="F4" s="49"/>
      <c r="G4" s="209"/>
      <c r="K4" s="149"/>
      <c r="T4" s="270" t="s">
        <v>485</v>
      </c>
      <c r="U4" s="29"/>
      <c r="V4" s="29"/>
      <c r="W4" s="29"/>
      <c r="X4" s="149"/>
      <c r="Y4" s="149"/>
      <c r="Z4" s="149"/>
      <c r="AA4" s="149"/>
      <c r="AB4" s="29"/>
      <c r="AC4" s="149"/>
      <c r="AD4" s="149"/>
      <c r="AN4" s="149"/>
      <c r="AO4" s="149"/>
      <c r="AP4" s="149"/>
      <c r="AQ4" s="149"/>
      <c r="AR4" s="149"/>
      <c r="AS4" s="149"/>
      <c r="AT4" s="25"/>
      <c r="AU4" s="149"/>
      <c r="AV4" s="149"/>
      <c r="AW4" s="149"/>
      <c r="AX4" s="149"/>
      <c r="AY4" s="149"/>
      <c r="AZ4" s="149"/>
      <c r="BA4" s="149"/>
      <c r="BB4" s="149"/>
      <c r="BC4" s="149"/>
      <c r="BE4" s="47"/>
      <c r="BF4" s="47"/>
      <c r="BG4" s="47"/>
      <c r="BH4" s="47"/>
      <c r="BI4" s="47"/>
      <c r="BJ4" s="47"/>
      <c r="BK4" s="47"/>
      <c r="BL4" s="47"/>
      <c r="BM4" s="47"/>
      <c r="BN4" s="47"/>
      <c r="BO4" s="47"/>
      <c r="BP4" s="47"/>
      <c r="BQ4" s="47"/>
      <c r="BR4" s="47"/>
    </row>
    <row r="5" spans="1:70" ht="15" customHeight="1" x14ac:dyDescent="0.35">
      <c r="A5" s="150"/>
      <c r="B5" s="207"/>
      <c r="C5" s="111" t="s">
        <v>486</v>
      </c>
      <c r="D5" s="208">
        <v>0</v>
      </c>
      <c r="E5" s="49"/>
      <c r="F5" s="49"/>
      <c r="G5" s="209"/>
      <c r="J5" s="643" t="s">
        <v>487</v>
      </c>
      <c r="K5" s="582"/>
      <c r="L5" s="582"/>
      <c r="M5" s="643" t="s">
        <v>488</v>
      </c>
      <c r="N5" s="582"/>
      <c r="O5" s="583"/>
      <c r="P5" s="582" t="s">
        <v>489</v>
      </c>
      <c r="Q5" s="582"/>
      <c r="R5" s="583"/>
      <c r="T5" s="29"/>
      <c r="U5" s="271" t="s">
        <v>86</v>
      </c>
      <c r="V5" s="271" t="s">
        <v>490</v>
      </c>
      <c r="W5" s="271" t="s">
        <v>491</v>
      </c>
      <c r="X5" s="152"/>
      <c r="Y5" s="152"/>
      <c r="Z5" s="152"/>
      <c r="AA5" s="149"/>
      <c r="AB5" s="29"/>
      <c r="AC5" s="149"/>
      <c r="AD5" s="149"/>
      <c r="AO5" s="149"/>
      <c r="AP5" s="149"/>
      <c r="AQ5" s="149"/>
      <c r="AR5" s="149"/>
      <c r="AS5" s="149"/>
      <c r="AT5" s="25"/>
      <c r="AU5" s="153"/>
      <c r="AV5" s="149"/>
      <c r="AW5" s="153"/>
      <c r="AX5" s="149"/>
      <c r="AY5" s="149"/>
      <c r="AZ5" s="149"/>
      <c r="BA5" s="149"/>
      <c r="BB5" s="149"/>
      <c r="BC5" s="149"/>
      <c r="BE5" s="47"/>
      <c r="BF5" s="47"/>
      <c r="BG5" s="47"/>
      <c r="BH5" s="47"/>
      <c r="BI5" s="47"/>
      <c r="BJ5" s="47"/>
      <c r="BK5" s="47"/>
      <c r="BL5" s="47"/>
      <c r="BM5" s="47"/>
      <c r="BN5" s="47"/>
      <c r="BO5" s="47"/>
      <c r="BP5" s="47"/>
      <c r="BQ5" s="29">
        <v>1</v>
      </c>
      <c r="BR5" s="29">
        <v>1</v>
      </c>
    </row>
    <row r="6" spans="1:70" ht="15" customHeight="1" x14ac:dyDescent="0.35">
      <c r="B6" s="210"/>
      <c r="C6" s="111" t="s">
        <v>492</v>
      </c>
      <c r="D6" s="316" t="e">
        <f>VLOOKUP(VLOOKUP($D$4,Results!$G$4:$AX$105,38,FALSE),Materials[],2,FALSE)</f>
        <v>#N/A</v>
      </c>
      <c r="E6" s="49"/>
      <c r="F6" s="49"/>
      <c r="G6" s="209"/>
      <c r="J6" s="644"/>
      <c r="K6" s="584"/>
      <c r="L6" s="584"/>
      <c r="M6" s="644"/>
      <c r="N6" s="584"/>
      <c r="O6" s="585"/>
      <c r="P6" s="584"/>
      <c r="Q6" s="584"/>
      <c r="R6" s="585"/>
      <c r="T6" s="29"/>
      <c r="U6" s="272">
        <f>SUM(BJ40:BJ57,BJ60:BJ77,BJ79:BJ96)/12</f>
        <v>0</v>
      </c>
      <c r="V6" s="273">
        <f>SUM(BJ40:BJ57)/12</f>
        <v>0</v>
      </c>
      <c r="W6" s="273">
        <f>SUM(BJ60:BJ77,BJ79:BJ96)/12</f>
        <v>0</v>
      </c>
      <c r="X6" s="154"/>
      <c r="Y6" s="154"/>
      <c r="Z6" s="154"/>
      <c r="AA6" s="149"/>
      <c r="AB6" s="29" t="s">
        <v>493</v>
      </c>
      <c r="AC6" s="149"/>
      <c r="AD6" s="149"/>
      <c r="AO6" s="149"/>
      <c r="AP6" s="149"/>
      <c r="AQ6" s="149"/>
      <c r="AR6" s="149"/>
      <c r="AS6" s="149"/>
      <c r="AT6" s="25"/>
      <c r="AU6" s="153"/>
      <c r="AV6" s="149"/>
      <c r="AW6" s="153"/>
      <c r="AX6" s="149"/>
      <c r="AY6" s="149"/>
      <c r="AZ6" s="149"/>
      <c r="BA6" s="149"/>
      <c r="BB6" s="149"/>
      <c r="BC6" s="149"/>
      <c r="BE6" s="47"/>
      <c r="BF6" s="47"/>
      <c r="BG6" s="47"/>
      <c r="BH6" s="47"/>
      <c r="BI6" s="47"/>
      <c r="BJ6" s="47"/>
      <c r="BK6" s="47"/>
      <c r="BL6" s="47"/>
      <c r="BM6" s="47"/>
      <c r="BN6" s="47"/>
      <c r="BO6" s="47"/>
      <c r="BP6" s="47"/>
      <c r="BQ6" s="29">
        <v>2</v>
      </c>
      <c r="BR6" s="29">
        <v>1</v>
      </c>
    </row>
    <row r="7" spans="1:70" ht="15" customHeight="1" x14ac:dyDescent="0.35">
      <c r="B7" s="210"/>
      <c r="C7" s="133" t="s">
        <v>494</v>
      </c>
      <c r="D7" s="316" t="e">
        <f>VLOOKUP(VLOOKUP($D$4,Results!$G$4:$AX$105,38,FALSE),Materials[],3,FALSE)</f>
        <v>#N/A</v>
      </c>
      <c r="E7" s="49"/>
      <c r="F7" s="49"/>
      <c r="G7" s="209"/>
      <c r="J7" s="357" t="s">
        <v>495</v>
      </c>
      <c r="K7" s="310">
        <f>D11</f>
        <v>1</v>
      </c>
      <c r="L7" s="642" t="e">
        <f>K7/K8</f>
        <v>#N/A</v>
      </c>
      <c r="M7" s="357" t="str">
        <f>IF(OR(Rev="G",Rev="H"),Q27,I17)</f>
        <v>Mu</v>
      </c>
      <c r="N7" s="314">
        <f>ROUND(IF(OR(Rev="G",Rev="H"),R27,K17),3)</f>
        <v>100</v>
      </c>
      <c r="O7" s="614" t="e">
        <f>N7/N8</f>
        <v>#N/A</v>
      </c>
      <c r="P7" s="310" t="s">
        <v>496</v>
      </c>
      <c r="Q7" s="314">
        <f>IF(OR(Rev="G",Rev="H"),D13,D13/D33)</f>
        <v>1</v>
      </c>
      <c r="R7" s="613" t="e">
        <f>Q7/Q8</f>
        <v>#N/A</v>
      </c>
      <c r="T7" s="29"/>
      <c r="U7" s="272" t="e">
        <f>SUM(BA40:BA57,BA60:BA77,BA79:BA96)/12</f>
        <v>#N/A</v>
      </c>
      <c r="V7" s="273" t="e">
        <f>SUM(BA40:BA57)/12</f>
        <v>#N/A</v>
      </c>
      <c r="W7" s="273">
        <f>SUM(BA60:BA77,BA79:BA96)/12</f>
        <v>0</v>
      </c>
      <c r="X7" s="154"/>
      <c r="Y7" s="154"/>
      <c r="Z7" s="154"/>
      <c r="AA7" s="149"/>
      <c r="AB7" s="29" t="s">
        <v>497</v>
      </c>
      <c r="AC7" s="149"/>
      <c r="AD7" s="149"/>
      <c r="AO7" s="149"/>
      <c r="AP7" s="149"/>
      <c r="AQ7" s="149"/>
      <c r="AR7" s="149"/>
      <c r="AS7" s="149"/>
      <c r="AT7" s="25"/>
      <c r="AU7" s="153"/>
      <c r="AV7" s="149"/>
      <c r="AW7" s="153"/>
      <c r="AX7" s="149"/>
      <c r="AY7" s="149"/>
      <c r="AZ7" s="149"/>
      <c r="BA7" s="149"/>
      <c r="BB7" s="149"/>
      <c r="BC7" s="149"/>
      <c r="BE7" s="47"/>
      <c r="BF7" s="47"/>
      <c r="BG7" s="47"/>
      <c r="BH7" s="47"/>
      <c r="BI7" s="47"/>
      <c r="BJ7" s="47"/>
      <c r="BK7" s="47"/>
      <c r="BL7" s="47"/>
      <c r="BM7" s="47"/>
      <c r="BN7" s="47"/>
      <c r="BO7" s="47"/>
      <c r="BP7" s="47"/>
      <c r="BQ7" s="29">
        <v>3</v>
      </c>
      <c r="BR7" s="29">
        <v>1</v>
      </c>
    </row>
    <row r="8" spans="1:70" ht="15" customHeight="1" x14ac:dyDescent="0.35">
      <c r="B8" s="210"/>
      <c r="C8" s="111" t="s">
        <v>498</v>
      </c>
      <c r="D8" s="316" t="e">
        <f>VLOOKUP($D$4,Results!$G$4:$AX$105,14,FALSE)</f>
        <v>#N/A</v>
      </c>
      <c r="E8" s="49"/>
      <c r="F8" s="49"/>
      <c r="G8" s="209"/>
      <c r="J8" s="358" t="s">
        <v>499</v>
      </c>
      <c r="K8" s="71" t="e">
        <f>SUM(AD40,AD60:AD77,AD79:AD96)</f>
        <v>#N/A</v>
      </c>
      <c r="L8" s="642"/>
      <c r="M8" s="358" t="str">
        <f>IF(OR(Rev="G",Rev="H"),Q28,I18)</f>
        <v>φMn</v>
      </c>
      <c r="N8" s="315" t="e">
        <f>ROUND(IF(OR(Rev="G",Rev="H"),R28,D16),3)</f>
        <v>#N/A</v>
      </c>
      <c r="O8" s="614"/>
      <c r="P8" s="71" t="s">
        <v>500</v>
      </c>
      <c r="Q8" s="34" t="e">
        <f>SUM(AE40,AE60:AE77,AE79:AE96)</f>
        <v>#N/A</v>
      </c>
      <c r="R8" s="613"/>
      <c r="T8" s="29"/>
      <c r="U8" s="272" t="e">
        <f>(SUM(M40:M57,M60:M77,M79:M96)/D25)*D16/12</f>
        <v>#N/A</v>
      </c>
      <c r="V8" s="273" t="e">
        <f>(SUM(M40:M57)/D26)*O21/12</f>
        <v>#N/A</v>
      </c>
      <c r="W8" s="273" t="e">
        <f>(SUM(M60:M77,M79:M96)/D27)*O22/12</f>
        <v>#DIV/0!</v>
      </c>
      <c r="X8" s="154"/>
      <c r="Y8" s="154"/>
      <c r="Z8" s="154"/>
      <c r="AA8" s="149"/>
      <c r="AB8" s="29" t="s">
        <v>501</v>
      </c>
      <c r="AC8" s="149"/>
      <c r="AD8" s="149"/>
      <c r="AO8" s="149"/>
      <c r="AP8" s="149"/>
      <c r="AQ8" s="149"/>
      <c r="AR8" s="149"/>
      <c r="AS8" s="149"/>
      <c r="AT8" s="25"/>
      <c r="AU8" s="153"/>
      <c r="AV8" s="149"/>
      <c r="AW8" s="153"/>
      <c r="AX8" s="149"/>
      <c r="AY8" s="149"/>
      <c r="AZ8" s="149"/>
      <c r="BA8" s="149"/>
      <c r="BB8" s="149"/>
      <c r="BC8" s="149"/>
      <c r="BE8" s="47"/>
      <c r="BF8" s="47"/>
      <c r="BG8" s="47"/>
      <c r="BH8" s="47"/>
      <c r="BI8" s="47"/>
      <c r="BJ8" s="47"/>
      <c r="BK8" s="47"/>
      <c r="BL8" s="47"/>
      <c r="BM8" s="47"/>
      <c r="BN8" s="47"/>
      <c r="BO8" s="47"/>
      <c r="BP8" s="47"/>
      <c r="BQ8" s="29">
        <v>4</v>
      </c>
      <c r="BR8" s="29">
        <v>0</v>
      </c>
    </row>
    <row r="9" spans="1:70" ht="15" customHeight="1" thickBot="1" x14ac:dyDescent="0.3">
      <c r="B9" s="210"/>
      <c r="C9" s="111" t="s">
        <v>502</v>
      </c>
      <c r="D9" s="316" t="e">
        <f>VLOOKUP($D$4,Results!$G$4:$AX$105,22,FALSE)</f>
        <v>#N/A</v>
      </c>
      <c r="E9" s="49"/>
      <c r="F9" s="49"/>
      <c r="G9" s="209"/>
      <c r="J9" s="359"/>
      <c r="K9" s="360"/>
      <c r="L9" s="361"/>
      <c r="M9" s="359"/>
      <c r="N9" s="360"/>
      <c r="O9" s="363"/>
      <c r="P9" s="360"/>
      <c r="Q9" s="360"/>
      <c r="R9" s="362"/>
      <c r="X9" s="149"/>
      <c r="AB9" s="47"/>
      <c r="AO9" s="149"/>
      <c r="AP9" s="149"/>
      <c r="AQ9" s="149"/>
      <c r="AR9" s="149"/>
      <c r="AS9" s="149"/>
      <c r="AT9" s="25"/>
      <c r="AU9" s="153"/>
      <c r="AV9" s="149"/>
      <c r="AW9" s="153"/>
      <c r="AX9" s="149"/>
      <c r="AY9" s="149"/>
      <c r="AZ9" s="149"/>
      <c r="BA9" s="149"/>
      <c r="BB9" s="149"/>
      <c r="BC9" s="149"/>
      <c r="BE9" s="47"/>
      <c r="BF9" s="47"/>
      <c r="BG9" s="47"/>
      <c r="BH9" s="47"/>
      <c r="BI9" s="47"/>
      <c r="BJ9" s="47"/>
      <c r="BK9" s="47"/>
      <c r="BL9" s="47"/>
      <c r="BM9" s="47"/>
      <c r="BN9" s="47"/>
      <c r="BO9" s="47"/>
      <c r="BP9" s="47"/>
      <c r="BQ9" s="29">
        <v>5</v>
      </c>
      <c r="BR9" s="29">
        <v>0</v>
      </c>
    </row>
    <row r="10" spans="1:70" ht="15" customHeight="1" x14ac:dyDescent="0.25">
      <c r="B10" s="210"/>
      <c r="C10" s="111" t="s">
        <v>503</v>
      </c>
      <c r="D10" s="316" t="e">
        <f>VLOOKUP($D$4,Results!$G$4:$AX$105,30,FALSE)</f>
        <v>#N/A</v>
      </c>
      <c r="E10" s="49"/>
      <c r="F10" s="49"/>
      <c r="G10" s="209"/>
      <c r="X10" s="149"/>
      <c r="AB10" s="47"/>
      <c r="AN10" s="149"/>
      <c r="AO10" s="149"/>
      <c r="AP10" s="149"/>
      <c r="AQ10" s="149"/>
      <c r="AR10" s="149"/>
      <c r="AS10" s="149"/>
      <c r="AT10" s="25"/>
      <c r="AU10" s="149"/>
      <c r="AV10" s="149"/>
      <c r="AW10" s="149"/>
      <c r="AX10" s="149"/>
      <c r="AY10" s="149"/>
      <c r="AZ10" s="149"/>
      <c r="BA10" s="149"/>
      <c r="BB10" s="149"/>
      <c r="BC10" s="149"/>
      <c r="BE10" s="47"/>
      <c r="BF10" s="47"/>
      <c r="BG10" s="47"/>
      <c r="BH10" s="47"/>
      <c r="BI10" s="47"/>
      <c r="BJ10" s="47"/>
      <c r="BK10" s="47"/>
      <c r="BL10" s="47"/>
      <c r="BM10" s="47"/>
      <c r="BN10" s="47"/>
      <c r="BO10" s="47"/>
      <c r="BP10" s="47"/>
      <c r="BQ10" s="29">
        <v>6</v>
      </c>
      <c r="BR10" s="29">
        <v>1</v>
      </c>
    </row>
    <row r="11" spans="1:70" ht="15" customHeight="1" thickBot="1" x14ac:dyDescent="0.4">
      <c r="B11" s="210"/>
      <c r="C11" s="111" t="s">
        <v>504</v>
      </c>
      <c r="D11" s="316">
        <v>1</v>
      </c>
      <c r="E11" s="49"/>
      <c r="F11" s="49"/>
      <c r="G11" s="209"/>
      <c r="I11" s="309" t="s">
        <v>505</v>
      </c>
      <c r="J11" s="640" t="e">
        <f>IF(OR(Rev="G",Rev="H"),L7+O7+R7^2,(L7+O7)/ASIF)/IF(OR(AND(Rev="H",F27=TRUE),AND(Rev&lt;&gt;"H",F30=TRUE)),1.05,1)</f>
        <v>#N/A</v>
      </c>
      <c r="K11" s="641"/>
      <c r="L11" s="155"/>
      <c r="N11" s="308" t="s">
        <v>506</v>
      </c>
      <c r="O11" s="604" t="str">
        <f>IFERROR("Reinf. " &amp; INDEX(BQ60:BQ96,MATCH(D28,AS60:AS96,0)) &amp; " " &amp; INDEX(AQ60:AQ96,MATCH(D28,AS60:AS96,0)),"Pole")</f>
        <v>Pole</v>
      </c>
      <c r="P11" s="604"/>
      <c r="Q11" s="604"/>
      <c r="R11" s="604"/>
      <c r="AB11" s="47"/>
      <c r="AN11" s="149"/>
      <c r="AO11" s="149"/>
      <c r="AP11" s="149"/>
      <c r="AQ11" s="149"/>
      <c r="AR11" s="149"/>
      <c r="AS11" s="149"/>
      <c r="AT11" s="25"/>
      <c r="AU11" s="149"/>
      <c r="AV11" s="149"/>
      <c r="AW11" s="149"/>
      <c r="AX11" s="149"/>
      <c r="AY11" s="149"/>
      <c r="AZ11" s="149"/>
      <c r="BA11" s="149"/>
      <c r="BB11" s="149"/>
      <c r="BC11" s="149"/>
      <c r="BE11" s="47"/>
      <c r="BF11" s="47"/>
      <c r="BG11" s="47"/>
      <c r="BH11" s="47"/>
      <c r="BI11" s="47"/>
      <c r="BJ11" s="47"/>
      <c r="BK11" s="47"/>
      <c r="BL11" s="47"/>
      <c r="BM11" s="47"/>
      <c r="BN11" s="47"/>
      <c r="BO11" s="47"/>
      <c r="BP11" s="47"/>
      <c r="BQ11" s="29">
        <v>1</v>
      </c>
      <c r="BR11" s="29">
        <v>1</v>
      </c>
    </row>
    <row r="12" spans="1:70" ht="15" customHeight="1" thickTop="1" x14ac:dyDescent="0.35">
      <c r="B12" s="210"/>
      <c r="C12" s="111" t="s">
        <v>507</v>
      </c>
      <c r="D12" s="316">
        <v>100</v>
      </c>
      <c r="E12" s="49"/>
      <c r="F12" s="49"/>
      <c r="G12" s="209"/>
      <c r="J12" s="155"/>
      <c r="K12" s="155"/>
      <c r="M12" s="156"/>
      <c r="N12" s="156"/>
      <c r="O12" s="157"/>
      <c r="P12" s="157"/>
      <c r="Q12" s="157"/>
      <c r="R12" s="157"/>
      <c r="AB12" s="47"/>
      <c r="AN12" s="149"/>
      <c r="AO12" s="149"/>
      <c r="AP12" s="149"/>
      <c r="AQ12" s="149"/>
      <c r="AR12" s="149"/>
      <c r="AS12" s="149"/>
      <c r="AT12" s="25"/>
      <c r="AU12" s="149"/>
      <c r="AV12" s="149"/>
      <c r="AW12" s="149"/>
      <c r="AX12" s="149"/>
      <c r="AY12" s="149"/>
      <c r="AZ12" s="149"/>
      <c r="BA12" s="149"/>
      <c r="BB12" s="149"/>
      <c r="BC12" s="149"/>
      <c r="BE12" s="47"/>
      <c r="BF12" s="47"/>
      <c r="BG12" s="47"/>
      <c r="BH12" s="47"/>
      <c r="BI12" s="47"/>
      <c r="BJ12" s="47"/>
      <c r="BK12" s="47"/>
      <c r="BL12" s="47"/>
      <c r="BM12" s="47"/>
      <c r="BN12" s="47"/>
      <c r="BO12" s="47"/>
      <c r="BP12" s="47"/>
      <c r="BQ12" s="29">
        <v>2</v>
      </c>
      <c r="BR12" s="29">
        <v>1</v>
      </c>
    </row>
    <row r="13" spans="1:70" ht="15" customHeight="1" x14ac:dyDescent="0.35">
      <c r="B13" s="210"/>
      <c r="C13" s="111" t="s">
        <v>508</v>
      </c>
      <c r="D13" s="316">
        <v>1</v>
      </c>
      <c r="E13" s="49"/>
      <c r="F13" s="49"/>
      <c r="G13" s="209"/>
      <c r="AN13" s="149"/>
      <c r="AO13" s="149"/>
      <c r="AP13" s="149"/>
      <c r="AQ13" s="149"/>
      <c r="AR13" s="149"/>
      <c r="AS13" s="149"/>
      <c r="AT13" s="25"/>
      <c r="AU13" s="149"/>
      <c r="AV13" s="149"/>
      <c r="AW13" s="149"/>
      <c r="AX13" s="149"/>
      <c r="AY13" s="149"/>
      <c r="AZ13" s="149"/>
      <c r="BA13" s="149"/>
      <c r="BB13" s="149"/>
      <c r="BC13" s="149"/>
      <c r="BE13" s="47"/>
      <c r="BF13" s="47"/>
      <c r="BG13" s="47"/>
      <c r="BH13" s="47"/>
      <c r="BI13" s="47"/>
      <c r="BJ13" s="47"/>
      <c r="BK13" s="47"/>
      <c r="BL13" s="47"/>
      <c r="BM13" s="47"/>
      <c r="BN13" s="47"/>
      <c r="BO13" s="47"/>
      <c r="BP13" s="47"/>
      <c r="BQ13" s="29">
        <v>3</v>
      </c>
      <c r="BR13" s="29">
        <v>0</v>
      </c>
    </row>
    <row r="14" spans="1:70" ht="18.75" thickBot="1" x14ac:dyDescent="0.4">
      <c r="B14" s="211"/>
      <c r="C14" s="212" t="s">
        <v>509</v>
      </c>
      <c r="D14" s="213">
        <v>50</v>
      </c>
      <c r="E14" s="214" t="s">
        <v>510</v>
      </c>
      <c r="F14" s="215"/>
      <c r="G14" s="216"/>
      <c r="I14" s="607" t="s">
        <v>511</v>
      </c>
      <c r="J14" s="607"/>
      <c r="K14" s="607"/>
      <c r="M14" s="607" t="s">
        <v>512</v>
      </c>
      <c r="N14" s="607"/>
      <c r="O14" s="607"/>
      <c r="P14" s="607"/>
      <c r="Q14" s="607"/>
      <c r="R14" s="607"/>
      <c r="S14" s="607"/>
      <c r="T14" s="608"/>
      <c r="U14" s="608"/>
      <c r="AN14" s="149"/>
      <c r="AO14" s="149"/>
      <c r="AP14" s="149"/>
      <c r="AQ14" s="149"/>
      <c r="AR14" s="149"/>
      <c r="AS14" s="149"/>
      <c r="AT14" s="25"/>
      <c r="AU14" s="149"/>
      <c r="AV14" s="149"/>
      <c r="AW14" s="149"/>
      <c r="AX14" s="149"/>
      <c r="AY14" s="149"/>
      <c r="AZ14" s="149"/>
      <c r="BA14" s="149"/>
      <c r="BB14" s="149"/>
      <c r="BC14" s="149"/>
      <c r="BE14" s="47"/>
      <c r="BF14" s="47"/>
      <c r="BG14" s="47"/>
      <c r="BH14" s="47"/>
      <c r="BI14" s="47"/>
      <c r="BJ14" s="47"/>
      <c r="BK14" s="47"/>
      <c r="BL14" s="47"/>
      <c r="BM14" s="47"/>
      <c r="BN14" s="47"/>
      <c r="BO14" s="47"/>
      <c r="BP14" s="47"/>
      <c r="BQ14" s="29">
        <v>4</v>
      </c>
      <c r="BR14" s="29">
        <v>0</v>
      </c>
    </row>
    <row r="15" spans="1:70" ht="15.75" thickTop="1" x14ac:dyDescent="0.25">
      <c r="B15" s="49"/>
      <c r="C15" s="49"/>
      <c r="D15" s="49"/>
      <c r="E15" s="49"/>
      <c r="F15" s="49"/>
      <c r="G15" s="49"/>
      <c r="I15" s="49"/>
      <c r="J15" s="49"/>
      <c r="K15" s="49"/>
      <c r="M15"/>
      <c r="N15"/>
      <c r="O15"/>
      <c r="P15"/>
      <c r="Q15"/>
      <c r="R15"/>
      <c r="S15"/>
      <c r="T15" s="612" t="s">
        <v>513</v>
      </c>
      <c r="U15" s="612"/>
      <c r="AO15" s="149"/>
      <c r="AP15" s="149"/>
      <c r="AQ15" s="149"/>
      <c r="AR15" s="149"/>
      <c r="AS15" s="149"/>
      <c r="AT15" s="25"/>
      <c r="AU15" s="149"/>
      <c r="AV15" s="158"/>
      <c r="AW15" s="149"/>
      <c r="AX15" s="149"/>
      <c r="AY15" s="149"/>
      <c r="AZ15" s="149"/>
      <c r="BA15" s="149"/>
      <c r="BB15" s="149"/>
      <c r="BC15" s="149"/>
      <c r="BE15" s="47"/>
      <c r="BF15" s="47"/>
      <c r="BG15" s="47"/>
      <c r="BH15" s="47"/>
      <c r="BI15" s="47"/>
      <c r="BJ15" s="47"/>
      <c r="BK15" s="47"/>
      <c r="BL15" s="47"/>
      <c r="BM15" s="47"/>
      <c r="BN15" s="47"/>
      <c r="BO15" s="47"/>
      <c r="BP15" s="47"/>
      <c r="BQ15" s="29">
        <v>5</v>
      </c>
      <c r="BR15" s="29">
        <v>0</v>
      </c>
    </row>
    <row r="16" spans="1:70" ht="18.75" x14ac:dyDescent="0.35">
      <c r="B16" s="631" t="s">
        <v>514</v>
      </c>
      <c r="C16" s="632"/>
      <c r="D16" s="217" t="str">
        <f>IFERROR(D28*D25,"")</f>
        <v/>
      </c>
      <c r="E16" s="49"/>
      <c r="F16" s="25"/>
      <c r="G16" s="49"/>
      <c r="I16" s="588" t="s">
        <v>515</v>
      </c>
      <c r="J16" s="588"/>
      <c r="K16" s="241" t="e">
        <f>IF(SQRT(D6)*D29/D10&gt;365,"CHECK",SQRT(D6)*D29/D10)</f>
        <v>#N/A</v>
      </c>
      <c r="M16" s="588" t="s">
        <v>516</v>
      </c>
      <c r="N16" s="588"/>
      <c r="O16" s="259" t="e">
        <f>SQRT(D6/29000)*D29/D10</f>
        <v>#N/A</v>
      </c>
      <c r="P16"/>
      <c r="Q16" s="605" t="s">
        <v>517</v>
      </c>
      <c r="R16" s="605"/>
      <c r="S16"/>
      <c r="T16" s="612"/>
      <c r="U16" s="612"/>
      <c r="AO16" s="149"/>
      <c r="AP16" s="149"/>
      <c r="AQ16" s="149"/>
      <c r="AR16" s="149"/>
      <c r="AS16" s="149"/>
      <c r="AT16" s="25"/>
      <c r="AU16" s="149"/>
      <c r="AV16" s="158"/>
      <c r="AW16" s="149"/>
      <c r="AX16" s="149"/>
      <c r="AY16" s="149"/>
      <c r="AZ16" s="149"/>
      <c r="BA16" s="149"/>
      <c r="BB16" s="149"/>
      <c r="BC16" s="149"/>
      <c r="BE16" s="47"/>
      <c r="BF16" s="47"/>
      <c r="BG16" s="47"/>
      <c r="BH16" s="47"/>
      <c r="BI16" s="47"/>
      <c r="BJ16" s="47"/>
      <c r="BK16" s="47"/>
      <c r="BL16" s="47"/>
      <c r="BM16" s="47"/>
      <c r="BN16" s="47"/>
      <c r="BO16" s="47"/>
      <c r="BP16" s="47"/>
      <c r="BQ16" s="29">
        <v>6</v>
      </c>
      <c r="BR16" s="29">
        <v>0</v>
      </c>
    </row>
    <row r="17" spans="2:73" ht="21" x14ac:dyDescent="0.35">
      <c r="B17" s="631" t="s">
        <v>518</v>
      </c>
      <c r="C17" s="632"/>
      <c r="D17" s="217">
        <f>MAX(AW40:AX57,ABS(MIN(AW40:AX57)))</f>
        <v>0</v>
      </c>
      <c r="E17" s="82" t="s">
        <v>519</v>
      </c>
      <c r="F17" s="83" t="e">
        <f>IF(D8=0,SUM(H60:H77,H79:H96)/SUM(F60:F77,F79:F96,D34),SUM(H40:H57,H60:H77,H79:H96)/SUM(F40:F57,F60:F77,F79:F96))</f>
        <v>#N/A</v>
      </c>
      <c r="G17" s="81" t="s">
        <v>520</v>
      </c>
      <c r="I17" s="588" t="s">
        <v>521</v>
      </c>
      <c r="J17" s="589"/>
      <c r="K17" s="242" t="e">
        <f>D12*12*D25/D31</f>
        <v>#N/A</v>
      </c>
      <c r="M17" s="636" t="s">
        <v>522</v>
      </c>
      <c r="N17" s="636"/>
      <c r="O17" s="260" t="e">
        <f>O19</f>
        <v>#N/A</v>
      </c>
      <c r="P17"/>
      <c r="Q17" s="261" t="s">
        <v>523</v>
      </c>
      <c r="R17" s="261" t="s">
        <v>524</v>
      </c>
      <c r="S17"/>
      <c r="T17" s="28" t="s">
        <v>523</v>
      </c>
      <c r="U17" s="28" t="s">
        <v>524</v>
      </c>
      <c r="AO17" s="149"/>
      <c r="AP17" s="149"/>
      <c r="AQ17" s="149"/>
      <c r="AR17" s="149"/>
      <c r="AS17" s="149"/>
      <c r="AT17" s="25"/>
      <c r="AU17" s="149"/>
      <c r="AV17" s="158"/>
      <c r="AW17" s="149"/>
      <c r="AX17" s="149"/>
      <c r="AY17" s="149"/>
      <c r="AZ17" s="149"/>
      <c r="BA17" s="149"/>
      <c r="BB17" s="149"/>
      <c r="BC17" s="149"/>
      <c r="BD17" s="149"/>
      <c r="BE17" s="29"/>
      <c r="BF17" s="29"/>
      <c r="BG17" s="29"/>
      <c r="BH17" s="29"/>
      <c r="BI17" s="29"/>
      <c r="BJ17" s="29"/>
      <c r="BK17" s="29"/>
      <c r="BL17" s="29"/>
      <c r="BM17" s="47"/>
      <c r="BN17" s="47"/>
      <c r="BO17" s="47"/>
      <c r="BP17" s="47"/>
      <c r="BQ17" s="29">
        <v>7</v>
      </c>
      <c r="BR17" s="29">
        <v>0</v>
      </c>
    </row>
    <row r="18" spans="2:73" ht="21" x14ac:dyDescent="0.35">
      <c r="B18" s="631" t="s">
        <v>525</v>
      </c>
      <c r="C18" s="632"/>
      <c r="D18" s="217" t="str">
        <f>IF('Macro References'!$A$8=TRUE,MAX(AW60:AX77,AW79:AX96,ABS(MIN(AW60:AX77,AW79:AX96))),"n/a")</f>
        <v>n/a</v>
      </c>
      <c r="E18" s="82" t="s">
        <v>526</v>
      </c>
      <c r="F18" s="83" t="e">
        <f>G19+F17</f>
        <v>#N/A</v>
      </c>
      <c r="G18" s="81" t="s">
        <v>527</v>
      </c>
      <c r="I18" s="588" t="s">
        <v>528</v>
      </c>
      <c r="J18" s="589"/>
      <c r="K18" s="243" t="e">
        <f>IF(D8=0,IF(D9/D10&lt;=3300/D6,J24,J30),IF(AND(D8=18,K16&gt;=200),J26,IF(AND(D8=16,K16&gt;=215),J27,IF(AND(D8=12,K16&gt;=240),J28,IF(AND(D8=8,K16&gt;=260),J29,J23)))))</f>
        <v>#N/A</v>
      </c>
      <c r="M18" s="637" t="s">
        <v>529</v>
      </c>
      <c r="N18" s="637"/>
      <c r="O18" s="243" t="e">
        <f>MIN(O19,D6)</f>
        <v>#N/A</v>
      </c>
      <c r="P18"/>
      <c r="Q18" s="619">
        <v>18</v>
      </c>
      <c r="R18" s="262" t="e">
        <f>$D$6</f>
        <v>#N/A</v>
      </c>
      <c r="S18"/>
      <c r="T18" s="606">
        <v>18</v>
      </c>
      <c r="U18" s="263" t="e">
        <f>1.27*D6</f>
        <v>#N/A</v>
      </c>
      <c r="AO18" s="149"/>
      <c r="AP18" s="149"/>
      <c r="AQ18" s="149"/>
      <c r="AR18" s="149"/>
      <c r="AS18" s="149"/>
      <c r="AT18" s="25"/>
      <c r="AU18" s="149"/>
      <c r="AV18" s="149"/>
      <c r="AW18" s="149"/>
      <c r="AX18" s="149"/>
      <c r="AY18" s="149"/>
      <c r="AZ18" s="149"/>
      <c r="BA18" s="149"/>
      <c r="BB18" s="149"/>
      <c r="BC18" s="149"/>
      <c r="BD18" s="149"/>
      <c r="BE18" s="29"/>
      <c r="BF18" s="29"/>
      <c r="BG18" s="29"/>
      <c r="BH18" s="29"/>
      <c r="BI18" s="29"/>
      <c r="BJ18" s="29"/>
      <c r="BK18" s="29"/>
      <c r="BL18" s="29"/>
      <c r="BM18" s="47"/>
      <c r="BN18" s="47"/>
      <c r="BO18" s="47"/>
      <c r="BP18" s="47"/>
      <c r="BQ18" s="29">
        <v>8</v>
      </c>
      <c r="BR18" s="29">
        <v>1</v>
      </c>
    </row>
    <row r="19" spans="2:73" ht="21" x14ac:dyDescent="0.35">
      <c r="B19" s="631" t="s">
        <v>530</v>
      </c>
      <c r="C19" s="632"/>
      <c r="D19" s="217" t="e">
        <f>360/D8</f>
        <v>#N/A</v>
      </c>
      <c r="E19" s="49"/>
      <c r="F19" s="82" t="s">
        <v>531</v>
      </c>
      <c r="G19" s="218">
        <v>0</v>
      </c>
      <c r="I19" s="49"/>
      <c r="J19" s="49"/>
      <c r="K19" s="49"/>
      <c r="M19" s="637" t="s">
        <v>532</v>
      </c>
      <c r="N19" s="637"/>
      <c r="O19" s="243" t="e">
        <f>IF(Calculations!D8=18,IF(O16&lt;0.759,U18,U19),IF(D8=16,IF(O16&lt;0.836,U20,U21),IF(D8=12,IF(O16&lt;0.992,U22,U23),IF(D8=8,IF(O16&lt;1.1,U24,U25)))))</f>
        <v>#N/A</v>
      </c>
      <c r="P19"/>
      <c r="Q19" s="619"/>
      <c r="R19" s="262" t="e">
        <f>1.404*$D$6*(1-0.245*SQRT($D$6/29000)*$D$29/$D$10)</f>
        <v>#N/A</v>
      </c>
      <c r="S19"/>
      <c r="T19" s="606"/>
      <c r="U19" s="263" t="e">
        <f>1.56*D6*(1-0.245*SQRT(D6/29000)*D29/D10)</f>
        <v>#N/A</v>
      </c>
      <c r="AO19" s="149"/>
      <c r="AP19" s="149"/>
      <c r="AQ19" s="149"/>
      <c r="AR19" s="149"/>
      <c r="AS19" s="149"/>
      <c r="AT19" s="25"/>
      <c r="AU19" s="149"/>
      <c r="AV19" s="149"/>
      <c r="AW19" s="149"/>
      <c r="AX19" s="149"/>
      <c r="AY19" s="149"/>
      <c r="AZ19" s="149"/>
      <c r="BA19" s="149"/>
      <c r="BB19" s="149"/>
      <c r="BC19" s="149"/>
      <c r="BD19" s="149"/>
      <c r="BE19" s="29"/>
      <c r="BF19" s="29"/>
      <c r="BG19" s="615">
        <v>2</v>
      </c>
      <c r="BH19" s="615"/>
      <c r="BI19" s="615">
        <v>3</v>
      </c>
      <c r="BJ19" s="615"/>
      <c r="BK19" s="29"/>
      <c r="BL19" s="29"/>
      <c r="BM19" s="47"/>
      <c r="BN19" s="47"/>
      <c r="BO19" s="47"/>
      <c r="BP19" s="47"/>
      <c r="BQ19" s="29"/>
      <c r="BR19" s="29"/>
    </row>
    <row r="20" spans="2:73" ht="18" x14ac:dyDescent="0.35">
      <c r="B20" s="631" t="s">
        <v>533</v>
      </c>
      <c r="C20" s="632"/>
      <c r="D20" s="217" t="e">
        <f>D9/2</f>
        <v>#N/A</v>
      </c>
      <c r="E20" s="49"/>
      <c r="F20" s="219"/>
      <c r="G20" s="49"/>
      <c r="I20" s="586" t="s">
        <v>534</v>
      </c>
      <c r="J20" s="587"/>
      <c r="K20" s="49"/>
      <c r="M20" s="636" t="s">
        <v>535</v>
      </c>
      <c r="N20" s="636"/>
      <c r="O20" s="260">
        <f>MIN(AN60:AP77,AN79:AP96,AH60:AL77,AH79:AL96)</f>
        <v>0</v>
      </c>
      <c r="P20"/>
      <c r="Q20" s="619">
        <v>16</v>
      </c>
      <c r="R20" s="262" t="e">
        <f>$D$6</f>
        <v>#N/A</v>
      </c>
      <c r="S20"/>
      <c r="T20" s="606">
        <v>16</v>
      </c>
      <c r="U20" s="263" t="e">
        <f>1.27*D6</f>
        <v>#N/A</v>
      </c>
      <c r="AO20" s="149"/>
      <c r="AP20" s="149"/>
      <c r="AQ20" s="149"/>
      <c r="AR20" s="149"/>
      <c r="AS20" s="149"/>
      <c r="AT20" s="25"/>
      <c r="AU20" s="149"/>
      <c r="AV20" s="149"/>
      <c r="AW20" s="149"/>
      <c r="AX20" s="149"/>
      <c r="AY20" s="149"/>
      <c r="AZ20" s="149"/>
      <c r="BA20" s="149"/>
      <c r="BB20" s="149"/>
      <c r="BC20" s="158"/>
      <c r="BD20" s="158"/>
      <c r="BE20" s="29" t="e">
        <f>IF(AND(MAX(O40:R40)&gt;=0,MIN(AVERAGE(O40:P40),AVERAGE(Q40:R40))&lt;=$D$30),IF(AND(MIN(AVERAGE(O40:P40),AVERAGE(Q40:R40))&gt;0,MAX(AVERAGE(O40:P40),AVERAGE(Q40:R40))&lt;$D$30),"case 1",IF(MIN(O40:R40)&gt;=0,"case 4",IF(MAX(AVERAGE(O40:P40),AVERAGE(Q40:R40))&gt;$D$30,"case 3","case 2"))),"")</f>
        <v>#DIV/0!</v>
      </c>
      <c r="BF20" s="29" t="s">
        <v>536</v>
      </c>
      <c r="BG20" s="29" t="e">
        <f>$D$28*$D$10*$D$23/2*(2*AV40+IF(OR(D40&gt;540,AND(D40&gt;180,D40&lt;=360)),-1,1)*$D$10*SIN(RADIANS(E40))+IF(OR(D40&gt;540,AND(D40&gt;180,D40&lt;=360)),-1,1)*$D$23*COS(RADIANS(E40)))</f>
        <v>#N/A</v>
      </c>
      <c r="BH20" s="29" t="e">
        <f>AV40+$D$28*$D$10*$D$23/(12*BC40)*(6*AV40*(IF(OR(D40&gt;540,AND(D40&gt;180,D40&lt;360)),-1,1)*$D$10*SIN(RADIANS(E40))+IF(OR(D40&gt;540,AND(D40&gt;180,D40&lt;360)),-1,1)*$D$23*COS(RADIANS(E40)))+3*$D$10*$D$23*SIN(RADIANS(2*E40))+4*$D$10^2*SIN(RADIANS(E40))^2+4*$D$23^2*COS(RADIANS(E40))^2)</f>
        <v>#N/A</v>
      </c>
      <c r="BI20" s="29" t="e">
        <f>$D$28*$D$10*$D$23/2*(2*AV40+IF(OR(D40&gt;540,AND(D40&gt;180,D40&lt;=360)),-1,1)*$D$10*SIN(RADIANS(E40))+IF(OR(D40&gt;540,AND(D40&gt;180,D40&lt;=360)),-1,1)*$D$23*COS(RADIANS(E40)))</f>
        <v>#N/A</v>
      </c>
      <c r="BJ20" s="29" t="e">
        <f>AV40+$D$28*$D$10*$D$23/(12*BD40)*(6*AV40*(IF(OR(D40&gt;540,AND(D40&gt;180,D40&lt;360)),-1,1)*$D$10*SIN(RADIANS(E40))+IF(OR(D40&gt;540,AND(D40&gt;180,D40&lt;360)),-1,1)*$D$23*COS(RADIANS(E40)))+3*$D$10*$D$23*SIN(RADIANS(2*E40))+4*$D$10^2*SIN(RADIANS(E40))^2+4*$D$23^2*COS(RADIANS(E40))^2)</f>
        <v>#N/A</v>
      </c>
      <c r="BK20" s="29" t="e">
        <f>IF(AND(MIN(O40:R40)&lt;=0,MAX(AVERAGE(O40:P40),AVERAGE(Q40:R40))&gt;=-$D$30),IF(AND(MAX(AVERAGE(O40:P40),AVERAGE(Q40:R40))&lt;0,MIN(AVERAGE(O40:P40),AVERAGE(Q40:R40))&gt;$D$30),"case 1",IF(MAX(O40:R40)&lt;=0,"case 4",IF(MIN(AVERAGE(O40:P40),AVERAGE(Q40:R40))&lt;-$D$30,"case 3","case 2"))),"")</f>
        <v>#DIV/0!</v>
      </c>
      <c r="BL20" s="29"/>
      <c r="BM20" s="47"/>
      <c r="BN20" s="47"/>
      <c r="BO20" s="47"/>
      <c r="BP20" s="47"/>
      <c r="BQ20" s="29"/>
      <c r="BR20" s="29"/>
    </row>
    <row r="21" spans="2:73" ht="18" x14ac:dyDescent="0.35">
      <c r="B21" s="631" t="s">
        <v>537</v>
      </c>
      <c r="C21" s="632"/>
      <c r="D21" s="217" t="e">
        <f>D20-D10/2</f>
        <v>#N/A</v>
      </c>
      <c r="E21" s="49"/>
      <c r="F21" s="25"/>
      <c r="G21" s="49"/>
      <c r="I21" s="130" t="s">
        <v>523</v>
      </c>
      <c r="J21" s="130" t="s">
        <v>521</v>
      </c>
      <c r="K21" s="49"/>
      <c r="M21" s="588" t="s">
        <v>518</v>
      </c>
      <c r="N21" s="618"/>
      <c r="O21" s="264">
        <f>MAX(AW40:AX57,ABS(MIN(AW40:AX57)))</f>
        <v>0</v>
      </c>
      <c r="P21"/>
      <c r="Q21" s="619"/>
      <c r="R21" s="262" t="e">
        <f>1.42*$D$6*(1-0.233*SQRT($D$6/29000)*$D$29/$D$10)</f>
        <v>#N/A</v>
      </c>
      <c r="S21"/>
      <c r="T21" s="606"/>
      <c r="U21" s="263" t="e">
        <f>1.578*D6*(1-0.233*SQRT(D6/29000)*D29/D10)</f>
        <v>#N/A</v>
      </c>
      <c r="BD21" s="149"/>
      <c r="BE21" s="29"/>
      <c r="BF21" s="29" t="s">
        <v>538</v>
      </c>
      <c r="BG21" s="29" t="e">
        <f>$D$28*$D$10*(MAX(AVERAGE(O40:P40),AVERAGE(Q40:R40))/COS(RADIANS(E40)))/2*(2*(-$D$10/2*SIN(RADIANS(E40))*COS(RADIANS(E40)))+IF(OR(D40&gt;540,AND(D40&gt;180,D40&lt;=360)),-1,1)*$D$10*SIN(RADIANS(E40))+IF(OR(D40&gt;540,AND(D40&gt;180,D40&lt;=360)),-1,1)*(MAX(AVERAGE(O40:P40),AVERAGE(Q40:R40))/COS(RADIANS(E40)))*COS(RADIANS(E40)))</f>
        <v>#N/A</v>
      </c>
      <c r="BH21" s="29"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29" t="e">
        <f>$D$28*$D$10*(MIN(AVERAGE(O40:P40),AVERAGE(Q40:R40))/COS(RADIANS(E40)))/2*(2*(-$D$10/2*SIN(RADIANS(E40))*COS(RADIANS(E40)))+IF(OR(D40&gt;540,AND(D40&gt;180,D40&lt;=360)),-1,1)*$D$10*SIN(RADIANS(E40))+IF(OR(D40&gt;540,AND(D40&gt;180,D40&lt;=360)),-1,1)*(MIN(AVERAGE(O40:P40),AVERAGE(Q40:R40))/COS(RADIANS(E40)))*COS(RADIANS(E40)))</f>
        <v>#N/A</v>
      </c>
      <c r="BJ21" s="29"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29"/>
      <c r="BL21" s="29"/>
      <c r="BM21" s="47"/>
      <c r="BN21" s="47"/>
      <c r="BO21" s="47"/>
      <c r="BP21" s="47"/>
      <c r="BQ21" s="29"/>
      <c r="BR21" s="29"/>
    </row>
    <row r="22" spans="2:73" ht="15.75" x14ac:dyDescent="0.25">
      <c r="B22" s="631" t="s">
        <v>539</v>
      </c>
      <c r="C22" s="632"/>
      <c r="D22" s="217" t="e">
        <f>D20-D10</f>
        <v>#N/A</v>
      </c>
      <c r="E22" s="220" t="s">
        <v>540</v>
      </c>
      <c r="F22" s="221">
        <f>SUM(BB40:BE57,BB60:BE77,BB79:BE96)</f>
        <v>0</v>
      </c>
      <c r="G22" s="49"/>
      <c r="I22" s="599" t="s">
        <v>541</v>
      </c>
      <c r="J22" s="630"/>
      <c r="K22" s="49"/>
      <c r="M22" s="588" t="s">
        <v>525</v>
      </c>
      <c r="N22" s="618"/>
      <c r="O22" s="265" t="str">
        <f>IF('Macro References'!$A$8=TRUE,MAX(AW60:AX77,AW79:AX96,ABS(MIN(AW60:AX77,AW79:AX96))),"n/a")</f>
        <v>n/a</v>
      </c>
      <c r="P22"/>
      <c r="Q22" s="619">
        <v>12</v>
      </c>
      <c r="R22" s="262" t="e">
        <f>$D$6</f>
        <v>#N/A</v>
      </c>
      <c r="S22"/>
      <c r="T22" s="606">
        <v>12</v>
      </c>
      <c r="U22" s="263" t="e">
        <f>1.26*D6</f>
        <v>#N/A</v>
      </c>
      <c r="BD22" s="149"/>
      <c r="BE22" s="29"/>
      <c r="BF22" s="29" t="s">
        <v>542</v>
      </c>
      <c r="BG22" s="29" t="e">
        <f>$D$28*$D$10*($D$30/COS(RADIANS(E40)))/2*(2*(-$D$10/2*SIN(RADIANS(E40))*COS(RADIANS(E40)))+IF(OR(D40&gt;540,AND(D40&gt;180,D40&lt;=360)),-1,1)*$D$10*SIN(RADIANS(E40))+IF(OR(D40&gt;540,AND(D40&gt;180,D40&lt;=360)),-1,1)*($D$30/COS(RADIANS(E40)))*COS(RADIANS(E40)))</f>
        <v>#N/A</v>
      </c>
      <c r="BH22" s="29"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29" t="e">
        <f>$D$28*$D$10*($D$30/COS(RADIANS(E40)))/2*(2*(-$D$10/2*SIN(RADIANS(E40))*COS(RADIANS(E40)))+IF(OR(D40&gt;540,AND(D40&gt;180,D40&lt;=360)),-1,1)*$D$10*SIN(RADIANS(E40))+IF(OR(D40&gt;540,AND(D40&gt;180,D40&lt;=360)),-1,1)*($D$30/COS(RADIANS(E40)))*COS(RADIANS(E40)))</f>
        <v>#N/A</v>
      </c>
      <c r="BJ22" s="29"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29"/>
      <c r="BL22" s="29"/>
      <c r="BM22" s="47"/>
      <c r="BN22" s="47"/>
      <c r="BO22" s="47"/>
      <c r="BP22" s="47"/>
      <c r="BQ22" s="29"/>
      <c r="BR22" s="29"/>
    </row>
    <row r="23" spans="2:73" ht="15" x14ac:dyDescent="0.25">
      <c r="B23" s="631" t="s">
        <v>543</v>
      </c>
      <c r="C23" s="632"/>
      <c r="D23" s="217" t="e">
        <f>2*D21*TAN(RADIANS(D19/2))</f>
        <v>#N/A</v>
      </c>
      <c r="E23" s="49"/>
      <c r="F23" s="25"/>
      <c r="G23" s="49"/>
      <c r="I23" s="244" t="s">
        <v>544</v>
      </c>
      <c r="J23" s="130" t="e">
        <f>0.6*D6</f>
        <v>#N/A</v>
      </c>
      <c r="K23" s="49"/>
      <c r="M23" s="588" t="s">
        <v>545</v>
      </c>
      <c r="N23" s="618"/>
      <c r="O23" s="265">
        <f>IF('Macro References'!$A$8=TRUE,O18*D27/O20,0)</f>
        <v>0</v>
      </c>
      <c r="P23"/>
      <c r="Q23" s="619"/>
      <c r="R23" s="262" t="e">
        <f>1.45*$D$6*(1-0.22*SQRT($D$6/29000)*$D$29/$D$10)</f>
        <v>#N/A</v>
      </c>
      <c r="S23"/>
      <c r="T23" s="606"/>
      <c r="U23" s="263" t="e">
        <f>1.611*D6*(1-0.22*SQRT(D6/29000)*D29/D10)</f>
        <v>#N/A</v>
      </c>
      <c r="AU23" s="161"/>
      <c r="AV23" s="161"/>
      <c r="AW23" s="161"/>
      <c r="AX23" s="161"/>
      <c r="BD23" s="149"/>
      <c r="BE23" s="29"/>
      <c r="BF23" s="29" t="s">
        <v>546</v>
      </c>
      <c r="BG23" s="29" t="e">
        <f>$D$28*$D$10*($D$30-MIN(AVERAGE(O40:P40),AVERAGE(Q40:R40)))/COS(RADIANS(E40))/2*(2*(MIN(AVERAGE(O40:P40),AVERAGE(Q40:R40)))+IF(OR(D40&gt;540,AND(D40&gt;180,D40&lt;=360)),-1,1)*$D$10*SIN(RADIANS(E40))+IF(OR(D40&gt;540,AND(D40&gt;180,D40&lt;=360)),-1,1)*($D$30-MIN(AVERAGE(O40:P40),AVERAGE(Q40:R40)))/COS(RADIANS(E40))*COS(RADIANS(E40)))</f>
        <v>#N/A</v>
      </c>
      <c r="BH23" s="29"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29" t="e">
        <f>$D$28*$D$10*(MAX(AVERAGE(O40:P40),AVERAGE(Q40:R40))+$D$30)/COS(RADIANS(E40))/2*(2*(MAX(AVERAGE(O40:P40),AVERAGE(Q40:R40)))+IF(OR(D40&gt;540,AND(D40&gt;180,D40&lt;=360)),-1,1)*$D$10*SIN(RADIANS(E40))+IF(OR(D40&gt;540,AND(D40&gt;180,D40&lt;=360)),-1,1)*(MAX(AVERAGE(O40:P40),AVERAGE(Q40:R40))+$D$30)/COS(RADIANS(E40))*COS(RADIANS(E40)))</f>
        <v>#N/A</v>
      </c>
      <c r="BJ23" s="29"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29"/>
      <c r="BL23" s="29"/>
      <c r="BM23" s="47"/>
      <c r="BN23" s="47"/>
      <c r="BO23" s="47"/>
      <c r="BP23" s="47"/>
      <c r="BQ23" s="29"/>
      <c r="BR23" s="29"/>
    </row>
    <row r="24" spans="2:73" ht="15" x14ac:dyDescent="0.25">
      <c r="B24" s="631" t="s">
        <v>547</v>
      </c>
      <c r="C24" s="632"/>
      <c r="D24" s="217" t="e">
        <f>2*D22*TAN(RADIANS(D19/2))</f>
        <v>#N/A</v>
      </c>
      <c r="E24" s="49"/>
      <c r="F24" s="49"/>
      <c r="G24" s="49"/>
      <c r="I24" s="245">
        <v>0</v>
      </c>
      <c r="J24" s="130" t="e">
        <f>0.66*D6</f>
        <v>#N/A</v>
      </c>
      <c r="K24" s="49"/>
      <c r="M24"/>
      <c r="N24"/>
      <c r="O24"/>
      <c r="P24"/>
      <c r="Q24" s="619">
        <v>8</v>
      </c>
      <c r="R24" s="262" t="e">
        <f>$D$6</f>
        <v>#N/A</v>
      </c>
      <c r="S24"/>
      <c r="T24" s="606">
        <v>8</v>
      </c>
      <c r="U24" s="263" t="e">
        <f>1.24*D6</f>
        <v>#N/A</v>
      </c>
      <c r="AU24" s="161"/>
      <c r="AV24" s="161"/>
      <c r="AW24" s="161"/>
      <c r="AX24" s="161"/>
      <c r="AY24" s="161"/>
      <c r="AZ24" s="161"/>
      <c r="BA24" s="161"/>
      <c r="BB24" s="282"/>
      <c r="BC24" s="47"/>
      <c r="BD24" s="29"/>
      <c r="BE24" s="29"/>
      <c r="BF24" s="283"/>
      <c r="BG24" s="283"/>
      <c r="BH24" s="283"/>
      <c r="BI24" s="283"/>
      <c r="BJ24" s="283"/>
      <c r="BK24" s="29"/>
      <c r="BL24" s="29"/>
      <c r="BM24" s="47"/>
      <c r="BN24" s="47"/>
      <c r="BO24" s="47"/>
      <c r="BP24" s="47"/>
      <c r="BQ24" s="29"/>
      <c r="BR24" s="29"/>
    </row>
    <row r="25" spans="2:73" ht="15" x14ac:dyDescent="0.25">
      <c r="B25" s="631" t="s">
        <v>548</v>
      </c>
      <c r="C25" s="632"/>
      <c r="D25" s="217" t="e">
        <f>MAX(D26:D27)</f>
        <v>#N/A</v>
      </c>
      <c r="E25" s="49"/>
      <c r="F25" s="25"/>
      <c r="G25" s="49"/>
      <c r="I25" s="599" t="s">
        <v>549</v>
      </c>
      <c r="J25" s="630"/>
      <c r="K25" s="49"/>
      <c r="M25" s="633" t="s">
        <v>550</v>
      </c>
      <c r="N25" s="633"/>
      <c r="O25" s="633"/>
      <c r="P25"/>
      <c r="Q25" s="619"/>
      <c r="R25" s="262" t="e">
        <f>1.42*$D$6*(1-0.194*SQRT($D$6/29000)*$D$29/$D$10)</f>
        <v>#N/A</v>
      </c>
      <c r="S25"/>
      <c r="T25" s="606"/>
      <c r="U25" s="263" t="e">
        <f>1.578*D6*(1-0.194*SQRT(D6/29000)*D29/D10)</f>
        <v>#N/A</v>
      </c>
      <c r="BB25" s="47"/>
      <c r="BC25" s="47"/>
      <c r="BD25" s="29"/>
      <c r="BE25" s="29"/>
      <c r="BF25" s="29"/>
      <c r="BG25" s="29"/>
      <c r="BH25" s="29"/>
      <c r="BI25" s="29"/>
      <c r="BJ25" s="284"/>
      <c r="BK25" s="29"/>
      <c r="BL25" s="29"/>
      <c r="BM25" s="47"/>
      <c r="BN25" s="47"/>
      <c r="BO25" s="47"/>
      <c r="BP25" s="47"/>
      <c r="BQ25" s="29"/>
      <c r="BR25" s="29"/>
    </row>
    <row r="26" spans="2:73" ht="15" x14ac:dyDescent="0.25">
      <c r="B26" s="631" t="s">
        <v>551</v>
      </c>
      <c r="C26" s="632"/>
      <c r="D26" s="217" t="e">
        <f>IF(D8=0,D9/2+ABS(D35),MAX(ABS(MAX(O40:R57)),ABS(MIN(O40:R57))))</f>
        <v>#N/A</v>
      </c>
      <c r="E26" s="49"/>
      <c r="F26" s="49" t="s">
        <v>552</v>
      </c>
      <c r="G26" s="49"/>
      <c r="I26" s="246">
        <v>18</v>
      </c>
      <c r="J26" s="247" t="e">
        <f>R19*0.6</f>
        <v>#N/A</v>
      </c>
      <c r="K26" s="49"/>
      <c r="M26" s="588" t="s">
        <v>553</v>
      </c>
      <c r="N26" s="618"/>
      <c r="O26" s="265" t="e">
        <f>D9/D10</f>
        <v>#N/A</v>
      </c>
      <c r="P26" s="266"/>
      <c r="Q26" s="16"/>
      <c r="R26"/>
      <c r="S26"/>
      <c r="T26"/>
      <c r="U26"/>
      <c r="BB26" s="47"/>
      <c r="BC26" s="47"/>
      <c r="BD26" s="29"/>
      <c r="BE26" s="29"/>
      <c r="BF26" s="29"/>
      <c r="BG26" s="29"/>
      <c r="BH26" s="29"/>
      <c r="BI26" s="29"/>
      <c r="BJ26" s="29"/>
      <c r="BK26" s="29"/>
      <c r="BL26" s="29"/>
      <c r="BM26" s="47"/>
      <c r="BN26" s="47"/>
      <c r="BO26" s="47"/>
      <c r="BP26" s="47"/>
      <c r="BQ26" s="285">
        <v>1</v>
      </c>
      <c r="BR26" s="285">
        <f>IF(BR11=1,1,-1)</f>
        <v>1</v>
      </c>
    </row>
    <row r="27" spans="2:73" ht="18" x14ac:dyDescent="0.35">
      <c r="B27" s="631" t="s">
        <v>554</v>
      </c>
      <c r="C27" s="632"/>
      <c r="D27" s="217">
        <f>MAX(ABS(MAX(S60:V77,S79:V96)),ABS(MIN(S60:V77,S79:V96)))</f>
        <v>0</v>
      </c>
      <c r="E27" s="49"/>
      <c r="F27" s="94" t="b">
        <v>1</v>
      </c>
      <c r="G27" s="49"/>
      <c r="I27" s="246">
        <v>16</v>
      </c>
      <c r="J27" s="130" t="e">
        <f>(0.852*D6*(1-0.00137*K16))</f>
        <v>#N/A</v>
      </c>
      <c r="K27" s="49"/>
      <c r="M27" s="588" t="s">
        <v>555</v>
      </c>
      <c r="N27" s="618"/>
      <c r="O27" s="265" t="e">
        <f>29000/D6</f>
        <v>#N/A</v>
      </c>
      <c r="P27"/>
      <c r="Q27" s="267" t="s">
        <v>556</v>
      </c>
      <c r="R27" s="16">
        <f>D12</f>
        <v>100</v>
      </c>
      <c r="S27"/>
      <c r="T27" s="586" t="s">
        <v>557</v>
      </c>
      <c r="U27" s="587"/>
      <c r="BB27" s="47"/>
      <c r="BC27" s="47"/>
      <c r="BD27" s="29"/>
      <c r="BE27" s="29"/>
      <c r="BF27" s="29"/>
      <c r="BG27" s="29"/>
      <c r="BH27" s="29"/>
      <c r="BI27" s="29"/>
      <c r="BJ27" s="286" t="s">
        <v>558</v>
      </c>
      <c r="BK27" s="271" t="s">
        <v>559</v>
      </c>
      <c r="BL27" s="271" t="s">
        <v>297</v>
      </c>
      <c r="BM27" s="271" t="s">
        <v>298</v>
      </c>
      <c r="BN27" s="271" t="s">
        <v>560</v>
      </c>
      <c r="BO27" s="271" t="s">
        <v>561</v>
      </c>
      <c r="BP27" s="287"/>
      <c r="BQ27" s="285">
        <v>2</v>
      </c>
      <c r="BR27" s="285">
        <f t="shared" ref="BR27:BR33" si="0">IF(BR12=1,1,-1)</f>
        <v>1</v>
      </c>
      <c r="BS27" s="34"/>
      <c r="BT27" s="34"/>
      <c r="BU27" s="34"/>
    </row>
    <row r="28" spans="2:73" ht="15" customHeight="1" x14ac:dyDescent="0.35">
      <c r="B28" s="631" t="s">
        <v>562</v>
      </c>
      <c r="C28" s="632"/>
      <c r="D28" s="217" t="e">
        <f>MIN(AS40,AS60:AS77,AS79:AS96)</f>
        <v>#N/A</v>
      </c>
      <c r="E28" s="25"/>
      <c r="F28" s="25"/>
      <c r="G28" s="25"/>
      <c r="I28" s="246">
        <v>12</v>
      </c>
      <c r="J28" s="130" t="e">
        <f>(0.87*D6*(1-0.00129*K16))</f>
        <v>#N/A</v>
      </c>
      <c r="K28" s="49"/>
      <c r="M28" s="588" t="s">
        <v>563</v>
      </c>
      <c r="N28" s="618"/>
      <c r="O28" s="265" t="e">
        <f>(D9^3-(D9-2*D10)^3)/6</f>
        <v>#N/A</v>
      </c>
      <c r="P28"/>
      <c r="Q28" s="71" t="s">
        <v>564</v>
      </c>
      <c r="R28" s="16" t="e">
        <f>IF(D8=0,1*IF('Macro References'!$A$8=TRUE,Calculations!O34+SUM(BJ60:BJ77,BJ79:BJ96)/12,Calculations!O30),1*SUM(BJ40:BJ57,BJ60:BJ77,BJ79:BJ96)/12)</f>
        <v>#N/A</v>
      </c>
      <c r="S28"/>
      <c r="T28" s="248" t="s">
        <v>565</v>
      </c>
      <c r="U28" s="17" t="e">
        <f>1.6*29000/(SQRT(IF(D4=0,0.001,D4)*12/D9)*(D9/D10)^(5/4))</f>
        <v>#N/A</v>
      </c>
      <c r="AW28" s="160"/>
      <c r="BB28" s="47"/>
      <c r="BC28" s="47"/>
      <c r="BD28" s="29"/>
      <c r="BE28" s="29"/>
      <c r="BF28" s="29"/>
      <c r="BG28" s="29"/>
      <c r="BH28" s="29"/>
      <c r="BI28" s="29"/>
      <c r="BJ28" s="286" t="e">
        <f>($D$10/2*SIN(RADIANS(E40))*COS(RADIANS(E40)))</f>
        <v>#N/A</v>
      </c>
      <c r="BK28" s="271" t="e">
        <f>D28</f>
        <v>#N/A</v>
      </c>
      <c r="BL28" s="271" t="e">
        <f>D10</f>
        <v>#N/A</v>
      </c>
      <c r="BM28" s="271" t="e">
        <f>AVERAGE(O40:P40)/COS(BO28)</f>
        <v>#DIV/0!</v>
      </c>
      <c r="BN28" s="288" t="str">
        <f>BC40</f>
        <v/>
      </c>
      <c r="BO28" s="271">
        <f>RADIANS(5)</f>
        <v>8.7266462599716474E-2</v>
      </c>
      <c r="BP28" s="287"/>
      <c r="BQ28" s="285">
        <v>3</v>
      </c>
      <c r="BR28" s="285">
        <f t="shared" si="0"/>
        <v>-1</v>
      </c>
      <c r="BS28" s="34"/>
      <c r="BT28" s="34"/>
      <c r="BU28" s="34"/>
    </row>
    <row r="29" spans="2:73" ht="15" customHeight="1" x14ac:dyDescent="0.3">
      <c r="B29" s="631" t="s">
        <v>566</v>
      </c>
      <c r="C29" s="632"/>
      <c r="D29" s="217" t="e">
        <f>D24-2*(VLOOKUP($D$4,'Geometry 2'!E4:AM14,35,TRUE)/TAN(RADIANS(90-180/D8)))</f>
        <v>#N/A</v>
      </c>
      <c r="E29" s="25"/>
      <c r="F29" s="49" t="s">
        <v>567</v>
      </c>
      <c r="G29" s="25"/>
      <c r="I29" s="246">
        <v>8</v>
      </c>
      <c r="J29" s="130" t="e">
        <f>(0.852*D6*(1-0.00114*K16))</f>
        <v>#N/A</v>
      </c>
      <c r="K29" s="49"/>
      <c r="M29" s="588" t="s">
        <v>568</v>
      </c>
      <c r="N29" s="618"/>
      <c r="O29" s="265" t="e">
        <f>D32/D26</f>
        <v>#N/A</v>
      </c>
      <c r="P29"/>
      <c r="Q29"/>
      <c r="R29"/>
      <c r="S29"/>
      <c r="T29" s="248" t="s">
        <v>569</v>
      </c>
      <c r="U29" s="17" t="e">
        <f>0.78*29000/((D9/D10)^(3/2))</f>
        <v>#N/A</v>
      </c>
      <c r="AW29" s="160"/>
      <c r="BB29" s="47"/>
      <c r="BC29" s="47"/>
      <c r="BD29" s="29"/>
      <c r="BE29" s="29"/>
      <c r="BF29" s="29"/>
      <c r="BG29" s="29"/>
      <c r="BH29" s="29"/>
      <c r="BI29" s="29"/>
      <c r="BJ29" s="271">
        <f>IF(BR5=1,1,-1)</f>
        <v>1</v>
      </c>
      <c r="BK29" s="271">
        <f>IF(BR6=1,1,-1)</f>
        <v>1</v>
      </c>
      <c r="BL29" s="271">
        <f>IF(BR7=1,1,-1)</f>
        <v>1</v>
      </c>
      <c r="BM29" s="271">
        <f>IF(BR8=1,1,-1)</f>
        <v>-1</v>
      </c>
      <c r="BN29" s="271">
        <f>IF(BR9=1,1,-1)</f>
        <v>-1</v>
      </c>
      <c r="BO29" s="271">
        <f>IF(BR10=1,1,-1)</f>
        <v>1</v>
      </c>
      <c r="BP29" s="47"/>
      <c r="BQ29" s="285">
        <v>4</v>
      </c>
      <c r="BR29" s="285">
        <f t="shared" si="0"/>
        <v>-1</v>
      </c>
    </row>
    <row r="30" spans="2:73" ht="15" customHeight="1" x14ac:dyDescent="0.3">
      <c r="B30" s="631" t="s">
        <v>570</v>
      </c>
      <c r="C30" s="632"/>
      <c r="D30" s="217" t="e">
        <f>D25</f>
        <v>#N/A</v>
      </c>
      <c r="E30" s="25"/>
      <c r="F30" s="340" t="b">
        <v>0</v>
      </c>
      <c r="G30" s="25"/>
      <c r="I30" s="248">
        <v>0</v>
      </c>
      <c r="J30" s="248" t="e">
        <f>(0.4*D6+662/(D9/D10))</f>
        <v>#N/A</v>
      </c>
      <c r="K30" s="25"/>
      <c r="M30" s="588" t="s">
        <v>571</v>
      </c>
      <c r="N30" s="618"/>
      <c r="O30" s="268" t="e">
        <f>φ_f*IF(O26&lt;=0.0714*O27,D6*O28,IF(O26&lt;=0.309*O27,(0.0207*O27/O26+1)*D6*O29,0.33*29000/O26*O29))/12</f>
        <v>#N/A</v>
      </c>
      <c r="P30"/>
      <c r="Q30"/>
      <c r="R30"/>
      <c r="S30"/>
      <c r="T30" s="248" t="s">
        <v>572</v>
      </c>
      <c r="U30" s="364" t="e">
        <f>MIN(0.6*D6,MAX(U28,U29))</f>
        <v>#N/A</v>
      </c>
      <c r="BB30" s="47"/>
      <c r="BC30" s="47"/>
      <c r="BD30" s="29"/>
      <c r="BE30" s="29"/>
      <c r="BF30" s="29"/>
      <c r="BG30" s="29"/>
      <c r="BH30" s="29"/>
      <c r="BI30" s="29"/>
      <c r="BJ30" s="47"/>
      <c r="BK30" s="29"/>
      <c r="BL30" s="29"/>
      <c r="BM30" s="47"/>
      <c r="BN30" s="47"/>
      <c r="BO30" s="47"/>
      <c r="BP30" s="47"/>
      <c r="BQ30" s="285">
        <v>5</v>
      </c>
      <c r="BR30" s="285">
        <f t="shared" si="0"/>
        <v>-1</v>
      </c>
    </row>
    <row r="31" spans="2:73" ht="15" customHeight="1" x14ac:dyDescent="0.35">
      <c r="B31" s="631" t="s">
        <v>573</v>
      </c>
      <c r="C31" s="632"/>
      <c r="D31" s="222" t="e">
        <f>SUM(D32,M60:M77,M79:M96)</f>
        <v>#N/A</v>
      </c>
      <c r="E31" s="49"/>
      <c r="F31" s="49"/>
      <c r="G31" s="49"/>
      <c r="M31" s="588" t="s">
        <v>574</v>
      </c>
      <c r="N31" s="618"/>
      <c r="O31" s="268" t="e">
        <f>φ_f*MIN(0.33*29000/O26,D6)*O29/12</f>
        <v>#N/A</v>
      </c>
      <c r="P31"/>
      <c r="Q31"/>
      <c r="R31"/>
      <c r="S31"/>
      <c r="T31"/>
      <c r="U31"/>
      <c r="BB31" s="47"/>
      <c r="BC31" s="289"/>
      <c r="BD31" s="29"/>
      <c r="BE31" s="29"/>
      <c r="BF31" s="29"/>
      <c r="BG31" s="289"/>
      <c r="BH31" s="29"/>
      <c r="BI31" s="29" t="s">
        <v>575</v>
      </c>
      <c r="BJ31" s="29" t="s">
        <v>576</v>
      </c>
      <c r="BK31" s="29"/>
      <c r="BL31" s="29"/>
      <c r="BM31" s="47"/>
      <c r="BN31" s="47"/>
      <c r="BO31" s="47"/>
      <c r="BP31" s="47"/>
      <c r="BQ31" s="285">
        <v>6</v>
      </c>
      <c r="BR31" s="285">
        <f t="shared" si="0"/>
        <v>-1</v>
      </c>
    </row>
    <row r="32" spans="2:73" ht="15" customHeight="1" x14ac:dyDescent="0.35">
      <c r="B32" s="631" t="s">
        <v>577</v>
      </c>
      <c r="C32" s="632"/>
      <c r="D32" s="217" t="e">
        <f>IF(D8=0,PI()/4*((D9/2)^4-(D9/2-D10)^4)+D34*D35^2,SUM(M40:M57))</f>
        <v>#N/A</v>
      </c>
      <c r="E32" s="49"/>
      <c r="F32" s="49"/>
      <c r="G32" s="49"/>
      <c r="M32" s="588" t="s">
        <v>578</v>
      </c>
      <c r="N32" s="618"/>
      <c r="O32" s="268" t="e">
        <f>IF('Macro References'!$A$8=TRUE,O30*12/O29,O30*12/O29)</f>
        <v>#N/A</v>
      </c>
      <c r="P32"/>
      <c r="Q32"/>
      <c r="R32"/>
      <c r="S32"/>
      <c r="T32"/>
      <c r="U32"/>
      <c r="BB32" s="29"/>
      <c r="BC32" s="289"/>
      <c r="BD32" s="290">
        <f>SUM(BC40:BD55)</f>
        <v>0</v>
      </c>
      <c r="BE32" s="29"/>
      <c r="BF32" s="29"/>
      <c r="BG32" s="289"/>
      <c r="BH32" s="29"/>
      <c r="BI32" s="29"/>
      <c r="BJ32" s="29"/>
      <c r="BK32" s="47"/>
      <c r="BL32" s="47"/>
      <c r="BM32" s="29"/>
      <c r="BN32" s="47"/>
      <c r="BO32" s="47"/>
      <c r="BP32" s="47"/>
      <c r="BQ32" s="285">
        <v>7</v>
      </c>
      <c r="BR32" s="285">
        <f t="shared" si="0"/>
        <v>-1</v>
      </c>
    </row>
    <row r="33" spans="2:87" ht="15" customHeight="1" x14ac:dyDescent="0.35">
      <c r="B33" s="631" t="s">
        <v>579</v>
      </c>
      <c r="C33" s="632"/>
      <c r="D33" s="217" t="e">
        <f>SUM(D34,F60:F77,F79:F96)</f>
        <v>#N/A</v>
      </c>
      <c r="E33" s="49"/>
      <c r="F33" s="49"/>
      <c r="G33" s="49"/>
      <c r="H33" s="164"/>
      <c r="M33" s="588" t="s">
        <v>580</v>
      </c>
      <c r="N33" s="618"/>
      <c r="O33" s="268" t="e">
        <f>IF(O26&lt;=0.114*O27,D6,IF(O26&lt;=0.448*O27,(0.0379*29000/O26/D6+2/3)*D6,0.337*29000/O26))</f>
        <v>#N/A</v>
      </c>
      <c r="P33"/>
      <c r="Q33"/>
      <c r="R33"/>
      <c r="S33"/>
      <c r="T33"/>
      <c r="U33"/>
      <c r="BB33" s="29" t="s">
        <v>536</v>
      </c>
      <c r="BC33" s="29" t="e">
        <f>$D$28*$D$10*$D$23/2*(2*AV37+IF(OR(D37&gt;540,AND(D37&gt;180,D37&lt;=360)),-1,1)*$D$10*SIN(RADIANS(E37))+IF(OR(D37&gt;540,AND(D37&gt;180,D37&lt;=360)),-1,1)*$D$23*COS(RADIANS(E37)))</f>
        <v>#N/A</v>
      </c>
      <c r="BD33" s="29" t="e">
        <f>$D$28*$D$10*$D$23/2*(2*AV37+IF(OR(D37&gt;540,AND(D37&gt;180,D37&lt;=360)),-1,1)*$D$10*SIN(RADIANS(E37))+IF(OR(D37&gt;540,AND(D37&gt;180,D37&lt;=360)),-1,1)*$D$23*COS(RADIANS(E37)))</f>
        <v>#N/A</v>
      </c>
      <c r="BE33" s="29"/>
      <c r="BF33" s="291"/>
      <c r="BG33" s="29" t="e">
        <f>AV37+$D$28*$D$10*$D$23/(12*BC37)*(6*AV37*(IF(OR(D37&gt;540,AND(D37&gt;180,D37&lt;360)),-1,1)*$D$10*SIN(RADIANS(E37))+IF(OR(D37&gt;540,AND(D37&gt;180,D37&lt;360)),-1,1)*$D$23*COS(RADIANS(E37)))+3*$D$10*$D$23*SIN(RADIANS(2*E37))+4*$D$10^2*SIN(RADIANS(E37))^2+4*$D$23^2*COS(RADIANS(E37))^2)</f>
        <v>#N/A</v>
      </c>
      <c r="BH33" s="29" t="e">
        <f>AV37+$D$28*$D$10*$D$23/(12*BD37)*(6*AV37*(IF(OR(D37&gt;540,AND(D37&gt;180,D37&lt;360)),-1,1)*$D$10*SIN(RADIANS(E37))+IF(OR(D37&gt;540,AND(D37&gt;180,D37&lt;360)),-1,1)*$D$23*COS(RADIANS(E37)))+3*$D$10*$D$23*SIN(RADIANS(2*E37))+4*$D$10^2*SIN(RADIANS(E37))^2+4*$D$23^2*COS(RADIANS(E37))^2)</f>
        <v>#N/A</v>
      </c>
      <c r="BI33" s="29" t="s">
        <v>581</v>
      </c>
      <c r="BJ33" s="291">
        <f>SUM(BJ40:BJ57)/12</f>
        <v>0</v>
      </c>
      <c r="BK33" s="47"/>
      <c r="BL33" s="47"/>
      <c r="BM33" s="47"/>
      <c r="BN33" s="47"/>
      <c r="BO33" s="47"/>
      <c r="BP33" s="47"/>
      <c r="BQ33" s="285">
        <v>8</v>
      </c>
      <c r="BR33" s="285">
        <f t="shared" si="0"/>
        <v>1</v>
      </c>
    </row>
    <row r="34" spans="2:87" ht="15" customHeight="1" x14ac:dyDescent="0.35">
      <c r="B34" s="631" t="s">
        <v>582</v>
      </c>
      <c r="C34" s="632"/>
      <c r="D34" s="217" t="e">
        <f>IF(D8=0,PI()/4*(D9^2-(D9-2*D10)^2),SUM(F40:F57))</f>
        <v>#N/A</v>
      </c>
      <c r="E34" s="49"/>
      <c r="F34" s="49"/>
      <c r="G34" s="49"/>
      <c r="M34" s="588" t="s">
        <v>583</v>
      </c>
      <c r="N34" s="618"/>
      <c r="O34" s="268" t="e">
        <f>O30*D28/AS40</f>
        <v>#N/A</v>
      </c>
      <c r="P34"/>
      <c r="Q34"/>
      <c r="R34" s="269"/>
      <c r="S34"/>
      <c r="T34"/>
      <c r="U34"/>
      <c r="BB34" s="29" t="s">
        <v>538</v>
      </c>
      <c r="BC34" s="29" t="e">
        <f>$D$28*$D$10*(MAX(AVERAGE(O37:P37),AVERAGE(Q37:R37))/COS(RADIANS(E37)))/2*(2*(-$D$10/2*SIN(RADIANS(E37))*COS(RADIANS(E37)))+$D$10*SIN(RADIANS(E37))+(MAX(AVERAGE(O37:P37),AVERAGE(Q37:R37))/COS(RADIANS(E37)))*COS(RADIANS(E37)))</f>
        <v>#N/A</v>
      </c>
      <c r="BD34" s="29" t="e">
        <f>$D$28*$D$10*(MIN(AVERAGE(O37:P37),AVERAGE(Q37:R37))/COS(RADIANS(E37)))/2*(2*(-$D$10/2*SIN(RADIANS(E37))*COS(RADIANS(E37)))+$D$10*SIN(RADIANS(E37))-(MIN(AVERAGE(O37:P37),AVERAGE(Q37:R37))/COS(RADIANS(E37)))*COS(RADIANS(E37)))</f>
        <v>#N/A</v>
      </c>
      <c r="BE34" s="29"/>
      <c r="BF34" s="29"/>
      <c r="BG34" s="29"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29"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29" t="s">
        <v>584</v>
      </c>
      <c r="BJ34" s="29">
        <v>4473.4854128101533</v>
      </c>
      <c r="BK34" s="47"/>
      <c r="BM34" s="47"/>
      <c r="BN34" s="47"/>
      <c r="BO34" s="47"/>
    </row>
    <row r="35" spans="2:87" ht="15" customHeight="1" x14ac:dyDescent="0.3">
      <c r="B35" s="631" t="s">
        <v>585</v>
      </c>
      <c r="C35" s="632"/>
      <c r="D35" s="217" t="e">
        <f>F18</f>
        <v>#N/A</v>
      </c>
      <c r="E35" s="49"/>
      <c r="F35" s="49"/>
      <c r="G35" s="49"/>
      <c r="M35" s="166"/>
      <c r="N35" s="167"/>
      <c r="O35" s="153"/>
      <c r="R35" s="161"/>
      <c r="BB35" s="29" t="s">
        <v>542</v>
      </c>
      <c r="BC35" s="29" t="e">
        <f>$D$28*$D$10*($D$30/COS(RADIANS(E37)))/2*(2*(-$D$10/2*SIN(RADIANS(E37))*COS(RADIANS(E37)))+IF(OR(D37&gt;540,AND(D37&gt;180,D37&lt;=360)),-1,1)*$D$10*SIN(RADIANS(E37))+IF(OR(D37&gt;540,AND(D37&gt;180,D37&lt;=360)),-1,1)*($D$30/COS(RADIANS(E37)))*COS(RADIANS(E37)))</f>
        <v>#N/A</v>
      </c>
      <c r="BD35" s="29" t="e">
        <f>$D$28*$D$10*($D$30/COS(RADIANS(E37)))/2*(2*(-$D$10/2*SIN(RADIANS(E37))*COS(RADIANS(E37)))+IF(OR(D37&gt;540,AND(D37&gt;180,D37&lt;=360)),-1,1)*$D$10*SIN(RADIANS(E37))+IF(OR(D37&gt;540,AND(D37&gt;180,D37&lt;=360)),-1,1)*($D$30/COS(RADIANS(E37)))*COS(RADIANS(E37)))</f>
        <v>#N/A</v>
      </c>
      <c r="BE35" s="29"/>
      <c r="BF35" s="29"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29"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29"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47"/>
      <c r="BJ35" s="47"/>
      <c r="BK35" s="47"/>
      <c r="BM35" s="47"/>
      <c r="BN35" s="47"/>
      <c r="BO35" s="47"/>
    </row>
    <row r="36" spans="2:87" ht="15" customHeight="1" x14ac:dyDescent="0.25">
      <c r="B36" s="631" t="s">
        <v>586</v>
      </c>
      <c r="C36" s="632"/>
      <c r="D36" s="217" t="e">
        <f>D12*12*D25/D31</f>
        <v>#N/A</v>
      </c>
      <c r="E36" s="49"/>
      <c r="F36" s="49"/>
      <c r="G36" s="49"/>
      <c r="M36" s="166"/>
      <c r="N36" s="167"/>
      <c r="O36" s="153"/>
      <c r="Q36" s="168"/>
      <c r="BB36" s="29" t="s">
        <v>546</v>
      </c>
      <c r="BC36" s="291" t="e">
        <f>$D$28*$D$10*($D$30-MIN(AVERAGE(O37:P37),AVERAGE(Q37:R37)))/COS(RADIANS(E37))/2*(2*(MIN(AVERAGE(O37:P37),AVERAGE(Q37:R37)))+IF(OR(D37&gt;540,AND(D37&gt;180,D37&lt;=360)),-1,1)*$D$10*SIN(RADIANS(E37))+IF(OR(D37&gt;540,AND(D37&gt;180,D37&lt;=360)),-1,1)*($D$30-MIN(AVERAGE(O37:P37),AVERAGE(Q37:R37)))/COS(RADIANS(E37))*COS(RADIANS(E37)))</f>
        <v>#N/A</v>
      </c>
      <c r="BD36" s="29" t="e">
        <f>$D$28*$D$10*(MAX(AVERAGE(O37:P37),AVERAGE(Q37:R37))+$D$30)/COS(RADIANS(E37))/2*(2*(MAX(AVERAGE(O37:P37),AVERAGE(Q37:R37)))+IF(OR(D37&gt;540,AND(D37&gt;180,D37&lt;=360)),-1,1)*$D$10*SIN(RADIANS(E37))+IF(OR(D37&gt;540,AND(D37&gt;180,D37&lt;=360)),-1,1)*(MAX(AVERAGE(O37:P37),AVERAGE(Q37:R37))+$D$30)/COS(RADIANS(E37))*COS(RADIANS(E37)))</f>
        <v>#N/A</v>
      </c>
      <c r="BE36" s="29"/>
      <c r="BF36" s="29"/>
      <c r="BG36" s="29"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29"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47"/>
      <c r="BJ36" s="47"/>
      <c r="BK36" s="47"/>
      <c r="BM36" s="47"/>
      <c r="BN36" s="47"/>
      <c r="BO36" s="47"/>
    </row>
    <row r="37" spans="2:87" ht="15" customHeight="1" x14ac:dyDescent="0.35">
      <c r="B37" s="631" t="s">
        <v>587</v>
      </c>
      <c r="C37" s="632"/>
      <c r="D37" s="217" t="e">
        <f>IF(D8=0,PI()/4*((D9/2)^4-(D9/2-D10)^4),AB128)</f>
        <v>#N/A</v>
      </c>
      <c r="E37" s="49"/>
      <c r="F37" s="49"/>
      <c r="G37" s="49"/>
      <c r="Z37" s="151"/>
      <c r="AA37" s="151"/>
      <c r="AY37" s="25" t="s">
        <v>588</v>
      </c>
      <c r="BB37" s="47"/>
      <c r="BC37" s="292" t="e">
        <f>$D$28*$D$10*(MAX(AVERAGE(O37:P37),AVERAGE(Q37:R37))/COS(RADIANS(E37)))/2*(2*(-$D$10/2*SIN(RADIANS(E37))*COS(RADIANS(E37)))+$D$10*SIN(RADIANS(E37))+(MAX(AVERAGE(O37:P37),AVERAGE(Q37:R37))/COS(RADIANS(E37)))*COS(RADIANS(E37)))</f>
        <v>#N/A</v>
      </c>
      <c r="BD37" s="29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47"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47"/>
      <c r="BG37" s="293"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293"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47"/>
      <c r="BJ37" s="47"/>
      <c r="BK37" s="29">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47"/>
      <c r="BN37" s="47"/>
      <c r="BO37" s="47"/>
    </row>
    <row r="38" spans="2:87" s="49" customFormat="1" ht="15" customHeight="1" x14ac:dyDescent="0.25">
      <c r="G38" s="620" t="s">
        <v>589</v>
      </c>
      <c r="H38" s="621"/>
      <c r="I38" s="621"/>
      <c r="J38" s="621"/>
      <c r="K38" s="621"/>
      <c r="L38" s="621"/>
      <c r="M38" s="646"/>
      <c r="N38" s="620" t="s">
        <v>590</v>
      </c>
      <c r="O38" s="621"/>
      <c r="P38" s="621"/>
      <c r="Q38" s="621"/>
      <c r="R38" s="586"/>
      <c r="S38" s="634" t="s">
        <v>591</v>
      </c>
      <c r="T38" s="635"/>
      <c r="U38" s="635"/>
      <c r="V38" s="635"/>
      <c r="W38" s="611" t="s">
        <v>592</v>
      </c>
      <c r="X38" s="596"/>
      <c r="Y38" s="596"/>
      <c r="Z38" s="601" t="s">
        <v>593</v>
      </c>
      <c r="AA38" s="602"/>
      <c r="AB38" s="603"/>
      <c r="AC38" s="597" t="s">
        <v>594</v>
      </c>
      <c r="AD38" s="255" t="s">
        <v>595</v>
      </c>
      <c r="AE38" s="597" t="s">
        <v>596</v>
      </c>
      <c r="AF38" s="599" t="s">
        <v>597</v>
      </c>
      <c r="AG38" s="600"/>
      <c r="AH38" s="628" t="s">
        <v>598</v>
      </c>
      <c r="AI38" s="629"/>
      <c r="AJ38" s="629"/>
      <c r="AK38" s="629"/>
      <c r="AL38" s="629"/>
      <c r="AM38" s="629"/>
      <c r="AN38" s="629"/>
      <c r="AO38" s="629"/>
      <c r="AP38" s="630"/>
      <c r="AQ38" s="616" t="s">
        <v>599</v>
      </c>
      <c r="AR38" s="609" t="s">
        <v>600</v>
      </c>
      <c r="AS38" s="590" t="s">
        <v>601</v>
      </c>
      <c r="AT38" s="597" t="s">
        <v>602</v>
      </c>
      <c r="AU38" s="586" t="s">
        <v>603</v>
      </c>
      <c r="AV38" s="650"/>
      <c r="AW38" s="650"/>
      <c r="AX38" s="650"/>
      <c r="AY38" s="650"/>
      <c r="AZ38" s="650"/>
      <c r="BA38" s="651"/>
      <c r="BB38" s="649" t="s">
        <v>604</v>
      </c>
      <c r="BC38" s="650"/>
      <c r="BD38" s="650"/>
      <c r="BE38" s="650"/>
      <c r="BF38" s="650"/>
      <c r="BG38" s="650"/>
      <c r="BH38" s="650"/>
      <c r="BI38" s="650"/>
      <c r="BJ38" s="650"/>
      <c r="BK38" s="587"/>
    </row>
    <row r="39" spans="2:87" s="104" customFormat="1" ht="47.25" customHeight="1" x14ac:dyDescent="0.35">
      <c r="C39" s="200" t="s">
        <v>605</v>
      </c>
      <c r="D39" s="223" t="s">
        <v>606</v>
      </c>
      <c r="E39" s="224" t="s">
        <v>607</v>
      </c>
      <c r="F39" s="225" t="s">
        <v>608</v>
      </c>
      <c r="G39" s="226" t="s">
        <v>609</v>
      </c>
      <c r="H39" s="223" t="s">
        <v>610</v>
      </c>
      <c r="I39" s="223" t="s">
        <v>611</v>
      </c>
      <c r="J39" s="223" t="s">
        <v>612</v>
      </c>
      <c r="K39" s="223" t="s">
        <v>613</v>
      </c>
      <c r="L39" s="223" t="s">
        <v>614</v>
      </c>
      <c r="M39" s="225" t="s">
        <v>615</v>
      </c>
      <c r="N39" s="226" t="s">
        <v>616</v>
      </c>
      <c r="O39" s="223" t="s">
        <v>617</v>
      </c>
      <c r="P39" s="223" t="s">
        <v>618</v>
      </c>
      <c r="Q39" s="223" t="s">
        <v>619</v>
      </c>
      <c r="R39" s="223" t="s">
        <v>620</v>
      </c>
      <c r="S39" s="223" t="s">
        <v>617</v>
      </c>
      <c r="T39" s="223" t="s">
        <v>618</v>
      </c>
      <c r="U39" s="223" t="s">
        <v>619</v>
      </c>
      <c r="V39" s="223" t="s">
        <v>620</v>
      </c>
      <c r="W39" s="317" t="s">
        <v>621</v>
      </c>
      <c r="X39" s="229" t="s">
        <v>622</v>
      </c>
      <c r="Y39" s="229" t="s">
        <v>623</v>
      </c>
      <c r="Z39" s="318" t="s">
        <v>624</v>
      </c>
      <c r="AA39" s="319" t="s">
        <v>625</v>
      </c>
      <c r="AB39" s="320" t="s">
        <v>626</v>
      </c>
      <c r="AC39" s="598"/>
      <c r="AD39" s="321" t="s">
        <v>627</v>
      </c>
      <c r="AE39" s="598"/>
      <c r="AF39" s="228" t="s">
        <v>628</v>
      </c>
      <c r="AG39" s="322" t="s">
        <v>629</v>
      </c>
      <c r="AH39" s="227" t="s">
        <v>621</v>
      </c>
      <c r="AI39" s="228" t="s">
        <v>622</v>
      </c>
      <c r="AJ39" s="228" t="s">
        <v>623</v>
      </c>
      <c r="AK39" s="228" t="s">
        <v>630</v>
      </c>
      <c r="AL39" s="229" t="s">
        <v>594</v>
      </c>
      <c r="AM39" s="229" t="s">
        <v>631</v>
      </c>
      <c r="AN39" s="230" t="s">
        <v>632</v>
      </c>
      <c r="AO39" s="230" t="s">
        <v>633</v>
      </c>
      <c r="AP39" s="231" t="s">
        <v>634</v>
      </c>
      <c r="AQ39" s="617"/>
      <c r="AR39" s="610"/>
      <c r="AS39" s="592"/>
      <c r="AT39" s="592"/>
      <c r="AU39" s="232" t="s">
        <v>635</v>
      </c>
      <c r="AV39" s="230" t="s">
        <v>636</v>
      </c>
      <c r="AW39" s="223" t="s">
        <v>637</v>
      </c>
      <c r="AX39" s="223" t="s">
        <v>638</v>
      </c>
      <c r="AY39" s="223" t="s">
        <v>639</v>
      </c>
      <c r="AZ39" s="223" t="s">
        <v>640</v>
      </c>
      <c r="BA39" s="233" t="s">
        <v>641</v>
      </c>
      <c r="BB39" s="234" t="s">
        <v>642</v>
      </c>
      <c r="BC39" s="235" t="s">
        <v>643</v>
      </c>
      <c r="BD39" s="235" t="s">
        <v>644</v>
      </c>
      <c r="BE39" s="236" t="s">
        <v>645</v>
      </c>
      <c r="BF39" s="237" t="s">
        <v>646</v>
      </c>
      <c r="BG39" s="235" t="s">
        <v>647</v>
      </c>
      <c r="BH39" s="235" t="s">
        <v>648</v>
      </c>
      <c r="BI39" s="236" t="s">
        <v>649</v>
      </c>
      <c r="BJ39" s="238" t="s">
        <v>650</v>
      </c>
      <c r="BK39" s="223" t="s">
        <v>651</v>
      </c>
      <c r="BL39" s="104" t="s">
        <v>652</v>
      </c>
      <c r="BM39" s="239"/>
      <c r="BP39" s="240"/>
    </row>
    <row r="40" spans="2:87" ht="15" x14ac:dyDescent="0.25">
      <c r="B40" s="49"/>
      <c r="C40" s="201" t="e">
        <f>IF($D$8&lt;1,"",1)</f>
        <v>#N/A</v>
      </c>
      <c r="D40" s="17" t="e">
        <f>IF(OR(D5=0,MOD(D5,360/D8)=0),D5+0.0001,D5)</f>
        <v>#N/A</v>
      </c>
      <c r="E40" s="17" t="e">
        <f>IF(D40&gt;630,360-(D40-360),IF(D40&gt;540,(D40-360)-180,IF(D40&gt;450,180-(D40-360),IF(D40&gt;360,D40-360,IF(D40&gt;270,360-D40,IF(D40&gt;180,D40-180,IF(D40&gt;90,180-D40,D40)))))))</f>
        <v>#N/A</v>
      </c>
      <c r="F40" s="249" t="e">
        <f t="shared" ref="F40:F57" si="1">IF(C40="","",$D$23*$D$10)</f>
        <v>#N/A</v>
      </c>
      <c r="G40" s="250" t="e">
        <f t="shared" ref="G40:G47" si="2">$D$21*SIN(RADIANS(D40))</f>
        <v>#N/A</v>
      </c>
      <c r="H40" s="251" t="e">
        <f t="shared" ref="H40:H47" si="3">F40*G40</f>
        <v>#N/A</v>
      </c>
      <c r="I40" s="251" t="e">
        <f>G40-$F$18</f>
        <v>#N/A</v>
      </c>
      <c r="J40" s="251" t="e">
        <f t="shared" ref="J40:J57" si="4">IF(C40="","",$D$23*$D$10^3/12)</f>
        <v>#N/A</v>
      </c>
      <c r="K40" s="251" t="e">
        <f t="shared" ref="K40:K57" si="5">IF(C40="","",$D$23^3*$D$10/12)</f>
        <v>#N/A</v>
      </c>
      <c r="L40" s="251" t="e">
        <f>(J40+K40)/2+(J40-K40)/2*COS(2*RADIANS(D40+90))</f>
        <v>#N/A</v>
      </c>
      <c r="M40" s="252" t="e">
        <f t="shared" ref="M40:M47" si="6">IF($C40="","",L40+F40*I40^2)</f>
        <v>#N/A</v>
      </c>
      <c r="N40" s="250" t="str">
        <f t="shared" ref="N40:N57" si="7">IFERROR(($D$20-$D$10/2)*SIN(RADIANS(D40))-$F$18,"")</f>
        <v/>
      </c>
      <c r="O40" s="253" t="str">
        <f t="shared" ref="O40:O57" si="8">IFERROR(ROUND(N40+(-$D$10/2)*SIN(RADIANS(D40))+($D$23/2)*COS(RADIANS(D40)),8),"")</f>
        <v/>
      </c>
      <c r="P40" s="253" t="str">
        <f t="shared" ref="P40:P57" si="9">IFERROR(ROUND(N40+($D$10/2)*SIN(RADIANS(D40))+($D$23/2)*COS(RADIANS(D40)),8),"")</f>
        <v/>
      </c>
      <c r="Q40" s="253" t="str">
        <f t="shared" ref="Q40:Q57" si="10">IFERROR(ROUND(N40+($D$10/2)*SIN(RADIANS(D40))+(-$D$23/2)*COS(RADIANS(D40)),8),"")</f>
        <v/>
      </c>
      <c r="R40" s="254" t="str">
        <f t="shared" ref="R40:R57" si="11">IFERROR(ROUND(N40+(-$D$10/2)*SIN(RADIANS(D40))+(-$D$23/2)*COS(RADIANS(D40)),8),"")</f>
        <v/>
      </c>
      <c r="S40" s="170"/>
      <c r="T40" s="171"/>
      <c r="U40" s="171"/>
      <c r="V40" s="397"/>
      <c r="W40" s="172"/>
      <c r="X40" s="173"/>
      <c r="Y40" s="173"/>
      <c r="Z40" s="173"/>
      <c r="AA40" s="173"/>
      <c r="AB40" s="174"/>
      <c r="AC40" s="174"/>
      <c r="AD40" s="622" t="e">
        <f>D34*IF(Rev="G",φ_c*IF(D8=0,O33,O17),IF(Rev="H",φ_c*MIN(IF(D8=0,O33,O17),D6),K18))</f>
        <v>#N/A</v>
      </c>
      <c r="AE40" s="622" t="e">
        <f>IF(Rev="G",φ_v*0.5*IF(D8=0,O33,O17)*D34,IF(Rev="H",φ_v*IF(D8=0,0.5*U30*D34,0.6*D6*D34/2),0.4*D6))</f>
        <v>#N/A</v>
      </c>
      <c r="AF40" s="175"/>
      <c r="AG40" s="176"/>
      <c r="AH40" s="177"/>
      <c r="AI40" s="174"/>
      <c r="AJ40" s="174"/>
      <c r="AK40" s="174"/>
      <c r="AL40" s="174"/>
      <c r="AM40" s="173"/>
      <c r="AN40" s="173"/>
      <c r="AO40" s="173"/>
      <c r="AP40" s="173"/>
      <c r="AQ40" s="173"/>
      <c r="AR40" s="178"/>
      <c r="AS40" s="622" t="e">
        <f>IF(OR(Rev="G",Rev="H"),IF(D8=0,O32,φ_f*O17)/D26,K18/D26)</f>
        <v>#N/A</v>
      </c>
      <c r="AT40" s="625" t="e">
        <f>((($D$36/$D$25)/(AS40))+$L$7+IF(OR(Rev="G",Rev="H"),($Q$7/$Q$8)^2,0))*IF(Rev="F",0.75,1)/IF(OR(AND(Rev="H",$F$27=TRUE),AND(Rev&lt;&gt;"H",$F$30=TRUE)),1.05,1)</f>
        <v>#N/A</v>
      </c>
      <c r="AU40" s="277" t="e">
        <f t="shared" ref="AU40:AU57" si="12">IF(C40="","",IF(OR(D40&gt;540,AND(D40&gt;180,D40&lt;=360)),MIN(O40:R40),MAX(O40:R40)))</f>
        <v>#N/A</v>
      </c>
      <c r="AV40" s="278" t="e">
        <f t="shared" ref="AV40:AV57" si="13">IF(C40="","",IF(AU40=MAX(O40:R40),MIN(O40:R40),MAX(O40:R40)))</f>
        <v>#N/A</v>
      </c>
      <c r="AW40" s="278" t="str">
        <f t="shared" ref="AW40:AW57" si="14">IFERROR($D$28*AU40,"")</f>
        <v/>
      </c>
      <c r="AX40" s="278" t="str">
        <f t="shared" ref="AX40:AX57" si="15">IFERROR($D$28*AV40,"")</f>
        <v/>
      </c>
      <c r="AY40" s="279" t="e">
        <f t="shared" ref="AY40:AY57" si="16">$D$28*$D$10*$D$23/2*(2*AV40+IF(OR(D40&gt;540,AND(D40&gt;180,D40&lt;=360)),-1,1)*$D$10*SIN(RADIANS(E40))+IF(OR(D40&gt;540,AND(D40&gt;180,D40&lt;=360)),-1,1)*$D$23*COS(RADIANS(E40)))</f>
        <v>#N/A</v>
      </c>
      <c r="AZ40" s="278" t="e">
        <f t="shared" ref="AZ40:AZ57" si="17">IF(ABS(AY40)&lt;0.0001,0,AV40+$D$28*$D$10*$D$23/(12*AY40)*(6*AV40*(IF(OR(D40&gt;540,AND(D40&gt;180,D40&lt;360)),-1,1)*$D$10*SIN(RADIANS(E40))+IF(OR(D40&gt;540,AND(D40&gt;180,D40&lt;360)),-1,1)*$D$23*COS(RADIANS(E40)))+3*$D$10*$D$23*SIN(RADIANS(2*E40))+4*$D$10^2*SIN(RADIANS(E40))^2+4*$D$23^2*COS(RADIANS(E40))^2))</f>
        <v>#N/A</v>
      </c>
      <c r="BA40" s="280" t="e">
        <f t="shared" ref="BA40:BA47" si="18">AY40*AZ40</f>
        <v>#N/A</v>
      </c>
      <c r="BB40" s="297" t="str">
        <f t="shared" ref="BB40:BB57" si="19">IFERROR(IF(MAX(AVERAGE(O40:P40),AVERAGE(Q40:R40))&gt;$D$30,MIN((MAX(AVERAGE(O40:P40),AVERAGE(Q40:R40))-$D$30)/COS(RADIANS($E40)),$D$23)*$D$10*$O$17,""),"")</f>
        <v/>
      </c>
      <c r="BC40" s="298"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298"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295" t="str">
        <f t="shared" ref="BE40:BE57" si="22">IFERROR(IF(MIN(AVERAGE(O40:P40),AVERAGE(Q40:R40))&lt;-$D$30,MAX((MIN(AVERAGE(O40:P40),AVERAGE(Q40:R40))+$D$30)/COS(RADIANS($E40)),-$D$23)*$D$10*$O$17,""),"")</f>
        <v/>
      </c>
      <c r="BF40" s="299" t="str">
        <f t="shared" ref="BF40:BF57" si="23">IFERROR(IF(MAX(AVERAGE(O40:P40),AVERAGE(Q40:R40))&gt;$D$30,MAX(AVERAGE(MAX(AVERAGE(O40:P40),AVERAGE(Q40:R40)),$D$30),AVERAGE(O40:R40)),""),"")</f>
        <v/>
      </c>
      <c r="BG40" s="300"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300"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295" t="str">
        <f t="shared" ref="BI40:BI57" si="26">IFERROR(IF(MIN(AVERAGE(O40:P40),AVERAGE(Q40:R40))&lt;-$D$30,MIN(AVERAGE(MIN(AVERAGE(O40:P40),AVERAGE(Q40:R40)),-$D$30),AVERAGE(O40:R40)),""),"")</f>
        <v/>
      </c>
      <c r="BJ40" s="299">
        <f>IFERROR(IF(BB40="",0,ABS(BB40))*IF(BF40="",0,ABS(BF40))+IF(BC40="",0,ABS(BC40))*IF(BG40="",0,ABS(BG40))+IF(BD40="",0,ABS(BD40))*IF(BH40="",0,ABS(BH40))+IF(BE40="",0,ABS(BE40))*IF(BI40="",0,ABS(BI40)),"")</f>
        <v>0</v>
      </c>
      <c r="BK40" s="278" t="e">
        <f t="shared" ref="BK40:BK57" si="27">(IF(BB40="",0,ABS(BB40))*IF(BF40="",0,BF40)+IF(BC40="",0,ABS(BC40))*IF(BG40="",0,BG40)+IF(BD40="",0,ABS(BD40))*IF(BH40="",0,BH40)+IF(BE40="",0,ABS(BE40))*IF(BI40="",0,BI40))/(IF(BB40="",0,ABS(BB40))+IF(BC40="",0,ABS(BC40))+IF(BD40="",0,ABS(BD40))+IF(BE40="",0,ABS(BE40)))</f>
        <v>#DIV/0!</v>
      </c>
      <c r="BL40" s="49" t="e">
        <f t="shared" ref="BL40:BL57" si="28">BA40-BJ40</f>
        <v>#N/A</v>
      </c>
      <c r="BP40" s="302"/>
      <c r="BQ40" s="219"/>
      <c r="BR40" s="219"/>
    </row>
    <row r="41" spans="2:87" ht="15" x14ac:dyDescent="0.25">
      <c r="B41" s="49"/>
      <c r="C41" s="201" t="e">
        <f>IF($D$8&lt;2,"",2)</f>
        <v>#N/A</v>
      </c>
      <c r="D41" s="17" t="e">
        <f t="shared" ref="D41:D47" si="29">D40+$D$19</f>
        <v>#N/A</v>
      </c>
      <c r="E41" s="17" t="e">
        <f t="shared" ref="E41:E57" si="30">IF(D41&gt;630,360-(D41-360),IF(D41&gt;540,(D41-360)-180,IF(D41&gt;450,180-(D41-360),IF(D41&gt;360,D41-360,IF(D41&gt;270,360-D41,IF(D41&gt;180,D41-180,IF(D41&gt;90,180-D41,D41)))))))</f>
        <v>#N/A</v>
      </c>
      <c r="F41" s="249" t="e">
        <f t="shared" si="1"/>
        <v>#N/A</v>
      </c>
      <c r="G41" s="250" t="e">
        <f t="shared" si="2"/>
        <v>#N/A</v>
      </c>
      <c r="H41" s="251" t="e">
        <f t="shared" si="3"/>
        <v>#N/A</v>
      </c>
      <c r="I41" s="251" t="e">
        <f t="shared" ref="I41:I57" si="31">G41-$F$18</f>
        <v>#N/A</v>
      </c>
      <c r="J41" s="251" t="e">
        <f t="shared" si="4"/>
        <v>#N/A</v>
      </c>
      <c r="K41" s="251" t="e">
        <f t="shared" si="5"/>
        <v>#N/A</v>
      </c>
      <c r="L41" s="251" t="e">
        <f t="shared" ref="L41:L57" si="32">(J41+K41)/2+(J41-K41)/2*COS(2*RADIANS(D41+90))</f>
        <v>#N/A</v>
      </c>
      <c r="M41" s="252" t="e">
        <f t="shared" si="6"/>
        <v>#N/A</v>
      </c>
      <c r="N41" s="250" t="str">
        <f t="shared" si="7"/>
        <v/>
      </c>
      <c r="O41" s="253" t="str">
        <f t="shared" si="8"/>
        <v/>
      </c>
      <c r="P41" s="253" t="str">
        <f t="shared" si="9"/>
        <v/>
      </c>
      <c r="Q41" s="253" t="str">
        <f t="shared" si="10"/>
        <v/>
      </c>
      <c r="R41" s="254" t="str">
        <f t="shared" si="11"/>
        <v/>
      </c>
      <c r="S41" s="170"/>
      <c r="T41" s="171"/>
      <c r="U41" s="171"/>
      <c r="V41" s="171"/>
      <c r="W41" s="179"/>
      <c r="X41" s="174"/>
      <c r="Y41" s="174"/>
      <c r="Z41" s="174"/>
      <c r="AA41" s="174"/>
      <c r="AB41" s="174"/>
      <c r="AC41" s="174"/>
      <c r="AD41" s="623"/>
      <c r="AE41" s="623"/>
      <c r="AF41" s="180"/>
      <c r="AG41" s="181"/>
      <c r="AH41" s="182"/>
      <c r="AI41" s="174"/>
      <c r="AJ41" s="174"/>
      <c r="AK41" s="174"/>
      <c r="AL41" s="174"/>
      <c r="AM41" s="174"/>
      <c r="AN41" s="174"/>
      <c r="AO41" s="174"/>
      <c r="AP41" s="174"/>
      <c r="AQ41" s="174"/>
      <c r="AR41" s="183"/>
      <c r="AS41" s="623"/>
      <c r="AT41" s="626"/>
      <c r="AU41" s="277" t="e">
        <f t="shared" si="12"/>
        <v>#N/A</v>
      </c>
      <c r="AV41" s="278" t="e">
        <f t="shared" si="13"/>
        <v>#N/A</v>
      </c>
      <c r="AW41" s="278" t="str">
        <f t="shared" si="14"/>
        <v/>
      </c>
      <c r="AX41" s="278" t="str">
        <f t="shared" si="15"/>
        <v/>
      </c>
      <c r="AY41" s="278" t="e">
        <f t="shared" si="16"/>
        <v>#N/A</v>
      </c>
      <c r="AZ41" s="278" t="e">
        <f t="shared" si="17"/>
        <v>#N/A</v>
      </c>
      <c r="BA41" s="280" t="e">
        <f t="shared" si="18"/>
        <v>#N/A</v>
      </c>
      <c r="BB41" s="297" t="str">
        <f t="shared" si="19"/>
        <v/>
      </c>
      <c r="BC41" s="298" t="str">
        <f t="shared" si="20"/>
        <v/>
      </c>
      <c r="BD41" s="298" t="str">
        <f t="shared" si="21"/>
        <v/>
      </c>
      <c r="BE41" s="295" t="str">
        <f t="shared" si="22"/>
        <v/>
      </c>
      <c r="BF41" s="299" t="str">
        <f t="shared" si="23"/>
        <v/>
      </c>
      <c r="BG41" s="300" t="str">
        <f t="shared" si="24"/>
        <v/>
      </c>
      <c r="BH41" s="300" t="str">
        <f t="shared" si="25"/>
        <v/>
      </c>
      <c r="BI41" s="295" t="str">
        <f t="shared" si="26"/>
        <v/>
      </c>
      <c r="BJ41" s="299">
        <f t="shared" ref="BJ41:BJ57" si="33">IFERROR(IF(BB41="",0,ABS(BB41))*IF(BF41="",0,ABS(BF41))+IF(BC41="",0,ABS(BC41))*IF(BG41="",0,ABS(BG41))+IF(BD41="",0,ABS(BD41))*IF(BH41="",0,ABS(BH41))+IF(BE41="",0,ABS(BE41))*IF(BI41="",0,ABS(BI41)),"")</f>
        <v>0</v>
      </c>
      <c r="BK41" s="278" t="e">
        <f t="shared" si="27"/>
        <v>#DIV/0!</v>
      </c>
      <c r="BL41" s="49" t="e">
        <f t="shared" si="28"/>
        <v>#N/A</v>
      </c>
    </row>
    <row r="42" spans="2:87" ht="15" x14ac:dyDescent="0.25">
      <c r="B42" s="49"/>
      <c r="C42" s="201" t="e">
        <f>IF($D$8&lt;3,"",3)</f>
        <v>#N/A</v>
      </c>
      <c r="D42" s="17" t="e">
        <f t="shared" si="29"/>
        <v>#N/A</v>
      </c>
      <c r="E42" s="17" t="e">
        <f t="shared" si="30"/>
        <v>#N/A</v>
      </c>
      <c r="F42" s="249" t="e">
        <f t="shared" si="1"/>
        <v>#N/A</v>
      </c>
      <c r="G42" s="250" t="e">
        <f t="shared" si="2"/>
        <v>#N/A</v>
      </c>
      <c r="H42" s="251" t="e">
        <f t="shared" si="3"/>
        <v>#N/A</v>
      </c>
      <c r="I42" s="251" t="e">
        <f t="shared" si="31"/>
        <v>#N/A</v>
      </c>
      <c r="J42" s="251" t="e">
        <f t="shared" si="4"/>
        <v>#N/A</v>
      </c>
      <c r="K42" s="251" t="e">
        <f t="shared" si="5"/>
        <v>#N/A</v>
      </c>
      <c r="L42" s="251" t="e">
        <f t="shared" si="32"/>
        <v>#N/A</v>
      </c>
      <c r="M42" s="252" t="e">
        <f t="shared" si="6"/>
        <v>#N/A</v>
      </c>
      <c r="N42" s="250" t="str">
        <f t="shared" si="7"/>
        <v/>
      </c>
      <c r="O42" s="253" t="str">
        <f t="shared" si="8"/>
        <v/>
      </c>
      <c r="P42" s="253" t="str">
        <f t="shared" si="9"/>
        <v/>
      </c>
      <c r="Q42" s="253" t="str">
        <f t="shared" si="10"/>
        <v/>
      </c>
      <c r="R42" s="254" t="str">
        <f t="shared" si="11"/>
        <v/>
      </c>
      <c r="S42" s="170"/>
      <c r="T42" s="171"/>
      <c r="U42" s="171"/>
      <c r="V42" s="171"/>
      <c r="W42" s="179"/>
      <c r="X42" s="174"/>
      <c r="Y42" s="174"/>
      <c r="Z42" s="174"/>
      <c r="AA42" s="174"/>
      <c r="AB42" s="174"/>
      <c r="AC42" s="174"/>
      <c r="AD42" s="623"/>
      <c r="AE42" s="623"/>
      <c r="AF42" s="180"/>
      <c r="AG42" s="181"/>
      <c r="AH42" s="182"/>
      <c r="AI42" s="174"/>
      <c r="AJ42" s="174"/>
      <c r="AK42" s="174"/>
      <c r="AL42" s="174"/>
      <c r="AM42" s="174"/>
      <c r="AN42" s="174"/>
      <c r="AO42" s="174"/>
      <c r="AP42" s="174"/>
      <c r="AQ42" s="174"/>
      <c r="AR42" s="183"/>
      <c r="AS42" s="623"/>
      <c r="AT42" s="626"/>
      <c r="AU42" s="277" t="e">
        <f t="shared" si="12"/>
        <v>#N/A</v>
      </c>
      <c r="AV42" s="278" t="e">
        <f t="shared" si="13"/>
        <v>#N/A</v>
      </c>
      <c r="AW42" s="278" t="str">
        <f t="shared" si="14"/>
        <v/>
      </c>
      <c r="AX42" s="278" t="str">
        <f t="shared" si="15"/>
        <v/>
      </c>
      <c r="AY42" s="278" t="e">
        <f t="shared" si="16"/>
        <v>#N/A</v>
      </c>
      <c r="AZ42" s="278" t="e">
        <f t="shared" si="17"/>
        <v>#N/A</v>
      </c>
      <c r="BA42" s="280" t="e">
        <f t="shared" si="18"/>
        <v>#N/A</v>
      </c>
      <c r="BB42" s="297" t="str">
        <f t="shared" si="19"/>
        <v/>
      </c>
      <c r="BC42" s="298" t="str">
        <f t="shared" si="20"/>
        <v/>
      </c>
      <c r="BD42" s="298" t="str">
        <f t="shared" si="21"/>
        <v/>
      </c>
      <c r="BE42" s="295" t="str">
        <f t="shared" si="22"/>
        <v/>
      </c>
      <c r="BF42" s="299" t="str">
        <f t="shared" si="23"/>
        <v/>
      </c>
      <c r="BG42" s="300" t="str">
        <f t="shared" si="24"/>
        <v/>
      </c>
      <c r="BH42" s="300" t="str">
        <f t="shared" si="25"/>
        <v/>
      </c>
      <c r="BI42" s="295" t="str">
        <f t="shared" si="26"/>
        <v/>
      </c>
      <c r="BJ42" s="299">
        <f t="shared" si="33"/>
        <v>0</v>
      </c>
      <c r="BK42" s="278" t="e">
        <f t="shared" si="27"/>
        <v>#DIV/0!</v>
      </c>
      <c r="BL42" s="49" t="e">
        <f t="shared" si="28"/>
        <v>#N/A</v>
      </c>
    </row>
    <row r="43" spans="2:87" ht="15" x14ac:dyDescent="0.25">
      <c r="B43" s="49"/>
      <c r="C43" s="201" t="e">
        <f>IF($D$8&lt;4,"",4)</f>
        <v>#N/A</v>
      </c>
      <c r="D43" s="17" t="e">
        <f t="shared" si="29"/>
        <v>#N/A</v>
      </c>
      <c r="E43" s="17" t="e">
        <f t="shared" si="30"/>
        <v>#N/A</v>
      </c>
      <c r="F43" s="249" t="e">
        <f t="shared" si="1"/>
        <v>#N/A</v>
      </c>
      <c r="G43" s="250" t="e">
        <f t="shared" si="2"/>
        <v>#N/A</v>
      </c>
      <c r="H43" s="251" t="e">
        <f t="shared" si="3"/>
        <v>#N/A</v>
      </c>
      <c r="I43" s="251" t="e">
        <f t="shared" si="31"/>
        <v>#N/A</v>
      </c>
      <c r="J43" s="251" t="e">
        <f t="shared" si="4"/>
        <v>#N/A</v>
      </c>
      <c r="K43" s="251" t="e">
        <f t="shared" si="5"/>
        <v>#N/A</v>
      </c>
      <c r="L43" s="251" t="e">
        <f t="shared" si="32"/>
        <v>#N/A</v>
      </c>
      <c r="M43" s="252" t="e">
        <f t="shared" si="6"/>
        <v>#N/A</v>
      </c>
      <c r="N43" s="250" t="str">
        <f t="shared" si="7"/>
        <v/>
      </c>
      <c r="O43" s="253" t="str">
        <f t="shared" si="8"/>
        <v/>
      </c>
      <c r="P43" s="253" t="str">
        <f t="shared" si="9"/>
        <v/>
      </c>
      <c r="Q43" s="253" t="str">
        <f t="shared" si="10"/>
        <v/>
      </c>
      <c r="R43" s="254" t="str">
        <f t="shared" si="11"/>
        <v/>
      </c>
      <c r="S43" s="170"/>
      <c r="T43" s="171"/>
      <c r="U43" s="171"/>
      <c r="V43" s="171"/>
      <c r="W43" s="179"/>
      <c r="X43" s="174"/>
      <c r="Y43" s="174"/>
      <c r="Z43" s="174"/>
      <c r="AA43" s="174"/>
      <c r="AB43" s="174"/>
      <c r="AC43" s="174"/>
      <c r="AD43" s="623"/>
      <c r="AE43" s="623"/>
      <c r="AF43" s="180"/>
      <c r="AG43" s="181"/>
      <c r="AH43" s="182"/>
      <c r="AI43" s="174"/>
      <c r="AJ43" s="174"/>
      <c r="AK43" s="174"/>
      <c r="AL43" s="174"/>
      <c r="AM43" s="174"/>
      <c r="AN43" s="174"/>
      <c r="AO43" s="174"/>
      <c r="AP43" s="174"/>
      <c r="AQ43" s="174"/>
      <c r="AR43" s="183"/>
      <c r="AS43" s="623"/>
      <c r="AT43" s="626"/>
      <c r="AU43" s="277" t="e">
        <f t="shared" si="12"/>
        <v>#N/A</v>
      </c>
      <c r="AV43" s="278" t="e">
        <f t="shared" si="13"/>
        <v>#N/A</v>
      </c>
      <c r="AW43" s="278" t="str">
        <f t="shared" si="14"/>
        <v/>
      </c>
      <c r="AX43" s="278" t="str">
        <f t="shared" si="15"/>
        <v/>
      </c>
      <c r="AY43" s="278" t="e">
        <f t="shared" si="16"/>
        <v>#N/A</v>
      </c>
      <c r="AZ43" s="278" t="e">
        <f t="shared" si="17"/>
        <v>#N/A</v>
      </c>
      <c r="BA43" s="280" t="e">
        <f t="shared" si="18"/>
        <v>#N/A</v>
      </c>
      <c r="BB43" s="297" t="str">
        <f t="shared" si="19"/>
        <v/>
      </c>
      <c r="BC43" s="298" t="str">
        <f t="shared" si="20"/>
        <v/>
      </c>
      <c r="BD43" s="298" t="str">
        <f t="shared" si="21"/>
        <v/>
      </c>
      <c r="BE43" s="295" t="str">
        <f t="shared" si="22"/>
        <v/>
      </c>
      <c r="BF43" s="299" t="str">
        <f t="shared" si="23"/>
        <v/>
      </c>
      <c r="BG43" s="300" t="str">
        <f t="shared" si="24"/>
        <v/>
      </c>
      <c r="BH43" s="300" t="str">
        <f t="shared" si="25"/>
        <v/>
      </c>
      <c r="BI43" s="295" t="str">
        <f t="shared" si="26"/>
        <v/>
      </c>
      <c r="BJ43" s="299">
        <f t="shared" si="33"/>
        <v>0</v>
      </c>
      <c r="BK43" s="278" t="e">
        <f t="shared" si="27"/>
        <v>#DIV/0!</v>
      </c>
      <c r="BL43" s="49" t="e">
        <f t="shared" si="28"/>
        <v>#N/A</v>
      </c>
    </row>
    <row r="44" spans="2:87" s="163" customFormat="1" ht="15" x14ac:dyDescent="0.25">
      <c r="B44" s="80"/>
      <c r="C44" s="201" t="e">
        <f>IF($D$8&lt;5,"",5)</f>
        <v>#N/A</v>
      </c>
      <c r="D44" s="255" t="e">
        <f t="shared" si="29"/>
        <v>#N/A</v>
      </c>
      <c r="E44" s="17" t="e">
        <f t="shared" si="30"/>
        <v>#N/A</v>
      </c>
      <c r="F44" s="249" t="e">
        <f t="shared" si="1"/>
        <v>#N/A</v>
      </c>
      <c r="G44" s="256" t="e">
        <f t="shared" si="2"/>
        <v>#N/A</v>
      </c>
      <c r="H44" s="257" t="e">
        <f t="shared" si="3"/>
        <v>#N/A</v>
      </c>
      <c r="I44" s="251" t="e">
        <f t="shared" si="31"/>
        <v>#N/A</v>
      </c>
      <c r="J44" s="251" t="e">
        <f t="shared" si="4"/>
        <v>#N/A</v>
      </c>
      <c r="K44" s="251" t="e">
        <f t="shared" si="5"/>
        <v>#N/A</v>
      </c>
      <c r="L44" s="251" t="e">
        <f t="shared" si="32"/>
        <v>#N/A</v>
      </c>
      <c r="M44" s="252" t="e">
        <f t="shared" si="6"/>
        <v>#N/A</v>
      </c>
      <c r="N44" s="250" t="str">
        <f t="shared" si="7"/>
        <v/>
      </c>
      <c r="O44" s="253" t="str">
        <f t="shared" si="8"/>
        <v/>
      </c>
      <c r="P44" s="253" t="str">
        <f t="shared" si="9"/>
        <v/>
      </c>
      <c r="Q44" s="253" t="str">
        <f t="shared" si="10"/>
        <v/>
      </c>
      <c r="R44" s="254" t="str">
        <f t="shared" si="11"/>
        <v/>
      </c>
      <c r="S44" s="170"/>
      <c r="T44" s="171"/>
      <c r="U44" s="171"/>
      <c r="V44" s="171"/>
      <c r="W44" s="184"/>
      <c r="X44" s="185"/>
      <c r="Y44" s="185"/>
      <c r="Z44" s="185"/>
      <c r="AA44" s="185"/>
      <c r="AB44" s="174"/>
      <c r="AC44" s="174"/>
      <c r="AD44" s="623"/>
      <c r="AE44" s="623"/>
      <c r="AF44" s="186"/>
      <c r="AG44" s="187"/>
      <c r="AH44" s="188"/>
      <c r="AI44" s="174"/>
      <c r="AJ44" s="174"/>
      <c r="AK44" s="174"/>
      <c r="AL44" s="174"/>
      <c r="AM44" s="185"/>
      <c r="AN44" s="185"/>
      <c r="AO44" s="185"/>
      <c r="AP44" s="185"/>
      <c r="AQ44" s="185"/>
      <c r="AR44" s="189"/>
      <c r="AS44" s="623"/>
      <c r="AT44" s="626"/>
      <c r="AU44" s="277" t="e">
        <f t="shared" si="12"/>
        <v>#N/A</v>
      </c>
      <c r="AV44" s="278" t="e">
        <f t="shared" si="13"/>
        <v>#N/A</v>
      </c>
      <c r="AW44" s="278" t="str">
        <f t="shared" si="14"/>
        <v/>
      </c>
      <c r="AX44" s="278" t="str">
        <f t="shared" si="15"/>
        <v/>
      </c>
      <c r="AY44" s="278" t="e">
        <f t="shared" si="16"/>
        <v>#N/A</v>
      </c>
      <c r="AZ44" s="278" t="e">
        <f t="shared" si="17"/>
        <v>#N/A</v>
      </c>
      <c r="BA44" s="281" t="e">
        <f t="shared" si="18"/>
        <v>#N/A</v>
      </c>
      <c r="BB44" s="297" t="str">
        <f t="shared" si="19"/>
        <v/>
      </c>
      <c r="BC44" s="298" t="str">
        <f t="shared" si="20"/>
        <v/>
      </c>
      <c r="BD44" s="298" t="str">
        <f t="shared" si="21"/>
        <v/>
      </c>
      <c r="BE44" s="295" t="str">
        <f t="shared" si="22"/>
        <v/>
      </c>
      <c r="BF44" s="299" t="str">
        <f t="shared" si="23"/>
        <v/>
      </c>
      <c r="BG44" s="300" t="str">
        <f t="shared" si="24"/>
        <v/>
      </c>
      <c r="BH44" s="300" t="str">
        <f t="shared" si="25"/>
        <v/>
      </c>
      <c r="BI44" s="295" t="str">
        <f t="shared" si="26"/>
        <v/>
      </c>
      <c r="BJ44" s="299">
        <f t="shared" si="33"/>
        <v>0</v>
      </c>
      <c r="BK44" s="278" t="e">
        <f t="shared" si="27"/>
        <v>#DIV/0!</v>
      </c>
      <c r="BL44" s="49" t="e">
        <f t="shared" si="28"/>
        <v>#N/A</v>
      </c>
      <c r="BM44" s="148"/>
      <c r="BN44" s="148"/>
      <c r="BO44" s="148"/>
      <c r="BP44" s="80"/>
      <c r="BQ44" s="80"/>
      <c r="BR44" s="80"/>
      <c r="BS44" s="80"/>
      <c r="BT44" s="80"/>
      <c r="BU44" s="80"/>
      <c r="BV44" s="80"/>
      <c r="BW44" s="80"/>
      <c r="BX44" s="80"/>
      <c r="BY44" s="80"/>
      <c r="BZ44" s="80"/>
      <c r="CA44" s="80"/>
      <c r="CB44" s="80"/>
      <c r="CC44" s="80"/>
      <c r="CD44" s="80"/>
      <c r="CE44" s="80"/>
      <c r="CF44" s="80"/>
      <c r="CG44" s="80"/>
      <c r="CH44" s="80"/>
      <c r="CI44" s="80"/>
    </row>
    <row r="45" spans="2:87" ht="15" x14ac:dyDescent="0.25">
      <c r="B45" s="49"/>
      <c r="C45" s="201" t="e">
        <f>IF($D$8&lt;6,"",6)</f>
        <v>#N/A</v>
      </c>
      <c r="D45" s="17" t="e">
        <f t="shared" si="29"/>
        <v>#N/A</v>
      </c>
      <c r="E45" s="17" t="e">
        <f t="shared" si="30"/>
        <v>#N/A</v>
      </c>
      <c r="F45" s="249" t="e">
        <f t="shared" si="1"/>
        <v>#N/A</v>
      </c>
      <c r="G45" s="250" t="e">
        <f t="shared" si="2"/>
        <v>#N/A</v>
      </c>
      <c r="H45" s="251" t="e">
        <f t="shared" si="3"/>
        <v>#N/A</v>
      </c>
      <c r="I45" s="251" t="e">
        <f t="shared" si="31"/>
        <v>#N/A</v>
      </c>
      <c r="J45" s="251" t="e">
        <f t="shared" si="4"/>
        <v>#N/A</v>
      </c>
      <c r="K45" s="251" t="e">
        <f t="shared" si="5"/>
        <v>#N/A</v>
      </c>
      <c r="L45" s="251" t="e">
        <f t="shared" si="32"/>
        <v>#N/A</v>
      </c>
      <c r="M45" s="252" t="e">
        <f t="shared" si="6"/>
        <v>#N/A</v>
      </c>
      <c r="N45" s="250" t="str">
        <f t="shared" si="7"/>
        <v/>
      </c>
      <c r="O45" s="253" t="str">
        <f t="shared" si="8"/>
        <v/>
      </c>
      <c r="P45" s="253" t="str">
        <f t="shared" si="9"/>
        <v/>
      </c>
      <c r="Q45" s="253" t="str">
        <f t="shared" si="10"/>
        <v/>
      </c>
      <c r="R45" s="254" t="str">
        <f t="shared" si="11"/>
        <v/>
      </c>
      <c r="S45" s="170"/>
      <c r="T45" s="171"/>
      <c r="U45" s="171"/>
      <c r="V45" s="171"/>
      <c r="W45" s="179"/>
      <c r="X45" s="174"/>
      <c r="Y45" s="174"/>
      <c r="Z45" s="174"/>
      <c r="AA45" s="174"/>
      <c r="AB45" s="174"/>
      <c r="AC45" s="174"/>
      <c r="AD45" s="623"/>
      <c r="AE45" s="623"/>
      <c r="AF45" s="180"/>
      <c r="AG45" s="181"/>
      <c r="AH45" s="182"/>
      <c r="AI45" s="174"/>
      <c r="AJ45" s="174"/>
      <c r="AK45" s="174"/>
      <c r="AL45" s="174"/>
      <c r="AM45" s="174"/>
      <c r="AN45" s="174"/>
      <c r="AO45" s="174"/>
      <c r="AP45" s="174"/>
      <c r="AQ45" s="174"/>
      <c r="AR45" s="183"/>
      <c r="AS45" s="623"/>
      <c r="AT45" s="626"/>
      <c r="AU45" s="277" t="e">
        <f t="shared" si="12"/>
        <v>#N/A</v>
      </c>
      <c r="AV45" s="278" t="e">
        <f t="shared" si="13"/>
        <v>#N/A</v>
      </c>
      <c r="AW45" s="278" t="str">
        <f t="shared" si="14"/>
        <v/>
      </c>
      <c r="AX45" s="278" t="str">
        <f t="shared" si="15"/>
        <v/>
      </c>
      <c r="AY45" s="278" t="e">
        <f t="shared" si="16"/>
        <v>#N/A</v>
      </c>
      <c r="AZ45" s="278" t="e">
        <f t="shared" si="17"/>
        <v>#N/A</v>
      </c>
      <c r="BA45" s="280" t="e">
        <f t="shared" si="18"/>
        <v>#N/A</v>
      </c>
      <c r="BB45" s="297" t="str">
        <f t="shared" si="19"/>
        <v/>
      </c>
      <c r="BC45" s="298" t="str">
        <f t="shared" si="20"/>
        <v/>
      </c>
      <c r="BD45" s="298" t="str">
        <f t="shared" si="21"/>
        <v/>
      </c>
      <c r="BE45" s="295" t="str">
        <f t="shared" si="22"/>
        <v/>
      </c>
      <c r="BF45" s="299" t="str">
        <f t="shared" si="23"/>
        <v/>
      </c>
      <c r="BG45" s="300" t="str">
        <f t="shared" si="24"/>
        <v/>
      </c>
      <c r="BH45" s="300" t="str">
        <f t="shared" si="25"/>
        <v/>
      </c>
      <c r="BI45" s="295" t="str">
        <f t="shared" si="26"/>
        <v/>
      </c>
      <c r="BJ45" s="299">
        <f t="shared" si="33"/>
        <v>0</v>
      </c>
      <c r="BK45" s="278" t="e">
        <f t="shared" si="27"/>
        <v>#DIV/0!</v>
      </c>
      <c r="BL45" s="49" t="e">
        <f t="shared" si="28"/>
        <v>#N/A</v>
      </c>
      <c r="CD45" s="25"/>
    </row>
    <row r="46" spans="2:87" ht="15" x14ac:dyDescent="0.25">
      <c r="B46" s="49"/>
      <c r="C46" s="201" t="e">
        <f>IF($D$8&lt;7,"",7)</f>
        <v>#N/A</v>
      </c>
      <c r="D46" s="17" t="e">
        <f t="shared" si="29"/>
        <v>#N/A</v>
      </c>
      <c r="E46" s="17" t="e">
        <f t="shared" si="30"/>
        <v>#N/A</v>
      </c>
      <c r="F46" s="249" t="e">
        <f t="shared" si="1"/>
        <v>#N/A</v>
      </c>
      <c r="G46" s="250" t="e">
        <f t="shared" si="2"/>
        <v>#N/A</v>
      </c>
      <c r="H46" s="251" t="e">
        <f t="shared" si="3"/>
        <v>#N/A</v>
      </c>
      <c r="I46" s="251" t="e">
        <f t="shared" si="31"/>
        <v>#N/A</v>
      </c>
      <c r="J46" s="251" t="e">
        <f t="shared" si="4"/>
        <v>#N/A</v>
      </c>
      <c r="K46" s="251" t="e">
        <f t="shared" si="5"/>
        <v>#N/A</v>
      </c>
      <c r="L46" s="251" t="e">
        <f t="shared" si="32"/>
        <v>#N/A</v>
      </c>
      <c r="M46" s="252" t="e">
        <f t="shared" si="6"/>
        <v>#N/A</v>
      </c>
      <c r="N46" s="250" t="str">
        <f t="shared" si="7"/>
        <v/>
      </c>
      <c r="O46" s="253" t="str">
        <f t="shared" si="8"/>
        <v/>
      </c>
      <c r="P46" s="253" t="str">
        <f t="shared" si="9"/>
        <v/>
      </c>
      <c r="Q46" s="253" t="str">
        <f t="shared" si="10"/>
        <v/>
      </c>
      <c r="R46" s="254" t="str">
        <f t="shared" si="11"/>
        <v/>
      </c>
      <c r="S46" s="170"/>
      <c r="T46" s="171"/>
      <c r="U46" s="171"/>
      <c r="V46" s="171"/>
      <c r="W46" s="179"/>
      <c r="X46" s="174"/>
      <c r="Y46" s="174"/>
      <c r="Z46" s="174"/>
      <c r="AA46" s="174"/>
      <c r="AB46" s="174"/>
      <c r="AC46" s="174"/>
      <c r="AD46" s="623"/>
      <c r="AE46" s="623"/>
      <c r="AF46" s="180"/>
      <c r="AG46" s="181"/>
      <c r="AH46" s="182"/>
      <c r="AI46" s="174"/>
      <c r="AJ46" s="174"/>
      <c r="AK46" s="174"/>
      <c r="AL46" s="174"/>
      <c r="AM46" s="174"/>
      <c r="AN46" s="174"/>
      <c r="AO46" s="174"/>
      <c r="AP46" s="174"/>
      <c r="AQ46" s="174"/>
      <c r="AR46" s="183"/>
      <c r="AS46" s="623"/>
      <c r="AT46" s="626"/>
      <c r="AU46" s="277" t="e">
        <f t="shared" si="12"/>
        <v>#N/A</v>
      </c>
      <c r="AV46" s="278" t="e">
        <f t="shared" si="13"/>
        <v>#N/A</v>
      </c>
      <c r="AW46" s="278" t="str">
        <f t="shared" si="14"/>
        <v/>
      </c>
      <c r="AX46" s="278" t="str">
        <f t="shared" si="15"/>
        <v/>
      </c>
      <c r="AY46" s="278" t="e">
        <f t="shared" si="16"/>
        <v>#N/A</v>
      </c>
      <c r="AZ46" s="278" t="e">
        <f t="shared" si="17"/>
        <v>#N/A</v>
      </c>
      <c r="BA46" s="280" t="e">
        <f t="shared" si="18"/>
        <v>#N/A</v>
      </c>
      <c r="BB46" s="297" t="str">
        <f t="shared" si="19"/>
        <v/>
      </c>
      <c r="BC46" s="298" t="str">
        <f t="shared" si="20"/>
        <v/>
      </c>
      <c r="BD46" s="298" t="str">
        <f t="shared" si="21"/>
        <v/>
      </c>
      <c r="BE46" s="295" t="str">
        <f t="shared" si="22"/>
        <v/>
      </c>
      <c r="BF46" s="299" t="str">
        <f t="shared" si="23"/>
        <v/>
      </c>
      <c r="BG46" s="300" t="str">
        <f t="shared" si="24"/>
        <v/>
      </c>
      <c r="BH46" s="300" t="str">
        <f t="shared" si="25"/>
        <v/>
      </c>
      <c r="BI46" s="295" t="str">
        <f t="shared" si="26"/>
        <v/>
      </c>
      <c r="BJ46" s="299">
        <f t="shared" si="33"/>
        <v>0</v>
      </c>
      <c r="BK46" s="278" t="e">
        <f t="shared" si="27"/>
        <v>#DIV/0!</v>
      </c>
      <c r="BL46" s="49" t="e">
        <f t="shared" si="28"/>
        <v>#N/A</v>
      </c>
    </row>
    <row r="47" spans="2:87" ht="15" x14ac:dyDescent="0.25">
      <c r="B47" s="49"/>
      <c r="C47" s="201" t="e">
        <f>IF($D$8&lt;8,"",8)</f>
        <v>#N/A</v>
      </c>
      <c r="D47" s="17" t="e">
        <f t="shared" si="29"/>
        <v>#N/A</v>
      </c>
      <c r="E47" s="17" t="e">
        <f t="shared" si="30"/>
        <v>#N/A</v>
      </c>
      <c r="F47" s="249" t="e">
        <f t="shared" si="1"/>
        <v>#N/A</v>
      </c>
      <c r="G47" s="250" t="e">
        <f t="shared" si="2"/>
        <v>#N/A</v>
      </c>
      <c r="H47" s="251" t="e">
        <f t="shared" si="3"/>
        <v>#N/A</v>
      </c>
      <c r="I47" s="251" t="e">
        <f t="shared" si="31"/>
        <v>#N/A</v>
      </c>
      <c r="J47" s="251" t="e">
        <f t="shared" si="4"/>
        <v>#N/A</v>
      </c>
      <c r="K47" s="251" t="e">
        <f t="shared" si="5"/>
        <v>#N/A</v>
      </c>
      <c r="L47" s="251" t="e">
        <f t="shared" si="32"/>
        <v>#N/A</v>
      </c>
      <c r="M47" s="252" t="e">
        <f t="shared" si="6"/>
        <v>#N/A</v>
      </c>
      <c r="N47" s="250" t="str">
        <f t="shared" si="7"/>
        <v/>
      </c>
      <c r="O47" s="253" t="str">
        <f t="shared" si="8"/>
        <v/>
      </c>
      <c r="P47" s="253" t="str">
        <f t="shared" si="9"/>
        <v/>
      </c>
      <c r="Q47" s="253" t="str">
        <f t="shared" si="10"/>
        <v/>
      </c>
      <c r="R47" s="254" t="str">
        <f t="shared" si="11"/>
        <v/>
      </c>
      <c r="S47" s="170"/>
      <c r="T47" s="171"/>
      <c r="U47" s="171"/>
      <c r="V47" s="171"/>
      <c r="W47" s="179"/>
      <c r="X47" s="174"/>
      <c r="Y47" s="174"/>
      <c r="Z47" s="174"/>
      <c r="AA47" s="174"/>
      <c r="AB47" s="174"/>
      <c r="AC47" s="174"/>
      <c r="AD47" s="623"/>
      <c r="AE47" s="623"/>
      <c r="AF47" s="180"/>
      <c r="AG47" s="181"/>
      <c r="AH47" s="182"/>
      <c r="AI47" s="174"/>
      <c r="AJ47" s="174"/>
      <c r="AK47" s="174"/>
      <c r="AL47" s="174"/>
      <c r="AM47" s="174"/>
      <c r="AN47" s="174"/>
      <c r="AO47" s="174"/>
      <c r="AP47" s="174"/>
      <c r="AQ47" s="174"/>
      <c r="AR47" s="183"/>
      <c r="AS47" s="623"/>
      <c r="AT47" s="626"/>
      <c r="AU47" s="277" t="e">
        <f t="shared" si="12"/>
        <v>#N/A</v>
      </c>
      <c r="AV47" s="278" t="e">
        <f t="shared" si="13"/>
        <v>#N/A</v>
      </c>
      <c r="AW47" s="278" t="str">
        <f t="shared" si="14"/>
        <v/>
      </c>
      <c r="AX47" s="278" t="str">
        <f t="shared" si="15"/>
        <v/>
      </c>
      <c r="AY47" s="278" t="e">
        <f t="shared" si="16"/>
        <v>#N/A</v>
      </c>
      <c r="AZ47" s="278" t="e">
        <f t="shared" si="17"/>
        <v>#N/A</v>
      </c>
      <c r="BA47" s="280" t="e">
        <f t="shared" si="18"/>
        <v>#N/A</v>
      </c>
      <c r="BB47" s="297" t="str">
        <f t="shared" si="19"/>
        <v/>
      </c>
      <c r="BC47" s="298" t="str">
        <f t="shared" si="20"/>
        <v/>
      </c>
      <c r="BD47" s="298" t="str">
        <f t="shared" si="21"/>
        <v/>
      </c>
      <c r="BE47" s="295" t="str">
        <f t="shared" si="22"/>
        <v/>
      </c>
      <c r="BF47" s="299" t="str">
        <f t="shared" si="23"/>
        <v/>
      </c>
      <c r="BG47" s="300" t="str">
        <f t="shared" si="24"/>
        <v/>
      </c>
      <c r="BH47" s="300" t="str">
        <f t="shared" si="25"/>
        <v/>
      </c>
      <c r="BI47" s="295" t="str">
        <f t="shared" si="26"/>
        <v/>
      </c>
      <c r="BJ47" s="299">
        <f t="shared" si="33"/>
        <v>0</v>
      </c>
      <c r="BK47" s="278" t="e">
        <f t="shared" si="27"/>
        <v>#DIV/0!</v>
      </c>
      <c r="BL47" s="49" t="e">
        <f t="shared" si="28"/>
        <v>#N/A</v>
      </c>
    </row>
    <row r="48" spans="2:87" ht="15" x14ac:dyDescent="0.25">
      <c r="B48" s="49"/>
      <c r="C48" s="201" t="e">
        <f>IF($D$8&lt;9,"",9)</f>
        <v>#N/A</v>
      </c>
      <c r="D48" s="17" t="e">
        <f t="shared" ref="D48:D57" si="34">IF($C48="","",D47+$D$19)</f>
        <v>#N/A</v>
      </c>
      <c r="E48" s="17" t="e">
        <f t="shared" si="30"/>
        <v>#N/A</v>
      </c>
      <c r="F48" s="249" t="e">
        <f t="shared" si="1"/>
        <v>#N/A</v>
      </c>
      <c r="G48" s="250" t="e">
        <f t="shared" ref="G48:G57" si="35">IF($C48="","",$D$21*SIN(RADIANS(D48)))</f>
        <v>#N/A</v>
      </c>
      <c r="H48" s="251" t="e">
        <f t="shared" ref="H48:H57" si="36">IF($C48="","",F48*G48)</f>
        <v>#N/A</v>
      </c>
      <c r="I48" s="251" t="e">
        <f t="shared" si="31"/>
        <v>#N/A</v>
      </c>
      <c r="J48" s="251" t="e">
        <f t="shared" si="4"/>
        <v>#N/A</v>
      </c>
      <c r="K48" s="251" t="e">
        <f t="shared" si="5"/>
        <v>#N/A</v>
      </c>
      <c r="L48" s="251" t="e">
        <f t="shared" si="32"/>
        <v>#N/A</v>
      </c>
      <c r="M48" s="252" t="e">
        <f t="shared" ref="M48:M57" si="37">IF($C48="","",L48+F48*I48^2)</f>
        <v>#N/A</v>
      </c>
      <c r="N48" s="250" t="str">
        <f t="shared" si="7"/>
        <v/>
      </c>
      <c r="O48" s="253" t="str">
        <f t="shared" si="8"/>
        <v/>
      </c>
      <c r="P48" s="253" t="str">
        <f t="shared" si="9"/>
        <v/>
      </c>
      <c r="Q48" s="253" t="str">
        <f t="shared" si="10"/>
        <v/>
      </c>
      <c r="R48" s="254" t="str">
        <f t="shared" si="11"/>
        <v/>
      </c>
      <c r="S48" s="170"/>
      <c r="T48" s="171"/>
      <c r="U48" s="171"/>
      <c r="V48" s="171"/>
      <c r="W48" s="179"/>
      <c r="X48" s="174"/>
      <c r="Y48" s="174"/>
      <c r="Z48" s="174"/>
      <c r="AA48" s="174"/>
      <c r="AB48" s="174"/>
      <c r="AC48" s="174"/>
      <c r="AD48" s="623"/>
      <c r="AE48" s="623"/>
      <c r="AF48" s="180"/>
      <c r="AG48" s="181"/>
      <c r="AH48" s="182"/>
      <c r="AI48" s="174"/>
      <c r="AJ48" s="174"/>
      <c r="AK48" s="174"/>
      <c r="AL48" s="174"/>
      <c r="AM48" s="174"/>
      <c r="AN48" s="174"/>
      <c r="AO48" s="174"/>
      <c r="AP48" s="174"/>
      <c r="AQ48" s="174"/>
      <c r="AR48" s="183"/>
      <c r="AS48" s="623"/>
      <c r="AT48" s="626"/>
      <c r="AU48" s="277" t="e">
        <f t="shared" si="12"/>
        <v>#N/A</v>
      </c>
      <c r="AV48" s="278" t="e">
        <f t="shared" si="13"/>
        <v>#N/A</v>
      </c>
      <c r="AW48" s="278" t="str">
        <f t="shared" si="14"/>
        <v/>
      </c>
      <c r="AX48" s="278" t="str">
        <f t="shared" si="15"/>
        <v/>
      </c>
      <c r="AY48" s="278" t="e">
        <f t="shared" si="16"/>
        <v>#N/A</v>
      </c>
      <c r="AZ48" s="278" t="e">
        <f t="shared" si="17"/>
        <v>#N/A</v>
      </c>
      <c r="BA48" s="280" t="e">
        <f t="shared" ref="BA48:BA57" si="38">IF($C48="","",AY48*AZ48)</f>
        <v>#N/A</v>
      </c>
      <c r="BB48" s="297" t="str">
        <f t="shared" si="19"/>
        <v/>
      </c>
      <c r="BC48" s="298" t="str">
        <f t="shared" si="20"/>
        <v/>
      </c>
      <c r="BD48" s="298" t="str">
        <f t="shared" si="21"/>
        <v/>
      </c>
      <c r="BE48" s="295" t="str">
        <f t="shared" si="22"/>
        <v/>
      </c>
      <c r="BF48" s="299" t="str">
        <f t="shared" si="23"/>
        <v/>
      </c>
      <c r="BG48" s="300" t="str">
        <f t="shared" si="24"/>
        <v/>
      </c>
      <c r="BH48" s="300" t="str">
        <f t="shared" si="25"/>
        <v/>
      </c>
      <c r="BI48" s="295" t="str">
        <f t="shared" si="26"/>
        <v/>
      </c>
      <c r="BJ48" s="299">
        <f t="shared" si="33"/>
        <v>0</v>
      </c>
      <c r="BK48" s="278" t="e">
        <f t="shared" si="27"/>
        <v>#DIV/0!</v>
      </c>
      <c r="BL48" s="49" t="e">
        <f t="shared" si="28"/>
        <v>#N/A</v>
      </c>
    </row>
    <row r="49" spans="2:117" ht="15" x14ac:dyDescent="0.25">
      <c r="B49" s="49"/>
      <c r="C49" s="201" t="e">
        <f>IF($D$8&lt;10,"",10)</f>
        <v>#N/A</v>
      </c>
      <c r="D49" s="17" t="e">
        <f t="shared" si="34"/>
        <v>#N/A</v>
      </c>
      <c r="E49" s="17" t="e">
        <f t="shared" si="30"/>
        <v>#N/A</v>
      </c>
      <c r="F49" s="249" t="e">
        <f t="shared" si="1"/>
        <v>#N/A</v>
      </c>
      <c r="G49" s="250" t="e">
        <f t="shared" si="35"/>
        <v>#N/A</v>
      </c>
      <c r="H49" s="251" t="e">
        <f t="shared" si="36"/>
        <v>#N/A</v>
      </c>
      <c r="I49" s="251" t="e">
        <f t="shared" si="31"/>
        <v>#N/A</v>
      </c>
      <c r="J49" s="251" t="e">
        <f t="shared" si="4"/>
        <v>#N/A</v>
      </c>
      <c r="K49" s="251" t="e">
        <f t="shared" si="5"/>
        <v>#N/A</v>
      </c>
      <c r="L49" s="251" t="e">
        <f t="shared" si="32"/>
        <v>#N/A</v>
      </c>
      <c r="M49" s="252" t="e">
        <f t="shared" si="37"/>
        <v>#N/A</v>
      </c>
      <c r="N49" s="250" t="str">
        <f t="shared" si="7"/>
        <v/>
      </c>
      <c r="O49" s="253" t="str">
        <f t="shared" si="8"/>
        <v/>
      </c>
      <c r="P49" s="253" t="str">
        <f t="shared" si="9"/>
        <v/>
      </c>
      <c r="Q49" s="253" t="str">
        <f t="shared" si="10"/>
        <v/>
      </c>
      <c r="R49" s="254" t="str">
        <f t="shared" si="11"/>
        <v/>
      </c>
      <c r="S49" s="170"/>
      <c r="T49" s="171"/>
      <c r="U49" s="171"/>
      <c r="V49" s="171"/>
      <c r="W49" s="179"/>
      <c r="X49" s="174"/>
      <c r="Y49" s="174"/>
      <c r="Z49" s="174"/>
      <c r="AA49" s="174"/>
      <c r="AB49" s="174"/>
      <c r="AC49" s="174"/>
      <c r="AD49" s="623"/>
      <c r="AE49" s="623"/>
      <c r="AF49" s="180"/>
      <c r="AG49" s="181"/>
      <c r="AH49" s="182"/>
      <c r="AI49" s="174"/>
      <c r="AJ49" s="174"/>
      <c r="AK49" s="174"/>
      <c r="AL49" s="174"/>
      <c r="AM49" s="174"/>
      <c r="AN49" s="174"/>
      <c r="AO49" s="174"/>
      <c r="AP49" s="174"/>
      <c r="AQ49" s="174"/>
      <c r="AR49" s="183"/>
      <c r="AS49" s="623"/>
      <c r="AT49" s="626"/>
      <c r="AU49" s="277" t="e">
        <f t="shared" si="12"/>
        <v>#N/A</v>
      </c>
      <c r="AV49" s="278" t="e">
        <f t="shared" si="13"/>
        <v>#N/A</v>
      </c>
      <c r="AW49" s="278" t="str">
        <f t="shared" si="14"/>
        <v/>
      </c>
      <c r="AX49" s="278" t="str">
        <f t="shared" si="15"/>
        <v/>
      </c>
      <c r="AY49" s="278" t="e">
        <f t="shared" si="16"/>
        <v>#N/A</v>
      </c>
      <c r="AZ49" s="278" t="e">
        <f t="shared" si="17"/>
        <v>#N/A</v>
      </c>
      <c r="BA49" s="280" t="e">
        <f t="shared" si="38"/>
        <v>#N/A</v>
      </c>
      <c r="BB49" s="297" t="str">
        <f t="shared" si="19"/>
        <v/>
      </c>
      <c r="BC49" s="298" t="str">
        <f t="shared" si="20"/>
        <v/>
      </c>
      <c r="BD49" s="298" t="str">
        <f t="shared" si="21"/>
        <v/>
      </c>
      <c r="BE49" s="295" t="str">
        <f t="shared" si="22"/>
        <v/>
      </c>
      <c r="BF49" s="299" t="str">
        <f t="shared" si="23"/>
        <v/>
      </c>
      <c r="BG49" s="300" t="str">
        <f t="shared" si="24"/>
        <v/>
      </c>
      <c r="BH49" s="300" t="str">
        <f t="shared" si="25"/>
        <v/>
      </c>
      <c r="BI49" s="295" t="str">
        <f t="shared" si="26"/>
        <v/>
      </c>
      <c r="BJ49" s="299">
        <f t="shared" si="33"/>
        <v>0</v>
      </c>
      <c r="BK49" s="278" t="e">
        <f t="shared" si="27"/>
        <v>#DIV/0!</v>
      </c>
      <c r="BL49" s="49" t="e">
        <f t="shared" si="28"/>
        <v>#N/A</v>
      </c>
    </row>
    <row r="50" spans="2:117" ht="15" x14ac:dyDescent="0.25">
      <c r="B50" s="49"/>
      <c r="C50" s="201" t="e">
        <f>IF($D$8&lt;11,"",11)</f>
        <v>#N/A</v>
      </c>
      <c r="D50" s="17" t="e">
        <f t="shared" si="34"/>
        <v>#N/A</v>
      </c>
      <c r="E50" s="17" t="e">
        <f t="shared" si="30"/>
        <v>#N/A</v>
      </c>
      <c r="F50" s="249" t="e">
        <f t="shared" si="1"/>
        <v>#N/A</v>
      </c>
      <c r="G50" s="250" t="e">
        <f t="shared" si="35"/>
        <v>#N/A</v>
      </c>
      <c r="H50" s="251" t="e">
        <f t="shared" si="36"/>
        <v>#N/A</v>
      </c>
      <c r="I50" s="251" t="e">
        <f t="shared" si="31"/>
        <v>#N/A</v>
      </c>
      <c r="J50" s="251" t="e">
        <f t="shared" si="4"/>
        <v>#N/A</v>
      </c>
      <c r="K50" s="251" t="e">
        <f t="shared" si="5"/>
        <v>#N/A</v>
      </c>
      <c r="L50" s="251" t="e">
        <f t="shared" si="32"/>
        <v>#N/A</v>
      </c>
      <c r="M50" s="252" t="e">
        <f t="shared" si="37"/>
        <v>#N/A</v>
      </c>
      <c r="N50" s="250" t="str">
        <f t="shared" si="7"/>
        <v/>
      </c>
      <c r="O50" s="253" t="str">
        <f t="shared" si="8"/>
        <v/>
      </c>
      <c r="P50" s="253" t="str">
        <f t="shared" si="9"/>
        <v/>
      </c>
      <c r="Q50" s="253" t="str">
        <f t="shared" si="10"/>
        <v/>
      </c>
      <c r="R50" s="254" t="str">
        <f t="shared" si="11"/>
        <v/>
      </c>
      <c r="S50" s="170"/>
      <c r="T50" s="171"/>
      <c r="U50" s="171"/>
      <c r="V50" s="171"/>
      <c r="W50" s="179"/>
      <c r="X50" s="174"/>
      <c r="Y50" s="174"/>
      <c r="Z50" s="174"/>
      <c r="AA50" s="174"/>
      <c r="AB50" s="174"/>
      <c r="AC50" s="174"/>
      <c r="AD50" s="623"/>
      <c r="AE50" s="623"/>
      <c r="AF50" s="180"/>
      <c r="AG50" s="181"/>
      <c r="AH50" s="182"/>
      <c r="AI50" s="174"/>
      <c r="AJ50" s="174"/>
      <c r="AK50" s="174"/>
      <c r="AL50" s="174"/>
      <c r="AM50" s="174"/>
      <c r="AN50" s="174"/>
      <c r="AO50" s="174"/>
      <c r="AP50" s="174"/>
      <c r="AQ50" s="174"/>
      <c r="AR50" s="183"/>
      <c r="AS50" s="623"/>
      <c r="AT50" s="626"/>
      <c r="AU50" s="277" t="e">
        <f t="shared" si="12"/>
        <v>#N/A</v>
      </c>
      <c r="AV50" s="278" t="e">
        <f t="shared" si="13"/>
        <v>#N/A</v>
      </c>
      <c r="AW50" s="278" t="str">
        <f t="shared" si="14"/>
        <v/>
      </c>
      <c r="AX50" s="278" t="str">
        <f t="shared" si="15"/>
        <v/>
      </c>
      <c r="AY50" s="278" t="e">
        <f t="shared" si="16"/>
        <v>#N/A</v>
      </c>
      <c r="AZ50" s="278" t="e">
        <f t="shared" si="17"/>
        <v>#N/A</v>
      </c>
      <c r="BA50" s="280" t="e">
        <f t="shared" si="38"/>
        <v>#N/A</v>
      </c>
      <c r="BB50" s="297" t="str">
        <f t="shared" si="19"/>
        <v/>
      </c>
      <c r="BC50" s="298" t="str">
        <f t="shared" si="20"/>
        <v/>
      </c>
      <c r="BD50" s="298" t="str">
        <f t="shared" si="21"/>
        <v/>
      </c>
      <c r="BE50" s="295" t="str">
        <f t="shared" si="22"/>
        <v/>
      </c>
      <c r="BF50" s="299" t="str">
        <f t="shared" si="23"/>
        <v/>
      </c>
      <c r="BG50" s="300" t="str">
        <f t="shared" si="24"/>
        <v/>
      </c>
      <c r="BH50" s="300" t="str">
        <f t="shared" si="25"/>
        <v/>
      </c>
      <c r="BI50" s="295" t="str">
        <f t="shared" si="26"/>
        <v/>
      </c>
      <c r="BJ50" s="299">
        <f t="shared" si="33"/>
        <v>0</v>
      </c>
      <c r="BK50" s="278" t="e">
        <f t="shared" si="27"/>
        <v>#DIV/0!</v>
      </c>
      <c r="BL50" s="49" t="e">
        <f t="shared" si="28"/>
        <v>#N/A</v>
      </c>
      <c r="BP50" s="219"/>
      <c r="BQ50" s="219"/>
      <c r="BR50" s="219"/>
    </row>
    <row r="51" spans="2:117" ht="15" x14ac:dyDescent="0.25">
      <c r="B51" s="49"/>
      <c r="C51" s="201" t="e">
        <f>IF($D$8&lt;12,"",12)</f>
        <v>#N/A</v>
      </c>
      <c r="D51" s="17" t="e">
        <f t="shared" si="34"/>
        <v>#N/A</v>
      </c>
      <c r="E51" s="17" t="e">
        <f t="shared" si="30"/>
        <v>#N/A</v>
      </c>
      <c r="F51" s="249" t="e">
        <f t="shared" si="1"/>
        <v>#N/A</v>
      </c>
      <c r="G51" s="250" t="e">
        <f t="shared" si="35"/>
        <v>#N/A</v>
      </c>
      <c r="H51" s="251" t="e">
        <f t="shared" si="36"/>
        <v>#N/A</v>
      </c>
      <c r="I51" s="251" t="e">
        <f t="shared" si="31"/>
        <v>#N/A</v>
      </c>
      <c r="J51" s="251" t="e">
        <f t="shared" si="4"/>
        <v>#N/A</v>
      </c>
      <c r="K51" s="251" t="e">
        <f t="shared" si="5"/>
        <v>#N/A</v>
      </c>
      <c r="L51" s="251" t="e">
        <f t="shared" si="32"/>
        <v>#N/A</v>
      </c>
      <c r="M51" s="252" t="e">
        <f t="shared" si="37"/>
        <v>#N/A</v>
      </c>
      <c r="N51" s="250" t="str">
        <f t="shared" si="7"/>
        <v/>
      </c>
      <c r="O51" s="253" t="str">
        <f t="shared" si="8"/>
        <v/>
      </c>
      <c r="P51" s="253" t="str">
        <f t="shared" si="9"/>
        <v/>
      </c>
      <c r="Q51" s="253" t="str">
        <f t="shared" si="10"/>
        <v/>
      </c>
      <c r="R51" s="254" t="str">
        <f t="shared" si="11"/>
        <v/>
      </c>
      <c r="S51" s="170"/>
      <c r="T51" s="171"/>
      <c r="U51" s="171"/>
      <c r="V51" s="171"/>
      <c r="W51" s="179"/>
      <c r="X51" s="174"/>
      <c r="Y51" s="174"/>
      <c r="Z51" s="174"/>
      <c r="AA51" s="174"/>
      <c r="AB51" s="174"/>
      <c r="AC51" s="174"/>
      <c r="AD51" s="623"/>
      <c r="AE51" s="623"/>
      <c r="AF51" s="180"/>
      <c r="AG51" s="181"/>
      <c r="AH51" s="182"/>
      <c r="AI51" s="174"/>
      <c r="AJ51" s="174"/>
      <c r="AK51" s="174"/>
      <c r="AL51" s="174"/>
      <c r="AM51" s="174"/>
      <c r="AN51" s="174"/>
      <c r="AO51" s="174"/>
      <c r="AP51" s="174"/>
      <c r="AQ51" s="174"/>
      <c r="AR51" s="183"/>
      <c r="AS51" s="623"/>
      <c r="AT51" s="626"/>
      <c r="AU51" s="277" t="e">
        <f t="shared" si="12"/>
        <v>#N/A</v>
      </c>
      <c r="AV51" s="278" t="e">
        <f t="shared" si="13"/>
        <v>#N/A</v>
      </c>
      <c r="AW51" s="278" t="str">
        <f t="shared" si="14"/>
        <v/>
      </c>
      <c r="AX51" s="278" t="str">
        <f t="shared" si="15"/>
        <v/>
      </c>
      <c r="AY51" s="278" t="e">
        <f t="shared" si="16"/>
        <v>#N/A</v>
      </c>
      <c r="AZ51" s="278" t="e">
        <f t="shared" si="17"/>
        <v>#N/A</v>
      </c>
      <c r="BA51" s="280" t="e">
        <f t="shared" si="38"/>
        <v>#N/A</v>
      </c>
      <c r="BB51" s="297" t="str">
        <f t="shared" si="19"/>
        <v/>
      </c>
      <c r="BC51" s="298" t="str">
        <f t="shared" si="20"/>
        <v/>
      </c>
      <c r="BD51" s="298" t="str">
        <f t="shared" si="21"/>
        <v/>
      </c>
      <c r="BE51" s="295" t="str">
        <f t="shared" si="22"/>
        <v/>
      </c>
      <c r="BF51" s="299" t="str">
        <f t="shared" si="23"/>
        <v/>
      </c>
      <c r="BG51" s="300" t="str">
        <f t="shared" si="24"/>
        <v/>
      </c>
      <c r="BH51" s="300" t="str">
        <f t="shared" si="25"/>
        <v/>
      </c>
      <c r="BI51" s="295" t="str">
        <f t="shared" si="26"/>
        <v/>
      </c>
      <c r="BJ51" s="299">
        <f t="shared" si="33"/>
        <v>0</v>
      </c>
      <c r="BK51" s="278" t="e">
        <f t="shared" si="27"/>
        <v>#DIV/0!</v>
      </c>
      <c r="BL51" s="49" t="e">
        <f t="shared" si="28"/>
        <v>#N/A</v>
      </c>
    </row>
    <row r="52" spans="2:117" ht="15" x14ac:dyDescent="0.25">
      <c r="B52" s="49"/>
      <c r="C52" s="201" t="e">
        <f>IF($D$8&lt;13,"",13)</f>
        <v>#N/A</v>
      </c>
      <c r="D52" s="17" t="e">
        <f t="shared" si="34"/>
        <v>#N/A</v>
      </c>
      <c r="E52" s="17" t="e">
        <f t="shared" si="30"/>
        <v>#N/A</v>
      </c>
      <c r="F52" s="249" t="e">
        <f t="shared" si="1"/>
        <v>#N/A</v>
      </c>
      <c r="G52" s="250" t="e">
        <f t="shared" si="35"/>
        <v>#N/A</v>
      </c>
      <c r="H52" s="251" t="e">
        <f t="shared" si="36"/>
        <v>#N/A</v>
      </c>
      <c r="I52" s="251" t="e">
        <f t="shared" si="31"/>
        <v>#N/A</v>
      </c>
      <c r="J52" s="251" t="e">
        <f t="shared" si="4"/>
        <v>#N/A</v>
      </c>
      <c r="K52" s="251" t="e">
        <f t="shared" si="5"/>
        <v>#N/A</v>
      </c>
      <c r="L52" s="251" t="e">
        <f t="shared" si="32"/>
        <v>#N/A</v>
      </c>
      <c r="M52" s="252" t="e">
        <f t="shared" si="37"/>
        <v>#N/A</v>
      </c>
      <c r="N52" s="250" t="str">
        <f t="shared" si="7"/>
        <v/>
      </c>
      <c r="O52" s="253" t="str">
        <f t="shared" si="8"/>
        <v/>
      </c>
      <c r="P52" s="253" t="str">
        <f t="shared" si="9"/>
        <v/>
      </c>
      <c r="Q52" s="253" t="str">
        <f t="shared" si="10"/>
        <v/>
      </c>
      <c r="R52" s="254" t="str">
        <f t="shared" si="11"/>
        <v/>
      </c>
      <c r="S52" s="170"/>
      <c r="T52" s="171"/>
      <c r="U52" s="171"/>
      <c r="V52" s="171"/>
      <c r="W52" s="179"/>
      <c r="X52" s="174"/>
      <c r="Y52" s="174"/>
      <c r="Z52" s="174"/>
      <c r="AA52" s="174"/>
      <c r="AB52" s="174"/>
      <c r="AC52" s="174"/>
      <c r="AD52" s="623"/>
      <c r="AE52" s="623"/>
      <c r="AF52" s="180"/>
      <c r="AG52" s="181"/>
      <c r="AH52" s="182"/>
      <c r="AI52" s="174"/>
      <c r="AJ52" s="174"/>
      <c r="AK52" s="174"/>
      <c r="AL52" s="174"/>
      <c r="AM52" s="174"/>
      <c r="AN52" s="174"/>
      <c r="AO52" s="174"/>
      <c r="AP52" s="174"/>
      <c r="AQ52" s="174"/>
      <c r="AR52" s="183"/>
      <c r="AS52" s="623"/>
      <c r="AT52" s="626"/>
      <c r="AU52" s="277" t="e">
        <f t="shared" si="12"/>
        <v>#N/A</v>
      </c>
      <c r="AV52" s="278" t="e">
        <f t="shared" si="13"/>
        <v>#N/A</v>
      </c>
      <c r="AW52" s="278" t="str">
        <f t="shared" si="14"/>
        <v/>
      </c>
      <c r="AX52" s="278" t="str">
        <f t="shared" si="15"/>
        <v/>
      </c>
      <c r="AY52" s="278" t="e">
        <f t="shared" si="16"/>
        <v>#N/A</v>
      </c>
      <c r="AZ52" s="278" t="e">
        <f t="shared" si="17"/>
        <v>#N/A</v>
      </c>
      <c r="BA52" s="280" t="e">
        <f t="shared" si="38"/>
        <v>#N/A</v>
      </c>
      <c r="BB52" s="297" t="str">
        <f t="shared" si="19"/>
        <v/>
      </c>
      <c r="BC52" s="298" t="str">
        <f t="shared" si="20"/>
        <v/>
      </c>
      <c r="BD52" s="298" t="str">
        <f t="shared" si="21"/>
        <v/>
      </c>
      <c r="BE52" s="295" t="str">
        <f t="shared" si="22"/>
        <v/>
      </c>
      <c r="BF52" s="299" t="str">
        <f t="shared" si="23"/>
        <v/>
      </c>
      <c r="BG52" s="300" t="str">
        <f t="shared" si="24"/>
        <v/>
      </c>
      <c r="BH52" s="300" t="str">
        <f t="shared" si="25"/>
        <v/>
      </c>
      <c r="BI52" s="295" t="str">
        <f t="shared" si="26"/>
        <v/>
      </c>
      <c r="BJ52" s="299">
        <f t="shared" si="33"/>
        <v>0</v>
      </c>
      <c r="BK52" s="278" t="e">
        <f t="shared" si="27"/>
        <v>#DIV/0!</v>
      </c>
      <c r="BL52" s="49" t="e">
        <f t="shared" si="28"/>
        <v>#N/A</v>
      </c>
    </row>
    <row r="53" spans="2:117" ht="15" x14ac:dyDescent="0.25">
      <c r="B53" s="49"/>
      <c r="C53" s="201" t="e">
        <f>IF($D$8&lt;14,"",14)</f>
        <v>#N/A</v>
      </c>
      <c r="D53" s="17" t="e">
        <f t="shared" si="34"/>
        <v>#N/A</v>
      </c>
      <c r="E53" s="17" t="e">
        <f t="shared" si="30"/>
        <v>#N/A</v>
      </c>
      <c r="F53" s="249" t="e">
        <f t="shared" si="1"/>
        <v>#N/A</v>
      </c>
      <c r="G53" s="250" t="e">
        <f t="shared" si="35"/>
        <v>#N/A</v>
      </c>
      <c r="H53" s="251" t="e">
        <f t="shared" si="36"/>
        <v>#N/A</v>
      </c>
      <c r="I53" s="251" t="e">
        <f t="shared" si="31"/>
        <v>#N/A</v>
      </c>
      <c r="J53" s="251" t="e">
        <f t="shared" si="4"/>
        <v>#N/A</v>
      </c>
      <c r="K53" s="251" t="e">
        <f t="shared" si="5"/>
        <v>#N/A</v>
      </c>
      <c r="L53" s="251" t="e">
        <f t="shared" si="32"/>
        <v>#N/A</v>
      </c>
      <c r="M53" s="252" t="e">
        <f t="shared" si="37"/>
        <v>#N/A</v>
      </c>
      <c r="N53" s="250" t="str">
        <f t="shared" si="7"/>
        <v/>
      </c>
      <c r="O53" s="253" t="str">
        <f t="shared" si="8"/>
        <v/>
      </c>
      <c r="P53" s="253" t="str">
        <f t="shared" si="9"/>
        <v/>
      </c>
      <c r="Q53" s="253" t="str">
        <f t="shared" si="10"/>
        <v/>
      </c>
      <c r="R53" s="254" t="str">
        <f t="shared" si="11"/>
        <v/>
      </c>
      <c r="S53" s="170"/>
      <c r="T53" s="171"/>
      <c r="U53" s="171"/>
      <c r="V53" s="171"/>
      <c r="W53" s="179"/>
      <c r="X53" s="174"/>
      <c r="Y53" s="174"/>
      <c r="Z53" s="174"/>
      <c r="AA53" s="174"/>
      <c r="AB53" s="174"/>
      <c r="AC53" s="174"/>
      <c r="AD53" s="623"/>
      <c r="AE53" s="623"/>
      <c r="AF53" s="180"/>
      <c r="AG53" s="181"/>
      <c r="AH53" s="182"/>
      <c r="AI53" s="174"/>
      <c r="AJ53" s="174"/>
      <c r="AK53" s="174"/>
      <c r="AL53" s="174"/>
      <c r="AM53" s="174"/>
      <c r="AN53" s="174"/>
      <c r="AO53" s="174"/>
      <c r="AP53" s="174"/>
      <c r="AQ53" s="174"/>
      <c r="AR53" s="183"/>
      <c r="AS53" s="623"/>
      <c r="AT53" s="626"/>
      <c r="AU53" s="277" t="e">
        <f t="shared" si="12"/>
        <v>#N/A</v>
      </c>
      <c r="AV53" s="278" t="e">
        <f t="shared" si="13"/>
        <v>#N/A</v>
      </c>
      <c r="AW53" s="278" t="str">
        <f t="shared" si="14"/>
        <v/>
      </c>
      <c r="AX53" s="278" t="str">
        <f t="shared" si="15"/>
        <v/>
      </c>
      <c r="AY53" s="278" t="e">
        <f t="shared" si="16"/>
        <v>#N/A</v>
      </c>
      <c r="AZ53" s="278" t="e">
        <f t="shared" si="17"/>
        <v>#N/A</v>
      </c>
      <c r="BA53" s="280" t="e">
        <f t="shared" si="38"/>
        <v>#N/A</v>
      </c>
      <c r="BB53" s="297" t="str">
        <f t="shared" si="19"/>
        <v/>
      </c>
      <c r="BC53" s="298" t="str">
        <f t="shared" si="20"/>
        <v/>
      </c>
      <c r="BD53" s="298" t="str">
        <f t="shared" si="21"/>
        <v/>
      </c>
      <c r="BE53" s="295" t="str">
        <f t="shared" si="22"/>
        <v/>
      </c>
      <c r="BF53" s="299" t="str">
        <f t="shared" si="23"/>
        <v/>
      </c>
      <c r="BG53" s="300" t="str">
        <f t="shared" si="24"/>
        <v/>
      </c>
      <c r="BH53" s="300" t="str">
        <f t="shared" si="25"/>
        <v/>
      </c>
      <c r="BI53" s="295" t="str">
        <f t="shared" si="26"/>
        <v/>
      </c>
      <c r="BJ53" s="299">
        <f t="shared" si="33"/>
        <v>0</v>
      </c>
      <c r="BK53" s="278" t="e">
        <f t="shared" si="27"/>
        <v>#DIV/0!</v>
      </c>
      <c r="BL53" s="49" t="e">
        <f t="shared" si="28"/>
        <v>#N/A</v>
      </c>
    </row>
    <row r="54" spans="2:117" ht="15" x14ac:dyDescent="0.25">
      <c r="B54" s="49"/>
      <c r="C54" s="201" t="e">
        <f>IF($D$8&lt;15,"",15)</f>
        <v>#N/A</v>
      </c>
      <c r="D54" s="17" t="e">
        <f t="shared" si="34"/>
        <v>#N/A</v>
      </c>
      <c r="E54" s="17" t="e">
        <f t="shared" si="30"/>
        <v>#N/A</v>
      </c>
      <c r="F54" s="249" t="e">
        <f t="shared" si="1"/>
        <v>#N/A</v>
      </c>
      <c r="G54" s="250" t="e">
        <f t="shared" si="35"/>
        <v>#N/A</v>
      </c>
      <c r="H54" s="251" t="e">
        <f t="shared" si="36"/>
        <v>#N/A</v>
      </c>
      <c r="I54" s="251" t="e">
        <f t="shared" si="31"/>
        <v>#N/A</v>
      </c>
      <c r="J54" s="251" t="e">
        <f t="shared" si="4"/>
        <v>#N/A</v>
      </c>
      <c r="K54" s="251" t="e">
        <f t="shared" si="5"/>
        <v>#N/A</v>
      </c>
      <c r="L54" s="251" t="e">
        <f t="shared" si="32"/>
        <v>#N/A</v>
      </c>
      <c r="M54" s="252" t="e">
        <f t="shared" si="37"/>
        <v>#N/A</v>
      </c>
      <c r="N54" s="250" t="str">
        <f t="shared" si="7"/>
        <v/>
      </c>
      <c r="O54" s="253" t="str">
        <f t="shared" si="8"/>
        <v/>
      </c>
      <c r="P54" s="253" t="str">
        <f t="shared" si="9"/>
        <v/>
      </c>
      <c r="Q54" s="253" t="str">
        <f t="shared" si="10"/>
        <v/>
      </c>
      <c r="R54" s="254" t="str">
        <f t="shared" si="11"/>
        <v/>
      </c>
      <c r="S54" s="170"/>
      <c r="T54" s="171"/>
      <c r="U54" s="171"/>
      <c r="V54" s="171"/>
      <c r="W54" s="179"/>
      <c r="X54" s="174"/>
      <c r="Y54" s="174"/>
      <c r="Z54" s="174"/>
      <c r="AA54" s="174"/>
      <c r="AB54" s="174"/>
      <c r="AC54" s="174"/>
      <c r="AD54" s="623"/>
      <c r="AE54" s="623"/>
      <c r="AF54" s="180"/>
      <c r="AG54" s="181"/>
      <c r="AH54" s="182"/>
      <c r="AI54" s="174"/>
      <c r="AJ54" s="174"/>
      <c r="AK54" s="174"/>
      <c r="AL54" s="174"/>
      <c r="AM54" s="174"/>
      <c r="AN54" s="174"/>
      <c r="AO54" s="174"/>
      <c r="AP54" s="174"/>
      <c r="AQ54" s="174"/>
      <c r="AR54" s="183"/>
      <c r="AS54" s="623"/>
      <c r="AT54" s="626"/>
      <c r="AU54" s="277" t="e">
        <f t="shared" si="12"/>
        <v>#N/A</v>
      </c>
      <c r="AV54" s="278" t="e">
        <f t="shared" si="13"/>
        <v>#N/A</v>
      </c>
      <c r="AW54" s="278" t="str">
        <f t="shared" si="14"/>
        <v/>
      </c>
      <c r="AX54" s="278" t="str">
        <f t="shared" si="15"/>
        <v/>
      </c>
      <c r="AY54" s="278" t="e">
        <f t="shared" si="16"/>
        <v>#N/A</v>
      </c>
      <c r="AZ54" s="278" t="e">
        <f t="shared" si="17"/>
        <v>#N/A</v>
      </c>
      <c r="BA54" s="280" t="e">
        <f t="shared" si="38"/>
        <v>#N/A</v>
      </c>
      <c r="BB54" s="297" t="str">
        <f t="shared" si="19"/>
        <v/>
      </c>
      <c r="BC54" s="298" t="str">
        <f t="shared" si="20"/>
        <v/>
      </c>
      <c r="BD54" s="298" t="str">
        <f t="shared" si="21"/>
        <v/>
      </c>
      <c r="BE54" s="295" t="str">
        <f t="shared" si="22"/>
        <v/>
      </c>
      <c r="BF54" s="299" t="str">
        <f t="shared" si="23"/>
        <v/>
      </c>
      <c r="BG54" s="300" t="str">
        <f t="shared" si="24"/>
        <v/>
      </c>
      <c r="BH54" s="300" t="str">
        <f t="shared" si="25"/>
        <v/>
      </c>
      <c r="BI54" s="295" t="str">
        <f t="shared" si="26"/>
        <v/>
      </c>
      <c r="BJ54" s="299">
        <f t="shared" si="33"/>
        <v>0</v>
      </c>
      <c r="BK54" s="278" t="e">
        <f t="shared" si="27"/>
        <v>#DIV/0!</v>
      </c>
      <c r="BL54" s="49" t="e">
        <f t="shared" si="28"/>
        <v>#N/A</v>
      </c>
    </row>
    <row r="55" spans="2:117" ht="15" x14ac:dyDescent="0.25">
      <c r="B55" s="49"/>
      <c r="C55" s="201" t="e">
        <f>IF($D$8&lt;16,"",16)</f>
        <v>#N/A</v>
      </c>
      <c r="D55" s="17" t="e">
        <f t="shared" si="34"/>
        <v>#N/A</v>
      </c>
      <c r="E55" s="17" t="e">
        <f t="shared" si="30"/>
        <v>#N/A</v>
      </c>
      <c r="F55" s="249" t="e">
        <f t="shared" si="1"/>
        <v>#N/A</v>
      </c>
      <c r="G55" s="250" t="e">
        <f t="shared" si="35"/>
        <v>#N/A</v>
      </c>
      <c r="H55" s="251" t="e">
        <f t="shared" si="36"/>
        <v>#N/A</v>
      </c>
      <c r="I55" s="251" t="e">
        <f t="shared" si="31"/>
        <v>#N/A</v>
      </c>
      <c r="J55" s="251" t="e">
        <f t="shared" si="4"/>
        <v>#N/A</v>
      </c>
      <c r="K55" s="251" t="e">
        <f t="shared" si="5"/>
        <v>#N/A</v>
      </c>
      <c r="L55" s="251" t="e">
        <f t="shared" si="32"/>
        <v>#N/A</v>
      </c>
      <c r="M55" s="252" t="e">
        <f t="shared" si="37"/>
        <v>#N/A</v>
      </c>
      <c r="N55" s="250" t="str">
        <f t="shared" si="7"/>
        <v/>
      </c>
      <c r="O55" s="253" t="str">
        <f t="shared" si="8"/>
        <v/>
      </c>
      <c r="P55" s="253" t="str">
        <f t="shared" si="9"/>
        <v/>
      </c>
      <c r="Q55" s="253" t="str">
        <f t="shared" si="10"/>
        <v/>
      </c>
      <c r="R55" s="254" t="str">
        <f t="shared" si="11"/>
        <v/>
      </c>
      <c r="S55" s="170"/>
      <c r="T55" s="171"/>
      <c r="U55" s="171"/>
      <c r="V55" s="171"/>
      <c r="W55" s="179"/>
      <c r="X55" s="174"/>
      <c r="Y55" s="174"/>
      <c r="Z55" s="174"/>
      <c r="AA55" s="174"/>
      <c r="AB55" s="174"/>
      <c r="AC55" s="174"/>
      <c r="AD55" s="623"/>
      <c r="AE55" s="623"/>
      <c r="AF55" s="180"/>
      <c r="AG55" s="181"/>
      <c r="AH55" s="182"/>
      <c r="AI55" s="174"/>
      <c r="AJ55" s="174"/>
      <c r="AK55" s="174"/>
      <c r="AL55" s="174"/>
      <c r="AM55" s="174"/>
      <c r="AN55" s="174"/>
      <c r="AO55" s="174"/>
      <c r="AP55" s="174"/>
      <c r="AQ55" s="174"/>
      <c r="AR55" s="183"/>
      <c r="AS55" s="623"/>
      <c r="AT55" s="626"/>
      <c r="AU55" s="277" t="e">
        <f t="shared" si="12"/>
        <v>#N/A</v>
      </c>
      <c r="AV55" s="278" t="e">
        <f t="shared" si="13"/>
        <v>#N/A</v>
      </c>
      <c r="AW55" s="278" t="str">
        <f t="shared" si="14"/>
        <v/>
      </c>
      <c r="AX55" s="278" t="str">
        <f t="shared" si="15"/>
        <v/>
      </c>
      <c r="AY55" s="278" t="e">
        <f t="shared" si="16"/>
        <v>#N/A</v>
      </c>
      <c r="AZ55" s="278" t="e">
        <f t="shared" si="17"/>
        <v>#N/A</v>
      </c>
      <c r="BA55" s="280" t="e">
        <f t="shared" si="38"/>
        <v>#N/A</v>
      </c>
      <c r="BB55" s="297" t="str">
        <f t="shared" si="19"/>
        <v/>
      </c>
      <c r="BC55" s="298" t="str">
        <f t="shared" si="20"/>
        <v/>
      </c>
      <c r="BD55" s="298" t="str">
        <f t="shared" si="21"/>
        <v/>
      </c>
      <c r="BE55" s="295" t="str">
        <f t="shared" si="22"/>
        <v/>
      </c>
      <c r="BF55" s="299" t="str">
        <f t="shared" si="23"/>
        <v/>
      </c>
      <c r="BG55" s="300" t="str">
        <f t="shared" si="24"/>
        <v/>
      </c>
      <c r="BH55" s="300" t="str">
        <f t="shared" si="25"/>
        <v/>
      </c>
      <c r="BI55" s="295" t="str">
        <f t="shared" si="26"/>
        <v/>
      </c>
      <c r="BJ55" s="299">
        <f t="shared" si="33"/>
        <v>0</v>
      </c>
      <c r="BK55" s="278" t="e">
        <f t="shared" si="27"/>
        <v>#DIV/0!</v>
      </c>
      <c r="BL55" s="49" t="e">
        <f t="shared" si="28"/>
        <v>#N/A</v>
      </c>
    </row>
    <row r="56" spans="2:117" ht="15" x14ac:dyDescent="0.25">
      <c r="B56" s="49"/>
      <c r="C56" s="201" t="e">
        <f>IF($D$8&lt;17,"",17)</f>
        <v>#N/A</v>
      </c>
      <c r="D56" s="17" t="e">
        <f t="shared" si="34"/>
        <v>#N/A</v>
      </c>
      <c r="E56" s="17" t="e">
        <f t="shared" si="30"/>
        <v>#N/A</v>
      </c>
      <c r="F56" s="249" t="e">
        <f t="shared" si="1"/>
        <v>#N/A</v>
      </c>
      <c r="G56" s="250" t="e">
        <f t="shared" si="35"/>
        <v>#N/A</v>
      </c>
      <c r="H56" s="251" t="e">
        <f t="shared" si="36"/>
        <v>#N/A</v>
      </c>
      <c r="I56" s="251" t="e">
        <f t="shared" si="31"/>
        <v>#N/A</v>
      </c>
      <c r="J56" s="251" t="e">
        <f t="shared" si="4"/>
        <v>#N/A</v>
      </c>
      <c r="K56" s="251" t="e">
        <f t="shared" si="5"/>
        <v>#N/A</v>
      </c>
      <c r="L56" s="251" t="e">
        <f t="shared" si="32"/>
        <v>#N/A</v>
      </c>
      <c r="M56" s="252" t="e">
        <f t="shared" si="37"/>
        <v>#N/A</v>
      </c>
      <c r="N56" s="250" t="str">
        <f t="shared" si="7"/>
        <v/>
      </c>
      <c r="O56" s="253" t="str">
        <f t="shared" si="8"/>
        <v/>
      </c>
      <c r="P56" s="253" t="str">
        <f t="shared" si="9"/>
        <v/>
      </c>
      <c r="Q56" s="253" t="str">
        <f t="shared" si="10"/>
        <v/>
      </c>
      <c r="R56" s="254" t="str">
        <f t="shared" si="11"/>
        <v/>
      </c>
      <c r="S56" s="170"/>
      <c r="T56" s="171"/>
      <c r="U56" s="171"/>
      <c r="V56" s="171"/>
      <c r="W56" s="179"/>
      <c r="X56" s="174"/>
      <c r="Y56" s="174"/>
      <c r="Z56" s="174"/>
      <c r="AA56" s="174"/>
      <c r="AB56" s="174"/>
      <c r="AC56" s="174"/>
      <c r="AD56" s="623"/>
      <c r="AE56" s="623"/>
      <c r="AF56" s="180"/>
      <c r="AG56" s="181"/>
      <c r="AH56" s="182"/>
      <c r="AI56" s="174"/>
      <c r="AJ56" s="174"/>
      <c r="AK56" s="174"/>
      <c r="AL56" s="174"/>
      <c r="AM56" s="174"/>
      <c r="AN56" s="174"/>
      <c r="AO56" s="174"/>
      <c r="AP56" s="174"/>
      <c r="AQ56" s="174"/>
      <c r="AR56" s="183"/>
      <c r="AS56" s="623"/>
      <c r="AT56" s="626"/>
      <c r="AU56" s="277" t="e">
        <f t="shared" si="12"/>
        <v>#N/A</v>
      </c>
      <c r="AV56" s="278" t="e">
        <f t="shared" si="13"/>
        <v>#N/A</v>
      </c>
      <c r="AW56" s="278" t="str">
        <f t="shared" si="14"/>
        <v/>
      </c>
      <c r="AX56" s="278" t="str">
        <f t="shared" si="15"/>
        <v/>
      </c>
      <c r="AY56" s="278" t="e">
        <f t="shared" si="16"/>
        <v>#N/A</v>
      </c>
      <c r="AZ56" s="278" t="e">
        <f t="shared" si="17"/>
        <v>#N/A</v>
      </c>
      <c r="BA56" s="280" t="e">
        <f t="shared" si="38"/>
        <v>#N/A</v>
      </c>
      <c r="BB56" s="297" t="str">
        <f t="shared" si="19"/>
        <v/>
      </c>
      <c r="BC56" s="298" t="str">
        <f t="shared" si="20"/>
        <v/>
      </c>
      <c r="BD56" s="298" t="str">
        <f t="shared" si="21"/>
        <v/>
      </c>
      <c r="BE56" s="295" t="str">
        <f t="shared" si="22"/>
        <v/>
      </c>
      <c r="BF56" s="299" t="str">
        <f t="shared" si="23"/>
        <v/>
      </c>
      <c r="BG56" s="300" t="str">
        <f t="shared" si="24"/>
        <v/>
      </c>
      <c r="BH56" s="300" t="str">
        <f t="shared" si="25"/>
        <v/>
      </c>
      <c r="BI56" s="295" t="str">
        <f t="shared" si="26"/>
        <v/>
      </c>
      <c r="BJ56" s="299">
        <f t="shared" si="33"/>
        <v>0</v>
      </c>
      <c r="BK56" s="278" t="e">
        <f t="shared" si="27"/>
        <v>#DIV/0!</v>
      </c>
      <c r="BL56" s="49" t="e">
        <f t="shared" si="28"/>
        <v>#N/A</v>
      </c>
      <c r="BT56" s="596" t="s">
        <v>653</v>
      </c>
      <c r="BU56" s="596"/>
      <c r="BV56" s="596"/>
      <c r="BW56" s="596" t="s">
        <v>654</v>
      </c>
      <c r="BX56" s="596"/>
      <c r="CG56" s="25"/>
      <c r="CH56" s="25"/>
      <c r="CJ56" s="593" t="s">
        <v>655</v>
      </c>
      <c r="CK56" s="594"/>
      <c r="CL56" s="595"/>
      <c r="CM56" s="601" t="s">
        <v>656</v>
      </c>
      <c r="CN56" s="602"/>
      <c r="CO56" s="602"/>
      <c r="CP56" s="602"/>
      <c r="CQ56" s="602"/>
      <c r="CR56" s="602"/>
      <c r="CS56" s="602"/>
      <c r="CT56" s="602"/>
      <c r="CU56" s="602"/>
      <c r="CV56" s="602"/>
      <c r="CW56" s="603"/>
      <c r="CX56" s="596" t="s">
        <v>657</v>
      </c>
      <c r="CY56" s="596"/>
      <c r="CZ56" s="596"/>
      <c r="DA56" s="596"/>
      <c r="DB56" s="596"/>
      <c r="DC56" s="596"/>
      <c r="DD56" s="596"/>
      <c r="DE56" s="596"/>
      <c r="DF56" s="596"/>
      <c r="DG56" s="596"/>
      <c r="DH56" s="596"/>
      <c r="DI56" s="599" t="s">
        <v>658</v>
      </c>
      <c r="DJ56" s="629"/>
      <c r="DK56" s="629"/>
      <c r="DL56" s="629"/>
      <c r="DM56" s="630"/>
    </row>
    <row r="57" spans="2:117" ht="14.45" customHeight="1" x14ac:dyDescent="0.25">
      <c r="B57" s="49"/>
      <c r="C57" s="201" t="e">
        <f>IF($D$8&lt;18,"",18)</f>
        <v>#N/A</v>
      </c>
      <c r="D57" s="17" t="e">
        <f t="shared" si="34"/>
        <v>#N/A</v>
      </c>
      <c r="E57" s="17" t="e">
        <f t="shared" si="30"/>
        <v>#N/A</v>
      </c>
      <c r="F57" s="249" t="e">
        <f t="shared" si="1"/>
        <v>#N/A</v>
      </c>
      <c r="G57" s="250" t="e">
        <f t="shared" si="35"/>
        <v>#N/A</v>
      </c>
      <c r="H57" s="251" t="e">
        <f t="shared" si="36"/>
        <v>#N/A</v>
      </c>
      <c r="I57" s="251" t="e">
        <f t="shared" si="31"/>
        <v>#N/A</v>
      </c>
      <c r="J57" s="251" t="e">
        <f t="shared" si="4"/>
        <v>#N/A</v>
      </c>
      <c r="K57" s="251" t="e">
        <f t="shared" si="5"/>
        <v>#N/A</v>
      </c>
      <c r="L57" s="251" t="e">
        <f t="shared" si="32"/>
        <v>#N/A</v>
      </c>
      <c r="M57" s="252" t="e">
        <f t="shared" si="37"/>
        <v>#N/A</v>
      </c>
      <c r="N57" s="250" t="str">
        <f t="shared" si="7"/>
        <v/>
      </c>
      <c r="O57" s="253" t="str">
        <f t="shared" si="8"/>
        <v/>
      </c>
      <c r="P57" s="253" t="str">
        <f t="shared" si="9"/>
        <v/>
      </c>
      <c r="Q57" s="253" t="str">
        <f t="shared" si="10"/>
        <v/>
      </c>
      <c r="R57" s="254" t="str">
        <f t="shared" si="11"/>
        <v/>
      </c>
      <c r="S57" s="190"/>
      <c r="T57" s="191"/>
      <c r="U57" s="191"/>
      <c r="V57" s="191"/>
      <c r="W57" s="192"/>
      <c r="X57" s="193"/>
      <c r="Y57" s="193"/>
      <c r="Z57" s="193"/>
      <c r="AA57" s="193"/>
      <c r="AB57" s="193"/>
      <c r="AC57" s="193"/>
      <c r="AD57" s="624"/>
      <c r="AE57" s="624"/>
      <c r="AF57" s="194"/>
      <c r="AG57" s="195"/>
      <c r="AH57" s="196"/>
      <c r="AI57" s="193"/>
      <c r="AJ57" s="193"/>
      <c r="AK57" s="193"/>
      <c r="AL57" s="193"/>
      <c r="AM57" s="193"/>
      <c r="AN57" s="193"/>
      <c r="AO57" s="193"/>
      <c r="AP57" s="193"/>
      <c r="AQ57" s="193"/>
      <c r="AR57" s="197"/>
      <c r="AS57" s="624"/>
      <c r="AT57" s="627"/>
      <c r="AU57" s="277" t="e">
        <f t="shared" si="12"/>
        <v>#N/A</v>
      </c>
      <c r="AV57" s="278" t="e">
        <f t="shared" si="13"/>
        <v>#N/A</v>
      </c>
      <c r="AW57" s="278" t="str">
        <f t="shared" si="14"/>
        <v/>
      </c>
      <c r="AX57" s="278" t="str">
        <f t="shared" si="15"/>
        <v/>
      </c>
      <c r="AY57" s="278" t="e">
        <f t="shared" si="16"/>
        <v>#N/A</v>
      </c>
      <c r="AZ57" s="278" t="e">
        <f t="shared" si="17"/>
        <v>#N/A</v>
      </c>
      <c r="BA57" s="280" t="e">
        <f t="shared" si="38"/>
        <v>#N/A</v>
      </c>
      <c r="BB57" s="297" t="str">
        <f t="shared" si="19"/>
        <v/>
      </c>
      <c r="BC57" s="298" t="str">
        <f t="shared" si="20"/>
        <v/>
      </c>
      <c r="BD57" s="298" t="str">
        <f t="shared" si="21"/>
        <v/>
      </c>
      <c r="BE57" s="295" t="str">
        <f t="shared" si="22"/>
        <v/>
      </c>
      <c r="BF57" s="299" t="str">
        <f t="shared" si="23"/>
        <v/>
      </c>
      <c r="BG57" s="300" t="str">
        <f t="shared" si="24"/>
        <v/>
      </c>
      <c r="BH57" s="300" t="str">
        <f t="shared" si="25"/>
        <v/>
      </c>
      <c r="BI57" s="295" t="str">
        <f t="shared" si="26"/>
        <v/>
      </c>
      <c r="BJ57" s="299">
        <f t="shared" si="33"/>
        <v>0</v>
      </c>
      <c r="BK57" s="278" t="e">
        <f t="shared" si="27"/>
        <v>#DIV/0!</v>
      </c>
      <c r="BL57" s="49" t="e">
        <f t="shared" si="28"/>
        <v>#N/A</v>
      </c>
      <c r="BQ57" s="597" t="s">
        <v>659</v>
      </c>
      <c r="BR57" s="597" t="s">
        <v>660</v>
      </c>
      <c r="BS57" s="590"/>
      <c r="BT57" s="597" t="s">
        <v>661</v>
      </c>
      <c r="BU57" s="597" t="s">
        <v>662</v>
      </c>
      <c r="BV57" s="597" t="s">
        <v>663</v>
      </c>
      <c r="BW57" s="597" t="s">
        <v>661</v>
      </c>
      <c r="BX57" s="597" t="s">
        <v>662</v>
      </c>
      <c r="BY57" s="590" t="s">
        <v>664</v>
      </c>
      <c r="BZ57" s="590" t="s">
        <v>665</v>
      </c>
      <c r="CA57" s="590" t="s">
        <v>666</v>
      </c>
      <c r="CB57" s="597" t="s">
        <v>667</v>
      </c>
      <c r="CC57" s="597" t="s">
        <v>668</v>
      </c>
      <c r="CD57" s="590" t="s">
        <v>669</v>
      </c>
      <c r="CE57" s="647" t="s">
        <v>670</v>
      </c>
      <c r="CF57" s="590" t="s">
        <v>671</v>
      </c>
      <c r="CG57" s="590" t="s">
        <v>672</v>
      </c>
      <c r="CH57" s="590" t="s">
        <v>673</v>
      </c>
      <c r="CI57" s="597" t="s">
        <v>674</v>
      </c>
      <c r="CJ57" s="596" t="s">
        <v>675</v>
      </c>
      <c r="CK57" s="596" t="s">
        <v>676</v>
      </c>
      <c r="CL57" s="596" t="s">
        <v>23</v>
      </c>
      <c r="CM57" s="654" t="s">
        <v>677</v>
      </c>
      <c r="CN57" s="654" t="s">
        <v>678</v>
      </c>
      <c r="CO57" s="654" t="s">
        <v>679</v>
      </c>
      <c r="CP57" s="653" t="s">
        <v>680</v>
      </c>
      <c r="CQ57" s="653" t="s">
        <v>681</v>
      </c>
      <c r="CR57" s="653" t="s">
        <v>682</v>
      </c>
      <c r="CS57" s="653" t="s">
        <v>683</v>
      </c>
      <c r="CT57" s="653" t="s">
        <v>684</v>
      </c>
      <c r="CU57" s="653" t="s">
        <v>685</v>
      </c>
      <c r="CV57" s="653" t="s">
        <v>686</v>
      </c>
      <c r="CW57" s="653" t="s">
        <v>687</v>
      </c>
      <c r="CX57" s="654" t="s">
        <v>688</v>
      </c>
      <c r="CY57" s="654" t="s">
        <v>689</v>
      </c>
      <c r="CZ57" s="654" t="s">
        <v>690</v>
      </c>
      <c r="DA57" s="654" t="s">
        <v>680</v>
      </c>
      <c r="DB57" s="653" t="s">
        <v>681</v>
      </c>
      <c r="DC57" s="653" t="s">
        <v>682</v>
      </c>
      <c r="DD57" s="653" t="s">
        <v>683</v>
      </c>
      <c r="DE57" s="653" t="s">
        <v>684</v>
      </c>
      <c r="DF57" s="653" t="s">
        <v>685</v>
      </c>
      <c r="DG57" s="653" t="s">
        <v>686</v>
      </c>
      <c r="DH57" s="653" t="s">
        <v>687</v>
      </c>
      <c r="DI57" s="658" t="s">
        <v>691</v>
      </c>
      <c r="DJ57" s="647" t="s">
        <v>692</v>
      </c>
      <c r="DK57" s="658" t="s">
        <v>693</v>
      </c>
      <c r="DL57" s="658" t="s">
        <v>694</v>
      </c>
      <c r="DM57" s="658" t="s">
        <v>695</v>
      </c>
    </row>
    <row r="58" spans="2:117" ht="9.9499999999999993" customHeight="1" x14ac:dyDescent="0.2">
      <c r="B58" s="49"/>
      <c r="C58" s="49"/>
      <c r="F58" s="162"/>
      <c r="W58" s="198"/>
      <c r="AF58" s="198"/>
      <c r="AN58" s="198"/>
      <c r="AW58" s="161"/>
      <c r="AX58" s="161"/>
      <c r="AY58" s="160"/>
      <c r="AZ58" s="160"/>
      <c r="BA58" s="160"/>
      <c r="BB58" s="49"/>
      <c r="BC58" s="278" t="str">
        <f>IFERROR(IF(AND(MAX(AVERAGE(O58:P58),AVERAGE(Q58:R58))&gt;0,MIN(AVERAGE(O58:P58),AVERAGE(Q58:R58))&lt;=$D$30),IF(AND(MIN(AVERAGE(O58:P58),AVERAGE(Q58:R58))&gt;=0,MAX(AVERAGE(O58:P58),AVERAGE(Q58:R58))&lt;=$D$30),"case1",IF(MIN(AVERAGE(O58:P58),AVERAGE(Q58:R58))&gt;=0,"case4",IF(MAX(AVERAGE(O58:P58),AVERAGE(Q58:R58))&gt;$D$30,"case3","case2"))),""),"")</f>
        <v/>
      </c>
      <c r="BD58" s="278" t="str">
        <f>IFERROR(IF(AND(MIN(AVERAGE(O58:P58),AVERAGE(Q58:R58))&lt;0,MAX(AVERAGE(O58:P58),AVERAGE(Q58:R58))&gt;=-$D$30),IF(AND(MAX(AVERAGE(O58:P58),AVERAGE(Q58:R58))&lt;=0,MIN(AVERAGE(O58:P58),AVERAGE(Q58:R58))&gt;=-$D$30),"case1",IF(MAX(AVERAGE(O58:P58),AVERAGE(Q58:R58))&lt;=0,"case4",IF(MIN(AVERAGE(O58:P58),AVERAGE(Q58:R58))&lt;-$D$30,"case3","case2"))),""),"")</f>
        <v/>
      </c>
      <c r="BE58" s="34"/>
      <c r="BF58" s="34"/>
      <c r="BG58" s="130" t="str">
        <f>IFERROR(IF(AND(MAX(AVERAGE(O58:P58),AVERAGE(Q58:R58))&gt;0,MIN(AVERAGE(O58:P58),AVERAGE(Q58:R58))&lt;=$D$30),IF(AND(MIN(AVERAGE(O58:P58),AVERAGE(Q58:R58))&gt;=0,MAX(AVERAGE(O58:P58),AVERAGE(Q58:R58))&lt;=$D$30),"case1",IF(MIN(AVERAGE(O58:P58),AVERAGE(Q58:R58))&gt;=0,"case4",IF(MAX(AVERAGE(O58:P58),AVERAGE(Q58:R58))&gt;$D$30,"case3","case2"))),""),"")</f>
        <v/>
      </c>
      <c r="BH58" s="130" t="str">
        <f>IFERROR(IF(AND(MIN(AVERAGE(O58:P58),AVERAGE(Q58:R58))&lt;0,MAX(AVERAGE(O58:P58),AVERAGE(Q58:R58))&gt;=-$D$30),IF(AND(MAX(AVERAGE(O58:P58),AVERAGE(Q58:R58))&lt;=0,MIN(AVERAGE(O58:P58),AVERAGE(Q58:R58))&gt;=-$D$30),"case1",IF(MAX(AVERAGE(O58:P58),AVERAGE(Q58:R58))&lt;=0,"case4",IF(MIN(AVERAGE(O58:P58),AVERAGE(Q58:R58))&lt;-$D$30,"case3","case2"))),""),"")</f>
        <v/>
      </c>
      <c r="BI58" s="34"/>
      <c r="BJ58" s="301"/>
      <c r="BK58" s="49"/>
      <c r="BQ58" s="591"/>
      <c r="BR58" s="652"/>
      <c r="BS58" s="591"/>
      <c r="BT58" s="591"/>
      <c r="BU58" s="591"/>
      <c r="BV58" s="591"/>
      <c r="BW58" s="591"/>
      <c r="BX58" s="591"/>
      <c r="BY58" s="591"/>
      <c r="BZ58" s="591"/>
      <c r="CA58" s="591"/>
      <c r="CB58" s="591"/>
      <c r="CC58" s="591"/>
      <c r="CD58" s="591"/>
      <c r="CE58" s="648"/>
      <c r="CF58" s="591"/>
      <c r="CG58" s="591"/>
      <c r="CH58" s="591"/>
      <c r="CI58" s="591"/>
      <c r="CJ58" s="657"/>
      <c r="CK58" s="657"/>
      <c r="CL58" s="596"/>
      <c r="CM58" s="655"/>
      <c r="CN58" s="655"/>
      <c r="CO58" s="655"/>
      <c r="CP58" s="653"/>
      <c r="CQ58" s="653"/>
      <c r="CR58" s="653"/>
      <c r="CS58" s="653"/>
      <c r="CT58" s="653"/>
      <c r="CU58" s="653"/>
      <c r="CV58" s="653"/>
      <c r="CW58" s="653"/>
      <c r="CX58" s="655"/>
      <c r="CY58" s="655"/>
      <c r="CZ58" s="655"/>
      <c r="DA58" s="655"/>
      <c r="DB58" s="653"/>
      <c r="DC58" s="653"/>
      <c r="DD58" s="653"/>
      <c r="DE58" s="653"/>
      <c r="DF58" s="653"/>
      <c r="DG58" s="653"/>
      <c r="DH58" s="653"/>
      <c r="DI58" s="658"/>
      <c r="DJ58" s="648"/>
      <c r="DK58" s="658"/>
      <c r="DL58" s="658"/>
      <c r="DM58" s="658"/>
    </row>
    <row r="59" spans="2:117" ht="12.75" customHeight="1" x14ac:dyDescent="0.2">
      <c r="B59" s="202" t="s">
        <v>696</v>
      </c>
      <c r="C59" s="111"/>
      <c r="F59" s="162"/>
      <c r="W59" s="199"/>
      <c r="AF59" s="199"/>
      <c r="AN59" s="199"/>
      <c r="AW59" s="161"/>
      <c r="AX59" s="161"/>
      <c r="BB59" s="49"/>
      <c r="BC59" s="49"/>
      <c r="BD59" s="49"/>
      <c r="BE59" s="49"/>
      <c r="BF59" s="49"/>
      <c r="BG59" s="49"/>
      <c r="BH59" s="49"/>
      <c r="BI59" s="49"/>
      <c r="BJ59" s="301"/>
      <c r="BK59" s="49"/>
      <c r="BQ59" s="592"/>
      <c r="BR59" s="598"/>
      <c r="BS59" s="592"/>
      <c r="BT59" s="592"/>
      <c r="BU59" s="592"/>
      <c r="BV59" s="592"/>
      <c r="BW59" s="592"/>
      <c r="BX59" s="592"/>
      <c r="BY59" s="592"/>
      <c r="BZ59" s="592"/>
      <c r="CA59" s="592"/>
      <c r="CB59" s="592"/>
      <c r="CC59" s="592"/>
      <c r="CD59" s="592"/>
      <c r="CE59" s="648"/>
      <c r="CF59" s="592"/>
      <c r="CG59" s="592"/>
      <c r="CH59" s="592"/>
      <c r="CI59" s="592"/>
      <c r="CJ59" s="657"/>
      <c r="CK59" s="657"/>
      <c r="CL59" s="596"/>
      <c r="CM59" s="656"/>
      <c r="CN59" s="656"/>
      <c r="CO59" s="656"/>
      <c r="CP59" s="653"/>
      <c r="CQ59" s="653"/>
      <c r="CR59" s="653"/>
      <c r="CS59" s="653"/>
      <c r="CT59" s="653"/>
      <c r="CU59" s="653"/>
      <c r="CV59" s="653"/>
      <c r="CW59" s="653"/>
      <c r="CX59" s="656"/>
      <c r="CY59" s="656"/>
      <c r="CZ59" s="656"/>
      <c r="DA59" s="656"/>
      <c r="DB59" s="653"/>
      <c r="DC59" s="653"/>
      <c r="DD59" s="653"/>
      <c r="DE59" s="653"/>
      <c r="DF59" s="653"/>
      <c r="DG59" s="653"/>
      <c r="DH59" s="653"/>
      <c r="DI59" s="658"/>
      <c r="DJ59" s="648"/>
      <c r="DK59" s="658"/>
      <c r="DL59" s="658"/>
      <c r="DM59" s="658"/>
    </row>
    <row r="60" spans="2:117" ht="15.75" customHeight="1" x14ac:dyDescent="0.25">
      <c r="B60" s="49" t="str">
        <f>IFERROR(F60*IF(CI60="Yes",BP60,1),"")</f>
        <v/>
      </c>
      <c r="C60" s="201">
        <v>1</v>
      </c>
      <c r="D60" s="255" t="str">
        <f>IF(BQ60="","",IF($D$8=0,IF(OR(VLOOKUP(BQ60,Input!$B$21:$AL$50,19+C60,FALSE)+$D$5=0,VLOOKUP(BQ60,Input!$B$21:$AL$50,19+C60,FALSE)+$D$5=180),VLOOKUP(BQ60,Input!$B$21:$AL$50,19+C60,FALSE)+$D$5+0.0001,VLOOKUP(BQ60,Input!$B$21:$AL$50,19+C60,FALSE)+$D$5),IF(VLOOKUP(BQ60,Input!$B$21:$AL$50,19+C60,FALSE)="c",VLOOKUP($C60,$C$40:$E$57,2,FALSE)+180/$D$8,VLOOKUP($C60,$C$40:$E$57,2,FALSE))))</f>
        <v/>
      </c>
      <c r="E60" s="17" t="str">
        <f t="shared" ref="E60:E77" si="39">IF(D60="","",IF(D60&gt;630,360-(D60-360),IF(D60&gt;540,(D60-360)-180,IF(D60&gt;450,180-(D60-360),IF(D60&gt;360,D60-360,IF(D60&gt;270,360-D60,IF(D60&gt;180,D60-180,IF(D60&gt;90,180-D60,D60))))))))</f>
        <v/>
      </c>
      <c r="F60" s="258" t="str">
        <f>IF(BR60="","",VLOOKUP(BR60,Reinforcements[],COLUMN(Reinforcements[[#Headers],[Gross Area (in2)]])-1,FALSE))</f>
        <v/>
      </c>
      <c r="G60" s="256" t="e">
        <f>(IF(VLOOKUP(BQ60,Input!$B$21:$AL$50,19+C60,FALSE)="c",$D$20/COS(RADIANS(180/$D$8)),$D$20)+CA60)*SIN(RADIANS(D60))-IF(AND(ISNUMBER(VLOOKUP(BQ60,Input!$B$21:$AL$50,19+C60,FALSE)),$D$8&lt;&gt;0),VLOOKUP(BQ60,Input!$B$21:$AL$50,19+C60,FALSE)*COS(RADIANS(D60)),0)</f>
        <v>#N/A</v>
      </c>
      <c r="H60" s="251" t="str">
        <f>IF(ISERROR(F60*G60),"",F60*G60)</f>
        <v/>
      </c>
      <c r="I60" s="251" t="e">
        <f t="shared" ref="I60:I77" si="40">G60-$D$35</f>
        <v>#N/A</v>
      </c>
      <c r="J60" s="251" t="e">
        <f t="shared" ref="J60:J77" si="41">CB60</f>
        <v>#N/A</v>
      </c>
      <c r="K60" s="251" t="e">
        <f t="shared" ref="K60:K77" si="42">CC60</f>
        <v>#N/A</v>
      </c>
      <c r="L60" s="251" t="e">
        <f>(J60+K60)/2+(J60-K60)/2*COS(2*RADIANS(D60+90))</f>
        <v>#N/A</v>
      </c>
      <c r="M60" s="252" t="str">
        <f>IFERROR((L60+F60*I60^2)*IF(CI60="Yes",BP60,1),"")</f>
        <v/>
      </c>
      <c r="N60" s="250" t="str">
        <f>IFERROR((IF(VLOOKUP(BQ60,Input!$B$21:$AL$50,19+C60,FALSE)="c",$D$20/COS(RADIANS(180/$D$8)),$D$20)+CA60)*SIN(RADIANS(D60))-IF(AND(ISNUMBER(VLOOKUP(BQ60,Input!$B$21:$AL$50,19+C60,FALSE)),$D$8&lt;&gt;0),VLOOKUP(BQ60,Input!$B$21:$AL$50,19+C60,FALSE)*COS(RADIANS(D60)),0)-$D$35,"")</f>
        <v/>
      </c>
      <c r="O60" s="253" t="str">
        <f t="shared" ref="O60:O77" si="43">IFERROR(N60+(-BX60/2)*SIN(RADIANS(D60))+(BW60/2)*COS(RADIANS(D60)),"")</f>
        <v/>
      </c>
      <c r="P60" s="253" t="str">
        <f t="shared" ref="P60:P77" si="44">IFERROR(N60+(BX60/2)*SIN(RADIANS(D60))+(BW60/2)*COS(RADIANS(D60)),"")</f>
        <v/>
      </c>
      <c r="Q60" s="253" t="str">
        <f t="shared" ref="Q60:Q77" si="45">IFERROR(N60+(BX60/2)*SIN(RADIANS(D60))+(-BW60/2)*COS(RADIANS(D60)),"")</f>
        <v/>
      </c>
      <c r="R60" s="254" t="str">
        <f t="shared" ref="R60:R77" si="46">IFERROR(N60+(-BX60/2)*SIN(RADIANS(D60))+(-BW60/2)*COS(RADIANS(D60)),"")</f>
        <v/>
      </c>
      <c r="S60" s="251" t="str">
        <f>IFERROR(BV60+(-BU60/2)*SIN(RADIANS(D60))+(BT60/2)*COS(RADIANS(D60)),"")</f>
        <v/>
      </c>
      <c r="T60" s="251" t="str">
        <f>IFERROR(BV60+(BU60/2)*SIN(RADIANS(D60))+(BT60/2)*COS(RADIANS(D60)),"")</f>
        <v/>
      </c>
      <c r="U60" s="251" t="str">
        <f>IFERROR(BV60+(BU60/2)*SIN(RADIANS(D60))+(-BT60/2)*COS(RADIANS(D60)),"")</f>
        <v/>
      </c>
      <c r="V60" s="252" t="str">
        <f>IFERROR(BV60+(-BU60/2)*SIN(RADIANS(D60))+(-BT60/2)*COS(RADIANS(D60)),"")</f>
        <v/>
      </c>
      <c r="W60" s="323"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324"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324"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324" t="str">
        <f>IFERROR(IF('Macro References'!$A$9,IF(AND(CJ60,CL60="Welded"),MIN(CQ60:CT60),IF(AND(CK60,CL60="Welded"),MIN(DB60:DE60),"")),""),"")</f>
        <v/>
      </c>
      <c r="AA60" s="255" t="str">
        <f>IFERROR(IF('Macro References'!$A$9,IF(AND(CJ60,CL60="Welded"),MIN(CU60:CW60),IF(AND(CK60,CL60="Welded"),MIN(DF60:DH60),"")),""),"")</f>
        <v/>
      </c>
      <c r="AB60" s="255" t="str">
        <f>IFERROR(IF('Macro References'!$A$9,IF(AND(CJ60,CL60="Welded",CN60="Fillet",CU60&gt;0),TRUE,IF(AND(CK60,CL60="Welded",CY60="Fillet",DF60&gt;0),TRUE,"")),""),"")</f>
        <v/>
      </c>
      <c r="AC60" s="255"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255"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32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248"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32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274" t="str">
        <f t="shared" ref="AH60:AH77" si="47">IFERROR(ABS((W60/BY60)/N60*$D$25),"")</f>
        <v/>
      </c>
      <c r="AI60" s="255" t="str">
        <f t="shared" ref="AI60:AI77" si="48">IFERROR(ABS((X60/BY60)/N60*$D$25),"")</f>
        <v/>
      </c>
      <c r="AJ60" s="255" t="str">
        <f t="shared" ref="AJ60:AJ77" si="49">IFERROR(ABS((Y60/BY60)/N60*$D$25),"")</f>
        <v/>
      </c>
      <c r="AK60" s="255" t="str">
        <f>IFERROR(IF(AND(Z60="",AA60=""),"",ABS((IF(AB60=TRUE,MAX(0.85*AA60+1.5*Z60,AA60+Z60),SUM(Z60:AA60))/BY60)/N60*$D$25)),"")</f>
        <v/>
      </c>
      <c r="AL60" s="248" t="str">
        <f>IFERROR(ABS((AC60/BY60)/N60*$D$25),"")</f>
        <v/>
      </c>
      <c r="AM60" s="255" t="str">
        <f>""</f>
        <v/>
      </c>
      <c r="AN60" s="255" t="str">
        <f t="shared" ref="AN60:AN77" si="50">IFERROR(IF(CI60="Yes","",ABS((AD60/BY60)/N60*$D$25)),"")</f>
        <v/>
      </c>
      <c r="AO60" s="248" t="str">
        <f t="shared" ref="AO60:AO77" si="51">IFERROR(ABS((AF60/BY60)/N60*$D$25),"")</f>
        <v/>
      </c>
      <c r="AP60" s="275" t="str">
        <f t="shared" ref="AP60:AP77" si="52">IFERROR(ABS((AG60/BY60)/N60*$D$25),"")</f>
        <v/>
      </c>
      <c r="AQ60" s="276"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255" t="str">
        <f>IF(BR60="","",VLOOKUP(VLOOKUP(BR60,Reinforcements[],COLUMN(Reinforcements[[#Headers],[Material]])-1,FALSE),Materials[],2,FALSE)/$D$28)</f>
        <v/>
      </c>
      <c r="AS60" s="248" t="str">
        <f t="shared" ref="AS60:AS96" si="54">IF(BR60="","",MIN(AN60:AP60,AH60:AL60)/$D$25)</f>
        <v/>
      </c>
      <c r="AT60" s="327" t="str">
        <f t="shared" ref="AT60:AT77" si="55">IFERROR((($D$36/$D$25)/(AS60)+$L$7+IF(OR(Rev="G",Rev="H"),($Q$7/$Q$8)^2,0))/IF(Rev="F",ASIF,1)/IF(OR(AND(Rev="H",$F$27=TRUE),AND(Rev&lt;&gt;"H",$F$30=TRUE)),1.05,1),"")</f>
        <v/>
      </c>
      <c r="AU60" s="277">
        <f t="shared" ref="AU60:AU77" si="56">IF(ISERROR(IF(OR(D60&gt;540,AND(D60&gt;180,D60&lt;=360)),MIN(O60:R60),MAX(O60:R60))),"",IF(OR(D60&gt;540,AND(D60&gt;180,D60&lt;=360)),MIN(O60:R60),MAX(O60:R60)))</f>
        <v>0</v>
      </c>
      <c r="AV60" s="278">
        <f t="shared" ref="AV60:AV77" si="57">IF(ISERROR(IF(AU60=MAX(O60:R60),MIN(O60:R60),MAX(O60:R60))),"",IF(AU60=MAX(O60:R60),MIN(O60:R60),MAX(O60:R60)))</f>
        <v>0</v>
      </c>
      <c r="AW60" s="278" t="e">
        <f t="shared" ref="AW60:AW77" si="58">$D$28*AU60</f>
        <v>#N/A</v>
      </c>
      <c r="AX60" s="278" t="e">
        <f t="shared" ref="AX60:AX77" si="59">$D$28*AV60</f>
        <v>#N/A</v>
      </c>
      <c r="AY60" s="278" t="str">
        <f t="shared" ref="AY60:AY77" si="60">IFERROR($D$28*BX60*BW60/2*(2*AV60+IF(OR(D60&gt;540,AND(D60&gt;180,D60&lt;=360)),-1,1)*BX60*SIN(RADIANS(E60))+IF(OR(D60&gt;540,AND(D60&gt;180,D60&lt;=360)),-1,1)*BW60*COS(RADIANS(E60))),"")</f>
        <v/>
      </c>
      <c r="AZ60" s="278" t="e">
        <f t="shared" ref="AZ60:AZ77" si="61">IF(ABS(AY60)&lt;0.0001,0,AV60+$D$28*BX60*BW60/(12*AY60)*(6*AV60*(IF(OR(D60&gt;540,AND(D60&gt;180,D60&lt;360)),-1,1)*BX60*SIN(RADIANS(E60))+IF(OR(D60&gt;540,AND(D60&gt;180,D60&lt;360)),-1,1)*BW60*COS(RADIANS(E60)))+3*BX60*BW60*SIN(RADIANS(2*E60))+4*BX60^2*SIN(RADIANS(E60))^2+4*BW60^2*COS(RADIANS(E60))^2))</f>
        <v>#VALUE!</v>
      </c>
      <c r="BA60" s="295" t="str">
        <f t="shared" ref="BA60:BA77" si="62">IF(ISERROR(AZ60*AY60),"",AZ60*AY60)</f>
        <v/>
      </c>
      <c r="BB60" s="297" t="str">
        <f>IFERROR(IF(MAX(AVERAGE(O60:P60),AVERAGE(Q60:R60))&gt;$AR60,MIN((MAX(AVERAGE(O60:P60),AVERAGE(Q60:R60))-$AR60)/COS(RADIANS($E60)),$BW60)*$BX60*$CG60,""),"")</f>
        <v/>
      </c>
      <c r="BC60" s="298"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298"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295" t="str">
        <f>IFERROR(IF(CI60="Yes","",IF(MIN(AVERAGE(O60:P60),AVERAGE(Q60:R60))&lt;-$AR60,MAX((MIN(AVERAGE(O60:P60),AVERAGE(Q60:R60))+$AR60)/COS(RADIANS($E60)),-$BW60)*$BX60*$CG60,"")),"")</f>
        <v/>
      </c>
      <c r="BF60" s="299" t="e">
        <f>IF(MAX(AVERAGE(O60:P60),AVERAGE(Q60:R60))&gt;$AR60,MAX(AVERAGE(MAX(AVERAGE(O60:P60),AVERAGE(Q60:R60)),$AR60),AVERAGE(O60:R60)),"")</f>
        <v>#DIV/0!</v>
      </c>
      <c r="BG60" s="300"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300"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295" t="e">
        <f>IF(MIN(AVERAGE(O60:P60),AVERAGE(Q60:R60))&lt;-$AR60,MIN(AVERAGE(MIN(AVERAGE(O60:P60),AVERAGE(Q60:R60)),-$AR60),AVERAGE(O60:R60)),"")</f>
        <v>#DIV/0!</v>
      </c>
      <c r="BJ60" s="299" t="str">
        <f>IFERROR(IF(BB60="",0,ABS(BB60))*IF(BF60="",0,ABS(BF60))+IF(BC60="",0,ABS(BC60))*IF(BG60="",0,ABS(BG60))+IF(BD60="",0,ABS(BD60))*IF(BH60="",0,ABS(BH60))+IF(BE60="",0,ABS(BE60))*IF(BI60="",0,ABS(BI60)),"")</f>
        <v/>
      </c>
      <c r="BK60" s="278" t="e">
        <f t="shared" ref="BK60:BK77" si="67">(IF(BB60="",0,ABS(BB60))*IF(BF60="",0,BF60)+IF(BC60="",0,ABS(BC60))*IF(BG60="",0,BG60)+IF(BD60="",0,ABS(BD60))*IF(BH60="",0,BH60)+IF(BE60="",0,ABS(BE60))*IF(BI60="",0,BI60))/(IF(BB60="",0,ABS(BB60))+IF(BC60="",0,ABS(BC60))+IF(BD60="",0,ABS(BD60))+IF(BE60="",0,ABS(BE60)))</f>
        <v>#DIV/0!</v>
      </c>
      <c r="BL60" s="49" t="str">
        <f t="shared" ref="BL60:BL96" si="68">IFERROR(BA60-BJ60,"")</f>
        <v/>
      </c>
      <c r="BP60" s="25"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223" t="str">
        <f>IFERROR(VALUE(LEFT(VLOOKUP(Calculations!$D$4,Results!$G$5:$CM$105,67+$C60,FALSE),FIND(";",VLOOKUP(Calculations!$D$4,Results!$G$5:$CM$105,67+$C60,FALSE))-1)),"")</f>
        <v/>
      </c>
      <c r="BR60" s="303" t="str">
        <f>IF(BQ60="","",VLOOKUP(BQ60,Input!$B$21:$Q$50,13,FALSE))</f>
        <v/>
      </c>
      <c r="BS60" s="248" t="e">
        <f>VLOOKUP(BR60,Reinforcements[],COLUMN(Reinforcements[[#Headers],[Type]])-1,FALSE)</f>
        <v>#N/A</v>
      </c>
      <c r="BT60" s="248" t="e">
        <f>IF(BS60="solid round",VLOOKUP(BR60,Reinforcements[],COLUMN(Reinforcements[[#Headers],[Diameter (in)]])-1,FALSE),VLOOKUP(BR60,Reinforcements[],COLUMN(Reinforcements[[#Headers],[B (in)]])-1,FALSE))</f>
        <v>#N/A</v>
      </c>
      <c r="BU60" s="248" t="e">
        <f>IF(BS60="solid round",VLOOKUP(BR60,Reinforcements[],COLUMN(Reinforcements[[#Headers],[Diameter (in)]])-1,FALSE),VLOOKUP(BR60,Reinforcements[],COLUMN(Reinforcements[[#Headers],[H (in)]])-1,FALSE))</f>
        <v>#N/A</v>
      </c>
      <c r="BV60" s="278" t="e">
        <f>IFERROR((IF(VLOOKUP(BQ60,Input!$B$21:$AL$50,19+C60,FALSE)="c",$D$20/COS(RADIANS(180/$D$8)),$D$20)+BU60/2)*SIN(RADIANS(D60))-IF(ISNUMBER(VLOOKUP(BQ60,Input!$B$21:$AL$50,19+C60,FALSE)),VLOOKUP(BQ60,Input!$B$21:$AL$50,19+C60,FALSE)*COS(RADIANS(D60)),0)-$D$35,"")*0+N60*1</f>
        <v>#VALUE!</v>
      </c>
      <c r="BW60" s="248" t="e">
        <f>VLOOKUP(BR60,Reinforcements[],COLUMN(Reinforcements[[#Headers],[Effective B (in)]])-1,FALSE)</f>
        <v>#N/A</v>
      </c>
      <c r="BX60" s="248" t="e">
        <f>VLOOKUP(BR60,Reinforcements[],COLUMN(Reinforcements[[#Headers],[Effective H (in)]])-1,FALSE)</f>
        <v>#N/A</v>
      </c>
      <c r="BY60" s="248" t="e">
        <f>VLOOKUP(BR60,Reinforcements[],COLUMN(Reinforcements[[#Headers],[Gross Area (in2)]])-1,FALSE)</f>
        <v>#N/A</v>
      </c>
      <c r="BZ60" s="255" t="s">
        <v>697</v>
      </c>
      <c r="CA60" s="248" t="e">
        <f>VLOOKUP(BR60,Reinforcements[],COLUMN(Reinforcements[[#Headers],[Pole Face to Centroid (in)]])-1,FALSE)</f>
        <v>#N/A</v>
      </c>
      <c r="CB60" s="248" t="e">
        <f>VLOOKUP(BR60,Reinforcements[],COLUMN(Reinforcements[[#Headers],[Equivalent Rectangle Ix (in4)]])-1,FALSE)</f>
        <v>#N/A</v>
      </c>
      <c r="CC60" s="248" t="e">
        <f>VLOOKUP(BR60,Reinforcements[],COLUMN(Reinforcements[[#Headers],[Equivalent Rectangle Iy (in4)]])-1,FALSE)</f>
        <v>#N/A</v>
      </c>
      <c r="CD60" s="248" t="e">
        <f>VLOOKUP(BR60,Reinforcements[],COLUMN(Reinforcements[[#Headers],[Lu (in)]])-1,FALSE)</f>
        <v>#N/A</v>
      </c>
      <c r="CE60" s="255" t="s">
        <v>697</v>
      </c>
      <c r="CF60" s="255" t="s">
        <v>697</v>
      </c>
      <c r="CG60" s="248" t="e">
        <f>VLOOKUP(VLOOKUP(BR60,Reinforcements[],COLUMN(Reinforcements[[#Headers],[Material]])-1,FALSE),Materials[],2,FALSE)</f>
        <v>#N/A</v>
      </c>
      <c r="CH60" s="248" t="e">
        <f>VLOOKUP(VLOOKUP(BR60,Reinforcements[],COLUMN(Reinforcements[[#Headers],[Material]])-1,FALSE),Materials[],3,FALSE)</f>
        <v>#N/A</v>
      </c>
      <c r="CI60" s="255" t="e">
        <f>VLOOKUP(BR60,Reinforcements[],COLUMN(Reinforcements[[#Headers],[Tension Only?]])-1,FALSE)</f>
        <v>#N/A</v>
      </c>
      <c r="CJ60" s="17" t="str">
        <f>IF(BQ60="","",AND(INDEX(Results!$G$5:$G$104,MATCH(VLOOKUP($BQ60,Input!$B$21:$J$50,2,FALSE)-0.001,Results!$G$5:$G$104,-1))=$D$4))</f>
        <v/>
      </c>
      <c r="CK60" s="17" t="str">
        <f>IF(BQ60="","",AND(INDEX('Macro References'!$BB$2:$BB$101,MATCH(VLOOKUP($BQ60,Input!$B$21:$J$50,6,FALSE)-0.001,'Macro References'!$BB$2:$BB$101,1))=$D$4))</f>
        <v/>
      </c>
      <c r="CL60" s="17" t="e">
        <f>IF(CJ60,VLOOKUP(BR60,Reinforcements[],COLUMN(Reinforcements[[#Headers],[Bottom End Connection Type]])-1,FALSE),IF(CK60,VLOOKUP(BR60,Reinforcements[],COLUMN(Reinforcements[[#Headers],[Top End Connection Type]])-1,FALSE),""))</f>
        <v>#VALUE!</v>
      </c>
      <c r="CM60" s="17" t="e">
        <f>IF(ISBLANK(VLOOKUP(BR60,Reinforcements[],COLUMN(Reinforcements[[#Headers],[Bottom Transverse Weld Length]])-1,FALSE)),"",(VLOOKUP(BR60,Reinforcements[],COLUMN(Reinforcements[[#Headers],[Bottom Transverse Weld Length]])-1,FALSE)))</f>
        <v>#N/A</v>
      </c>
      <c r="CN60" s="17" t="e">
        <f>IF(ISBLANK(VLOOKUP(BR60,Reinforcements[],COLUMN(Reinforcements[[#Headers],[Bottom Transverse (Horizontal) Weld]])-1,FALSE)),"",(VLOOKUP(BR60,Reinforcements[],COLUMN(Reinforcements[[#Headers],[Bottom Transverse (Horizontal) Weld]])-1,FALSE)))</f>
        <v>#N/A</v>
      </c>
      <c r="CO60" s="17" t="e">
        <f>IF(ISBLANK(VLOOKUP(BR60,Reinforcements[],COLUMN(Reinforcements[[#Headers],[Bottom Longitudinal Weld Length]])-1,FALSE)),"",(VLOOKUP(BR60,Reinforcements[],COLUMN(Reinforcements[[#Headers],[Bottom Longitudinal Weld Length]])-1,FALSE)))</f>
        <v>#N/A</v>
      </c>
      <c r="CP60" s="17" t="str">
        <f>IFERROR(VLOOKUP(BR60,Reinforcements[],COLUMN(Reinforcements[[#Headers],[Bottom Connected to Flange/Base Plate?]])-1,FALSE),"")</f>
        <v/>
      </c>
      <c r="CQ60" s="248" t="e">
        <f>IF(Rev="F",VLOOKUP(BR60,Reinforcements[],COLUMN(Reinforcements[[#Headers],[Rev. F Bottom Transverse Weld Strength]])-1,FALSE),VLOOKUP(BR60,Reinforcements[],COLUMN(Reinforcements[[#Headers],[Rev. G Bottom Transverse Weld Strength]])-1,FALSE))</f>
        <v>#N/A</v>
      </c>
      <c r="CR60" s="248"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248" t="str">
        <f>IF(CP60&lt;&gt;"Yes","",(VLOOKUP(BR60,Reinforcements[],COLUMN(Reinforcements[[#Headers],[Bottom Transverse Weld Groove Depth (in)]])-1,FALSE)+VLOOKUP(BR60,Reinforcements[],COLUMN(Reinforcements[[#Headers],[Bottom Transverse Weld Fillet Size (in)]])-1,FALSE))*CM60*IF(Rev="F",0.6,φ_t_y)*$D$14)</f>
        <v/>
      </c>
      <c r="CT60" s="248" t="e">
        <f>IF(CP60="Yes","",VLOOKUP(BR60,Reinforcements[],COLUMN(Reinforcements[[#Headers],[Bottom Transverse Weld Fillet Size (in)]])-1,FALSE)*CM60*MIN(IF(Rev="F",0.4,φ_shear_yield*0.6)*$D$6,IF(Rev="F",0.3,φ_shear_rupture*0.6)*$D$7))</f>
        <v>#N/A</v>
      </c>
      <c r="CU60" s="248" t="e">
        <f>IF(Rev="F",VLOOKUP(BR60,Reinforcements[],COLUMN(Reinforcements[[#Headers],[Rev. F Bottom Longitudinal Weld Strength]])-1,FALSE),VLOOKUP(BR60,Reinforcements[],COLUMN(Reinforcements[[#Headers],[Rev. G Bottom Longitudinal Weld Strength]])-1,FALSE))</f>
        <v>#N/A</v>
      </c>
      <c r="CV60" s="248" t="e">
        <f>2*VLOOKUP(BR60,Reinforcements[],COLUMN(Reinforcements[[#Headers],[Bottom Longitudinal Weld Fillet Size (in)]])-1,FALSE)*CO60*MIN(IF(Rev="F",0.4,φ_shear_yield*0.6)*CG60,IF(Rev="F",0.3,φ_shear_rupture*0.6)*CH60)</f>
        <v>#N/A</v>
      </c>
      <c r="CW60" s="248" t="e">
        <f>2*VLOOKUP(BR60,Reinforcements[],COLUMN(Reinforcements[[#Headers],[Bottom Longitudinal Weld Fillet Size (in)]])-1,FALSE)*CO60*MIN(IF(Rev="F",0.4,φ_shear_yield*0.6)*$D$6,IF(Rev="F",0.3,φ_shear_rupture*0.6)*$D$7)</f>
        <v>#N/A</v>
      </c>
      <c r="CX60" s="248" t="e">
        <f>IF(ISBLANK(VLOOKUP(BR60,Reinforcements[],COLUMN(Reinforcements[[#Headers],[Top Transverse Weld Length]])-1,FALSE)),"",(VLOOKUP(BR60,Reinforcements[],COLUMN(Reinforcements[[#Headers],[Top Transverse Weld Length]])-1,FALSE)))</f>
        <v>#N/A</v>
      </c>
      <c r="CY60" s="248" t="e">
        <f>IF(ISBLANK(VLOOKUP(BR60,Reinforcements[],COLUMN(Reinforcements[[#Headers],[Top Transverse (Horizontal) Weld]])-1,FALSE)),"",(VLOOKUP(BR60,Reinforcements[],COLUMN(Reinforcements[[#Headers],[Top Transverse (Horizontal) Weld]])-1,FALSE)))</f>
        <v>#N/A</v>
      </c>
      <c r="CZ60" s="248" t="e">
        <f>IF(ISBLANK(VLOOKUP(BR60,Reinforcements[],COLUMN(Reinforcements[[#Headers],[Top Longitudinal Weld Length]])-1,FALSE)),"",(VLOOKUP(BR60,Reinforcements[],COLUMN(Reinforcements[[#Headers],[Top Longitudinal Weld Length]])-1,FALSE)))</f>
        <v>#N/A</v>
      </c>
      <c r="DA60" s="248" t="str">
        <f>IFERROR(VLOOKUP(BR60,Reinforcements[],COLUMN(Reinforcements[[#Headers],[Top Connected to Flange/Base Plate?]])-1,FALSE),"")</f>
        <v/>
      </c>
      <c r="DB60" s="248" t="e">
        <f>IF(Rev="F",VLOOKUP(BR60,Reinforcements[],COLUMN(Reinforcements[[#Headers],[Rev. F Top Transverse Weld Strength]])-1,FALSE),VLOOKUP(BR60,Reinforcements[],COLUMN(Reinforcements[[#Headers],[Rev. G Top Transverse Weld Strength]])-1,FALSE))</f>
        <v>#N/A</v>
      </c>
      <c r="DC60" s="248"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248" t="str">
        <f>IF(DA60&lt;&gt;"Yes","",(VLOOKUP(BR60,Reinforcements[],COLUMN(Reinforcements[[#Headers],[Top Transverse Weld Groove Depth (in)]])-1,FALSE)+VLOOKUP(BR60,Reinforcements[],COLUMN(Reinforcements[[#Headers],[Top Transverse Weld Fillet Size (in)]])-1,FALSE))*CX60*IF(Rev="F",0.6,φ_t_y)*$D$14)</f>
        <v/>
      </c>
      <c r="DE60" s="248" t="e">
        <f>IF(DA60="Yes","",VLOOKUP(BR60,Reinforcements[],COLUMN(Reinforcements[[#Headers],[Top Transverse Weld Fillet Size (in)]])-1,FALSE)*CX60*MIN(IF(Rev="F",0.4,φ_shear_yield*0.6)*$D$6,IF(Rev="F",0.3,φ_shear_rupture*0.6)*$D$7))</f>
        <v>#N/A</v>
      </c>
      <c r="DF60" s="248" t="e">
        <f>IF(Rev="F",VLOOKUP(BR60,Reinforcements[],COLUMN(Reinforcements[[#Headers],[Rev. F Top Longitudinal Weld Strength]])-1,FALSE),VLOOKUP(BR60,Reinforcements[],COLUMN(Reinforcements[[#Headers],[Rev. G Top Longitudinal Weld Strength]])-1,FALSE))</f>
        <v>#N/A</v>
      </c>
      <c r="DG60" s="248" t="e">
        <f>2*VLOOKUP(BR60,Reinforcements[],COLUMN(Reinforcements[[#Headers],[Top Longitudinal Weld Fillet Size (in)]])-1,FALSE)*CZ60*MIN(IF(Rev="F",0.4,φ_shear_yield*0.6)*CG60,IF(Rev="F",0.3,φ_shear_rupture*0.6)*CH60)</f>
        <v>#N/A</v>
      </c>
      <c r="DH60" s="248" t="e">
        <f>2*VLOOKUP(BR60,Reinforcements[],COLUMN(Reinforcements[[#Headers],[Top Longitudinal Weld Fillet Size (in)]])-1,FALSE)*CZ60*MIN(IF(Rev="F",0.4,φ_shear_yield*0.6)*$D$6,IF(Rev="F",0.3,φ_shear_rupture*0.6)*$D$7)</f>
        <v>#N/A</v>
      </c>
      <c r="DI60" s="49" t="e">
        <f>IF(BS60="channel",VLOOKUP(Calculations!BR60,Reinforcements[],COLUMN(Reinforcements[[#Headers],['[Channel']Web Thickness (in)]])-1,FALSE),"")</f>
        <v>#N/A</v>
      </c>
      <c r="DJ60" s="49" t="b">
        <f>OR(AND(CJ60,CP60="Yes"),AND(CK60,DA60="Yes"))</f>
        <v>0</v>
      </c>
      <c r="DK60" s="49" t="e">
        <f>IF(BS60="channel",Calculations!BU60-DI60,"")</f>
        <v>#N/A</v>
      </c>
      <c r="DL60" s="49" t="e">
        <f>IF(BS60="channel",(Calculations!BY60-Calculations!BT60*DI60)/(2*DK60))</f>
        <v>#N/A</v>
      </c>
      <c r="DM60" s="49" t="e">
        <f>IF(BS60="channel",(Calculations!BT60*(DI60^2)/2+2*DK60*DL60*(DI60+DK60/2))/Calculations!BY60,"")</f>
        <v>#N/A</v>
      </c>
    </row>
    <row r="61" spans="2:117" ht="15.75" customHeight="1" x14ac:dyDescent="0.25">
      <c r="B61" s="49" t="str">
        <f t="shared" ref="B61:B96" si="70">IFERROR(F61*IF(CI61="Yes",BP61,1),"")</f>
        <v/>
      </c>
      <c r="C61" s="201">
        <v>2</v>
      </c>
      <c r="D61" s="255" t="str">
        <f>IF(BQ61="","",IF($D$8=0,IF(OR(VLOOKUP(BQ61,Input!$B$21:$AL$50,19+C61,FALSE)+$D$5=0,VLOOKUP(BQ61,Input!$B$21:$AL$50,19+C61,FALSE)+$D$5=180),VLOOKUP(BQ61,Input!$B$21:$AL$50,19+C61,FALSE)+$D$5+0.0001,VLOOKUP(BQ61,Input!$B$21:$AL$50,19+C61,FALSE)+$D$5),IF(VLOOKUP(BQ61,Input!$B$21:$AL$50,19+C61,FALSE)="c",VLOOKUP($C61,$C$40:$E$57,2,FALSE)+180/$D$8,VLOOKUP($C61,$C$40:$E$57,2,FALSE))))</f>
        <v/>
      </c>
      <c r="E61" s="17" t="str">
        <f t="shared" si="39"/>
        <v/>
      </c>
      <c r="F61" s="258" t="str">
        <f>IF(BR61="","",VLOOKUP(BR61,Reinforcements[],COLUMN(Reinforcements[[#Headers],[Gross Area (in2)]])-1,FALSE))</f>
        <v/>
      </c>
      <c r="G61" s="256" t="e">
        <f>(IF(VLOOKUP(BQ61,Input!$B$21:$AL$50,19+C61,FALSE)="c",$D$20/COS(RADIANS(180/$D$8)),$D$20)+CA61)*SIN(RADIANS(D61))-IF(AND(ISNUMBER(VLOOKUP(BQ61,Input!$B$21:$AL$50,19+C61,FALSE)),$D$8&lt;&gt;0),VLOOKUP(BQ61,Input!$B$21:$AL$50,19+C61,FALSE)*COS(RADIANS(D61)),0)</f>
        <v>#N/A</v>
      </c>
      <c r="H61" s="251" t="str">
        <f t="shared" ref="H61:H77" si="71">IF(ISERROR(F61*G61),"",F61*G61)</f>
        <v/>
      </c>
      <c r="I61" s="251" t="e">
        <f t="shared" si="40"/>
        <v>#N/A</v>
      </c>
      <c r="J61" s="251" t="e">
        <f t="shared" si="41"/>
        <v>#N/A</v>
      </c>
      <c r="K61" s="251" t="e">
        <f t="shared" si="42"/>
        <v>#N/A</v>
      </c>
      <c r="L61" s="251" t="e">
        <f t="shared" ref="L61:L77" si="72">(J61+K61)/2+(J61-K61)/2*COS(2*RADIANS(D61+90))</f>
        <v>#N/A</v>
      </c>
      <c r="M61" s="252" t="str">
        <f t="shared" ref="M61:M77" si="73">IFERROR((L61+F61*I61^2)*IF(CI61="Yes",BP61,1),"")</f>
        <v/>
      </c>
      <c r="N61" s="250" t="str">
        <f>IFERROR((IF(VLOOKUP(BQ61,Input!$B$21:$AL$50,19+C61,FALSE)="c",$D$20/COS(RADIANS(180/$D$8)),$D$20)+CA61)*SIN(RADIANS(D61))-IF(AND(ISNUMBER(VLOOKUP(BQ61,Input!$B$21:$AL$50,19+C61,FALSE)),$D$8&lt;&gt;0),VLOOKUP(BQ61,Input!$B$21:$AL$50,19+C61,FALSE)*COS(RADIANS(D61)),0)-$D$35,"")</f>
        <v/>
      </c>
      <c r="O61" s="253" t="str">
        <f t="shared" si="43"/>
        <v/>
      </c>
      <c r="P61" s="253" t="str">
        <f t="shared" si="44"/>
        <v/>
      </c>
      <c r="Q61" s="253" t="str">
        <f t="shared" si="45"/>
        <v/>
      </c>
      <c r="R61" s="254" t="str">
        <f t="shared" si="46"/>
        <v/>
      </c>
      <c r="S61" s="251" t="str">
        <f t="shared" ref="S61:S77" si="74">IFERROR(BV61+(-BU61/2)*SIN(RADIANS(D61))+(BT61/2)*COS(RADIANS(D61)),"")</f>
        <v/>
      </c>
      <c r="T61" s="251" t="str">
        <f t="shared" ref="T61:T77" si="75">IFERROR(BV61+(BU61/2)*SIN(RADIANS(D61))+(BT61/2)*COS(RADIANS(D61)),"")</f>
        <v/>
      </c>
      <c r="U61" s="251" t="str">
        <f t="shared" ref="U61:U77" si="76">IFERROR(BV61+(BU61/2)*SIN(RADIANS(D61))+(-BT61/2)*COS(RADIANS(D61)),"")</f>
        <v/>
      </c>
      <c r="V61" s="252" t="str">
        <f t="shared" ref="V61:V77" si="77">IFERROR(BV61+(-BU61/2)*SIN(RADIANS(D61))+(-BT61/2)*COS(RADIANS(D61)),"")</f>
        <v/>
      </c>
      <c r="W61" s="323"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324"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324"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324" t="str">
        <f>IFERROR(IF('Macro References'!$A$9,IF(AND(CJ61,CL61="Welded"),MIN(CQ61:CT61),IF(AND(CK61,CL61="Welded"),MIN(DB61:DE61),"")),""),"")</f>
        <v/>
      </c>
      <c r="AA61" s="255" t="str">
        <f>IFERROR(IF('Macro References'!$A$9,IF(AND(CJ61,CL61="Welded"),MIN(CU61:CW61),IF(AND(CK61,CL61="Welded"),MIN(DF61:DH61),"")),""),"")</f>
        <v/>
      </c>
      <c r="AB61" s="255" t="str">
        <f>IFERROR(IF('Macro References'!$A$9,IF(AND(CJ61,CL61="Welded",CN61="Fillet",CU61&gt;0),TRUE,IF(AND(CK61,CL61="Welded",CY61="Fillet",DF61&gt;0),TRUE,"")),""),"")</f>
        <v/>
      </c>
      <c r="AC61" s="255"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255"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32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248"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32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274" t="str">
        <f t="shared" si="47"/>
        <v/>
      </c>
      <c r="AI61" s="255" t="str">
        <f t="shared" si="48"/>
        <v/>
      </c>
      <c r="AJ61" s="255" t="str">
        <f t="shared" si="49"/>
        <v/>
      </c>
      <c r="AK61" s="255" t="str">
        <f>IFERROR(IF(AND(Z61="",AA61=""),"",ABS((IF(AB61=TRUE,MAX(0.85*AA61+1.5*Z61,AA61+Z61),SUM(Z61:AA61))/BY61)/N61*$D$25)),"")</f>
        <v/>
      </c>
      <c r="AL61" s="248" t="str">
        <f t="shared" ref="AL61:AL96" si="78">IFERROR(ABS((AC61/BY61)/N61*$D$25),"")</f>
        <v/>
      </c>
      <c r="AM61" s="255" t="str">
        <f>""</f>
        <v/>
      </c>
      <c r="AN61" s="255" t="str">
        <f t="shared" si="50"/>
        <v/>
      </c>
      <c r="AO61" s="248" t="str">
        <f t="shared" si="51"/>
        <v/>
      </c>
      <c r="AP61" s="275" t="str">
        <f t="shared" si="52"/>
        <v/>
      </c>
      <c r="AQ61" s="276" t="str">
        <f t="shared" si="53"/>
        <v/>
      </c>
      <c r="AR61" s="255" t="str">
        <f>IF(BR61="","",VLOOKUP(VLOOKUP(BR61,Reinforcements[],COLUMN(Reinforcements[[#Headers],[Material]])-1,FALSE),Materials[],2,FALSE)/$D$28)</f>
        <v/>
      </c>
      <c r="AS61" s="248" t="str">
        <f t="shared" si="54"/>
        <v/>
      </c>
      <c r="AT61" s="327" t="str">
        <f t="shared" si="55"/>
        <v/>
      </c>
      <c r="AU61" s="277">
        <f t="shared" si="56"/>
        <v>0</v>
      </c>
      <c r="AV61" s="278">
        <f t="shared" si="57"/>
        <v>0</v>
      </c>
      <c r="AW61" s="278" t="e">
        <f t="shared" si="58"/>
        <v>#N/A</v>
      </c>
      <c r="AX61" s="278" t="e">
        <f t="shared" si="59"/>
        <v>#N/A</v>
      </c>
      <c r="AY61" s="278" t="str">
        <f t="shared" si="60"/>
        <v/>
      </c>
      <c r="AZ61" s="278" t="e">
        <f t="shared" si="61"/>
        <v>#VALUE!</v>
      </c>
      <c r="BA61" s="295" t="str">
        <f t="shared" si="62"/>
        <v/>
      </c>
      <c r="BB61" s="297" t="str">
        <f t="shared" ref="BB61:BB77" si="79">IFERROR(IF(MAX(AVERAGE(O61:P61),AVERAGE(Q61:R61))&gt;$AR61,MIN((MAX(AVERAGE(O61:P61),AVERAGE(Q61:R61))-$AR61)/COS(RADIANS($E61)),$BW61)*$BX61*$CG61,""),"")</f>
        <v/>
      </c>
      <c r="BC61" s="298" t="str">
        <f t="shared" si="63"/>
        <v/>
      </c>
      <c r="BD61" s="298" t="str">
        <f t="shared" si="64"/>
        <v/>
      </c>
      <c r="BE61" s="295" t="str">
        <f t="shared" ref="BE61:BE77" si="80">IFERROR(IF(CI61="Yes","",IF(MIN(AVERAGE(O61:P61),AVERAGE(Q61:R61))&lt;-$AR61,MAX((MIN(AVERAGE(O61:P61),AVERAGE(Q61:R61))+$AR61)/COS(RADIANS($E61)),-$BW61)*$BX61*$CG61,"")),"")</f>
        <v/>
      </c>
      <c r="BF61" s="299" t="e">
        <f t="shared" ref="BF61:BF77" si="81">IF(MAX(AVERAGE(O61:P61),AVERAGE(Q61:R61))&gt;$AR61,MAX(AVERAGE(MAX(AVERAGE(O61:P61),AVERAGE(Q61:R61)),$AR61),AVERAGE(O61:R61)),"")</f>
        <v>#DIV/0!</v>
      </c>
      <c r="BG61" s="300" t="str">
        <f t="shared" si="65"/>
        <v/>
      </c>
      <c r="BH61" s="300" t="str">
        <f t="shared" si="66"/>
        <v/>
      </c>
      <c r="BI61" s="295" t="e">
        <f t="shared" ref="BI61:BI77" si="82">IF(MIN(AVERAGE(O61:P61),AVERAGE(Q61:R61))&lt;-$AR61,MIN(AVERAGE(MIN(AVERAGE(O61:P61),AVERAGE(Q61:R61)),-$AR61),AVERAGE(O61:R61)),"")</f>
        <v>#DIV/0!</v>
      </c>
      <c r="BJ61" s="299" t="str">
        <f t="shared" ref="BJ61:BJ77" si="83">IFERROR(IF(BB61="",0,ABS(BB61))*IF(BF61="",0,ABS(BF61))+IF(BC61="",0,ABS(BC61))*IF(BG61="",0,ABS(BG61))+IF(BD61="",0,ABS(BD61))*IF(BH61="",0,ABS(BH61))+IF(BE61="",0,ABS(BE61))*IF(BI61="",0,ABS(BI61)),"")</f>
        <v/>
      </c>
      <c r="BK61" s="278" t="e">
        <f t="shared" si="67"/>
        <v>#DIV/0!</v>
      </c>
      <c r="BL61" s="49" t="str">
        <f t="shared" si="68"/>
        <v/>
      </c>
      <c r="BP61" s="25" t="e">
        <f t="shared" si="69"/>
        <v>#DIV/0!</v>
      </c>
      <c r="BQ61" s="223" t="str">
        <f>IFERROR(VALUE(LEFT(VLOOKUP(Calculations!$D$4,Results!$G$5:$CM$105,67+$C61,FALSE),FIND(";",VLOOKUP(Calculations!$D$4,Results!$G$5:$CM$105,67+$C61,FALSE))-1)),"")</f>
        <v/>
      </c>
      <c r="BR61" s="303" t="str">
        <f>IF(BQ61="","",VLOOKUP(BQ61,Input!$B$21:$Q$50,13,FALSE))</f>
        <v/>
      </c>
      <c r="BS61" s="248" t="e">
        <f>VLOOKUP(BR61,Reinforcements[],COLUMN(Reinforcements[[#Headers],[Type]])-1,FALSE)</f>
        <v>#N/A</v>
      </c>
      <c r="BT61" s="248" t="e">
        <f>IF(BS61="solid round",VLOOKUP(BR61,Reinforcements[],COLUMN(Reinforcements[[#Headers],[Diameter (in)]])-1,FALSE),VLOOKUP(BR61,Reinforcements[],COLUMN(Reinforcements[[#Headers],[B (in)]])-1,FALSE))</f>
        <v>#N/A</v>
      </c>
      <c r="BU61" s="248" t="e">
        <f>IF(BS61="solid round",VLOOKUP(BR61,Reinforcements[],COLUMN(Reinforcements[[#Headers],[Diameter (in)]])-1,FALSE),VLOOKUP(BR61,Reinforcements[],COLUMN(Reinforcements[[#Headers],[H (in)]])-1,FALSE))</f>
        <v>#N/A</v>
      </c>
      <c r="BV61" s="278" t="e">
        <f>IFERROR((IF(VLOOKUP(BQ61,Input!$B$21:$AL$50,19+C61,FALSE)="c",$D$20/COS(RADIANS(180/$D$8)),$D$20)+BU61/2)*SIN(RADIANS(D61))-IF(ISNUMBER(VLOOKUP(BQ61,Input!$B$21:$AL$50,19+C61,FALSE)),VLOOKUP(BQ61,Input!$B$21:$AL$50,19+C61,FALSE)*COS(RADIANS(D61)),0)-$D$35,"")*0+N61*1</f>
        <v>#VALUE!</v>
      </c>
      <c r="BW61" s="248" t="e">
        <f>VLOOKUP(BR61,Reinforcements[],COLUMN(Reinforcements[[#Headers],[Effective B (in)]])-1,FALSE)</f>
        <v>#N/A</v>
      </c>
      <c r="BX61" s="248" t="e">
        <f>VLOOKUP(BR61,Reinforcements[],COLUMN(Reinforcements[[#Headers],[Effective H (in)]])-1,FALSE)</f>
        <v>#N/A</v>
      </c>
      <c r="BY61" s="248" t="e">
        <f>VLOOKUP(BR61,Reinforcements[],COLUMN(Reinforcements[[#Headers],[Gross Area (in2)]])-1,FALSE)</f>
        <v>#N/A</v>
      </c>
      <c r="BZ61" s="255" t="s">
        <v>697</v>
      </c>
      <c r="CA61" s="248" t="e">
        <f>VLOOKUP(BR61,Reinforcements[],COLUMN(Reinforcements[[#Headers],[Pole Face to Centroid (in)]])-1,FALSE)</f>
        <v>#N/A</v>
      </c>
      <c r="CB61" s="248" t="e">
        <f>VLOOKUP(BR61,Reinforcements[],COLUMN(Reinforcements[[#Headers],[Equivalent Rectangle Ix (in4)]])-1,FALSE)</f>
        <v>#N/A</v>
      </c>
      <c r="CC61" s="248" t="e">
        <f>VLOOKUP(BR61,Reinforcements[],COLUMN(Reinforcements[[#Headers],[Equivalent Rectangle Iy (in4)]])-1,FALSE)</f>
        <v>#N/A</v>
      </c>
      <c r="CD61" s="248" t="e">
        <f>VLOOKUP(BR61,Reinforcements[],COLUMN(Reinforcements[[#Headers],[Lu (in)]])-1,FALSE)</f>
        <v>#N/A</v>
      </c>
      <c r="CE61" s="255" t="s">
        <v>697</v>
      </c>
      <c r="CF61" s="255" t="s">
        <v>697</v>
      </c>
      <c r="CG61" s="248" t="e">
        <f>VLOOKUP(VLOOKUP(BR61,Reinforcements[],COLUMN(Reinforcements[[#Headers],[Material]])-1,FALSE),Materials[],2,FALSE)</f>
        <v>#N/A</v>
      </c>
      <c r="CH61" s="248" t="e">
        <f>VLOOKUP(VLOOKUP(BR61,Reinforcements[],COLUMN(Reinforcements[[#Headers],[Material]])-1,FALSE),Materials[],3,FALSE)</f>
        <v>#N/A</v>
      </c>
      <c r="CI61" s="255" t="e">
        <f>VLOOKUP(BR61,Reinforcements[],COLUMN(Reinforcements[[#Headers],[Tension Only?]])-1,FALSE)</f>
        <v>#N/A</v>
      </c>
      <c r="CJ61" s="17" t="str">
        <f>IF(BQ61="","",AND(INDEX(Results!$G$5:$G$104,MATCH(VLOOKUP($BQ61,Input!$B$21:$J$50,2,FALSE)-0.001,Results!$G$5:$G$104,-1))=$D$4))</f>
        <v/>
      </c>
      <c r="CK61" s="17" t="str">
        <f>IF(BQ61="","",AND(INDEX('Macro References'!$BB$2:$BB$101,MATCH(VLOOKUP($BQ61,Input!$B$21:$J$50,6,FALSE)-0.001,'Macro References'!$BB$2:$BB$101,1))=$D$4))</f>
        <v/>
      </c>
      <c r="CL61" s="17" t="e">
        <f>IF(CJ61,VLOOKUP(BR61,Reinforcements[],COLUMN(Reinforcements[[#Headers],[Bottom End Connection Type]])-1,FALSE),IF(CK61,VLOOKUP(BR61,Reinforcements[],COLUMN(Reinforcements[[#Headers],[Top End Connection Type]])-1,FALSE),""))</f>
        <v>#VALUE!</v>
      </c>
      <c r="CM61" s="17" t="e">
        <f>IF(ISBLANK(VLOOKUP(BR61,Reinforcements[],COLUMN(Reinforcements[[#Headers],[Bottom Transverse Weld Length]])-1,FALSE)),"",(VLOOKUP(BR61,Reinforcements[],COLUMN(Reinforcements[[#Headers],[Bottom Transverse Weld Length]])-1,FALSE)))</f>
        <v>#N/A</v>
      </c>
      <c r="CN61" s="17" t="e">
        <f>IF(ISBLANK(VLOOKUP(BR61,Reinforcements[],COLUMN(Reinforcements[[#Headers],[Bottom Transverse (Horizontal) Weld]])-1,FALSE)),"",(VLOOKUP(BR61,Reinforcements[],COLUMN(Reinforcements[[#Headers],[Bottom Transverse (Horizontal) Weld]])-1,FALSE)))</f>
        <v>#N/A</v>
      </c>
      <c r="CO61" s="17" t="e">
        <f>IF(ISBLANK(VLOOKUP(BR61,Reinforcements[],COLUMN(Reinforcements[[#Headers],[Bottom Longitudinal Weld Length]])-1,FALSE)),"",(VLOOKUP(BR61,Reinforcements[],COLUMN(Reinforcements[[#Headers],[Bottom Longitudinal Weld Length]])-1,FALSE)))</f>
        <v>#N/A</v>
      </c>
      <c r="CP61" s="17" t="str">
        <f>IFERROR(VLOOKUP(BR61,Reinforcements[],COLUMN(Reinforcements[[#Headers],[Bottom Connected to Flange/Base Plate?]])-1,FALSE),"")</f>
        <v/>
      </c>
      <c r="CQ61" s="248" t="e">
        <f>IF(Rev="F",VLOOKUP(BR61,Reinforcements[],COLUMN(Reinforcements[[#Headers],[Rev. F Bottom Transverse Weld Strength]])-1,FALSE),VLOOKUP(BR61,Reinforcements[],COLUMN(Reinforcements[[#Headers],[Rev. G Bottom Transverse Weld Strength]])-1,FALSE))</f>
        <v>#N/A</v>
      </c>
      <c r="CR61" s="248"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248" t="str">
        <f>IF(CP61&lt;&gt;"Yes","",(VLOOKUP(BR61,Reinforcements[],COLUMN(Reinforcements[[#Headers],[Bottom Transverse Weld Groove Depth (in)]])-1,FALSE)+VLOOKUP(BR61,Reinforcements[],COLUMN(Reinforcements[[#Headers],[Bottom Transverse Weld Fillet Size (in)]])-1,FALSE))*CM61*IF(Rev="F",0.6,φ_t_y)*$D$14)</f>
        <v/>
      </c>
      <c r="CT61" s="248" t="e">
        <f>IF(CP61="Yes","",VLOOKUP(BR61,Reinforcements[],COLUMN(Reinforcements[[#Headers],[Bottom Transverse Weld Fillet Size (in)]])-1,FALSE)*CM61*MIN(IF(Rev="F",0.4,φ_shear_yield*0.6)*$D$6,IF(Rev="F",0.3,φ_shear_rupture*0.6)*$D$7))</f>
        <v>#N/A</v>
      </c>
      <c r="CU61" s="248" t="e">
        <f>IF(Rev="F",VLOOKUP(BR61,Reinforcements[],COLUMN(Reinforcements[[#Headers],[Rev. F Bottom Longitudinal Weld Strength]])-1,FALSE),VLOOKUP(BR61,Reinforcements[],COLUMN(Reinforcements[[#Headers],[Rev. G Bottom Longitudinal Weld Strength]])-1,FALSE))</f>
        <v>#N/A</v>
      </c>
      <c r="CV61" s="248" t="e">
        <f>2*VLOOKUP(BR61,Reinforcements[],COLUMN(Reinforcements[[#Headers],[Bottom Longitudinal Weld Fillet Size (in)]])-1,FALSE)*CO61*MIN(IF(Rev="F",0.4,φ_shear_yield*0.6)*CG61,IF(Rev="F",0.3,φ_shear_rupture*0.6)*CH61)</f>
        <v>#N/A</v>
      </c>
      <c r="CW61" s="248" t="e">
        <f>2*VLOOKUP(BR61,Reinforcements[],COLUMN(Reinforcements[[#Headers],[Bottom Longitudinal Weld Fillet Size (in)]])-1,FALSE)*CO61*MIN(IF(Rev="F",0.4,φ_shear_yield*0.6)*$D$6,IF(Rev="F",0.3,φ_shear_rupture*0.6)*$D$7)</f>
        <v>#N/A</v>
      </c>
      <c r="CX61" s="248" t="e">
        <f>IF(ISBLANK(VLOOKUP(BR61,Reinforcements[],COLUMN(Reinforcements[[#Headers],[Top Transverse Weld Length]])-1,FALSE)),"",(VLOOKUP(BR61,Reinforcements[],COLUMN(Reinforcements[[#Headers],[Top Transverse Weld Length]])-1,FALSE)))</f>
        <v>#N/A</v>
      </c>
      <c r="CY61" s="248" t="e">
        <f>IF(ISBLANK(VLOOKUP(BR61,Reinforcements[],COLUMN(Reinforcements[[#Headers],[Top Transverse (Horizontal) Weld]])-1,FALSE)),"",(VLOOKUP(BR61,Reinforcements[],COLUMN(Reinforcements[[#Headers],[Top Transverse (Horizontal) Weld]])-1,FALSE)))</f>
        <v>#N/A</v>
      </c>
      <c r="CZ61" s="248" t="e">
        <f>IF(ISBLANK(VLOOKUP(BR61,Reinforcements[],COLUMN(Reinforcements[[#Headers],[Top Longitudinal Weld Length]])-1,FALSE)),"",(VLOOKUP(BR61,Reinforcements[],COLUMN(Reinforcements[[#Headers],[Top Longitudinal Weld Length]])-1,FALSE)))</f>
        <v>#N/A</v>
      </c>
      <c r="DA61" s="248" t="str">
        <f>IFERROR(VLOOKUP(BR61,Reinforcements[],COLUMN(Reinforcements[[#Headers],[Top Connected to Flange/Base Plate?]])-1,FALSE),"")</f>
        <v/>
      </c>
      <c r="DB61" s="248" t="e">
        <f>IF(Rev="F",VLOOKUP(BR61,Reinforcements[],COLUMN(Reinforcements[[#Headers],[Rev. F Top Transverse Weld Strength]])-1,FALSE),VLOOKUP(BR61,Reinforcements[],COLUMN(Reinforcements[[#Headers],[Rev. G Top Transverse Weld Strength]])-1,FALSE))</f>
        <v>#N/A</v>
      </c>
      <c r="DC61" s="248"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248" t="str">
        <f>IF(DA61&lt;&gt;"Yes","",(VLOOKUP(BR61,Reinforcements[],COLUMN(Reinforcements[[#Headers],[Top Transverse Weld Groove Depth (in)]])-1,FALSE)+VLOOKUP(BR61,Reinforcements[],COLUMN(Reinforcements[[#Headers],[Top Transverse Weld Fillet Size (in)]])-1,FALSE))*CX61*IF(Rev="F",0.6,φ_t_y)*$D$14)</f>
        <v/>
      </c>
      <c r="DE61" s="248" t="e">
        <f>IF(DA61="Yes","",VLOOKUP(BR61,Reinforcements[],COLUMN(Reinforcements[[#Headers],[Top Transverse Weld Fillet Size (in)]])-1,FALSE)*CX61*MIN(IF(Rev="F",0.4,φ_shear_yield*0.6)*$D$6,IF(Rev="F",0.3,φ_shear_rupture*0.6)*$D$7))</f>
        <v>#N/A</v>
      </c>
      <c r="DF61" s="248" t="e">
        <f>IF(Rev="F",VLOOKUP(BR61,Reinforcements[],COLUMN(Reinforcements[[#Headers],[Rev. F Top Longitudinal Weld Strength]])-1,FALSE),VLOOKUP(BR61,Reinforcements[],COLUMN(Reinforcements[[#Headers],[Rev. G Top Longitudinal Weld Strength]])-1,FALSE))</f>
        <v>#N/A</v>
      </c>
      <c r="DG61" s="248" t="e">
        <f>2*VLOOKUP(BR61,Reinforcements[],COLUMN(Reinforcements[[#Headers],[Top Longitudinal Weld Fillet Size (in)]])-1,FALSE)*CZ61*MIN(IF(Rev="F",0.4,φ_shear_yield*0.6)*CG61,IF(Rev="F",0.3,φ_shear_rupture*0.6)*CH61)</f>
        <v>#N/A</v>
      </c>
      <c r="DH61" s="248" t="e">
        <f>2*VLOOKUP(BR61,Reinforcements[],COLUMN(Reinforcements[[#Headers],[Top Longitudinal Weld Fillet Size (in)]])-1,FALSE)*CZ61*MIN(IF(Rev="F",0.4,φ_shear_yield*0.6)*$D$6,IF(Rev="F",0.3,φ_shear_rupture*0.6)*$D$7)</f>
        <v>#N/A</v>
      </c>
      <c r="DI61" s="49" t="e">
        <f>IF(BS61="channel",VLOOKUP(Calculations!BR61,Reinforcements[],COLUMN(Reinforcements[[#Headers],['[Channel']Web Thickness (in)]])-1,FALSE),"")</f>
        <v>#N/A</v>
      </c>
      <c r="DJ61" s="49" t="b">
        <f t="shared" ref="DJ61:DJ77" si="84">OR(AND(CJ61,CP61="Yes"),AND(CK61,DA61="Yes"))</f>
        <v>0</v>
      </c>
      <c r="DK61" s="49" t="e">
        <f>IF(BS61="channel",Calculations!BU61-DI61,"")</f>
        <v>#N/A</v>
      </c>
      <c r="DL61" s="49" t="e">
        <f>IF(BS61="channel",(Calculations!BY61-Calculations!BT61*DI61)/(2*DK61))</f>
        <v>#N/A</v>
      </c>
      <c r="DM61" s="49" t="e">
        <f>IF(BS61="channel",(Calculations!BT61*(DI61^2)/2+2*DK61*DL61*(DI61+DK61/2))/Calculations!BY61,"")</f>
        <v>#N/A</v>
      </c>
    </row>
    <row r="62" spans="2:117" ht="18" customHeight="1" x14ac:dyDescent="0.25">
      <c r="B62" s="49" t="str">
        <f t="shared" si="70"/>
        <v/>
      </c>
      <c r="C62" s="201">
        <v>3</v>
      </c>
      <c r="D62" s="255" t="str">
        <f>IF(BQ62="","",IF($D$8=0,IF(OR(VLOOKUP(BQ62,Input!$B$21:$AL$50,19+C62,FALSE)+$D$5=0,VLOOKUP(BQ62,Input!$B$21:$AL$50,19+C62,FALSE)+$D$5=180),VLOOKUP(BQ62,Input!$B$21:$AL$50,19+C62,FALSE)+$D$5+0.0001,VLOOKUP(BQ62,Input!$B$21:$AL$50,19+C62,FALSE)+$D$5),IF(VLOOKUP(BQ62,Input!$B$21:$AL$50,19+C62,FALSE)="c",VLOOKUP($C62,$C$40:$E$57,2,FALSE)+180/$D$8,VLOOKUP($C62,$C$40:$E$57,2,FALSE))))</f>
        <v/>
      </c>
      <c r="E62" s="17" t="str">
        <f t="shared" si="39"/>
        <v/>
      </c>
      <c r="F62" s="258" t="str">
        <f>IF(BR62="","",VLOOKUP(BR62,Reinforcements[],COLUMN(Reinforcements[[#Headers],[Gross Area (in2)]])-1,FALSE))</f>
        <v/>
      </c>
      <c r="G62" s="256" t="e">
        <f>(IF(VLOOKUP(BQ62,Input!$B$21:$AL$50,19+C62,FALSE)="c",$D$20/COS(RADIANS(180/$D$8)),$D$20)+CA62)*SIN(RADIANS(D62))-IF(AND(ISNUMBER(VLOOKUP(BQ62,Input!$B$21:$AL$50,19+C62,FALSE)),$D$8&lt;&gt;0),VLOOKUP(BQ62,Input!$B$21:$AL$50,19+C62,FALSE)*COS(RADIANS(D62)),0)</f>
        <v>#N/A</v>
      </c>
      <c r="H62" s="251" t="str">
        <f t="shared" si="71"/>
        <v/>
      </c>
      <c r="I62" s="251" t="e">
        <f t="shared" si="40"/>
        <v>#N/A</v>
      </c>
      <c r="J62" s="251" t="e">
        <f t="shared" si="41"/>
        <v>#N/A</v>
      </c>
      <c r="K62" s="251" t="e">
        <f t="shared" si="42"/>
        <v>#N/A</v>
      </c>
      <c r="L62" s="251" t="e">
        <f t="shared" si="72"/>
        <v>#N/A</v>
      </c>
      <c r="M62" s="252" t="str">
        <f t="shared" si="73"/>
        <v/>
      </c>
      <c r="N62" s="250" t="str">
        <f>IFERROR((IF(VLOOKUP(BQ62,Input!$B$21:$AL$50,19+C62,FALSE)="c",$D$20/COS(RADIANS(180/$D$8)),$D$20)+CA62)*SIN(RADIANS(D62))-IF(AND(ISNUMBER(VLOOKUP(BQ62,Input!$B$21:$AL$50,19+C62,FALSE)),$D$8&lt;&gt;0),VLOOKUP(BQ62,Input!$B$21:$AL$50,19+C62,FALSE)*COS(RADIANS(D62)),0)-$D$35,"")</f>
        <v/>
      </c>
      <c r="O62" s="253" t="str">
        <f t="shared" si="43"/>
        <v/>
      </c>
      <c r="P62" s="253" t="str">
        <f t="shared" si="44"/>
        <v/>
      </c>
      <c r="Q62" s="253" t="str">
        <f t="shared" si="45"/>
        <v/>
      </c>
      <c r="R62" s="254" t="str">
        <f t="shared" si="46"/>
        <v/>
      </c>
      <c r="S62" s="251" t="str">
        <f t="shared" si="74"/>
        <v/>
      </c>
      <c r="T62" s="251" t="str">
        <f t="shared" si="75"/>
        <v/>
      </c>
      <c r="U62" s="251" t="str">
        <f t="shared" si="76"/>
        <v/>
      </c>
      <c r="V62" s="252" t="str">
        <f t="shared" si="77"/>
        <v/>
      </c>
      <c r="W62" s="323"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324"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324"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324" t="str">
        <f>IFERROR(IF('Macro References'!$A$9,IF(AND(CJ62,CL62="Welded"),MIN(CQ62:CT62),IF(AND(CK62,CL62="Welded"),MIN(DB62:DE62),"")),""),"")</f>
        <v/>
      </c>
      <c r="AA62" s="255" t="str">
        <f>IFERROR(IF('Macro References'!$A$9,IF(AND(CJ62,CL62="Welded"),MIN(CU62:CW62),IF(AND(CK62,CL62="Welded"),MIN(DF62:DH62),"")),""),"")</f>
        <v/>
      </c>
      <c r="AB62" s="255" t="str">
        <f>IFERROR(IF('Macro References'!$A$9,IF(AND(CJ62,CL62="Welded",CN62="Fillet",CU62&gt;0),TRUE,IF(AND(CK62,CL62="Welded",CY62="Fillet",DF62&gt;0),TRUE,"")),""),"")</f>
        <v/>
      </c>
      <c r="AC62" s="255"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255"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32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248"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32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274" t="str">
        <f t="shared" si="47"/>
        <v/>
      </c>
      <c r="AI62" s="255" t="str">
        <f t="shared" si="48"/>
        <v/>
      </c>
      <c r="AJ62" s="255" t="str">
        <f t="shared" si="49"/>
        <v/>
      </c>
      <c r="AK62" s="255" t="str">
        <f>IFERROR(IF(AND(Z62="",AA62=""),"",ABS((IF(AB62=TRUE,MAX(0.85*AA62+1.5*Z62,AA62+Z62),SUM(Z62:AA62))/BY62)/N62*$D$25)),"")</f>
        <v/>
      </c>
      <c r="AL62" s="248" t="str">
        <f t="shared" si="78"/>
        <v/>
      </c>
      <c r="AM62" s="255" t="str">
        <f>""</f>
        <v/>
      </c>
      <c r="AN62" s="255" t="str">
        <f t="shared" si="50"/>
        <v/>
      </c>
      <c r="AO62" s="248" t="str">
        <f t="shared" si="51"/>
        <v/>
      </c>
      <c r="AP62" s="275" t="str">
        <f t="shared" si="52"/>
        <v/>
      </c>
      <c r="AQ62" s="276" t="str">
        <f t="shared" si="53"/>
        <v/>
      </c>
      <c r="AR62" s="255" t="str">
        <f>IF(BR62="","",VLOOKUP(VLOOKUP(BR62,Reinforcements[],COLUMN(Reinforcements[[#Headers],[Material]])-1,FALSE),Materials[],2,FALSE)/$D$28)</f>
        <v/>
      </c>
      <c r="AS62" s="248" t="str">
        <f t="shared" si="54"/>
        <v/>
      </c>
      <c r="AT62" s="327" t="str">
        <f t="shared" si="55"/>
        <v/>
      </c>
      <c r="AU62" s="277">
        <f t="shared" si="56"/>
        <v>0</v>
      </c>
      <c r="AV62" s="278">
        <f t="shared" si="57"/>
        <v>0</v>
      </c>
      <c r="AW62" s="278" t="e">
        <f t="shared" si="58"/>
        <v>#N/A</v>
      </c>
      <c r="AX62" s="278" t="e">
        <f t="shared" si="59"/>
        <v>#N/A</v>
      </c>
      <c r="AY62" s="278" t="str">
        <f t="shared" si="60"/>
        <v/>
      </c>
      <c r="AZ62" s="278" t="e">
        <f t="shared" si="61"/>
        <v>#VALUE!</v>
      </c>
      <c r="BA62" s="295" t="str">
        <f t="shared" si="62"/>
        <v/>
      </c>
      <c r="BB62" s="297" t="str">
        <f t="shared" si="79"/>
        <v/>
      </c>
      <c r="BC62" s="298" t="str">
        <f t="shared" si="63"/>
        <v/>
      </c>
      <c r="BD62" s="298" t="str">
        <f t="shared" si="64"/>
        <v/>
      </c>
      <c r="BE62" s="295" t="str">
        <f t="shared" si="80"/>
        <v/>
      </c>
      <c r="BF62" s="299" t="e">
        <f t="shared" si="81"/>
        <v>#DIV/0!</v>
      </c>
      <c r="BG62" s="300" t="str">
        <f t="shared" si="65"/>
        <v/>
      </c>
      <c r="BH62" s="300" t="str">
        <f t="shared" si="66"/>
        <v/>
      </c>
      <c r="BI62" s="295" t="e">
        <f t="shared" si="82"/>
        <v>#DIV/0!</v>
      </c>
      <c r="BJ62" s="299" t="str">
        <f t="shared" si="83"/>
        <v/>
      </c>
      <c r="BK62" s="278" t="e">
        <f t="shared" si="67"/>
        <v>#DIV/0!</v>
      </c>
      <c r="BL62" s="49" t="str">
        <f t="shared" si="68"/>
        <v/>
      </c>
      <c r="BO62" s="160"/>
      <c r="BP62" s="25" t="e">
        <f t="shared" si="69"/>
        <v>#DIV/0!</v>
      </c>
      <c r="BQ62" s="223" t="str">
        <f>IFERROR(VALUE(LEFT(VLOOKUP(Calculations!$D$4,Results!$G$5:$CM$105,67+$C62,FALSE),FIND(";",VLOOKUP(Calculations!$D$4,Results!$G$5:$CM$105,67+$C62,FALSE))-1)),"")</f>
        <v/>
      </c>
      <c r="BR62" s="303" t="str">
        <f>IF(BQ62="","",VLOOKUP(BQ62,Input!$B$21:$Q$50,13,FALSE))</f>
        <v/>
      </c>
      <c r="BS62" s="248" t="e">
        <f>VLOOKUP(BR62,Reinforcements[],COLUMN(Reinforcements[[#Headers],[Type]])-1,FALSE)</f>
        <v>#N/A</v>
      </c>
      <c r="BT62" s="248" t="e">
        <f>IF(BS62="solid round",VLOOKUP(BR62,Reinforcements[],COLUMN(Reinforcements[[#Headers],[Diameter (in)]])-1,FALSE),VLOOKUP(BR62,Reinforcements[],COLUMN(Reinforcements[[#Headers],[B (in)]])-1,FALSE))</f>
        <v>#N/A</v>
      </c>
      <c r="BU62" s="248" t="e">
        <f>IF(BS62="solid round",VLOOKUP(BR62,Reinforcements[],COLUMN(Reinforcements[[#Headers],[Diameter (in)]])-1,FALSE),VLOOKUP(BR62,Reinforcements[],COLUMN(Reinforcements[[#Headers],[H (in)]])-1,FALSE))</f>
        <v>#N/A</v>
      </c>
      <c r="BV62" s="278" t="e">
        <f>IFERROR((IF(VLOOKUP(BQ62,Input!$B$21:$AL$50,19+C62,FALSE)="c",$D$20/COS(RADIANS(180/$D$8)),$D$20)+BU62/2)*SIN(RADIANS(D62))-IF(ISNUMBER(VLOOKUP(BQ62,Input!$B$21:$AL$50,19+C62,FALSE)),VLOOKUP(BQ62,Input!$B$21:$AL$50,19+C62,FALSE)*COS(RADIANS(D62)),0)-$D$35,"")*0+N62*1</f>
        <v>#VALUE!</v>
      </c>
      <c r="BW62" s="248" t="e">
        <f>VLOOKUP(BR62,Reinforcements[],COLUMN(Reinforcements[[#Headers],[Effective B (in)]])-1,FALSE)</f>
        <v>#N/A</v>
      </c>
      <c r="BX62" s="248" t="e">
        <f>VLOOKUP(BR62,Reinforcements[],COLUMN(Reinforcements[[#Headers],[Effective H (in)]])-1,FALSE)</f>
        <v>#N/A</v>
      </c>
      <c r="BY62" s="248" t="e">
        <f>VLOOKUP(BR62,Reinforcements[],COLUMN(Reinforcements[[#Headers],[Gross Area (in2)]])-1,FALSE)</f>
        <v>#N/A</v>
      </c>
      <c r="BZ62" s="255" t="s">
        <v>697</v>
      </c>
      <c r="CA62" s="248" t="e">
        <f>VLOOKUP(BR62,Reinforcements[],COLUMN(Reinforcements[[#Headers],[Pole Face to Centroid (in)]])-1,FALSE)</f>
        <v>#N/A</v>
      </c>
      <c r="CB62" s="248" t="e">
        <f>VLOOKUP(BR62,Reinforcements[],COLUMN(Reinforcements[[#Headers],[Equivalent Rectangle Ix (in4)]])-1,FALSE)</f>
        <v>#N/A</v>
      </c>
      <c r="CC62" s="248" t="e">
        <f>VLOOKUP(BR62,Reinforcements[],COLUMN(Reinforcements[[#Headers],[Equivalent Rectangle Iy (in4)]])-1,FALSE)</f>
        <v>#N/A</v>
      </c>
      <c r="CD62" s="248" t="e">
        <f>VLOOKUP(BR62,Reinforcements[],COLUMN(Reinforcements[[#Headers],[Lu (in)]])-1,FALSE)</f>
        <v>#N/A</v>
      </c>
      <c r="CE62" s="255" t="s">
        <v>697</v>
      </c>
      <c r="CF62" s="255" t="s">
        <v>697</v>
      </c>
      <c r="CG62" s="248" t="e">
        <f>VLOOKUP(VLOOKUP(BR62,Reinforcements[],COLUMN(Reinforcements[[#Headers],[Material]])-1,FALSE),Materials[],2,FALSE)</f>
        <v>#N/A</v>
      </c>
      <c r="CH62" s="248" t="e">
        <f>VLOOKUP(VLOOKUP(BR62,Reinforcements[],COLUMN(Reinforcements[[#Headers],[Material]])-1,FALSE),Materials[],3,FALSE)</f>
        <v>#N/A</v>
      </c>
      <c r="CI62" s="255" t="e">
        <f>VLOOKUP(BR62,Reinforcements[],COLUMN(Reinforcements[[#Headers],[Tension Only?]])-1,FALSE)</f>
        <v>#N/A</v>
      </c>
      <c r="CJ62" s="17" t="str">
        <f>IF(BQ62="","",AND(INDEX(Results!$G$5:$G$104,MATCH(VLOOKUP($BQ62,Input!$B$21:$J$50,2,FALSE)-0.001,Results!$G$5:$G$104,-1))=$D$4))</f>
        <v/>
      </c>
      <c r="CK62" s="17" t="str">
        <f>IF(BQ62="","",AND(INDEX('Macro References'!$BB$2:$BB$101,MATCH(VLOOKUP($BQ62,Input!$B$21:$J$50,6,FALSE)-0.001,'Macro References'!$BB$2:$BB$101,1))=$D$4))</f>
        <v/>
      </c>
      <c r="CL62" s="17" t="e">
        <f>IF(CJ62,VLOOKUP(BR62,Reinforcements[],COLUMN(Reinforcements[[#Headers],[Bottom End Connection Type]])-1,FALSE),IF(CK62,VLOOKUP(BR62,Reinforcements[],COLUMN(Reinforcements[[#Headers],[Top End Connection Type]])-1,FALSE),""))</f>
        <v>#VALUE!</v>
      </c>
      <c r="CM62" s="17" t="e">
        <f>IF(ISBLANK(VLOOKUP(BR62,Reinforcements[],COLUMN(Reinforcements[[#Headers],[Bottom Transverse Weld Length]])-1,FALSE)),"",(VLOOKUP(BR62,Reinforcements[],COLUMN(Reinforcements[[#Headers],[Bottom Transverse Weld Length]])-1,FALSE)))</f>
        <v>#N/A</v>
      </c>
      <c r="CN62" s="17" t="e">
        <f>IF(ISBLANK(VLOOKUP(BR62,Reinforcements[],COLUMN(Reinforcements[[#Headers],[Bottom Transverse (Horizontal) Weld]])-1,FALSE)),"",(VLOOKUP(BR62,Reinforcements[],COLUMN(Reinforcements[[#Headers],[Bottom Transverse (Horizontal) Weld]])-1,FALSE)))</f>
        <v>#N/A</v>
      </c>
      <c r="CO62" s="17" t="e">
        <f>IF(ISBLANK(VLOOKUP(BR62,Reinforcements[],COLUMN(Reinforcements[[#Headers],[Bottom Longitudinal Weld Length]])-1,FALSE)),"",(VLOOKUP(BR62,Reinforcements[],COLUMN(Reinforcements[[#Headers],[Bottom Longitudinal Weld Length]])-1,FALSE)))</f>
        <v>#N/A</v>
      </c>
      <c r="CP62" s="17" t="str">
        <f>IFERROR(VLOOKUP(BR62,Reinforcements[],COLUMN(Reinforcements[[#Headers],[Bottom Connected to Flange/Base Plate?]])-1,FALSE),"")</f>
        <v/>
      </c>
      <c r="CQ62" s="248" t="e">
        <f>IF(Rev="F",VLOOKUP(BR62,Reinforcements[],COLUMN(Reinforcements[[#Headers],[Rev. F Bottom Transverse Weld Strength]])-1,FALSE),VLOOKUP(BR62,Reinforcements[],COLUMN(Reinforcements[[#Headers],[Rev. G Bottom Transverse Weld Strength]])-1,FALSE))</f>
        <v>#N/A</v>
      </c>
      <c r="CR62" s="248"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248" t="str">
        <f>IF(CP62&lt;&gt;"Yes","",(VLOOKUP(BR62,Reinforcements[],COLUMN(Reinforcements[[#Headers],[Bottom Transverse Weld Groove Depth (in)]])-1,FALSE)+VLOOKUP(BR62,Reinforcements[],COLUMN(Reinforcements[[#Headers],[Bottom Transverse Weld Fillet Size (in)]])-1,FALSE))*CM62*IF(Rev="F",0.6,φ_t_y)*$D$14)</f>
        <v/>
      </c>
      <c r="CT62" s="248" t="e">
        <f>IF(CP62="Yes","",VLOOKUP(BR62,Reinforcements[],COLUMN(Reinforcements[[#Headers],[Bottom Transverse Weld Fillet Size (in)]])-1,FALSE)*CM62*MIN(IF(Rev="F",0.4,φ_shear_yield*0.6)*$D$6,IF(Rev="F",0.3,φ_shear_rupture*0.6)*$D$7))</f>
        <v>#N/A</v>
      </c>
      <c r="CU62" s="248" t="e">
        <f>IF(Rev="F",VLOOKUP(BR62,Reinforcements[],COLUMN(Reinforcements[[#Headers],[Rev. F Bottom Longitudinal Weld Strength]])-1,FALSE),VLOOKUP(BR62,Reinforcements[],COLUMN(Reinforcements[[#Headers],[Rev. G Bottom Longitudinal Weld Strength]])-1,FALSE))</f>
        <v>#N/A</v>
      </c>
      <c r="CV62" s="248" t="e">
        <f>2*VLOOKUP(BR62,Reinforcements[],COLUMN(Reinforcements[[#Headers],[Bottom Longitudinal Weld Fillet Size (in)]])-1,FALSE)*CO62*MIN(IF(Rev="F",0.4,φ_shear_yield*0.6)*CG62,IF(Rev="F",0.3,φ_shear_rupture*0.6)*CH62)</f>
        <v>#N/A</v>
      </c>
      <c r="CW62" s="248" t="e">
        <f>2*VLOOKUP(BR62,Reinforcements[],COLUMN(Reinforcements[[#Headers],[Bottom Longitudinal Weld Fillet Size (in)]])-1,FALSE)*CO62*MIN(IF(Rev="F",0.4,φ_shear_yield*0.6)*$D$6,IF(Rev="F",0.3,φ_shear_rupture*0.6)*$D$7)</f>
        <v>#N/A</v>
      </c>
      <c r="CX62" s="248" t="e">
        <f>IF(ISBLANK(VLOOKUP(BR62,Reinforcements[],COLUMN(Reinforcements[[#Headers],[Top Transverse Weld Length]])-1,FALSE)),"",(VLOOKUP(BR62,Reinforcements[],COLUMN(Reinforcements[[#Headers],[Top Transverse Weld Length]])-1,FALSE)))</f>
        <v>#N/A</v>
      </c>
      <c r="CY62" s="248" t="e">
        <f>IF(ISBLANK(VLOOKUP(BR62,Reinforcements[],COLUMN(Reinforcements[[#Headers],[Top Transverse (Horizontal) Weld]])-1,FALSE)),"",(VLOOKUP(BR62,Reinforcements[],COLUMN(Reinforcements[[#Headers],[Top Transverse (Horizontal) Weld]])-1,FALSE)))</f>
        <v>#N/A</v>
      </c>
      <c r="CZ62" s="248" t="e">
        <f>IF(ISBLANK(VLOOKUP(BR62,Reinforcements[],COLUMN(Reinforcements[[#Headers],[Top Longitudinal Weld Length]])-1,FALSE)),"",(VLOOKUP(BR62,Reinforcements[],COLUMN(Reinforcements[[#Headers],[Top Longitudinal Weld Length]])-1,FALSE)))</f>
        <v>#N/A</v>
      </c>
      <c r="DA62" s="248" t="str">
        <f>IFERROR(VLOOKUP(BR62,Reinforcements[],COLUMN(Reinforcements[[#Headers],[Top Connected to Flange/Base Plate?]])-1,FALSE),"")</f>
        <v/>
      </c>
      <c r="DB62" s="248" t="e">
        <f>IF(Rev="F",VLOOKUP(BR62,Reinforcements[],COLUMN(Reinforcements[[#Headers],[Rev. F Top Transverse Weld Strength]])-1,FALSE),VLOOKUP(BR62,Reinforcements[],COLUMN(Reinforcements[[#Headers],[Rev. G Top Transverse Weld Strength]])-1,FALSE))</f>
        <v>#N/A</v>
      </c>
      <c r="DC62" s="248"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248" t="str">
        <f>IF(DA62&lt;&gt;"Yes","",(VLOOKUP(BR62,Reinforcements[],COLUMN(Reinforcements[[#Headers],[Top Transverse Weld Groove Depth (in)]])-1,FALSE)+VLOOKUP(BR62,Reinforcements[],COLUMN(Reinforcements[[#Headers],[Top Transverse Weld Fillet Size (in)]])-1,FALSE))*CX62*IF(Rev="F",0.6,φ_t_y)*$D$14)</f>
        <v/>
      </c>
      <c r="DE62" s="248" t="e">
        <f>IF(DA62="Yes","",VLOOKUP(BR62,Reinforcements[],COLUMN(Reinforcements[[#Headers],[Top Transverse Weld Fillet Size (in)]])-1,FALSE)*CX62*MIN(IF(Rev="F",0.4,φ_shear_yield*0.6)*$D$6,IF(Rev="F",0.3,φ_shear_rupture*0.6)*$D$7))</f>
        <v>#N/A</v>
      </c>
      <c r="DF62" s="248" t="e">
        <f>IF(Rev="F",VLOOKUP(BR62,Reinforcements[],COLUMN(Reinforcements[[#Headers],[Rev. F Top Longitudinal Weld Strength]])-1,FALSE),VLOOKUP(BR62,Reinforcements[],COLUMN(Reinforcements[[#Headers],[Rev. G Top Longitudinal Weld Strength]])-1,FALSE))</f>
        <v>#N/A</v>
      </c>
      <c r="DG62" s="248" t="e">
        <f>2*VLOOKUP(BR62,Reinforcements[],COLUMN(Reinforcements[[#Headers],[Top Longitudinal Weld Fillet Size (in)]])-1,FALSE)*CZ62*MIN(IF(Rev="F",0.4,φ_shear_yield*0.6)*CG62,IF(Rev="F",0.3,φ_shear_rupture*0.6)*CH62)</f>
        <v>#N/A</v>
      </c>
      <c r="DH62" s="248" t="e">
        <f>2*VLOOKUP(BR62,Reinforcements[],COLUMN(Reinforcements[[#Headers],[Top Longitudinal Weld Fillet Size (in)]])-1,FALSE)*CZ62*MIN(IF(Rev="F",0.4,φ_shear_yield*0.6)*$D$6,IF(Rev="F",0.3,φ_shear_rupture*0.6)*$D$7)</f>
        <v>#N/A</v>
      </c>
      <c r="DI62" s="49" t="e">
        <f>IF(BS62="channel",VLOOKUP(Calculations!BR62,Reinforcements[],COLUMN(Reinforcements[[#Headers],['[Channel']Web Thickness (in)]])-1,FALSE),"")</f>
        <v>#N/A</v>
      </c>
      <c r="DJ62" s="49" t="b">
        <f t="shared" si="84"/>
        <v>0</v>
      </c>
      <c r="DK62" s="49" t="e">
        <f>IF(BS62="channel",Calculations!BU62-DI62,"")</f>
        <v>#N/A</v>
      </c>
      <c r="DL62" s="49" t="e">
        <f>IF(BS62="channel",(Calculations!BY62-Calculations!BT62*DI62)/(2*DK62))</f>
        <v>#N/A</v>
      </c>
      <c r="DM62" s="49" t="e">
        <f>IF(BS62="channel",(Calculations!BT62*(DI62^2)/2+2*DK62*DL62*(DI62+DK62/2))/Calculations!BY62,"")</f>
        <v>#N/A</v>
      </c>
    </row>
    <row r="63" spans="2:117" ht="15.75" customHeight="1" x14ac:dyDescent="0.25">
      <c r="B63" s="49" t="str">
        <f t="shared" si="70"/>
        <v/>
      </c>
      <c r="C63" s="201">
        <v>4</v>
      </c>
      <c r="D63" s="255" t="str">
        <f>IF(BQ63="","",IF($D$8=0,IF(OR(VLOOKUP(BQ63,Input!$B$21:$AL$50,19+C63,FALSE)+$D$5=0,VLOOKUP(BQ63,Input!$B$21:$AL$50,19+C63,FALSE)+$D$5=180),VLOOKUP(BQ63,Input!$B$21:$AL$50,19+C63,FALSE)+$D$5+0.0001,VLOOKUP(BQ63,Input!$B$21:$AL$50,19+C63,FALSE)+$D$5),IF(VLOOKUP(BQ63,Input!$B$21:$AL$50,19+C63,FALSE)="c",VLOOKUP($C63,$C$40:$E$57,2,FALSE)+180/$D$8,VLOOKUP($C63,$C$40:$E$57,2,FALSE))))</f>
        <v/>
      </c>
      <c r="E63" s="17" t="str">
        <f t="shared" si="39"/>
        <v/>
      </c>
      <c r="F63" s="258" t="str">
        <f>IF(BR63="","",VLOOKUP(BR63,Reinforcements[],COLUMN(Reinforcements[[#Headers],[Gross Area (in2)]])-1,FALSE))</f>
        <v/>
      </c>
      <c r="G63" s="256" t="e">
        <f>(IF(VLOOKUP(BQ63,Input!$B$21:$AL$50,19+C63,FALSE)="c",$D$20/COS(RADIANS(180/$D$8)),$D$20)+CA63)*SIN(RADIANS(D63))-IF(AND(ISNUMBER(VLOOKUP(BQ63,Input!$B$21:$AL$50,19+C63,FALSE)),$D$8&lt;&gt;0),VLOOKUP(BQ63,Input!$B$21:$AL$50,19+C63,FALSE)*COS(RADIANS(D63)),0)</f>
        <v>#N/A</v>
      </c>
      <c r="H63" s="251" t="str">
        <f t="shared" si="71"/>
        <v/>
      </c>
      <c r="I63" s="251" t="e">
        <f t="shared" si="40"/>
        <v>#N/A</v>
      </c>
      <c r="J63" s="251" t="e">
        <f t="shared" si="41"/>
        <v>#N/A</v>
      </c>
      <c r="K63" s="251" t="e">
        <f t="shared" si="42"/>
        <v>#N/A</v>
      </c>
      <c r="L63" s="251" t="e">
        <f t="shared" si="72"/>
        <v>#N/A</v>
      </c>
      <c r="M63" s="252" t="str">
        <f t="shared" si="73"/>
        <v/>
      </c>
      <c r="N63" s="250" t="str">
        <f>IFERROR((IF(VLOOKUP(BQ63,Input!$B$21:$AL$50,19+C63,FALSE)="c",$D$20/COS(RADIANS(180/$D$8)),$D$20)+CA63)*SIN(RADIANS(D63))-IF(AND(ISNUMBER(VLOOKUP(BQ63,Input!$B$21:$AL$50,19+C63,FALSE)),$D$8&lt;&gt;0),VLOOKUP(BQ63,Input!$B$21:$AL$50,19+C63,FALSE)*COS(RADIANS(D63)),0)-$D$35,"")</f>
        <v/>
      </c>
      <c r="O63" s="253" t="str">
        <f t="shared" si="43"/>
        <v/>
      </c>
      <c r="P63" s="253" t="str">
        <f t="shared" si="44"/>
        <v/>
      </c>
      <c r="Q63" s="253" t="str">
        <f t="shared" si="45"/>
        <v/>
      </c>
      <c r="R63" s="254" t="str">
        <f t="shared" si="46"/>
        <v/>
      </c>
      <c r="S63" s="251" t="str">
        <f t="shared" si="74"/>
        <v/>
      </c>
      <c r="T63" s="251" t="str">
        <f t="shared" si="75"/>
        <v/>
      </c>
      <c r="U63" s="251" t="str">
        <f t="shared" si="76"/>
        <v/>
      </c>
      <c r="V63" s="252" t="str">
        <f t="shared" si="77"/>
        <v/>
      </c>
      <c r="W63" s="323"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324"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324"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324" t="str">
        <f>IFERROR(IF('Macro References'!$A$9,IF(AND(CJ63,CL63="Welded"),MIN(CQ63:CT63),IF(AND(CK63,CL63="Welded"),MIN(DB63:DE63),"")),""),"")</f>
        <v/>
      </c>
      <c r="AA63" s="255" t="str">
        <f>IFERROR(IF('Macro References'!$A$9,IF(AND(CJ63,CL63="Welded"),MIN(CU63:CW63),IF(AND(CK63,CL63="Welded"),MIN(DF63:DH63),"")),""),"")</f>
        <v/>
      </c>
      <c r="AB63" s="255" t="str">
        <f>IFERROR(IF('Macro References'!$A$9,IF(AND(CJ63,CL63="Welded",CN63="Fillet",CU63&gt;0),TRUE,IF(AND(CK63,CL63="Welded",CY63="Fillet",DF63&gt;0),TRUE,"")),""),"")</f>
        <v/>
      </c>
      <c r="AC63" s="255"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255"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32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248"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32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274" t="str">
        <f t="shared" si="47"/>
        <v/>
      </c>
      <c r="AI63" s="255" t="str">
        <f t="shared" si="48"/>
        <v/>
      </c>
      <c r="AJ63" s="255" t="str">
        <f t="shared" si="49"/>
        <v/>
      </c>
      <c r="AK63" s="255" t="str">
        <f t="shared" ref="AK63:AK96" si="85">IFERROR(IF(AND(Z63="",AA63=""),"",ABS((IF(AB63=TRUE,MAX(0.85*AA63+1.5*Z63,AA63+Z63),SUM(Z63:AA63))/BY63)/N63*$D$25)),"")</f>
        <v/>
      </c>
      <c r="AL63" s="248" t="str">
        <f t="shared" si="78"/>
        <v/>
      </c>
      <c r="AM63" s="255" t="str">
        <f>""</f>
        <v/>
      </c>
      <c r="AN63" s="255" t="str">
        <f t="shared" si="50"/>
        <v/>
      </c>
      <c r="AO63" s="248" t="str">
        <f t="shared" si="51"/>
        <v/>
      </c>
      <c r="AP63" s="275" t="str">
        <f t="shared" si="52"/>
        <v/>
      </c>
      <c r="AQ63" s="276" t="str">
        <f t="shared" si="53"/>
        <v/>
      </c>
      <c r="AR63" s="255" t="str">
        <f>IF(BR63="","",VLOOKUP(VLOOKUP(BR63,Reinforcements[],COLUMN(Reinforcements[[#Headers],[Material]])-1,FALSE),Materials[],2,FALSE)/$D$28)</f>
        <v/>
      </c>
      <c r="AS63" s="248" t="str">
        <f t="shared" si="54"/>
        <v/>
      </c>
      <c r="AT63" s="327" t="str">
        <f t="shared" si="55"/>
        <v/>
      </c>
      <c r="AU63" s="277">
        <f t="shared" si="56"/>
        <v>0</v>
      </c>
      <c r="AV63" s="278">
        <f t="shared" si="57"/>
        <v>0</v>
      </c>
      <c r="AW63" s="278" t="e">
        <f t="shared" si="58"/>
        <v>#N/A</v>
      </c>
      <c r="AX63" s="278" t="e">
        <f t="shared" si="59"/>
        <v>#N/A</v>
      </c>
      <c r="AY63" s="278" t="str">
        <f t="shared" si="60"/>
        <v/>
      </c>
      <c r="AZ63" s="278" t="e">
        <f t="shared" si="61"/>
        <v>#VALUE!</v>
      </c>
      <c r="BA63" s="295" t="str">
        <f t="shared" si="62"/>
        <v/>
      </c>
      <c r="BB63" s="297" t="str">
        <f t="shared" si="79"/>
        <v/>
      </c>
      <c r="BC63" s="298" t="str">
        <f t="shared" si="63"/>
        <v/>
      </c>
      <c r="BD63" s="298" t="str">
        <f t="shared" si="64"/>
        <v/>
      </c>
      <c r="BE63" s="295" t="str">
        <f t="shared" si="80"/>
        <v/>
      </c>
      <c r="BF63" s="299" t="e">
        <f t="shared" si="81"/>
        <v>#DIV/0!</v>
      </c>
      <c r="BG63" s="300" t="str">
        <f t="shared" si="65"/>
        <v/>
      </c>
      <c r="BH63" s="300" t="str">
        <f t="shared" si="66"/>
        <v/>
      </c>
      <c r="BI63" s="295" t="e">
        <f t="shared" si="82"/>
        <v>#DIV/0!</v>
      </c>
      <c r="BJ63" s="299" t="str">
        <f t="shared" si="83"/>
        <v/>
      </c>
      <c r="BK63" s="278" t="e">
        <f t="shared" si="67"/>
        <v>#DIV/0!</v>
      </c>
      <c r="BL63" s="49" t="str">
        <f t="shared" si="68"/>
        <v/>
      </c>
      <c r="BP63" s="25" t="e">
        <f t="shared" si="69"/>
        <v>#DIV/0!</v>
      </c>
      <c r="BQ63" s="223" t="str">
        <f>IFERROR(VALUE(LEFT(VLOOKUP(Calculations!$D$4,Results!$G$5:$CM$105,67+$C63,FALSE),FIND(";",VLOOKUP(Calculations!$D$4,Results!$G$5:$CM$105,67+$C63,FALSE))-1)),"")</f>
        <v/>
      </c>
      <c r="BR63" s="303" t="str">
        <f>IF(BQ63="","",VLOOKUP(BQ63,Input!$B$21:$Q$50,13,FALSE))</f>
        <v/>
      </c>
      <c r="BS63" s="248" t="e">
        <f>VLOOKUP(BR63,Reinforcements[],COLUMN(Reinforcements[[#Headers],[Type]])-1,FALSE)</f>
        <v>#N/A</v>
      </c>
      <c r="BT63" s="248" t="e">
        <f>IF(BS63="solid round",VLOOKUP(BR63,Reinforcements[],COLUMN(Reinforcements[[#Headers],[Diameter (in)]])-1,FALSE),VLOOKUP(BR63,Reinforcements[],COLUMN(Reinforcements[[#Headers],[B (in)]])-1,FALSE))</f>
        <v>#N/A</v>
      </c>
      <c r="BU63" s="248" t="e">
        <f>IF(BS63="solid round",VLOOKUP(BR63,Reinforcements[],COLUMN(Reinforcements[[#Headers],[Diameter (in)]])-1,FALSE),VLOOKUP(BR63,Reinforcements[],COLUMN(Reinforcements[[#Headers],[H (in)]])-1,FALSE))</f>
        <v>#N/A</v>
      </c>
      <c r="BV63" s="278" t="e">
        <f>IFERROR((IF(VLOOKUP(BQ63,Input!$B$21:$AL$50,19+C63,FALSE)="c",$D$20/COS(RADIANS(180/$D$8)),$D$20)+BU63/2)*SIN(RADIANS(D63))-IF(ISNUMBER(VLOOKUP(BQ63,Input!$B$21:$AL$50,19+C63,FALSE)),VLOOKUP(BQ63,Input!$B$21:$AL$50,19+C63,FALSE)*COS(RADIANS(D63)),0)-$D$35,"")*0+N63*1</f>
        <v>#VALUE!</v>
      </c>
      <c r="BW63" s="248" t="e">
        <f>VLOOKUP(BR63,Reinforcements[],COLUMN(Reinforcements[[#Headers],[Effective B (in)]])-1,FALSE)</f>
        <v>#N/A</v>
      </c>
      <c r="BX63" s="248" t="e">
        <f>VLOOKUP(BR63,Reinforcements[],COLUMN(Reinforcements[[#Headers],[Effective H (in)]])-1,FALSE)</f>
        <v>#N/A</v>
      </c>
      <c r="BY63" s="248" t="e">
        <f>VLOOKUP(BR63,Reinforcements[],COLUMN(Reinforcements[[#Headers],[Gross Area (in2)]])-1,FALSE)</f>
        <v>#N/A</v>
      </c>
      <c r="BZ63" s="255" t="s">
        <v>697</v>
      </c>
      <c r="CA63" s="248" t="e">
        <f>VLOOKUP(BR63,Reinforcements[],COLUMN(Reinforcements[[#Headers],[Pole Face to Centroid (in)]])-1,FALSE)</f>
        <v>#N/A</v>
      </c>
      <c r="CB63" s="248" t="e">
        <f>VLOOKUP(BR63,Reinforcements[],COLUMN(Reinforcements[[#Headers],[Equivalent Rectangle Ix (in4)]])-1,FALSE)</f>
        <v>#N/A</v>
      </c>
      <c r="CC63" s="248" t="e">
        <f>VLOOKUP(BR63,Reinforcements[],COLUMN(Reinforcements[[#Headers],[Equivalent Rectangle Iy (in4)]])-1,FALSE)</f>
        <v>#N/A</v>
      </c>
      <c r="CD63" s="248" t="e">
        <f>VLOOKUP(BR63,Reinforcements[],COLUMN(Reinforcements[[#Headers],[Lu (in)]])-1,FALSE)</f>
        <v>#N/A</v>
      </c>
      <c r="CE63" s="255" t="s">
        <v>697</v>
      </c>
      <c r="CF63" s="255" t="s">
        <v>697</v>
      </c>
      <c r="CG63" s="248" t="e">
        <f>VLOOKUP(VLOOKUP(BR63,Reinforcements[],COLUMN(Reinforcements[[#Headers],[Material]])-1,FALSE),Materials[],2,FALSE)</f>
        <v>#N/A</v>
      </c>
      <c r="CH63" s="248" t="e">
        <f>VLOOKUP(VLOOKUP(BR63,Reinforcements[],COLUMN(Reinforcements[[#Headers],[Material]])-1,FALSE),Materials[],3,FALSE)</f>
        <v>#N/A</v>
      </c>
      <c r="CI63" s="255" t="e">
        <f>VLOOKUP(BR63,Reinforcements[],COLUMN(Reinforcements[[#Headers],[Tension Only?]])-1,FALSE)</f>
        <v>#N/A</v>
      </c>
      <c r="CJ63" s="17" t="str">
        <f>IF(BQ63="","",AND(INDEX(Results!$G$5:$G$104,MATCH(VLOOKUP($BQ63,Input!$B$21:$J$50,2,FALSE)-0.001,Results!$G$5:$G$104,-1))=$D$4))</f>
        <v/>
      </c>
      <c r="CK63" s="17" t="str">
        <f>IF(BQ63="","",AND(INDEX('Macro References'!$BB$2:$BB$101,MATCH(VLOOKUP($BQ63,Input!$B$21:$J$50,6,FALSE)-0.001,'Macro References'!$BB$2:$BB$101,1))=$D$4))</f>
        <v/>
      </c>
      <c r="CL63" s="17" t="e">
        <f>IF(CJ63,VLOOKUP(BR63,Reinforcements[],COLUMN(Reinforcements[[#Headers],[Bottom End Connection Type]])-1,FALSE),IF(CK63,VLOOKUP(BR63,Reinforcements[],COLUMN(Reinforcements[[#Headers],[Top End Connection Type]])-1,FALSE),""))</f>
        <v>#VALUE!</v>
      </c>
      <c r="CM63" s="17" t="e">
        <f>IF(ISBLANK(VLOOKUP(BR63,Reinforcements[],COLUMN(Reinforcements[[#Headers],[Bottom Transverse Weld Length]])-1,FALSE)),"",(VLOOKUP(BR63,Reinforcements[],COLUMN(Reinforcements[[#Headers],[Bottom Transverse Weld Length]])-1,FALSE)))</f>
        <v>#N/A</v>
      </c>
      <c r="CN63" s="17" t="e">
        <f>IF(ISBLANK(VLOOKUP(BR63,Reinforcements[],COLUMN(Reinforcements[[#Headers],[Bottom Transverse (Horizontal) Weld]])-1,FALSE)),"",(VLOOKUP(BR63,Reinforcements[],COLUMN(Reinforcements[[#Headers],[Bottom Transverse (Horizontal) Weld]])-1,FALSE)))</f>
        <v>#N/A</v>
      </c>
      <c r="CO63" s="17" t="e">
        <f>IF(ISBLANK(VLOOKUP(BR63,Reinforcements[],COLUMN(Reinforcements[[#Headers],[Bottom Longitudinal Weld Length]])-1,FALSE)),"",(VLOOKUP(BR63,Reinforcements[],COLUMN(Reinforcements[[#Headers],[Bottom Longitudinal Weld Length]])-1,FALSE)))</f>
        <v>#N/A</v>
      </c>
      <c r="CP63" s="17" t="str">
        <f>IFERROR(VLOOKUP(BR63,Reinforcements[],COLUMN(Reinforcements[[#Headers],[Bottom Connected to Flange/Base Plate?]])-1,FALSE),"")</f>
        <v/>
      </c>
      <c r="CQ63" s="248" t="e">
        <f>IF(Rev="F",VLOOKUP(BR63,Reinforcements[],COLUMN(Reinforcements[[#Headers],[Rev. F Bottom Transverse Weld Strength]])-1,FALSE),VLOOKUP(BR63,Reinforcements[],COLUMN(Reinforcements[[#Headers],[Rev. G Bottom Transverse Weld Strength]])-1,FALSE))</f>
        <v>#N/A</v>
      </c>
      <c r="CR63" s="248"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248" t="str">
        <f>IF(CP63&lt;&gt;"Yes","",(VLOOKUP(BR63,Reinforcements[],COLUMN(Reinforcements[[#Headers],[Bottom Transverse Weld Groove Depth (in)]])-1,FALSE)+VLOOKUP(BR63,Reinforcements[],COLUMN(Reinforcements[[#Headers],[Bottom Transverse Weld Fillet Size (in)]])-1,FALSE))*CM63*IF(Rev="F",0.6,φ_t_y)*$D$14)</f>
        <v/>
      </c>
      <c r="CT63" s="248" t="e">
        <f>IF(CP63="Yes","",VLOOKUP(BR63,Reinforcements[],COLUMN(Reinforcements[[#Headers],[Bottom Transverse Weld Fillet Size (in)]])-1,FALSE)*CM63*MIN(IF(Rev="F",0.4,φ_shear_yield*0.6)*$D$6,IF(Rev="F",0.3,φ_shear_rupture*0.6)*$D$7))</f>
        <v>#N/A</v>
      </c>
      <c r="CU63" s="248" t="e">
        <f>IF(Rev="F",VLOOKUP(BR63,Reinforcements[],COLUMN(Reinforcements[[#Headers],[Rev. F Bottom Longitudinal Weld Strength]])-1,FALSE),VLOOKUP(BR63,Reinforcements[],COLUMN(Reinforcements[[#Headers],[Rev. G Bottom Longitudinal Weld Strength]])-1,FALSE))</f>
        <v>#N/A</v>
      </c>
      <c r="CV63" s="248" t="e">
        <f>2*VLOOKUP(BR63,Reinforcements[],COLUMN(Reinforcements[[#Headers],[Bottom Longitudinal Weld Fillet Size (in)]])-1,FALSE)*CO63*MIN(IF(Rev="F",0.4,φ_shear_yield*0.6)*CG63,IF(Rev="F",0.3,φ_shear_rupture*0.6)*CH63)</f>
        <v>#N/A</v>
      </c>
      <c r="CW63" s="248" t="e">
        <f>2*VLOOKUP(BR63,Reinforcements[],COLUMN(Reinforcements[[#Headers],[Bottom Longitudinal Weld Fillet Size (in)]])-1,FALSE)*CO63*MIN(IF(Rev="F",0.4,φ_shear_yield*0.6)*$D$6,IF(Rev="F",0.3,φ_shear_rupture*0.6)*$D$7)</f>
        <v>#N/A</v>
      </c>
      <c r="CX63" s="248" t="e">
        <f>IF(ISBLANK(VLOOKUP(BR63,Reinforcements[],COLUMN(Reinforcements[[#Headers],[Top Transverse Weld Length]])-1,FALSE)),"",(VLOOKUP(BR63,Reinforcements[],COLUMN(Reinforcements[[#Headers],[Top Transverse Weld Length]])-1,FALSE)))</f>
        <v>#N/A</v>
      </c>
      <c r="CY63" s="248" t="e">
        <f>IF(ISBLANK(VLOOKUP(BR63,Reinforcements[],COLUMN(Reinforcements[[#Headers],[Top Transverse (Horizontal) Weld]])-1,FALSE)),"",(VLOOKUP(BR63,Reinforcements[],COLUMN(Reinforcements[[#Headers],[Top Transverse (Horizontal) Weld]])-1,FALSE)))</f>
        <v>#N/A</v>
      </c>
      <c r="CZ63" s="248" t="e">
        <f>IF(ISBLANK(VLOOKUP(BR63,Reinforcements[],COLUMN(Reinforcements[[#Headers],[Top Longitudinal Weld Length]])-1,FALSE)),"",(VLOOKUP(BR63,Reinforcements[],COLUMN(Reinforcements[[#Headers],[Top Longitudinal Weld Length]])-1,FALSE)))</f>
        <v>#N/A</v>
      </c>
      <c r="DA63" s="248" t="str">
        <f>IFERROR(VLOOKUP(BR63,Reinforcements[],COLUMN(Reinforcements[[#Headers],[Top Connected to Flange/Base Plate?]])-1,FALSE),"")</f>
        <v/>
      </c>
      <c r="DB63" s="248" t="e">
        <f>IF(Rev="F",VLOOKUP(BR63,Reinforcements[],COLUMN(Reinforcements[[#Headers],[Rev. F Top Transverse Weld Strength]])-1,FALSE),VLOOKUP(BR63,Reinforcements[],COLUMN(Reinforcements[[#Headers],[Rev. G Top Transverse Weld Strength]])-1,FALSE))</f>
        <v>#N/A</v>
      </c>
      <c r="DC63" s="248"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248" t="str">
        <f>IF(DA63&lt;&gt;"Yes","",(VLOOKUP(BR63,Reinforcements[],COLUMN(Reinforcements[[#Headers],[Top Transverse Weld Groove Depth (in)]])-1,FALSE)+VLOOKUP(BR63,Reinforcements[],COLUMN(Reinforcements[[#Headers],[Top Transverse Weld Fillet Size (in)]])-1,FALSE))*CX63*IF(Rev="F",0.6,φ_t_y)*$D$14)</f>
        <v/>
      </c>
      <c r="DE63" s="248" t="e">
        <f>IF(DA63="Yes","",VLOOKUP(BR63,Reinforcements[],COLUMN(Reinforcements[[#Headers],[Top Transverse Weld Fillet Size (in)]])-1,FALSE)*CX63*MIN(IF(Rev="F",0.4,φ_shear_yield*0.6)*$D$6,IF(Rev="F",0.3,φ_shear_rupture*0.6)*$D$7))</f>
        <v>#N/A</v>
      </c>
      <c r="DF63" s="248" t="e">
        <f>IF(Rev="F",VLOOKUP(BR63,Reinforcements[],COLUMN(Reinforcements[[#Headers],[Rev. F Top Longitudinal Weld Strength]])-1,FALSE),VLOOKUP(BR63,Reinforcements[],COLUMN(Reinforcements[[#Headers],[Rev. G Top Longitudinal Weld Strength]])-1,FALSE))</f>
        <v>#N/A</v>
      </c>
      <c r="DG63" s="248" t="e">
        <f>2*VLOOKUP(BR63,Reinforcements[],COLUMN(Reinforcements[[#Headers],[Top Longitudinal Weld Fillet Size (in)]])-1,FALSE)*CZ63*MIN(IF(Rev="F",0.4,φ_shear_yield*0.6)*CG63,IF(Rev="F",0.3,φ_shear_rupture*0.6)*CH63)</f>
        <v>#N/A</v>
      </c>
      <c r="DH63" s="248" t="e">
        <f>2*VLOOKUP(BR63,Reinforcements[],COLUMN(Reinforcements[[#Headers],[Top Longitudinal Weld Fillet Size (in)]])-1,FALSE)*CZ63*MIN(IF(Rev="F",0.4,φ_shear_yield*0.6)*$D$6,IF(Rev="F",0.3,φ_shear_rupture*0.6)*$D$7)</f>
        <v>#N/A</v>
      </c>
      <c r="DI63" s="49" t="e">
        <f>IF(BS63="channel",VLOOKUP(Calculations!BR63,Reinforcements[],COLUMN(Reinforcements[[#Headers],['[Channel']Web Thickness (in)]])-1,FALSE),"")</f>
        <v>#N/A</v>
      </c>
      <c r="DJ63" s="49" t="b">
        <f t="shared" si="84"/>
        <v>0</v>
      </c>
      <c r="DK63" s="49" t="e">
        <f>IF(BS63="channel",Calculations!BU63-DI63,"")</f>
        <v>#N/A</v>
      </c>
      <c r="DL63" s="49" t="e">
        <f>IF(BS63="channel",(Calculations!BY63-Calculations!BT63*DI63)/(2*DK63))</f>
        <v>#N/A</v>
      </c>
      <c r="DM63" s="49" t="e">
        <f>IF(BS63="channel",(Calculations!BT63*(DI63^2)/2+2*DK63*DL63*(DI63+DK63/2))/Calculations!BY63,"")</f>
        <v>#N/A</v>
      </c>
    </row>
    <row r="64" spans="2:117" ht="15" x14ac:dyDescent="0.25">
      <c r="B64" s="49" t="str">
        <f t="shared" si="70"/>
        <v/>
      </c>
      <c r="C64" s="201">
        <v>5</v>
      </c>
      <c r="D64" s="255" t="str">
        <f>IF(BQ64="","",IF($D$8=0,IF(OR(VLOOKUP(BQ64,Input!$B$21:$AL$50,19+C64,FALSE)+$D$5=0,VLOOKUP(BQ64,Input!$B$21:$AL$50,19+C64,FALSE)+$D$5=180),VLOOKUP(BQ64,Input!$B$21:$AL$50,19+C64,FALSE)+$D$5+0.0001,VLOOKUP(BQ64,Input!$B$21:$AL$50,19+C64,FALSE)+$D$5),IF(VLOOKUP(BQ64,Input!$B$21:$AL$50,19+C64,FALSE)="c",VLOOKUP($C64,$C$40:$E$57,2,FALSE)+180/$D$8,VLOOKUP($C64,$C$40:$E$57,2,FALSE))))</f>
        <v/>
      </c>
      <c r="E64" s="17" t="str">
        <f t="shared" si="39"/>
        <v/>
      </c>
      <c r="F64" s="258" t="str">
        <f>IF(BR64="","",VLOOKUP(BR64,Reinforcements[],COLUMN(Reinforcements[[#Headers],[Gross Area (in2)]])-1,FALSE))</f>
        <v/>
      </c>
      <c r="G64" s="256" t="e">
        <f>(IF(VLOOKUP(BQ64,Input!$B$21:$AL$50,19+C64,FALSE)="c",$D$20/COS(RADIANS(180/$D$8)),$D$20)+CA64)*SIN(RADIANS(D64))-IF(AND(ISNUMBER(VLOOKUP(BQ64,Input!$B$21:$AL$50,19+C64,FALSE)),$D$8&lt;&gt;0),VLOOKUP(BQ64,Input!$B$21:$AL$50,19+C64,FALSE)*COS(RADIANS(D64)),0)</f>
        <v>#N/A</v>
      </c>
      <c r="H64" s="251" t="str">
        <f t="shared" si="71"/>
        <v/>
      </c>
      <c r="I64" s="251" t="e">
        <f t="shared" si="40"/>
        <v>#N/A</v>
      </c>
      <c r="J64" s="251" t="e">
        <f t="shared" si="41"/>
        <v>#N/A</v>
      </c>
      <c r="K64" s="251" t="e">
        <f t="shared" si="42"/>
        <v>#N/A</v>
      </c>
      <c r="L64" s="251" t="e">
        <f t="shared" si="72"/>
        <v>#N/A</v>
      </c>
      <c r="M64" s="252" t="str">
        <f t="shared" si="73"/>
        <v/>
      </c>
      <c r="N64" s="250" t="str">
        <f>IFERROR((IF(VLOOKUP(BQ64,Input!$B$21:$AL$50,19+C64,FALSE)="c",$D$20/COS(RADIANS(180/$D$8)),$D$20)+CA64)*SIN(RADIANS(D64))-IF(AND(ISNUMBER(VLOOKUP(BQ64,Input!$B$21:$AL$50,19+C64,FALSE)),$D$8&lt;&gt;0),VLOOKUP(BQ64,Input!$B$21:$AL$50,19+C64,FALSE)*COS(RADIANS(D64)),0)-$D$35,"")</f>
        <v/>
      </c>
      <c r="O64" s="253" t="str">
        <f t="shared" si="43"/>
        <v/>
      </c>
      <c r="P64" s="253" t="str">
        <f t="shared" si="44"/>
        <v/>
      </c>
      <c r="Q64" s="253" t="str">
        <f t="shared" si="45"/>
        <v/>
      </c>
      <c r="R64" s="254" t="str">
        <f t="shared" si="46"/>
        <v/>
      </c>
      <c r="S64" s="251" t="str">
        <f t="shared" si="74"/>
        <v/>
      </c>
      <c r="T64" s="251" t="str">
        <f t="shared" si="75"/>
        <v/>
      </c>
      <c r="U64" s="251" t="str">
        <f t="shared" si="76"/>
        <v/>
      </c>
      <c r="V64" s="252" t="str">
        <f t="shared" si="77"/>
        <v/>
      </c>
      <c r="W64" s="323"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324"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324"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324" t="str">
        <f>IFERROR(IF('Macro References'!$A$9,IF(AND(CJ64,CL64="Welded"),MIN(CQ64:CT64),IF(AND(CK64,CL64="Welded"),MIN(DB64:DE64),"")),""),"")</f>
        <v/>
      </c>
      <c r="AA64" s="255" t="str">
        <f>IFERROR(IF('Macro References'!$A$9,IF(AND(CJ64,CL64="Welded"),MIN(CU64:CW64),IF(AND(CK64,CL64="Welded"),MIN(DF64:DH64),"")),""),"")</f>
        <v/>
      </c>
      <c r="AB64" s="255" t="str">
        <f>IFERROR(IF('Macro References'!$A$9,IF(AND(CJ64,CL64="Welded",CN64="Fillet",CU64&gt;0),TRUE,IF(AND(CK64,CL64="Welded",CY64="Fillet",DF64&gt;0),TRUE,"")),""),"")</f>
        <v/>
      </c>
      <c r="AC64" s="255"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255"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32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248"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32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274" t="str">
        <f t="shared" si="47"/>
        <v/>
      </c>
      <c r="AI64" s="255" t="str">
        <f t="shared" si="48"/>
        <v/>
      </c>
      <c r="AJ64" s="255" t="str">
        <f t="shared" si="49"/>
        <v/>
      </c>
      <c r="AK64" s="255" t="str">
        <f t="shared" si="85"/>
        <v/>
      </c>
      <c r="AL64" s="248" t="str">
        <f t="shared" si="78"/>
        <v/>
      </c>
      <c r="AM64" s="255" t="str">
        <f>""</f>
        <v/>
      </c>
      <c r="AN64" s="255" t="str">
        <f t="shared" si="50"/>
        <v/>
      </c>
      <c r="AO64" s="248" t="str">
        <f t="shared" si="51"/>
        <v/>
      </c>
      <c r="AP64" s="275" t="str">
        <f t="shared" si="52"/>
        <v/>
      </c>
      <c r="AQ64" s="276" t="str">
        <f t="shared" si="53"/>
        <v/>
      </c>
      <c r="AR64" s="255" t="str">
        <f>IF(BR64="","",VLOOKUP(VLOOKUP(BR64,Reinforcements[],COLUMN(Reinforcements[[#Headers],[Material]])-1,FALSE),Materials[],2,FALSE)/$D$28)</f>
        <v/>
      </c>
      <c r="AS64" s="248" t="str">
        <f t="shared" si="54"/>
        <v/>
      </c>
      <c r="AT64" s="327" t="str">
        <f t="shared" si="55"/>
        <v/>
      </c>
      <c r="AU64" s="277">
        <f t="shared" si="56"/>
        <v>0</v>
      </c>
      <c r="AV64" s="278">
        <f t="shared" si="57"/>
        <v>0</v>
      </c>
      <c r="AW64" s="278" t="e">
        <f t="shared" si="58"/>
        <v>#N/A</v>
      </c>
      <c r="AX64" s="278" t="e">
        <f t="shared" si="59"/>
        <v>#N/A</v>
      </c>
      <c r="AY64" s="278" t="str">
        <f t="shared" si="60"/>
        <v/>
      </c>
      <c r="AZ64" s="278" t="e">
        <f t="shared" si="61"/>
        <v>#VALUE!</v>
      </c>
      <c r="BA64" s="295" t="str">
        <f t="shared" si="62"/>
        <v/>
      </c>
      <c r="BB64" s="297" t="str">
        <f t="shared" si="79"/>
        <v/>
      </c>
      <c r="BC64" s="298" t="str">
        <f t="shared" si="63"/>
        <v/>
      </c>
      <c r="BD64" s="298" t="str">
        <f t="shared" si="64"/>
        <v/>
      </c>
      <c r="BE64" s="295" t="str">
        <f t="shared" si="80"/>
        <v/>
      </c>
      <c r="BF64" s="299" t="e">
        <f t="shared" si="81"/>
        <v>#DIV/0!</v>
      </c>
      <c r="BG64" s="300" t="str">
        <f t="shared" si="65"/>
        <v/>
      </c>
      <c r="BH64" s="300" t="str">
        <f t="shared" si="66"/>
        <v/>
      </c>
      <c r="BI64" s="295" t="e">
        <f t="shared" si="82"/>
        <v>#DIV/0!</v>
      </c>
      <c r="BJ64" s="299" t="str">
        <f t="shared" si="83"/>
        <v/>
      </c>
      <c r="BK64" s="278" t="e">
        <f t="shared" si="67"/>
        <v>#DIV/0!</v>
      </c>
      <c r="BL64" s="49" t="str">
        <f t="shared" si="68"/>
        <v/>
      </c>
      <c r="BP64" s="25" t="e">
        <f t="shared" si="69"/>
        <v>#DIV/0!</v>
      </c>
      <c r="BQ64" s="223" t="str">
        <f>IFERROR(VALUE(LEFT(VLOOKUP(Calculations!$D$4,Results!$G$5:$CM$105,67+$C64,FALSE),FIND(";",VLOOKUP(Calculations!$D$4,Results!$G$5:$CM$105,67+$C64,FALSE))-1)),"")</f>
        <v/>
      </c>
      <c r="BR64" s="303" t="str">
        <f>IF(BQ64="","",VLOOKUP(BQ64,Input!$B$21:$Q$50,13,FALSE))</f>
        <v/>
      </c>
      <c r="BS64" s="248" t="e">
        <f>VLOOKUP(BR64,Reinforcements[],COLUMN(Reinforcements[[#Headers],[Type]])-1,FALSE)</f>
        <v>#N/A</v>
      </c>
      <c r="BT64" s="248" t="e">
        <f>IF(BS64="solid round",VLOOKUP(BR64,Reinforcements[],COLUMN(Reinforcements[[#Headers],[Diameter (in)]])-1,FALSE),VLOOKUP(BR64,Reinforcements[],COLUMN(Reinforcements[[#Headers],[B (in)]])-1,FALSE))</f>
        <v>#N/A</v>
      </c>
      <c r="BU64" s="248" t="e">
        <f>IF(BS64="solid round",VLOOKUP(BR64,Reinforcements[],COLUMN(Reinforcements[[#Headers],[Diameter (in)]])-1,FALSE),VLOOKUP(BR64,Reinforcements[],COLUMN(Reinforcements[[#Headers],[H (in)]])-1,FALSE))</f>
        <v>#N/A</v>
      </c>
      <c r="BV64" s="278" t="e">
        <f>IFERROR((IF(VLOOKUP(BQ64,Input!$B$21:$AL$50,19+C64,FALSE)="c",$D$20/COS(RADIANS(180/$D$8)),$D$20)+BU64/2)*SIN(RADIANS(D64))-IF(ISNUMBER(VLOOKUP(BQ64,Input!$B$21:$AL$50,19+C64,FALSE)),VLOOKUP(BQ64,Input!$B$21:$AL$50,19+C64,FALSE)*COS(RADIANS(D64)),0)-$D$35,"")*0+N64*1</f>
        <v>#VALUE!</v>
      </c>
      <c r="BW64" s="248" t="e">
        <f>VLOOKUP(BR64,Reinforcements[],COLUMN(Reinforcements[[#Headers],[Effective B (in)]])-1,FALSE)</f>
        <v>#N/A</v>
      </c>
      <c r="BX64" s="248" t="e">
        <f>VLOOKUP(BR64,Reinforcements[],COLUMN(Reinforcements[[#Headers],[Effective H (in)]])-1,FALSE)</f>
        <v>#N/A</v>
      </c>
      <c r="BY64" s="248" t="e">
        <f>VLOOKUP(BR64,Reinforcements[],COLUMN(Reinforcements[[#Headers],[Gross Area (in2)]])-1,FALSE)</f>
        <v>#N/A</v>
      </c>
      <c r="BZ64" s="255" t="s">
        <v>697</v>
      </c>
      <c r="CA64" s="248" t="e">
        <f>VLOOKUP(BR64,Reinforcements[],COLUMN(Reinforcements[[#Headers],[Pole Face to Centroid (in)]])-1,FALSE)</f>
        <v>#N/A</v>
      </c>
      <c r="CB64" s="248" t="e">
        <f>VLOOKUP(BR64,Reinforcements[],COLUMN(Reinforcements[[#Headers],[Equivalent Rectangle Ix (in4)]])-1,FALSE)</f>
        <v>#N/A</v>
      </c>
      <c r="CC64" s="248" t="e">
        <f>VLOOKUP(BR64,Reinforcements[],COLUMN(Reinforcements[[#Headers],[Equivalent Rectangle Iy (in4)]])-1,FALSE)</f>
        <v>#N/A</v>
      </c>
      <c r="CD64" s="248" t="e">
        <f>VLOOKUP(BR64,Reinforcements[],COLUMN(Reinforcements[[#Headers],[Lu (in)]])-1,FALSE)</f>
        <v>#N/A</v>
      </c>
      <c r="CE64" s="255" t="s">
        <v>697</v>
      </c>
      <c r="CF64" s="255" t="s">
        <v>697</v>
      </c>
      <c r="CG64" s="248" t="e">
        <f>VLOOKUP(VLOOKUP(BR64,Reinforcements[],COLUMN(Reinforcements[[#Headers],[Material]])-1,FALSE),Materials[],2,FALSE)</f>
        <v>#N/A</v>
      </c>
      <c r="CH64" s="248" t="e">
        <f>VLOOKUP(VLOOKUP(BR64,Reinforcements[],COLUMN(Reinforcements[[#Headers],[Material]])-1,FALSE),Materials[],3,FALSE)</f>
        <v>#N/A</v>
      </c>
      <c r="CI64" s="255" t="e">
        <f>VLOOKUP(BR64,Reinforcements[],COLUMN(Reinforcements[[#Headers],[Tension Only?]])-1,FALSE)</f>
        <v>#N/A</v>
      </c>
      <c r="CJ64" s="17" t="str">
        <f>IF(BQ64="","",AND(INDEX(Results!$G$5:$G$104,MATCH(VLOOKUP($BQ64,Input!$B$21:$J$50,2,FALSE)-0.001,Results!$G$5:$G$104,-1))=$D$4))</f>
        <v/>
      </c>
      <c r="CK64" s="17" t="str">
        <f>IF(BQ64="","",AND(INDEX('Macro References'!$BB$2:$BB$101,MATCH(VLOOKUP($BQ64,Input!$B$21:$J$50,6,FALSE)-0.001,'Macro References'!$BB$2:$BB$101,1))=$D$4))</f>
        <v/>
      </c>
      <c r="CL64" s="17" t="e">
        <f>IF(CJ64,VLOOKUP(BR64,Reinforcements[],COLUMN(Reinforcements[[#Headers],[Bottom End Connection Type]])-1,FALSE),IF(CK64,VLOOKUP(BR64,Reinforcements[],COLUMN(Reinforcements[[#Headers],[Top End Connection Type]])-1,FALSE),""))</f>
        <v>#VALUE!</v>
      </c>
      <c r="CM64" s="17" t="e">
        <f>IF(ISBLANK(VLOOKUP(BR64,Reinforcements[],COLUMN(Reinforcements[[#Headers],[Bottom Transverse Weld Length]])-1,FALSE)),"",(VLOOKUP(BR64,Reinforcements[],COLUMN(Reinforcements[[#Headers],[Bottom Transverse Weld Length]])-1,FALSE)))</f>
        <v>#N/A</v>
      </c>
      <c r="CN64" s="17" t="e">
        <f>IF(ISBLANK(VLOOKUP(BR64,Reinforcements[],COLUMN(Reinforcements[[#Headers],[Bottom Transverse (Horizontal) Weld]])-1,FALSE)),"",(VLOOKUP(BR64,Reinforcements[],COLUMN(Reinforcements[[#Headers],[Bottom Transverse (Horizontal) Weld]])-1,FALSE)))</f>
        <v>#N/A</v>
      </c>
      <c r="CO64" s="17" t="e">
        <f>IF(ISBLANK(VLOOKUP(BR64,Reinforcements[],COLUMN(Reinforcements[[#Headers],[Bottom Longitudinal Weld Length]])-1,FALSE)),"",(VLOOKUP(BR64,Reinforcements[],COLUMN(Reinforcements[[#Headers],[Bottom Longitudinal Weld Length]])-1,FALSE)))</f>
        <v>#N/A</v>
      </c>
      <c r="CP64" s="17" t="str">
        <f>IFERROR(VLOOKUP(BR64,Reinforcements[],COLUMN(Reinforcements[[#Headers],[Bottom Connected to Flange/Base Plate?]])-1,FALSE),"")</f>
        <v/>
      </c>
      <c r="CQ64" s="248" t="e">
        <f>IF(Rev="F",VLOOKUP(BR64,Reinforcements[],COLUMN(Reinforcements[[#Headers],[Rev. F Bottom Transverse Weld Strength]])-1,FALSE),VLOOKUP(BR64,Reinforcements[],COLUMN(Reinforcements[[#Headers],[Rev. G Bottom Transverse Weld Strength]])-1,FALSE))</f>
        <v>#N/A</v>
      </c>
      <c r="CR64" s="248"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248" t="str">
        <f>IF(CP64&lt;&gt;"Yes","",(VLOOKUP(BR64,Reinforcements[],COLUMN(Reinforcements[[#Headers],[Bottom Transverse Weld Groove Depth (in)]])-1,FALSE)+VLOOKUP(BR64,Reinforcements[],COLUMN(Reinforcements[[#Headers],[Bottom Transverse Weld Fillet Size (in)]])-1,FALSE))*CM64*IF(Rev="F",0.6,φ_t_y)*$D$14)</f>
        <v/>
      </c>
      <c r="CT64" s="248" t="e">
        <f>IF(CP64="Yes","",VLOOKUP(BR64,Reinforcements[],COLUMN(Reinforcements[[#Headers],[Bottom Transverse Weld Fillet Size (in)]])-1,FALSE)*CM64*MIN(IF(Rev="F",0.4,φ_shear_yield*0.6)*$D$6,IF(Rev="F",0.3,φ_shear_rupture*0.6)*$D$7))</f>
        <v>#N/A</v>
      </c>
      <c r="CU64" s="248" t="e">
        <f>IF(Rev="F",VLOOKUP(BR64,Reinforcements[],COLUMN(Reinforcements[[#Headers],[Rev. F Bottom Longitudinal Weld Strength]])-1,FALSE),VLOOKUP(BR64,Reinforcements[],COLUMN(Reinforcements[[#Headers],[Rev. G Bottom Longitudinal Weld Strength]])-1,FALSE))</f>
        <v>#N/A</v>
      </c>
      <c r="CV64" s="248" t="e">
        <f>2*VLOOKUP(BR64,Reinforcements[],COLUMN(Reinforcements[[#Headers],[Bottom Longitudinal Weld Fillet Size (in)]])-1,FALSE)*CO64*MIN(IF(Rev="F",0.4,φ_shear_yield*0.6)*CG64,IF(Rev="F",0.3,φ_shear_rupture*0.6)*CH64)</f>
        <v>#N/A</v>
      </c>
      <c r="CW64" s="248" t="e">
        <f>2*VLOOKUP(BR64,Reinforcements[],COLUMN(Reinforcements[[#Headers],[Bottom Longitudinal Weld Fillet Size (in)]])-1,FALSE)*CO64*MIN(IF(Rev="F",0.4,φ_shear_yield*0.6)*$D$6,IF(Rev="F",0.3,φ_shear_rupture*0.6)*$D$7)</f>
        <v>#N/A</v>
      </c>
      <c r="CX64" s="248" t="e">
        <f>IF(ISBLANK(VLOOKUP(BR64,Reinforcements[],COLUMN(Reinforcements[[#Headers],[Top Transverse Weld Length]])-1,FALSE)),"",(VLOOKUP(BR64,Reinforcements[],COLUMN(Reinforcements[[#Headers],[Top Transverse Weld Length]])-1,FALSE)))</f>
        <v>#N/A</v>
      </c>
      <c r="CY64" s="248" t="e">
        <f>IF(ISBLANK(VLOOKUP(BR64,Reinforcements[],COLUMN(Reinforcements[[#Headers],[Top Transverse (Horizontal) Weld]])-1,FALSE)),"",(VLOOKUP(BR64,Reinforcements[],COLUMN(Reinforcements[[#Headers],[Top Transverse (Horizontal) Weld]])-1,FALSE)))</f>
        <v>#N/A</v>
      </c>
      <c r="CZ64" s="248" t="e">
        <f>IF(ISBLANK(VLOOKUP(BR64,Reinforcements[],COLUMN(Reinforcements[[#Headers],[Top Longitudinal Weld Length]])-1,FALSE)),"",(VLOOKUP(BR64,Reinforcements[],COLUMN(Reinforcements[[#Headers],[Top Longitudinal Weld Length]])-1,FALSE)))</f>
        <v>#N/A</v>
      </c>
      <c r="DA64" s="248" t="str">
        <f>IFERROR(VLOOKUP(BR64,Reinforcements[],COLUMN(Reinforcements[[#Headers],[Top Connected to Flange/Base Plate?]])-1,FALSE),"")</f>
        <v/>
      </c>
      <c r="DB64" s="248" t="e">
        <f>IF(Rev="F",VLOOKUP(BR64,Reinforcements[],COLUMN(Reinforcements[[#Headers],[Rev. F Top Transverse Weld Strength]])-1,FALSE),VLOOKUP(BR64,Reinforcements[],COLUMN(Reinforcements[[#Headers],[Rev. G Top Transverse Weld Strength]])-1,FALSE))</f>
        <v>#N/A</v>
      </c>
      <c r="DC64" s="248"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248" t="str">
        <f>IF(DA64&lt;&gt;"Yes","",(VLOOKUP(BR64,Reinforcements[],COLUMN(Reinforcements[[#Headers],[Top Transverse Weld Groove Depth (in)]])-1,FALSE)+VLOOKUP(BR64,Reinforcements[],COLUMN(Reinforcements[[#Headers],[Top Transverse Weld Fillet Size (in)]])-1,FALSE))*CX64*IF(Rev="F",0.6,φ_t_y)*$D$14)</f>
        <v/>
      </c>
      <c r="DE64" s="248" t="e">
        <f>IF(DA64="Yes","",VLOOKUP(BR64,Reinforcements[],COLUMN(Reinforcements[[#Headers],[Top Transverse Weld Fillet Size (in)]])-1,FALSE)*CX64*MIN(IF(Rev="F",0.4,φ_shear_yield*0.6)*$D$6,IF(Rev="F",0.3,φ_shear_rupture*0.6)*$D$7))</f>
        <v>#N/A</v>
      </c>
      <c r="DF64" s="248" t="e">
        <f>IF(Rev="F",VLOOKUP(BR64,Reinforcements[],COLUMN(Reinforcements[[#Headers],[Rev. F Top Longitudinal Weld Strength]])-1,FALSE),VLOOKUP(BR64,Reinforcements[],COLUMN(Reinforcements[[#Headers],[Rev. G Top Longitudinal Weld Strength]])-1,FALSE))</f>
        <v>#N/A</v>
      </c>
      <c r="DG64" s="248" t="e">
        <f>2*VLOOKUP(BR64,Reinforcements[],COLUMN(Reinforcements[[#Headers],[Top Longitudinal Weld Fillet Size (in)]])-1,FALSE)*CZ64*MIN(IF(Rev="F",0.4,φ_shear_yield*0.6)*CG64,IF(Rev="F",0.3,φ_shear_rupture*0.6)*CH64)</f>
        <v>#N/A</v>
      </c>
      <c r="DH64" s="248" t="e">
        <f>2*VLOOKUP(BR64,Reinforcements[],COLUMN(Reinforcements[[#Headers],[Top Longitudinal Weld Fillet Size (in)]])-1,FALSE)*CZ64*MIN(IF(Rev="F",0.4,φ_shear_yield*0.6)*$D$6,IF(Rev="F",0.3,φ_shear_rupture*0.6)*$D$7)</f>
        <v>#N/A</v>
      </c>
      <c r="DI64" s="49" t="e">
        <f>IF(BS64="channel",VLOOKUP(Calculations!BR64,Reinforcements[],COLUMN(Reinforcements[[#Headers],['[Channel']Web Thickness (in)]])-1,FALSE),"")</f>
        <v>#N/A</v>
      </c>
      <c r="DJ64" s="49" t="b">
        <f t="shared" si="84"/>
        <v>0</v>
      </c>
      <c r="DK64" s="49" t="e">
        <f>IF(BS64="channel",Calculations!BU64-DI64,"")</f>
        <v>#N/A</v>
      </c>
      <c r="DL64" s="49" t="e">
        <f>IF(BS64="channel",(Calculations!BY64-Calculations!BT64*DI64)/(2*DK64))</f>
        <v>#N/A</v>
      </c>
      <c r="DM64" s="49" t="e">
        <f>IF(BS64="channel",(Calculations!BT64*(DI64^2)/2+2*DK64*DL64*(DI64+DK64/2))/Calculations!BY64,"")</f>
        <v>#N/A</v>
      </c>
    </row>
    <row r="65" spans="2:117" ht="15" x14ac:dyDescent="0.25">
      <c r="B65" s="49" t="str">
        <f t="shared" si="70"/>
        <v/>
      </c>
      <c r="C65" s="201">
        <v>6</v>
      </c>
      <c r="D65" s="255" t="str">
        <f>IF(BQ65="","",IF($D$8=0,IF(OR(VLOOKUP(BQ65,Input!$B$21:$AL$50,19+C65,FALSE)+$D$5=0,VLOOKUP(BQ65,Input!$B$21:$AL$50,19+C65,FALSE)+$D$5=180),VLOOKUP(BQ65,Input!$B$21:$AL$50,19+C65,FALSE)+$D$5+0.0001,VLOOKUP(BQ65,Input!$B$21:$AL$50,19+C65,FALSE)+$D$5),IF(VLOOKUP(BQ65,Input!$B$21:$AL$50,19+C65,FALSE)="c",VLOOKUP($C65,$C$40:$E$57,2,FALSE)+180/$D$8,VLOOKUP($C65,$C$40:$E$57,2,FALSE))))</f>
        <v/>
      </c>
      <c r="E65" s="17" t="str">
        <f t="shared" si="39"/>
        <v/>
      </c>
      <c r="F65" s="258" t="str">
        <f>IF(BR65="","",VLOOKUP(BR65,Reinforcements[],COLUMN(Reinforcements[[#Headers],[Gross Area (in2)]])-1,FALSE))</f>
        <v/>
      </c>
      <c r="G65" s="256" t="e">
        <f>(IF(VLOOKUP(BQ65,Input!$B$21:$AL$50,19+C65,FALSE)="c",$D$20/COS(RADIANS(180/$D$8)),$D$20)+CA65)*SIN(RADIANS(D65))-IF(AND(ISNUMBER(VLOOKUP(BQ65,Input!$B$21:$AL$50,19+C65,FALSE)),$D$8&lt;&gt;0),VLOOKUP(BQ65,Input!$B$21:$AL$50,19+C65,FALSE)*COS(RADIANS(D65)),0)</f>
        <v>#N/A</v>
      </c>
      <c r="H65" s="251" t="str">
        <f t="shared" si="71"/>
        <v/>
      </c>
      <c r="I65" s="251" t="e">
        <f t="shared" si="40"/>
        <v>#N/A</v>
      </c>
      <c r="J65" s="251" t="e">
        <f t="shared" si="41"/>
        <v>#N/A</v>
      </c>
      <c r="K65" s="251" t="e">
        <f t="shared" si="42"/>
        <v>#N/A</v>
      </c>
      <c r="L65" s="251" t="e">
        <f t="shared" si="72"/>
        <v>#N/A</v>
      </c>
      <c r="M65" s="252" t="str">
        <f t="shared" si="73"/>
        <v/>
      </c>
      <c r="N65" s="250" t="str">
        <f>IFERROR((IF(VLOOKUP(BQ65,Input!$B$21:$AL$50,19+C65,FALSE)="c",$D$20/COS(RADIANS(180/$D$8)),$D$20)+CA65)*SIN(RADIANS(D65))-IF(AND(ISNUMBER(VLOOKUP(BQ65,Input!$B$21:$AL$50,19+C65,FALSE)),$D$8&lt;&gt;0),VLOOKUP(BQ65,Input!$B$21:$AL$50,19+C65,FALSE)*COS(RADIANS(D65)),0)-$D$35,"")</f>
        <v/>
      </c>
      <c r="O65" s="253" t="str">
        <f t="shared" si="43"/>
        <v/>
      </c>
      <c r="P65" s="253" t="str">
        <f t="shared" si="44"/>
        <v/>
      </c>
      <c r="Q65" s="253" t="str">
        <f t="shared" si="45"/>
        <v/>
      </c>
      <c r="R65" s="254" t="str">
        <f t="shared" si="46"/>
        <v/>
      </c>
      <c r="S65" s="251" t="str">
        <f t="shared" si="74"/>
        <v/>
      </c>
      <c r="T65" s="251" t="str">
        <f t="shared" si="75"/>
        <v/>
      </c>
      <c r="U65" s="251" t="str">
        <f t="shared" si="76"/>
        <v/>
      </c>
      <c r="V65" s="252" t="str">
        <f t="shared" si="77"/>
        <v/>
      </c>
      <c r="W65" s="323"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324"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324"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324" t="str">
        <f>IFERROR(IF('Macro References'!$A$9,IF(AND(CJ65,CL65="Welded"),MIN(CQ65:CT65),IF(AND(CK65,CL65="Welded"),MIN(DB65:DE65),"")),""),"")</f>
        <v/>
      </c>
      <c r="AA65" s="255" t="str">
        <f>IFERROR(IF('Macro References'!$A$9,IF(AND(CJ65,CL65="Welded"),MIN(CU65:CW65),IF(AND(CK65,CL65="Welded"),MIN(DF65:DH65),"")),""),"")</f>
        <v/>
      </c>
      <c r="AB65" s="255" t="str">
        <f>IFERROR(IF('Macro References'!$A$9,IF(AND(CJ65,CL65="Welded",CN65="Fillet",CU65&gt;0),TRUE,IF(AND(CK65,CL65="Welded",CY65="Fillet",DF65&gt;0),TRUE,"")),""),"")</f>
        <v/>
      </c>
      <c r="AC65" s="255"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255"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32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248"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32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274" t="str">
        <f t="shared" si="47"/>
        <v/>
      </c>
      <c r="AI65" s="255" t="str">
        <f t="shared" si="48"/>
        <v/>
      </c>
      <c r="AJ65" s="255" t="str">
        <f t="shared" si="49"/>
        <v/>
      </c>
      <c r="AK65" s="255" t="str">
        <f t="shared" si="85"/>
        <v/>
      </c>
      <c r="AL65" s="248" t="str">
        <f t="shared" si="78"/>
        <v/>
      </c>
      <c r="AM65" s="255" t="str">
        <f>""</f>
        <v/>
      </c>
      <c r="AN65" s="255" t="str">
        <f t="shared" si="50"/>
        <v/>
      </c>
      <c r="AO65" s="248" t="str">
        <f t="shared" si="51"/>
        <v/>
      </c>
      <c r="AP65" s="275" t="str">
        <f t="shared" si="52"/>
        <v/>
      </c>
      <c r="AQ65" s="276" t="str">
        <f t="shared" si="53"/>
        <v/>
      </c>
      <c r="AR65" s="255" t="str">
        <f>IF(BR65="","",VLOOKUP(VLOOKUP(BR65,Reinforcements[],COLUMN(Reinforcements[[#Headers],[Material]])-1,FALSE),Materials[],2,FALSE)/$D$28)</f>
        <v/>
      </c>
      <c r="AS65" s="248" t="str">
        <f t="shared" si="54"/>
        <v/>
      </c>
      <c r="AT65" s="327" t="str">
        <f t="shared" si="55"/>
        <v/>
      </c>
      <c r="AU65" s="277">
        <f t="shared" si="56"/>
        <v>0</v>
      </c>
      <c r="AV65" s="278">
        <f t="shared" si="57"/>
        <v>0</v>
      </c>
      <c r="AW65" s="278" t="e">
        <f t="shared" si="58"/>
        <v>#N/A</v>
      </c>
      <c r="AX65" s="278" t="e">
        <f t="shared" si="59"/>
        <v>#N/A</v>
      </c>
      <c r="AY65" s="278" t="str">
        <f t="shared" si="60"/>
        <v/>
      </c>
      <c r="AZ65" s="278" t="e">
        <f t="shared" si="61"/>
        <v>#VALUE!</v>
      </c>
      <c r="BA65" s="295" t="str">
        <f t="shared" si="62"/>
        <v/>
      </c>
      <c r="BB65" s="297" t="str">
        <f t="shared" si="79"/>
        <v/>
      </c>
      <c r="BC65" s="298" t="str">
        <f t="shared" si="63"/>
        <v/>
      </c>
      <c r="BD65" s="298" t="str">
        <f t="shared" si="64"/>
        <v/>
      </c>
      <c r="BE65" s="295" t="str">
        <f t="shared" si="80"/>
        <v/>
      </c>
      <c r="BF65" s="299" t="e">
        <f t="shared" si="81"/>
        <v>#DIV/0!</v>
      </c>
      <c r="BG65" s="300" t="str">
        <f t="shared" si="65"/>
        <v/>
      </c>
      <c r="BH65" s="300" t="str">
        <f t="shared" si="66"/>
        <v/>
      </c>
      <c r="BI65" s="295" t="e">
        <f t="shared" si="82"/>
        <v>#DIV/0!</v>
      </c>
      <c r="BJ65" s="299" t="str">
        <f t="shared" si="83"/>
        <v/>
      </c>
      <c r="BK65" s="278" t="e">
        <f t="shared" si="67"/>
        <v>#DIV/0!</v>
      </c>
      <c r="BL65" s="49" t="str">
        <f t="shared" si="68"/>
        <v/>
      </c>
      <c r="BP65" s="25" t="e">
        <f t="shared" si="69"/>
        <v>#DIV/0!</v>
      </c>
      <c r="BQ65" s="223" t="str">
        <f>IFERROR(VALUE(LEFT(VLOOKUP(Calculations!$D$4,Results!$G$5:$CM$105,67+$C65,FALSE),FIND(";",VLOOKUP(Calculations!$D$4,Results!$G$5:$CM$105,67+$C65,FALSE))-1)),"")</f>
        <v/>
      </c>
      <c r="BR65" s="303" t="str">
        <f>IF(BQ65="","",VLOOKUP(BQ65,Input!$B$21:$Q$50,13,FALSE))</f>
        <v/>
      </c>
      <c r="BS65" s="248" t="e">
        <f>VLOOKUP(BR65,Reinforcements[],COLUMN(Reinforcements[[#Headers],[Type]])-1,FALSE)</f>
        <v>#N/A</v>
      </c>
      <c r="BT65" s="248" t="e">
        <f>IF(BS65="solid round",VLOOKUP(BR65,Reinforcements[],COLUMN(Reinforcements[[#Headers],[Diameter (in)]])-1,FALSE),VLOOKUP(BR65,Reinforcements[],COLUMN(Reinforcements[[#Headers],[B (in)]])-1,FALSE))</f>
        <v>#N/A</v>
      </c>
      <c r="BU65" s="248" t="e">
        <f>IF(BS65="solid round",VLOOKUP(BR65,Reinforcements[],COLUMN(Reinforcements[[#Headers],[Diameter (in)]])-1,FALSE),VLOOKUP(BR65,Reinforcements[],COLUMN(Reinforcements[[#Headers],[H (in)]])-1,FALSE))</f>
        <v>#N/A</v>
      </c>
      <c r="BV65" s="278" t="e">
        <f>IFERROR((IF(VLOOKUP(BQ65,Input!$B$21:$AL$50,19+C65,FALSE)="c",$D$20/COS(RADIANS(180/$D$8)),$D$20)+BU65/2)*SIN(RADIANS(D65))-IF(ISNUMBER(VLOOKUP(BQ65,Input!$B$21:$AL$50,19+C65,FALSE)),VLOOKUP(BQ65,Input!$B$21:$AL$50,19+C65,FALSE)*COS(RADIANS(D65)),0)-$D$35,"")*0+N65*1</f>
        <v>#VALUE!</v>
      </c>
      <c r="BW65" s="248" t="e">
        <f>VLOOKUP(BR65,Reinforcements[],COLUMN(Reinforcements[[#Headers],[Effective B (in)]])-1,FALSE)</f>
        <v>#N/A</v>
      </c>
      <c r="BX65" s="248" t="e">
        <f>VLOOKUP(BR65,Reinforcements[],COLUMN(Reinforcements[[#Headers],[Effective H (in)]])-1,FALSE)</f>
        <v>#N/A</v>
      </c>
      <c r="BY65" s="248" t="e">
        <f>VLOOKUP(BR65,Reinforcements[],COLUMN(Reinforcements[[#Headers],[Gross Area (in2)]])-1,FALSE)</f>
        <v>#N/A</v>
      </c>
      <c r="BZ65" s="255" t="s">
        <v>697</v>
      </c>
      <c r="CA65" s="248" t="e">
        <f>VLOOKUP(BR65,Reinforcements[],COLUMN(Reinforcements[[#Headers],[Pole Face to Centroid (in)]])-1,FALSE)</f>
        <v>#N/A</v>
      </c>
      <c r="CB65" s="248" t="e">
        <f>VLOOKUP(BR65,Reinforcements[],COLUMN(Reinforcements[[#Headers],[Equivalent Rectangle Ix (in4)]])-1,FALSE)</f>
        <v>#N/A</v>
      </c>
      <c r="CC65" s="248" t="e">
        <f>VLOOKUP(BR65,Reinforcements[],COLUMN(Reinforcements[[#Headers],[Equivalent Rectangle Iy (in4)]])-1,FALSE)</f>
        <v>#N/A</v>
      </c>
      <c r="CD65" s="248" t="e">
        <f>VLOOKUP(BR65,Reinforcements[],COLUMN(Reinforcements[[#Headers],[Lu (in)]])-1,FALSE)</f>
        <v>#N/A</v>
      </c>
      <c r="CE65" s="255" t="s">
        <v>697</v>
      </c>
      <c r="CF65" s="255" t="s">
        <v>697</v>
      </c>
      <c r="CG65" s="248" t="e">
        <f>VLOOKUP(VLOOKUP(BR65,Reinforcements[],COLUMN(Reinforcements[[#Headers],[Material]])-1,FALSE),Materials[],2,FALSE)</f>
        <v>#N/A</v>
      </c>
      <c r="CH65" s="248" t="e">
        <f>VLOOKUP(VLOOKUP(BR65,Reinforcements[],COLUMN(Reinforcements[[#Headers],[Material]])-1,FALSE),Materials[],3,FALSE)</f>
        <v>#N/A</v>
      </c>
      <c r="CI65" s="255" t="e">
        <f>VLOOKUP(BR65,Reinforcements[],COLUMN(Reinforcements[[#Headers],[Tension Only?]])-1,FALSE)</f>
        <v>#N/A</v>
      </c>
      <c r="CJ65" s="17" t="str">
        <f>IF(BQ65="","",AND(INDEX(Results!$G$5:$G$104,MATCH(VLOOKUP($BQ65,Input!$B$21:$J$50,2,FALSE)-0.001,Results!$G$5:$G$104,-1))=$D$4))</f>
        <v/>
      </c>
      <c r="CK65" s="17" t="str">
        <f>IF(BQ65="","",AND(INDEX('Macro References'!$BB$2:$BB$101,MATCH(VLOOKUP($BQ65,Input!$B$21:$J$50,6,FALSE)-0.001,'Macro References'!$BB$2:$BB$101,1))=$D$4))</f>
        <v/>
      </c>
      <c r="CL65" s="17" t="e">
        <f>IF(CJ65,VLOOKUP(BR65,Reinforcements[],COLUMN(Reinforcements[[#Headers],[Bottom End Connection Type]])-1,FALSE),IF(CK65,VLOOKUP(BR65,Reinforcements[],COLUMN(Reinforcements[[#Headers],[Top End Connection Type]])-1,FALSE),""))</f>
        <v>#VALUE!</v>
      </c>
      <c r="CM65" s="17" t="e">
        <f>IF(ISBLANK(VLOOKUP(BR65,Reinforcements[],COLUMN(Reinforcements[[#Headers],[Bottom Transverse Weld Length]])-1,FALSE)),"",(VLOOKUP(BR65,Reinforcements[],COLUMN(Reinforcements[[#Headers],[Bottom Transverse Weld Length]])-1,FALSE)))</f>
        <v>#N/A</v>
      </c>
      <c r="CN65" s="17" t="e">
        <f>IF(ISBLANK(VLOOKUP(BR65,Reinforcements[],COLUMN(Reinforcements[[#Headers],[Bottom Transverse (Horizontal) Weld]])-1,FALSE)),"",(VLOOKUP(BR65,Reinforcements[],COLUMN(Reinforcements[[#Headers],[Bottom Transverse (Horizontal) Weld]])-1,FALSE)))</f>
        <v>#N/A</v>
      </c>
      <c r="CO65" s="17" t="e">
        <f>IF(ISBLANK(VLOOKUP(BR65,Reinforcements[],COLUMN(Reinforcements[[#Headers],[Bottom Longitudinal Weld Length]])-1,FALSE)),"",(VLOOKUP(BR65,Reinforcements[],COLUMN(Reinforcements[[#Headers],[Bottom Longitudinal Weld Length]])-1,FALSE)))</f>
        <v>#N/A</v>
      </c>
      <c r="CP65" s="17" t="str">
        <f>IFERROR(VLOOKUP(BR65,Reinforcements[],COLUMN(Reinforcements[[#Headers],[Bottom Connected to Flange/Base Plate?]])-1,FALSE),"")</f>
        <v/>
      </c>
      <c r="CQ65" s="248" t="e">
        <f>IF(Rev="F",VLOOKUP(BR65,Reinforcements[],COLUMN(Reinforcements[[#Headers],[Rev. F Bottom Transverse Weld Strength]])-1,FALSE),VLOOKUP(BR65,Reinforcements[],COLUMN(Reinforcements[[#Headers],[Rev. G Bottom Transverse Weld Strength]])-1,FALSE))</f>
        <v>#N/A</v>
      </c>
      <c r="CR65" s="248"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248" t="str">
        <f>IF(CP65&lt;&gt;"Yes","",(VLOOKUP(BR65,Reinforcements[],COLUMN(Reinforcements[[#Headers],[Bottom Transverse Weld Groove Depth (in)]])-1,FALSE)+VLOOKUP(BR65,Reinforcements[],COLUMN(Reinforcements[[#Headers],[Bottom Transverse Weld Fillet Size (in)]])-1,FALSE))*CM65*IF(Rev="F",0.6,φ_t_y)*$D$14)</f>
        <v/>
      </c>
      <c r="CT65" s="248" t="e">
        <f>IF(CP65="Yes","",VLOOKUP(BR65,Reinforcements[],COLUMN(Reinforcements[[#Headers],[Bottom Transverse Weld Fillet Size (in)]])-1,FALSE)*CM65*MIN(IF(Rev="F",0.4,φ_shear_yield*0.6)*$D$6,IF(Rev="F",0.3,φ_shear_rupture*0.6)*$D$7))</f>
        <v>#N/A</v>
      </c>
      <c r="CU65" s="248" t="e">
        <f>IF(Rev="F",VLOOKUP(BR65,Reinforcements[],COLUMN(Reinforcements[[#Headers],[Rev. F Bottom Longitudinal Weld Strength]])-1,FALSE),VLOOKUP(BR65,Reinforcements[],COLUMN(Reinforcements[[#Headers],[Rev. G Bottom Longitudinal Weld Strength]])-1,FALSE))</f>
        <v>#N/A</v>
      </c>
      <c r="CV65" s="248" t="e">
        <f>2*VLOOKUP(BR65,Reinforcements[],COLUMN(Reinforcements[[#Headers],[Bottom Longitudinal Weld Fillet Size (in)]])-1,FALSE)*CO65*MIN(IF(Rev="F",0.4,φ_shear_yield*0.6)*CG65,IF(Rev="F",0.3,φ_shear_rupture*0.6)*CH65)</f>
        <v>#N/A</v>
      </c>
      <c r="CW65" s="248" t="e">
        <f>2*VLOOKUP(BR65,Reinforcements[],COLUMN(Reinforcements[[#Headers],[Bottom Longitudinal Weld Fillet Size (in)]])-1,FALSE)*CO65*MIN(IF(Rev="F",0.4,φ_shear_yield*0.6)*$D$6,IF(Rev="F",0.3,φ_shear_rupture*0.6)*$D$7)</f>
        <v>#N/A</v>
      </c>
      <c r="CX65" s="248" t="e">
        <f>IF(ISBLANK(VLOOKUP(BR65,Reinforcements[],COLUMN(Reinforcements[[#Headers],[Top Transverse Weld Length]])-1,FALSE)),"",(VLOOKUP(BR65,Reinforcements[],COLUMN(Reinforcements[[#Headers],[Top Transverse Weld Length]])-1,FALSE)))</f>
        <v>#N/A</v>
      </c>
      <c r="CY65" s="248" t="e">
        <f>IF(ISBLANK(VLOOKUP(BR65,Reinforcements[],COLUMN(Reinforcements[[#Headers],[Top Transverse (Horizontal) Weld]])-1,FALSE)),"",(VLOOKUP(BR65,Reinforcements[],COLUMN(Reinforcements[[#Headers],[Top Transverse (Horizontal) Weld]])-1,FALSE)))</f>
        <v>#N/A</v>
      </c>
      <c r="CZ65" s="248" t="e">
        <f>IF(ISBLANK(VLOOKUP(BR65,Reinforcements[],COLUMN(Reinforcements[[#Headers],[Top Longitudinal Weld Length]])-1,FALSE)),"",(VLOOKUP(BR65,Reinforcements[],COLUMN(Reinforcements[[#Headers],[Top Longitudinal Weld Length]])-1,FALSE)))</f>
        <v>#N/A</v>
      </c>
      <c r="DA65" s="248" t="str">
        <f>IFERROR(VLOOKUP(BR65,Reinforcements[],COLUMN(Reinforcements[[#Headers],[Top Connected to Flange/Base Plate?]])-1,FALSE),"")</f>
        <v/>
      </c>
      <c r="DB65" s="248" t="e">
        <f>IF(Rev="F",VLOOKUP(BR65,Reinforcements[],COLUMN(Reinforcements[[#Headers],[Rev. F Top Transverse Weld Strength]])-1,FALSE),VLOOKUP(BR65,Reinforcements[],COLUMN(Reinforcements[[#Headers],[Rev. G Top Transverse Weld Strength]])-1,FALSE))</f>
        <v>#N/A</v>
      </c>
      <c r="DC65" s="248"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248" t="str">
        <f>IF(DA65&lt;&gt;"Yes","",(VLOOKUP(BR65,Reinforcements[],COLUMN(Reinforcements[[#Headers],[Top Transverse Weld Groove Depth (in)]])-1,FALSE)+VLOOKUP(BR65,Reinforcements[],COLUMN(Reinforcements[[#Headers],[Top Transverse Weld Fillet Size (in)]])-1,FALSE))*CX65*IF(Rev="F",0.6,φ_t_y)*$D$14)</f>
        <v/>
      </c>
      <c r="DE65" s="248" t="e">
        <f>IF(DA65="Yes","",VLOOKUP(BR65,Reinforcements[],COLUMN(Reinforcements[[#Headers],[Top Transverse Weld Fillet Size (in)]])-1,FALSE)*CX65*MIN(IF(Rev="F",0.4,φ_shear_yield*0.6)*$D$6,IF(Rev="F",0.3,φ_shear_rupture*0.6)*$D$7))</f>
        <v>#N/A</v>
      </c>
      <c r="DF65" s="248" t="e">
        <f>IF(Rev="F",VLOOKUP(BR65,Reinforcements[],COLUMN(Reinforcements[[#Headers],[Rev. F Top Longitudinal Weld Strength]])-1,FALSE),VLOOKUP(BR65,Reinforcements[],COLUMN(Reinforcements[[#Headers],[Rev. G Top Longitudinal Weld Strength]])-1,FALSE))</f>
        <v>#N/A</v>
      </c>
      <c r="DG65" s="248" t="e">
        <f>2*VLOOKUP(BR65,Reinforcements[],COLUMN(Reinforcements[[#Headers],[Top Longitudinal Weld Fillet Size (in)]])-1,FALSE)*CZ65*MIN(IF(Rev="F",0.4,φ_shear_yield*0.6)*CG65,IF(Rev="F",0.3,φ_shear_rupture*0.6)*CH65)</f>
        <v>#N/A</v>
      </c>
      <c r="DH65" s="248" t="e">
        <f>2*VLOOKUP(BR65,Reinforcements[],COLUMN(Reinforcements[[#Headers],[Top Longitudinal Weld Fillet Size (in)]])-1,FALSE)*CZ65*MIN(IF(Rev="F",0.4,φ_shear_yield*0.6)*$D$6,IF(Rev="F",0.3,φ_shear_rupture*0.6)*$D$7)</f>
        <v>#N/A</v>
      </c>
      <c r="DI65" s="49" t="e">
        <f>IF(BS65="channel",VLOOKUP(Calculations!BR65,Reinforcements[],COLUMN(Reinforcements[[#Headers],['[Channel']Web Thickness (in)]])-1,FALSE),"")</f>
        <v>#N/A</v>
      </c>
      <c r="DJ65" s="49" t="b">
        <f t="shared" si="84"/>
        <v>0</v>
      </c>
      <c r="DK65" s="49" t="e">
        <f>IF(BS65="channel",Calculations!BU65-DI65,"")</f>
        <v>#N/A</v>
      </c>
      <c r="DL65" s="49" t="e">
        <f>IF(BS65="channel",(Calculations!BY65-Calculations!BT65*DI65)/(2*DK65))</f>
        <v>#N/A</v>
      </c>
      <c r="DM65" s="49" t="e">
        <f>IF(BS65="channel",(Calculations!BT65*(DI65^2)/2+2*DK65*DL65*(DI65+DK65/2))/Calculations!BY65,"")</f>
        <v>#N/A</v>
      </c>
    </row>
    <row r="66" spans="2:117" ht="15" x14ac:dyDescent="0.25">
      <c r="B66" s="49" t="str">
        <f t="shared" si="70"/>
        <v/>
      </c>
      <c r="C66" s="201">
        <v>7</v>
      </c>
      <c r="D66" s="255" t="str">
        <f>IF(BQ66="","",IF($D$8=0,IF(OR(VLOOKUP(BQ66,Input!$B$21:$AL$50,19+C66,FALSE)+$D$5=0,VLOOKUP(BQ66,Input!$B$21:$AL$50,19+C66,FALSE)+$D$5=180),VLOOKUP(BQ66,Input!$B$21:$AL$50,19+C66,FALSE)+$D$5+0.0001,VLOOKUP(BQ66,Input!$B$21:$AL$50,19+C66,FALSE)+$D$5),IF(VLOOKUP(BQ66,Input!$B$21:$AL$50,19+C66,FALSE)="c",VLOOKUP($C66,$C$40:$E$57,2,FALSE)+180/$D$8,VLOOKUP($C66,$C$40:$E$57,2,FALSE))))</f>
        <v/>
      </c>
      <c r="E66" s="17" t="str">
        <f t="shared" si="39"/>
        <v/>
      </c>
      <c r="F66" s="258" t="str">
        <f>IF(BR66="","",VLOOKUP(BR66,Reinforcements[],COLUMN(Reinforcements[[#Headers],[Gross Area (in2)]])-1,FALSE))</f>
        <v/>
      </c>
      <c r="G66" s="256" t="e">
        <f>(IF(VLOOKUP(BQ66,Input!$B$21:$AL$50,19+C66,FALSE)="c",$D$20/COS(RADIANS(180/$D$8)),$D$20)+CA66)*SIN(RADIANS(D66))-IF(AND(ISNUMBER(VLOOKUP(BQ66,Input!$B$21:$AL$50,19+C66,FALSE)),$D$8&lt;&gt;0),VLOOKUP(BQ66,Input!$B$21:$AL$50,19+C66,FALSE)*COS(RADIANS(D66)),0)</f>
        <v>#N/A</v>
      </c>
      <c r="H66" s="251" t="str">
        <f t="shared" si="71"/>
        <v/>
      </c>
      <c r="I66" s="251" t="e">
        <f t="shared" si="40"/>
        <v>#N/A</v>
      </c>
      <c r="J66" s="251" t="e">
        <f t="shared" si="41"/>
        <v>#N/A</v>
      </c>
      <c r="K66" s="251" t="e">
        <f t="shared" si="42"/>
        <v>#N/A</v>
      </c>
      <c r="L66" s="251" t="e">
        <f t="shared" si="72"/>
        <v>#N/A</v>
      </c>
      <c r="M66" s="252" t="str">
        <f t="shared" si="73"/>
        <v/>
      </c>
      <c r="N66" s="250" t="str">
        <f>IFERROR((IF(VLOOKUP(BQ66,Input!$B$21:$AL$50,19+C66,FALSE)="c",$D$20/COS(RADIANS(180/$D$8)),$D$20)+CA66)*SIN(RADIANS(D66))-IF(AND(ISNUMBER(VLOOKUP(BQ66,Input!$B$21:$AL$50,19+C66,FALSE)),$D$8&lt;&gt;0),VLOOKUP(BQ66,Input!$B$21:$AL$50,19+C66,FALSE)*COS(RADIANS(D66)),0)-$D$35,"")</f>
        <v/>
      </c>
      <c r="O66" s="253" t="str">
        <f t="shared" si="43"/>
        <v/>
      </c>
      <c r="P66" s="253" t="str">
        <f t="shared" si="44"/>
        <v/>
      </c>
      <c r="Q66" s="253" t="str">
        <f t="shared" si="45"/>
        <v/>
      </c>
      <c r="R66" s="254" t="str">
        <f t="shared" si="46"/>
        <v/>
      </c>
      <c r="S66" s="251" t="str">
        <f t="shared" si="74"/>
        <v/>
      </c>
      <c r="T66" s="251" t="str">
        <f t="shared" si="75"/>
        <v/>
      </c>
      <c r="U66" s="251" t="str">
        <f t="shared" si="76"/>
        <v/>
      </c>
      <c r="V66" s="252" t="str">
        <f t="shared" si="77"/>
        <v/>
      </c>
      <c r="W66" s="323"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324"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324"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324" t="str">
        <f>IFERROR(IF('Macro References'!$A$9,IF(AND(CJ66,CL66="Welded"),MIN(CQ66:CT66),IF(AND(CK66,CL66="Welded"),MIN(DB66:DE66),"")),""),"")</f>
        <v/>
      </c>
      <c r="AA66" s="255" t="str">
        <f>IFERROR(IF('Macro References'!$A$9,IF(AND(CJ66,CL66="Welded"),MIN(CU66:CW66),IF(AND(CK66,CL66="Welded"),MIN(DF66:DH66),"")),""),"")</f>
        <v/>
      </c>
      <c r="AB66" s="255" t="str">
        <f>IFERROR(IF('Macro References'!$A$9,IF(AND(CJ66,CL66="Welded",CN66="Fillet",CU66&gt;0),TRUE,IF(AND(CK66,CL66="Welded",CY66="Fillet",DF66&gt;0),TRUE,"")),""),"")</f>
        <v/>
      </c>
      <c r="AC66" s="255"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255"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32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248"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32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274" t="str">
        <f t="shared" si="47"/>
        <v/>
      </c>
      <c r="AI66" s="255" t="str">
        <f t="shared" si="48"/>
        <v/>
      </c>
      <c r="AJ66" s="255" t="str">
        <f t="shared" si="49"/>
        <v/>
      </c>
      <c r="AK66" s="255" t="str">
        <f t="shared" si="85"/>
        <v/>
      </c>
      <c r="AL66" s="248" t="str">
        <f t="shared" si="78"/>
        <v/>
      </c>
      <c r="AM66" s="255" t="str">
        <f>""</f>
        <v/>
      </c>
      <c r="AN66" s="255" t="str">
        <f t="shared" si="50"/>
        <v/>
      </c>
      <c r="AO66" s="248" t="str">
        <f t="shared" si="51"/>
        <v/>
      </c>
      <c r="AP66" s="275" t="str">
        <f t="shared" si="52"/>
        <v/>
      </c>
      <c r="AQ66" s="276" t="str">
        <f t="shared" si="53"/>
        <v/>
      </c>
      <c r="AR66" s="255" t="str">
        <f>IF(BR66="","",VLOOKUP(VLOOKUP(BR66,Reinforcements[],COLUMN(Reinforcements[[#Headers],[Material]])-1,FALSE),Materials[],2,FALSE)/$D$28)</f>
        <v/>
      </c>
      <c r="AS66" s="248" t="str">
        <f t="shared" si="54"/>
        <v/>
      </c>
      <c r="AT66" s="327" t="str">
        <f t="shared" si="55"/>
        <v/>
      </c>
      <c r="AU66" s="277">
        <f t="shared" si="56"/>
        <v>0</v>
      </c>
      <c r="AV66" s="278">
        <f t="shared" si="57"/>
        <v>0</v>
      </c>
      <c r="AW66" s="278" t="e">
        <f t="shared" si="58"/>
        <v>#N/A</v>
      </c>
      <c r="AX66" s="278" t="e">
        <f t="shared" si="59"/>
        <v>#N/A</v>
      </c>
      <c r="AY66" s="296" t="str">
        <f t="shared" si="60"/>
        <v/>
      </c>
      <c r="AZ66" s="278" t="e">
        <f t="shared" si="61"/>
        <v>#VALUE!</v>
      </c>
      <c r="BA66" s="295" t="str">
        <f t="shared" si="62"/>
        <v/>
      </c>
      <c r="BB66" s="297" t="str">
        <f t="shared" si="79"/>
        <v/>
      </c>
      <c r="BC66" s="298" t="str">
        <f t="shared" si="63"/>
        <v/>
      </c>
      <c r="BD66" s="298" t="str">
        <f t="shared" si="64"/>
        <v/>
      </c>
      <c r="BE66" s="295" t="str">
        <f t="shared" si="80"/>
        <v/>
      </c>
      <c r="BF66" s="299" t="e">
        <f t="shared" si="81"/>
        <v>#DIV/0!</v>
      </c>
      <c r="BG66" s="300" t="str">
        <f t="shared" si="65"/>
        <v/>
      </c>
      <c r="BH66" s="300" t="str">
        <f t="shared" si="66"/>
        <v/>
      </c>
      <c r="BI66" s="295" t="e">
        <f t="shared" si="82"/>
        <v>#DIV/0!</v>
      </c>
      <c r="BJ66" s="299" t="str">
        <f t="shared" si="83"/>
        <v/>
      </c>
      <c r="BK66" s="278" t="e">
        <f t="shared" si="67"/>
        <v>#DIV/0!</v>
      </c>
      <c r="BL66" s="49" t="str">
        <f t="shared" si="68"/>
        <v/>
      </c>
      <c r="BP66" s="25" t="e">
        <f t="shared" si="69"/>
        <v>#DIV/0!</v>
      </c>
      <c r="BQ66" s="223" t="str">
        <f>IFERROR(VALUE(LEFT(VLOOKUP(Calculations!$D$4,Results!$G$5:$CM$105,67+$C66,FALSE),FIND(";",VLOOKUP(Calculations!$D$4,Results!$G$5:$CM$105,67+$C66,FALSE))-1)),"")</f>
        <v/>
      </c>
      <c r="BR66" s="303" t="str">
        <f>IF(BQ66="","",VLOOKUP(BQ66,Input!$B$21:$Q$50,13,FALSE))</f>
        <v/>
      </c>
      <c r="BS66" s="248" t="e">
        <f>VLOOKUP(BR66,Reinforcements[],COLUMN(Reinforcements[[#Headers],[Type]])-1,FALSE)</f>
        <v>#N/A</v>
      </c>
      <c r="BT66" s="248" t="e">
        <f>IF(BS66="solid round",VLOOKUP(BR66,Reinforcements[],COLUMN(Reinforcements[[#Headers],[Diameter (in)]])-1,FALSE),VLOOKUP(BR66,Reinforcements[],COLUMN(Reinforcements[[#Headers],[B (in)]])-1,FALSE))</f>
        <v>#N/A</v>
      </c>
      <c r="BU66" s="248" t="e">
        <f>IF(BS66="solid round",VLOOKUP(BR66,Reinforcements[],COLUMN(Reinforcements[[#Headers],[Diameter (in)]])-1,FALSE),VLOOKUP(BR66,Reinforcements[],COLUMN(Reinforcements[[#Headers],[H (in)]])-1,FALSE))</f>
        <v>#N/A</v>
      </c>
      <c r="BV66" s="278" t="e">
        <f>IFERROR((IF(VLOOKUP(BQ66,Input!$B$21:$AL$50,19+C66,FALSE)="c",$D$20/COS(RADIANS(180/$D$8)),$D$20)+BU66/2)*SIN(RADIANS(D66))-IF(ISNUMBER(VLOOKUP(BQ66,Input!$B$21:$AL$50,19+C66,FALSE)),VLOOKUP(BQ66,Input!$B$21:$AL$50,19+C66,FALSE)*COS(RADIANS(D66)),0)-$D$35,"")*0+N66*1</f>
        <v>#VALUE!</v>
      </c>
      <c r="BW66" s="248" t="e">
        <f>VLOOKUP(BR66,Reinforcements[],COLUMN(Reinforcements[[#Headers],[Effective B (in)]])-1,FALSE)</f>
        <v>#N/A</v>
      </c>
      <c r="BX66" s="248" t="e">
        <f>VLOOKUP(BR66,Reinforcements[],COLUMN(Reinforcements[[#Headers],[Effective H (in)]])-1,FALSE)</f>
        <v>#N/A</v>
      </c>
      <c r="BY66" s="248" t="e">
        <f>VLOOKUP(BR66,Reinforcements[],COLUMN(Reinforcements[[#Headers],[Gross Area (in2)]])-1,FALSE)</f>
        <v>#N/A</v>
      </c>
      <c r="BZ66" s="255" t="s">
        <v>697</v>
      </c>
      <c r="CA66" s="248" t="e">
        <f>VLOOKUP(BR66,Reinforcements[],COLUMN(Reinforcements[[#Headers],[Pole Face to Centroid (in)]])-1,FALSE)</f>
        <v>#N/A</v>
      </c>
      <c r="CB66" s="248" t="e">
        <f>VLOOKUP(BR66,Reinforcements[],COLUMN(Reinforcements[[#Headers],[Equivalent Rectangle Ix (in4)]])-1,FALSE)</f>
        <v>#N/A</v>
      </c>
      <c r="CC66" s="248" t="e">
        <f>VLOOKUP(BR66,Reinforcements[],COLUMN(Reinforcements[[#Headers],[Equivalent Rectangle Iy (in4)]])-1,FALSE)</f>
        <v>#N/A</v>
      </c>
      <c r="CD66" s="248" t="e">
        <f>VLOOKUP(BR66,Reinforcements[],COLUMN(Reinforcements[[#Headers],[Lu (in)]])-1,FALSE)</f>
        <v>#N/A</v>
      </c>
      <c r="CE66" s="255" t="s">
        <v>697</v>
      </c>
      <c r="CF66" s="255" t="s">
        <v>697</v>
      </c>
      <c r="CG66" s="248" t="e">
        <f>VLOOKUP(VLOOKUP(BR66,Reinforcements[],COLUMN(Reinforcements[[#Headers],[Material]])-1,FALSE),Materials[],2,FALSE)</f>
        <v>#N/A</v>
      </c>
      <c r="CH66" s="248" t="e">
        <f>VLOOKUP(VLOOKUP(BR66,Reinforcements[],COLUMN(Reinforcements[[#Headers],[Material]])-1,FALSE),Materials[],3,FALSE)</f>
        <v>#N/A</v>
      </c>
      <c r="CI66" s="255" t="e">
        <f>VLOOKUP(BR66,Reinforcements[],COLUMN(Reinforcements[[#Headers],[Tension Only?]])-1,FALSE)</f>
        <v>#N/A</v>
      </c>
      <c r="CJ66" s="17" t="str">
        <f>IF(BQ66="","",AND(INDEX(Results!$G$5:$G$104,MATCH(VLOOKUP($BQ66,Input!$B$21:$J$50,2,FALSE)-0.001,Results!$G$5:$G$104,-1))=$D$4))</f>
        <v/>
      </c>
      <c r="CK66" s="17" t="str">
        <f>IF(BQ66="","",AND(INDEX('Macro References'!$BB$2:$BB$101,MATCH(VLOOKUP($BQ66,Input!$B$21:$J$50,6,FALSE)-0.001,'Macro References'!$BB$2:$BB$101,1))=$D$4))</f>
        <v/>
      </c>
      <c r="CL66" s="17" t="e">
        <f>IF(CJ66,VLOOKUP(BR66,Reinforcements[],COLUMN(Reinforcements[[#Headers],[Bottom End Connection Type]])-1,FALSE),IF(CK66,VLOOKUP(BR66,Reinforcements[],COLUMN(Reinforcements[[#Headers],[Top End Connection Type]])-1,FALSE),""))</f>
        <v>#VALUE!</v>
      </c>
      <c r="CM66" s="17" t="e">
        <f>IF(ISBLANK(VLOOKUP(BR66,Reinforcements[],COLUMN(Reinforcements[[#Headers],[Bottom Transverse Weld Length]])-1,FALSE)),"",(VLOOKUP(BR66,Reinforcements[],COLUMN(Reinforcements[[#Headers],[Bottom Transverse Weld Length]])-1,FALSE)))</f>
        <v>#N/A</v>
      </c>
      <c r="CN66" s="17" t="e">
        <f>IF(ISBLANK(VLOOKUP(BR66,Reinforcements[],COLUMN(Reinforcements[[#Headers],[Bottom Transverse (Horizontal) Weld]])-1,FALSE)),"",(VLOOKUP(BR66,Reinforcements[],COLUMN(Reinforcements[[#Headers],[Bottom Transverse (Horizontal) Weld]])-1,FALSE)))</f>
        <v>#N/A</v>
      </c>
      <c r="CO66" s="17" t="e">
        <f>IF(ISBLANK(VLOOKUP(BR66,Reinforcements[],COLUMN(Reinforcements[[#Headers],[Bottom Longitudinal Weld Length]])-1,FALSE)),"",(VLOOKUP(BR66,Reinforcements[],COLUMN(Reinforcements[[#Headers],[Bottom Longitudinal Weld Length]])-1,FALSE)))</f>
        <v>#N/A</v>
      </c>
      <c r="CP66" s="17" t="str">
        <f>IFERROR(VLOOKUP(BR66,Reinforcements[],COLUMN(Reinforcements[[#Headers],[Bottom Connected to Flange/Base Plate?]])-1,FALSE),"")</f>
        <v/>
      </c>
      <c r="CQ66" s="248" t="e">
        <f>IF(Rev="F",VLOOKUP(BR66,Reinforcements[],COLUMN(Reinforcements[[#Headers],[Rev. F Bottom Transverse Weld Strength]])-1,FALSE),VLOOKUP(BR66,Reinforcements[],COLUMN(Reinforcements[[#Headers],[Rev. G Bottom Transverse Weld Strength]])-1,FALSE))</f>
        <v>#N/A</v>
      </c>
      <c r="CR66" s="248"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248" t="str">
        <f>IF(CP66&lt;&gt;"Yes","",(VLOOKUP(BR66,Reinforcements[],COLUMN(Reinforcements[[#Headers],[Bottom Transverse Weld Groove Depth (in)]])-1,FALSE)+VLOOKUP(BR66,Reinforcements[],COLUMN(Reinforcements[[#Headers],[Bottom Transverse Weld Fillet Size (in)]])-1,FALSE))*CM66*IF(Rev="F",0.6,φ_t_y)*$D$14)</f>
        <v/>
      </c>
      <c r="CT66" s="248" t="e">
        <f>IF(CP66="Yes","",VLOOKUP(BR66,Reinforcements[],COLUMN(Reinforcements[[#Headers],[Bottom Transverse Weld Fillet Size (in)]])-1,FALSE)*CM66*MIN(IF(Rev="F",0.4,φ_shear_yield*0.6)*$D$6,IF(Rev="F",0.3,φ_shear_rupture*0.6)*$D$7))</f>
        <v>#N/A</v>
      </c>
      <c r="CU66" s="248" t="e">
        <f>IF(Rev="F",VLOOKUP(BR66,Reinforcements[],COLUMN(Reinforcements[[#Headers],[Rev. F Bottom Longitudinal Weld Strength]])-1,FALSE),VLOOKUP(BR66,Reinforcements[],COLUMN(Reinforcements[[#Headers],[Rev. G Bottom Longitudinal Weld Strength]])-1,FALSE))</f>
        <v>#N/A</v>
      </c>
      <c r="CV66" s="248" t="e">
        <f>2*VLOOKUP(BR66,Reinforcements[],COLUMN(Reinforcements[[#Headers],[Bottom Longitudinal Weld Fillet Size (in)]])-1,FALSE)*CO66*MIN(IF(Rev="F",0.4,φ_shear_yield*0.6)*CG66,IF(Rev="F",0.3,φ_shear_rupture*0.6)*CH66)</f>
        <v>#N/A</v>
      </c>
      <c r="CW66" s="248" t="e">
        <f>2*VLOOKUP(BR66,Reinforcements[],COLUMN(Reinforcements[[#Headers],[Bottom Longitudinal Weld Fillet Size (in)]])-1,FALSE)*CO66*MIN(IF(Rev="F",0.4,φ_shear_yield*0.6)*$D$6,IF(Rev="F",0.3,φ_shear_rupture*0.6)*$D$7)</f>
        <v>#N/A</v>
      </c>
      <c r="CX66" s="248" t="e">
        <f>IF(ISBLANK(VLOOKUP(BR66,Reinforcements[],COLUMN(Reinforcements[[#Headers],[Top Transverse Weld Length]])-1,FALSE)),"",(VLOOKUP(BR66,Reinforcements[],COLUMN(Reinforcements[[#Headers],[Top Transverse Weld Length]])-1,FALSE)))</f>
        <v>#N/A</v>
      </c>
      <c r="CY66" s="248" t="e">
        <f>IF(ISBLANK(VLOOKUP(BR66,Reinforcements[],COLUMN(Reinforcements[[#Headers],[Top Transverse (Horizontal) Weld]])-1,FALSE)),"",(VLOOKUP(BR66,Reinforcements[],COLUMN(Reinforcements[[#Headers],[Top Transverse (Horizontal) Weld]])-1,FALSE)))</f>
        <v>#N/A</v>
      </c>
      <c r="CZ66" s="248" t="e">
        <f>IF(ISBLANK(VLOOKUP(BR66,Reinforcements[],COLUMN(Reinforcements[[#Headers],[Top Longitudinal Weld Length]])-1,FALSE)),"",(VLOOKUP(BR66,Reinforcements[],COLUMN(Reinforcements[[#Headers],[Top Longitudinal Weld Length]])-1,FALSE)))</f>
        <v>#N/A</v>
      </c>
      <c r="DA66" s="248" t="str">
        <f>IFERROR(VLOOKUP(BR66,Reinforcements[],COLUMN(Reinforcements[[#Headers],[Top Connected to Flange/Base Plate?]])-1,FALSE),"")</f>
        <v/>
      </c>
      <c r="DB66" s="248" t="e">
        <f>IF(Rev="F",VLOOKUP(BR66,Reinforcements[],COLUMN(Reinforcements[[#Headers],[Rev. F Top Transverse Weld Strength]])-1,FALSE),VLOOKUP(BR66,Reinforcements[],COLUMN(Reinforcements[[#Headers],[Rev. G Top Transverse Weld Strength]])-1,FALSE))</f>
        <v>#N/A</v>
      </c>
      <c r="DC66" s="248"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248" t="str">
        <f>IF(DA66&lt;&gt;"Yes","",(VLOOKUP(BR66,Reinforcements[],COLUMN(Reinforcements[[#Headers],[Top Transverse Weld Groove Depth (in)]])-1,FALSE)+VLOOKUP(BR66,Reinforcements[],COLUMN(Reinforcements[[#Headers],[Top Transverse Weld Fillet Size (in)]])-1,FALSE))*CX66*IF(Rev="F",0.6,φ_t_y)*$D$14)</f>
        <v/>
      </c>
      <c r="DE66" s="248" t="e">
        <f>IF(DA66="Yes","",VLOOKUP(BR66,Reinforcements[],COLUMN(Reinforcements[[#Headers],[Top Transverse Weld Fillet Size (in)]])-1,FALSE)*CX66*MIN(IF(Rev="F",0.4,φ_shear_yield*0.6)*$D$6,IF(Rev="F",0.3,φ_shear_rupture*0.6)*$D$7))</f>
        <v>#N/A</v>
      </c>
      <c r="DF66" s="248" t="e">
        <f>IF(Rev="F",VLOOKUP(BR66,Reinforcements[],COLUMN(Reinforcements[[#Headers],[Rev. F Top Longitudinal Weld Strength]])-1,FALSE),VLOOKUP(BR66,Reinforcements[],COLUMN(Reinforcements[[#Headers],[Rev. G Top Longitudinal Weld Strength]])-1,FALSE))</f>
        <v>#N/A</v>
      </c>
      <c r="DG66" s="248" t="e">
        <f>2*VLOOKUP(BR66,Reinforcements[],COLUMN(Reinforcements[[#Headers],[Top Longitudinal Weld Fillet Size (in)]])-1,FALSE)*CZ66*MIN(IF(Rev="F",0.4,φ_shear_yield*0.6)*CG66,IF(Rev="F",0.3,φ_shear_rupture*0.6)*CH66)</f>
        <v>#N/A</v>
      </c>
      <c r="DH66" s="248" t="e">
        <f>2*VLOOKUP(BR66,Reinforcements[],COLUMN(Reinforcements[[#Headers],[Top Longitudinal Weld Fillet Size (in)]])-1,FALSE)*CZ66*MIN(IF(Rev="F",0.4,φ_shear_yield*0.6)*$D$6,IF(Rev="F",0.3,φ_shear_rupture*0.6)*$D$7)</f>
        <v>#N/A</v>
      </c>
      <c r="DI66" s="49" t="e">
        <f>IF(BS66="channel",VLOOKUP(Calculations!BR66,Reinforcements[],COLUMN(Reinforcements[[#Headers],['[Channel']Web Thickness (in)]])-1,FALSE),"")</f>
        <v>#N/A</v>
      </c>
      <c r="DJ66" s="49" t="b">
        <f t="shared" si="84"/>
        <v>0</v>
      </c>
      <c r="DK66" s="49" t="e">
        <f>IF(BS66="channel",Calculations!BU66-DI66,"")</f>
        <v>#N/A</v>
      </c>
      <c r="DL66" s="49" t="e">
        <f>IF(BS66="channel",(Calculations!BY66-Calculations!BT66*DI66)/(2*DK66))</f>
        <v>#N/A</v>
      </c>
      <c r="DM66" s="49" t="e">
        <f>IF(BS66="channel",(Calculations!BT66*(DI66^2)/2+2*DK66*DL66*(DI66+DK66/2))/Calculations!BY66,"")</f>
        <v>#N/A</v>
      </c>
    </row>
    <row r="67" spans="2:117" ht="15" x14ac:dyDescent="0.25">
      <c r="B67" s="49" t="str">
        <f t="shared" si="70"/>
        <v/>
      </c>
      <c r="C67" s="201">
        <v>8</v>
      </c>
      <c r="D67" s="255" t="str">
        <f>IF(BQ67="","",IF($D$8=0,IF(OR(VLOOKUP(BQ67,Input!$B$21:$AL$50,19+C67,FALSE)+$D$5=0,VLOOKUP(BQ67,Input!$B$21:$AL$50,19+C67,FALSE)+$D$5=180),VLOOKUP(BQ67,Input!$B$21:$AL$50,19+C67,FALSE)+$D$5+0.0001,VLOOKUP(BQ67,Input!$B$21:$AL$50,19+C67,FALSE)+$D$5),IF(VLOOKUP(BQ67,Input!$B$21:$AL$50,19+C67,FALSE)="c",VLOOKUP($C67,$C$40:$E$57,2,FALSE)+180/$D$8,VLOOKUP($C67,$C$40:$E$57,2,FALSE))))</f>
        <v/>
      </c>
      <c r="E67" s="17" t="str">
        <f t="shared" si="39"/>
        <v/>
      </c>
      <c r="F67" s="258" t="str">
        <f>IF(BR67="","",VLOOKUP(BR67,Reinforcements[],COLUMN(Reinforcements[[#Headers],[Gross Area (in2)]])-1,FALSE))</f>
        <v/>
      </c>
      <c r="G67" s="256" t="e">
        <f>(IF(VLOOKUP(BQ67,Input!$B$21:$AL$50,19+C67,FALSE)="c",$D$20/COS(RADIANS(180/$D$8)),$D$20)+CA67)*SIN(RADIANS(D67))-IF(AND(ISNUMBER(VLOOKUP(BQ67,Input!$B$21:$AL$50,19+C67,FALSE)),$D$8&lt;&gt;0),VLOOKUP(BQ67,Input!$B$21:$AL$50,19+C67,FALSE)*COS(RADIANS(D67)),0)</f>
        <v>#N/A</v>
      </c>
      <c r="H67" s="251" t="str">
        <f t="shared" si="71"/>
        <v/>
      </c>
      <c r="I67" s="251" t="e">
        <f t="shared" si="40"/>
        <v>#N/A</v>
      </c>
      <c r="J67" s="251" t="e">
        <f t="shared" si="41"/>
        <v>#N/A</v>
      </c>
      <c r="K67" s="251" t="e">
        <f t="shared" si="42"/>
        <v>#N/A</v>
      </c>
      <c r="L67" s="251" t="e">
        <f t="shared" si="72"/>
        <v>#N/A</v>
      </c>
      <c r="M67" s="252" t="str">
        <f t="shared" si="73"/>
        <v/>
      </c>
      <c r="N67" s="250" t="str">
        <f>IFERROR((IF(VLOOKUP(BQ67,Input!$B$21:$AL$50,19+C67,FALSE)="c",$D$20/COS(RADIANS(180/$D$8)),$D$20)+CA67)*SIN(RADIANS(D67))-IF(AND(ISNUMBER(VLOOKUP(BQ67,Input!$B$21:$AL$50,19+C67,FALSE)),$D$8&lt;&gt;0),VLOOKUP(BQ67,Input!$B$21:$AL$50,19+C67,FALSE)*COS(RADIANS(D67)),0)-$D$35,"")</f>
        <v/>
      </c>
      <c r="O67" s="253" t="str">
        <f t="shared" si="43"/>
        <v/>
      </c>
      <c r="P67" s="253" t="str">
        <f t="shared" si="44"/>
        <v/>
      </c>
      <c r="Q67" s="253" t="str">
        <f t="shared" si="45"/>
        <v/>
      </c>
      <c r="R67" s="254" t="str">
        <f t="shared" si="46"/>
        <v/>
      </c>
      <c r="S67" s="251" t="str">
        <f t="shared" si="74"/>
        <v/>
      </c>
      <c r="T67" s="251" t="str">
        <f t="shared" si="75"/>
        <v/>
      </c>
      <c r="U67" s="251" t="str">
        <f t="shared" si="76"/>
        <v/>
      </c>
      <c r="V67" s="252" t="str">
        <f t="shared" si="77"/>
        <v/>
      </c>
      <c r="W67" s="323"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324"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324"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324" t="str">
        <f>IFERROR(IF('Macro References'!$A$9,IF(AND(CJ67,CL67="Welded"),MIN(CQ67:CT67),IF(AND(CK67,CL67="Welded"),MIN(DB67:DE67),"")),""),"")</f>
        <v/>
      </c>
      <c r="AA67" s="255" t="str">
        <f>IFERROR(IF('Macro References'!$A$9,IF(AND(CJ67,CL67="Welded"),MIN(CU67:CW67),IF(AND(CK67,CL67="Welded"),MIN(DF67:DH67),"")),""),"")</f>
        <v/>
      </c>
      <c r="AB67" s="255" t="str">
        <f>IFERROR(IF('Macro References'!$A$9,IF(AND(CJ67,CL67="Welded",CN67="Fillet",CU67&gt;0),TRUE,IF(AND(CK67,CL67="Welded",CY67="Fillet",DF67&gt;0),TRUE,"")),""),"")</f>
        <v/>
      </c>
      <c r="AC67" s="255"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255"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32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248"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32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274" t="str">
        <f t="shared" si="47"/>
        <v/>
      </c>
      <c r="AI67" s="255" t="str">
        <f t="shared" si="48"/>
        <v/>
      </c>
      <c r="AJ67" s="255" t="str">
        <f t="shared" si="49"/>
        <v/>
      </c>
      <c r="AK67" s="255" t="str">
        <f t="shared" si="85"/>
        <v/>
      </c>
      <c r="AL67" s="248" t="str">
        <f t="shared" si="78"/>
        <v/>
      </c>
      <c r="AM67" s="255" t="str">
        <f>""</f>
        <v/>
      </c>
      <c r="AN67" s="255" t="str">
        <f t="shared" si="50"/>
        <v/>
      </c>
      <c r="AO67" s="248" t="str">
        <f t="shared" si="51"/>
        <v/>
      </c>
      <c r="AP67" s="275" t="str">
        <f t="shared" si="52"/>
        <v/>
      </c>
      <c r="AQ67" s="276" t="str">
        <f t="shared" si="53"/>
        <v/>
      </c>
      <c r="AR67" s="255" t="str">
        <f>IF(BR67="","",VLOOKUP(VLOOKUP(BR67,Reinforcements[],COLUMN(Reinforcements[[#Headers],[Material]])-1,FALSE),Materials[],2,FALSE)/$D$28)</f>
        <v/>
      </c>
      <c r="AS67" s="248" t="str">
        <f t="shared" si="54"/>
        <v/>
      </c>
      <c r="AT67" s="327" t="str">
        <f t="shared" si="55"/>
        <v/>
      </c>
      <c r="AU67" s="277">
        <f t="shared" si="56"/>
        <v>0</v>
      </c>
      <c r="AV67" s="278">
        <f t="shared" si="57"/>
        <v>0</v>
      </c>
      <c r="AW67" s="278" t="e">
        <f t="shared" si="58"/>
        <v>#N/A</v>
      </c>
      <c r="AX67" s="278" t="e">
        <f t="shared" si="59"/>
        <v>#N/A</v>
      </c>
      <c r="AY67" s="278" t="str">
        <f t="shared" si="60"/>
        <v/>
      </c>
      <c r="AZ67" s="278" t="e">
        <f t="shared" si="61"/>
        <v>#VALUE!</v>
      </c>
      <c r="BA67" s="295" t="str">
        <f t="shared" si="62"/>
        <v/>
      </c>
      <c r="BB67" s="297" t="str">
        <f t="shared" si="79"/>
        <v/>
      </c>
      <c r="BC67" s="298" t="str">
        <f t="shared" si="63"/>
        <v/>
      </c>
      <c r="BD67" s="298" t="str">
        <f t="shared" si="64"/>
        <v/>
      </c>
      <c r="BE67" s="295" t="str">
        <f t="shared" si="80"/>
        <v/>
      </c>
      <c r="BF67" s="299" t="e">
        <f t="shared" si="81"/>
        <v>#DIV/0!</v>
      </c>
      <c r="BG67" s="300" t="str">
        <f t="shared" si="65"/>
        <v/>
      </c>
      <c r="BH67" s="300" t="str">
        <f t="shared" si="66"/>
        <v/>
      </c>
      <c r="BI67" s="295" t="e">
        <f t="shared" si="82"/>
        <v>#DIV/0!</v>
      </c>
      <c r="BJ67" s="299" t="str">
        <f t="shared" si="83"/>
        <v/>
      </c>
      <c r="BK67" s="278" t="e">
        <f t="shared" si="67"/>
        <v>#DIV/0!</v>
      </c>
      <c r="BL67" s="49" t="str">
        <f t="shared" si="68"/>
        <v/>
      </c>
      <c r="BP67" s="25" t="e">
        <f t="shared" si="69"/>
        <v>#DIV/0!</v>
      </c>
      <c r="BQ67" s="223" t="str">
        <f>IFERROR(VALUE(LEFT(VLOOKUP(Calculations!$D$4,Results!$G$5:$CM$105,67+$C67,FALSE),FIND(";",VLOOKUP(Calculations!$D$4,Results!$G$5:$CM$105,67+$C67,FALSE))-1)),"")</f>
        <v/>
      </c>
      <c r="BR67" s="303" t="str">
        <f>IF(BQ67="","",VLOOKUP(BQ67,Input!$B$21:$Q$50,13,FALSE))</f>
        <v/>
      </c>
      <c r="BS67" s="248" t="e">
        <f>VLOOKUP(BR67,Reinforcements[],COLUMN(Reinforcements[[#Headers],[Type]])-1,FALSE)</f>
        <v>#N/A</v>
      </c>
      <c r="BT67" s="248" t="e">
        <f>IF(BS67="solid round",VLOOKUP(BR67,Reinforcements[],COLUMN(Reinforcements[[#Headers],[Diameter (in)]])-1,FALSE),VLOOKUP(BR67,Reinforcements[],COLUMN(Reinforcements[[#Headers],[B (in)]])-1,FALSE))</f>
        <v>#N/A</v>
      </c>
      <c r="BU67" s="248" t="e">
        <f>IF(BS67="solid round",VLOOKUP(BR67,Reinforcements[],COLUMN(Reinforcements[[#Headers],[Diameter (in)]])-1,FALSE),VLOOKUP(BR67,Reinforcements[],COLUMN(Reinforcements[[#Headers],[H (in)]])-1,FALSE))</f>
        <v>#N/A</v>
      </c>
      <c r="BV67" s="278" t="e">
        <f>IFERROR((IF(VLOOKUP(BQ67,Input!$B$21:$AL$50,19+C67,FALSE)="c",$D$20/COS(RADIANS(180/$D$8)),$D$20)+BU67/2)*SIN(RADIANS(D67))-IF(ISNUMBER(VLOOKUP(BQ67,Input!$B$21:$AL$50,19+C67,FALSE)),VLOOKUP(BQ67,Input!$B$21:$AL$50,19+C67,FALSE)*COS(RADIANS(D67)),0)-$D$35,"")*0+N67*1</f>
        <v>#VALUE!</v>
      </c>
      <c r="BW67" s="248" t="e">
        <f>VLOOKUP(BR67,Reinforcements[],COLUMN(Reinforcements[[#Headers],[Effective B (in)]])-1,FALSE)</f>
        <v>#N/A</v>
      </c>
      <c r="BX67" s="248" t="e">
        <f>VLOOKUP(BR67,Reinforcements[],COLUMN(Reinforcements[[#Headers],[Effective H (in)]])-1,FALSE)</f>
        <v>#N/A</v>
      </c>
      <c r="BY67" s="248" t="e">
        <f>VLOOKUP(BR67,Reinforcements[],COLUMN(Reinforcements[[#Headers],[Gross Area (in2)]])-1,FALSE)</f>
        <v>#N/A</v>
      </c>
      <c r="BZ67" s="255" t="s">
        <v>697</v>
      </c>
      <c r="CA67" s="248" t="e">
        <f>VLOOKUP(BR67,Reinforcements[],COLUMN(Reinforcements[[#Headers],[Pole Face to Centroid (in)]])-1,FALSE)</f>
        <v>#N/A</v>
      </c>
      <c r="CB67" s="248" t="e">
        <f>VLOOKUP(BR67,Reinforcements[],COLUMN(Reinforcements[[#Headers],[Equivalent Rectangle Ix (in4)]])-1,FALSE)</f>
        <v>#N/A</v>
      </c>
      <c r="CC67" s="248" t="e">
        <f>VLOOKUP(BR67,Reinforcements[],COLUMN(Reinforcements[[#Headers],[Equivalent Rectangle Iy (in4)]])-1,FALSE)</f>
        <v>#N/A</v>
      </c>
      <c r="CD67" s="248" t="e">
        <f>VLOOKUP(BR67,Reinforcements[],COLUMN(Reinforcements[[#Headers],[Lu (in)]])-1,FALSE)</f>
        <v>#N/A</v>
      </c>
      <c r="CE67" s="255" t="s">
        <v>697</v>
      </c>
      <c r="CF67" s="255" t="s">
        <v>697</v>
      </c>
      <c r="CG67" s="248" t="e">
        <f>VLOOKUP(VLOOKUP(BR67,Reinforcements[],COLUMN(Reinforcements[[#Headers],[Material]])-1,FALSE),Materials[],2,FALSE)</f>
        <v>#N/A</v>
      </c>
      <c r="CH67" s="248" t="e">
        <f>VLOOKUP(VLOOKUP(BR67,Reinforcements[],COLUMN(Reinforcements[[#Headers],[Material]])-1,FALSE),Materials[],3,FALSE)</f>
        <v>#N/A</v>
      </c>
      <c r="CI67" s="255" t="e">
        <f>VLOOKUP(BR67,Reinforcements[],COLUMN(Reinforcements[[#Headers],[Tension Only?]])-1,FALSE)</f>
        <v>#N/A</v>
      </c>
      <c r="CJ67" s="17" t="str">
        <f>IF(BQ67="","",AND(INDEX(Results!$G$5:$G$104,MATCH(VLOOKUP($BQ67,Input!$B$21:$J$50,2,FALSE)-0.001,Results!$G$5:$G$104,-1))=$D$4))</f>
        <v/>
      </c>
      <c r="CK67" s="17" t="str">
        <f>IF(BQ67="","",AND(INDEX('Macro References'!$BB$2:$BB$101,MATCH(VLOOKUP($BQ67,Input!$B$21:$J$50,6,FALSE)-0.001,'Macro References'!$BB$2:$BB$101,1))=$D$4))</f>
        <v/>
      </c>
      <c r="CL67" s="17" t="e">
        <f>IF(CJ67,VLOOKUP(BR67,Reinforcements[],COLUMN(Reinforcements[[#Headers],[Bottom End Connection Type]])-1,FALSE),IF(CK67,VLOOKUP(BR67,Reinforcements[],COLUMN(Reinforcements[[#Headers],[Top End Connection Type]])-1,FALSE),""))</f>
        <v>#VALUE!</v>
      </c>
      <c r="CM67" s="17" t="e">
        <f>IF(ISBLANK(VLOOKUP(BR67,Reinforcements[],COLUMN(Reinforcements[[#Headers],[Bottom Transverse Weld Length]])-1,FALSE)),"",(VLOOKUP(BR67,Reinforcements[],COLUMN(Reinforcements[[#Headers],[Bottom Transverse Weld Length]])-1,FALSE)))</f>
        <v>#N/A</v>
      </c>
      <c r="CN67" s="17" t="e">
        <f>IF(ISBLANK(VLOOKUP(BR67,Reinforcements[],COLUMN(Reinforcements[[#Headers],[Bottom Transverse (Horizontal) Weld]])-1,FALSE)),"",(VLOOKUP(BR67,Reinforcements[],COLUMN(Reinforcements[[#Headers],[Bottom Transverse (Horizontal) Weld]])-1,FALSE)))</f>
        <v>#N/A</v>
      </c>
      <c r="CO67" s="17" t="e">
        <f>IF(ISBLANK(VLOOKUP(BR67,Reinforcements[],COLUMN(Reinforcements[[#Headers],[Bottom Longitudinal Weld Length]])-1,FALSE)),"",(VLOOKUP(BR67,Reinforcements[],COLUMN(Reinforcements[[#Headers],[Bottom Longitudinal Weld Length]])-1,FALSE)))</f>
        <v>#N/A</v>
      </c>
      <c r="CP67" s="17" t="str">
        <f>IFERROR(VLOOKUP(BR67,Reinforcements[],COLUMN(Reinforcements[[#Headers],[Bottom Connected to Flange/Base Plate?]])-1,FALSE),"")</f>
        <v/>
      </c>
      <c r="CQ67" s="248" t="e">
        <f>IF(Rev="F",VLOOKUP(BR67,Reinforcements[],COLUMN(Reinforcements[[#Headers],[Rev. F Bottom Transverse Weld Strength]])-1,FALSE),VLOOKUP(BR67,Reinforcements[],COLUMN(Reinforcements[[#Headers],[Rev. G Bottom Transverse Weld Strength]])-1,FALSE))</f>
        <v>#N/A</v>
      </c>
      <c r="CR67" s="248"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248" t="str">
        <f>IF(CP67&lt;&gt;"Yes","",(VLOOKUP(BR67,Reinforcements[],COLUMN(Reinforcements[[#Headers],[Bottom Transverse Weld Groove Depth (in)]])-1,FALSE)+VLOOKUP(BR67,Reinforcements[],COLUMN(Reinforcements[[#Headers],[Bottom Transverse Weld Fillet Size (in)]])-1,FALSE))*CM67*IF(Rev="F",0.6,φ_t_y)*$D$14)</f>
        <v/>
      </c>
      <c r="CT67" s="248" t="e">
        <f>IF(CP67="Yes","",VLOOKUP(BR67,Reinforcements[],COLUMN(Reinforcements[[#Headers],[Bottom Transverse Weld Fillet Size (in)]])-1,FALSE)*CM67*MIN(IF(Rev="F",0.4,φ_shear_yield*0.6)*$D$6,IF(Rev="F",0.3,φ_shear_rupture*0.6)*$D$7))</f>
        <v>#N/A</v>
      </c>
      <c r="CU67" s="248" t="e">
        <f>IF(Rev="F",VLOOKUP(BR67,Reinforcements[],COLUMN(Reinforcements[[#Headers],[Rev. F Bottom Longitudinal Weld Strength]])-1,FALSE),VLOOKUP(BR67,Reinforcements[],COLUMN(Reinforcements[[#Headers],[Rev. G Bottom Longitudinal Weld Strength]])-1,FALSE))</f>
        <v>#N/A</v>
      </c>
      <c r="CV67" s="248" t="e">
        <f>2*VLOOKUP(BR67,Reinforcements[],COLUMN(Reinforcements[[#Headers],[Bottom Longitudinal Weld Fillet Size (in)]])-1,FALSE)*CO67*MIN(IF(Rev="F",0.4,φ_shear_yield*0.6)*CG67,IF(Rev="F",0.3,φ_shear_rupture*0.6)*CH67)</f>
        <v>#N/A</v>
      </c>
      <c r="CW67" s="248" t="e">
        <f>2*VLOOKUP(BR67,Reinforcements[],COLUMN(Reinforcements[[#Headers],[Bottom Longitudinal Weld Fillet Size (in)]])-1,FALSE)*CO67*MIN(IF(Rev="F",0.4,φ_shear_yield*0.6)*$D$6,IF(Rev="F",0.3,φ_shear_rupture*0.6)*$D$7)</f>
        <v>#N/A</v>
      </c>
      <c r="CX67" s="248" t="e">
        <f>IF(ISBLANK(VLOOKUP(BR67,Reinforcements[],COLUMN(Reinforcements[[#Headers],[Top Transverse Weld Length]])-1,FALSE)),"",(VLOOKUP(BR67,Reinforcements[],COLUMN(Reinforcements[[#Headers],[Top Transverse Weld Length]])-1,FALSE)))</f>
        <v>#N/A</v>
      </c>
      <c r="CY67" s="248" t="e">
        <f>IF(ISBLANK(VLOOKUP(BR67,Reinforcements[],COLUMN(Reinforcements[[#Headers],[Top Transverse (Horizontal) Weld]])-1,FALSE)),"",(VLOOKUP(BR67,Reinforcements[],COLUMN(Reinforcements[[#Headers],[Top Transverse (Horizontal) Weld]])-1,FALSE)))</f>
        <v>#N/A</v>
      </c>
      <c r="CZ67" s="248" t="e">
        <f>IF(ISBLANK(VLOOKUP(BR67,Reinforcements[],COLUMN(Reinforcements[[#Headers],[Top Longitudinal Weld Length]])-1,FALSE)),"",(VLOOKUP(BR67,Reinforcements[],COLUMN(Reinforcements[[#Headers],[Top Longitudinal Weld Length]])-1,FALSE)))</f>
        <v>#N/A</v>
      </c>
      <c r="DA67" s="248" t="str">
        <f>IFERROR(VLOOKUP(BR67,Reinforcements[],COLUMN(Reinforcements[[#Headers],[Top Connected to Flange/Base Plate?]])-1,FALSE),"")</f>
        <v/>
      </c>
      <c r="DB67" s="248" t="e">
        <f>IF(Rev="F",VLOOKUP(BR67,Reinforcements[],COLUMN(Reinforcements[[#Headers],[Rev. F Top Transverse Weld Strength]])-1,FALSE),VLOOKUP(BR67,Reinforcements[],COLUMN(Reinforcements[[#Headers],[Rev. G Top Transverse Weld Strength]])-1,FALSE))</f>
        <v>#N/A</v>
      </c>
      <c r="DC67" s="248"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248" t="str">
        <f>IF(DA67&lt;&gt;"Yes","",(VLOOKUP(BR67,Reinforcements[],COLUMN(Reinforcements[[#Headers],[Top Transverse Weld Groove Depth (in)]])-1,FALSE)+VLOOKUP(BR67,Reinforcements[],COLUMN(Reinforcements[[#Headers],[Top Transverse Weld Fillet Size (in)]])-1,FALSE))*CX67*IF(Rev="F",0.6,φ_t_y)*$D$14)</f>
        <v/>
      </c>
      <c r="DE67" s="248" t="e">
        <f>IF(DA67="Yes","",VLOOKUP(BR67,Reinforcements[],COLUMN(Reinforcements[[#Headers],[Top Transverse Weld Fillet Size (in)]])-1,FALSE)*CX67*MIN(IF(Rev="F",0.4,φ_shear_yield*0.6)*$D$6,IF(Rev="F",0.3,φ_shear_rupture*0.6)*$D$7))</f>
        <v>#N/A</v>
      </c>
      <c r="DF67" s="248" t="e">
        <f>IF(Rev="F",VLOOKUP(BR67,Reinforcements[],COLUMN(Reinforcements[[#Headers],[Rev. F Top Longitudinal Weld Strength]])-1,FALSE),VLOOKUP(BR67,Reinforcements[],COLUMN(Reinforcements[[#Headers],[Rev. G Top Longitudinal Weld Strength]])-1,FALSE))</f>
        <v>#N/A</v>
      </c>
      <c r="DG67" s="248" t="e">
        <f>2*VLOOKUP(BR67,Reinforcements[],COLUMN(Reinforcements[[#Headers],[Top Longitudinal Weld Fillet Size (in)]])-1,FALSE)*CZ67*MIN(IF(Rev="F",0.4,φ_shear_yield*0.6)*CG67,IF(Rev="F",0.3,φ_shear_rupture*0.6)*CH67)</f>
        <v>#N/A</v>
      </c>
      <c r="DH67" s="248" t="e">
        <f>2*VLOOKUP(BR67,Reinforcements[],COLUMN(Reinforcements[[#Headers],[Top Longitudinal Weld Fillet Size (in)]])-1,FALSE)*CZ67*MIN(IF(Rev="F",0.4,φ_shear_yield*0.6)*$D$6,IF(Rev="F",0.3,φ_shear_rupture*0.6)*$D$7)</f>
        <v>#N/A</v>
      </c>
      <c r="DI67" s="49" t="e">
        <f>IF(BS67="channel",VLOOKUP(Calculations!BR67,Reinforcements[],COLUMN(Reinforcements[[#Headers],['[Channel']Web Thickness (in)]])-1,FALSE),"")</f>
        <v>#N/A</v>
      </c>
      <c r="DJ67" s="49" t="b">
        <f t="shared" si="84"/>
        <v>0</v>
      </c>
      <c r="DK67" s="49" t="e">
        <f>IF(BS67="channel",Calculations!BU67-DI67,"")</f>
        <v>#N/A</v>
      </c>
      <c r="DL67" s="49" t="e">
        <f>IF(BS67="channel",(Calculations!BY67-Calculations!BT67*DI67)/(2*DK67))</f>
        <v>#N/A</v>
      </c>
      <c r="DM67" s="49" t="e">
        <f>IF(BS67="channel",(Calculations!BT67*(DI67^2)/2+2*DK67*DL67*(DI67+DK67/2))/Calculations!BY67,"")</f>
        <v>#N/A</v>
      </c>
    </row>
    <row r="68" spans="2:117" ht="15" x14ac:dyDescent="0.25">
      <c r="B68" s="49" t="str">
        <f t="shared" si="70"/>
        <v/>
      </c>
      <c r="C68" s="201">
        <v>9</v>
      </c>
      <c r="D68" s="255" t="str">
        <f>IF(BQ68="","",IF($D$8=0,IF(OR(VLOOKUP(BQ68,Input!$B$21:$AL$50,19+C68,FALSE)+$D$5=0,VLOOKUP(BQ68,Input!$B$21:$AL$50,19+C68,FALSE)+$D$5=180),VLOOKUP(BQ68,Input!$B$21:$AL$50,19+C68,FALSE)+$D$5+0.0001,VLOOKUP(BQ68,Input!$B$21:$AL$50,19+C68,FALSE)+$D$5),IF(VLOOKUP(BQ68,Input!$B$21:$AL$50,19+C68,FALSE)="c",VLOOKUP($C68,$C$40:$E$57,2,FALSE)+180/$D$8,VLOOKUP($C68,$C$40:$E$57,2,FALSE))))</f>
        <v/>
      </c>
      <c r="E68" s="17" t="str">
        <f t="shared" si="39"/>
        <v/>
      </c>
      <c r="F68" s="258" t="str">
        <f>IF(BR68="","",VLOOKUP(BR68,Reinforcements[],COLUMN(Reinforcements[[#Headers],[Gross Area (in2)]])-1,FALSE))</f>
        <v/>
      </c>
      <c r="G68" s="256" t="e">
        <f>(IF(VLOOKUP(BQ68,Input!$B$21:$AL$50,19+C68,FALSE)="c",$D$20/COS(RADIANS(180/$D$8)),$D$20)+CA68)*SIN(RADIANS(D68))-IF(AND(ISNUMBER(VLOOKUP(BQ68,Input!$B$21:$AL$50,19+C68,FALSE)),$D$8&lt;&gt;0),VLOOKUP(BQ68,Input!$B$21:$AL$50,19+C68,FALSE)*COS(RADIANS(D68)),0)</f>
        <v>#N/A</v>
      </c>
      <c r="H68" s="251" t="str">
        <f t="shared" si="71"/>
        <v/>
      </c>
      <c r="I68" s="251" t="e">
        <f t="shared" si="40"/>
        <v>#N/A</v>
      </c>
      <c r="J68" s="251" t="e">
        <f t="shared" si="41"/>
        <v>#N/A</v>
      </c>
      <c r="K68" s="251" t="e">
        <f t="shared" si="42"/>
        <v>#N/A</v>
      </c>
      <c r="L68" s="251" t="e">
        <f t="shared" si="72"/>
        <v>#N/A</v>
      </c>
      <c r="M68" s="252" t="str">
        <f t="shared" si="73"/>
        <v/>
      </c>
      <c r="N68" s="250" t="str">
        <f>IFERROR((IF(VLOOKUP(BQ68,Input!$B$21:$AL$50,19+C68,FALSE)="c",$D$20/COS(RADIANS(180/$D$8)),$D$20)+CA68)*SIN(RADIANS(D68))-IF(AND(ISNUMBER(VLOOKUP(BQ68,Input!$B$21:$AL$50,19+C68,FALSE)),$D$8&lt;&gt;0),VLOOKUP(BQ68,Input!$B$21:$AL$50,19+C68,FALSE)*COS(RADIANS(D68)),0)-$D$35,"")</f>
        <v/>
      </c>
      <c r="O68" s="253" t="str">
        <f t="shared" si="43"/>
        <v/>
      </c>
      <c r="P68" s="253" t="str">
        <f t="shared" si="44"/>
        <v/>
      </c>
      <c r="Q68" s="253" t="str">
        <f t="shared" si="45"/>
        <v/>
      </c>
      <c r="R68" s="254" t="str">
        <f t="shared" si="46"/>
        <v/>
      </c>
      <c r="S68" s="251" t="str">
        <f t="shared" si="74"/>
        <v/>
      </c>
      <c r="T68" s="251" t="str">
        <f t="shared" si="75"/>
        <v/>
      </c>
      <c r="U68" s="251" t="str">
        <f t="shared" si="76"/>
        <v/>
      </c>
      <c r="V68" s="252" t="str">
        <f t="shared" si="77"/>
        <v/>
      </c>
      <c r="W68" s="323"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324"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324"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324" t="str">
        <f>IFERROR(IF('Macro References'!$A$9,IF(AND(CJ68,CL68="Welded"),MIN(CQ68:CT68),IF(AND(CK68,CL68="Welded"),MIN(DB68:DE68),"")),""),"")</f>
        <v/>
      </c>
      <c r="AA68" s="255" t="str">
        <f>IFERROR(IF('Macro References'!$A$9,IF(AND(CJ68,CL68="Welded"),MIN(CU68:CW68),IF(AND(CK68,CL68="Welded"),MIN(DF68:DH68),"")),""),"")</f>
        <v/>
      </c>
      <c r="AB68" s="255" t="str">
        <f>IFERROR(IF('Macro References'!$A$9,IF(AND(CJ68,CL68="Welded",CN68="Fillet",CU68&gt;0),TRUE,IF(AND(CK68,CL68="Welded",CY68="Fillet",DF68&gt;0),TRUE,"")),""),"")</f>
        <v/>
      </c>
      <c r="AC68" s="255"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255"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32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248"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32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274" t="str">
        <f t="shared" si="47"/>
        <v/>
      </c>
      <c r="AI68" s="255" t="str">
        <f t="shared" si="48"/>
        <v/>
      </c>
      <c r="AJ68" s="255" t="str">
        <f t="shared" si="49"/>
        <v/>
      </c>
      <c r="AK68" s="255" t="str">
        <f t="shared" si="85"/>
        <v/>
      </c>
      <c r="AL68" s="248" t="str">
        <f t="shared" si="78"/>
        <v/>
      </c>
      <c r="AM68" s="255" t="str">
        <f>""</f>
        <v/>
      </c>
      <c r="AN68" s="255" t="str">
        <f t="shared" si="50"/>
        <v/>
      </c>
      <c r="AO68" s="248" t="str">
        <f t="shared" si="51"/>
        <v/>
      </c>
      <c r="AP68" s="275" t="str">
        <f t="shared" si="52"/>
        <v/>
      </c>
      <c r="AQ68" s="276" t="str">
        <f t="shared" si="53"/>
        <v/>
      </c>
      <c r="AR68" s="255" t="str">
        <f>IF(BR68="","",VLOOKUP(VLOOKUP(BR68,Reinforcements[],COLUMN(Reinforcements[[#Headers],[Material]])-1,FALSE),Materials[],2,FALSE)/$D$28)</f>
        <v/>
      </c>
      <c r="AS68" s="248" t="str">
        <f t="shared" si="54"/>
        <v/>
      </c>
      <c r="AT68" s="327" t="str">
        <f t="shared" si="55"/>
        <v/>
      </c>
      <c r="AU68" s="277">
        <f t="shared" si="56"/>
        <v>0</v>
      </c>
      <c r="AV68" s="278">
        <f t="shared" si="57"/>
        <v>0</v>
      </c>
      <c r="AW68" s="278" t="e">
        <f t="shared" si="58"/>
        <v>#N/A</v>
      </c>
      <c r="AX68" s="278" t="e">
        <f t="shared" si="59"/>
        <v>#N/A</v>
      </c>
      <c r="AY68" s="278" t="str">
        <f t="shared" si="60"/>
        <v/>
      </c>
      <c r="AZ68" s="278" t="e">
        <f t="shared" si="61"/>
        <v>#VALUE!</v>
      </c>
      <c r="BA68" s="295" t="str">
        <f t="shared" si="62"/>
        <v/>
      </c>
      <c r="BB68" s="297" t="str">
        <f t="shared" si="79"/>
        <v/>
      </c>
      <c r="BC68" s="298" t="str">
        <f t="shared" si="63"/>
        <v/>
      </c>
      <c r="BD68" s="298" t="str">
        <f t="shared" si="64"/>
        <v/>
      </c>
      <c r="BE68" s="295" t="str">
        <f t="shared" si="80"/>
        <v/>
      </c>
      <c r="BF68" s="299" t="e">
        <f t="shared" si="81"/>
        <v>#DIV/0!</v>
      </c>
      <c r="BG68" s="300" t="str">
        <f t="shared" si="65"/>
        <v/>
      </c>
      <c r="BH68" s="300" t="str">
        <f t="shared" si="66"/>
        <v/>
      </c>
      <c r="BI68" s="295" t="e">
        <f t="shared" si="82"/>
        <v>#DIV/0!</v>
      </c>
      <c r="BJ68" s="299" t="str">
        <f t="shared" si="83"/>
        <v/>
      </c>
      <c r="BK68" s="278" t="e">
        <f t="shared" si="67"/>
        <v>#DIV/0!</v>
      </c>
      <c r="BL68" s="49" t="str">
        <f t="shared" si="68"/>
        <v/>
      </c>
      <c r="BP68" s="25" t="e">
        <f t="shared" si="69"/>
        <v>#DIV/0!</v>
      </c>
      <c r="BQ68" s="223" t="str">
        <f>IFERROR(VALUE(LEFT(VLOOKUP(Calculations!$D$4,Results!$G$5:$CM$105,67+$C68,FALSE),FIND(";",VLOOKUP(Calculations!$D$4,Results!$G$5:$CM$105,67+$C68,FALSE))-1)),"")</f>
        <v/>
      </c>
      <c r="BR68" s="303" t="str">
        <f>IF(BQ68="","",VLOOKUP(BQ68,Input!$B$21:$Q$50,13,FALSE))</f>
        <v/>
      </c>
      <c r="BS68" s="248" t="e">
        <f>VLOOKUP(BR68,Reinforcements[],COLUMN(Reinforcements[[#Headers],[Type]])-1,FALSE)</f>
        <v>#N/A</v>
      </c>
      <c r="BT68" s="248" t="e">
        <f>IF(BS68="solid round",VLOOKUP(BR68,Reinforcements[],COLUMN(Reinforcements[[#Headers],[Diameter (in)]])-1,FALSE),VLOOKUP(BR68,Reinforcements[],COLUMN(Reinforcements[[#Headers],[B (in)]])-1,FALSE))</f>
        <v>#N/A</v>
      </c>
      <c r="BU68" s="248" t="e">
        <f>IF(BS68="solid round",VLOOKUP(BR68,Reinforcements[],COLUMN(Reinforcements[[#Headers],[Diameter (in)]])-1,FALSE),VLOOKUP(BR68,Reinforcements[],COLUMN(Reinforcements[[#Headers],[H (in)]])-1,FALSE))</f>
        <v>#N/A</v>
      </c>
      <c r="BV68" s="278" t="e">
        <f>IFERROR((IF(VLOOKUP(BQ68,Input!$B$21:$AL$50,19+C68,FALSE)="c",$D$20/COS(RADIANS(180/$D$8)),$D$20)+BU68/2)*SIN(RADIANS(D68))-IF(ISNUMBER(VLOOKUP(BQ68,Input!$B$21:$AL$50,19+C68,FALSE)),VLOOKUP(BQ68,Input!$B$21:$AL$50,19+C68,FALSE)*COS(RADIANS(D68)),0)-$D$35,"")*0+N68*1</f>
        <v>#VALUE!</v>
      </c>
      <c r="BW68" s="248" t="e">
        <f>VLOOKUP(BR68,Reinforcements[],COLUMN(Reinforcements[[#Headers],[Effective B (in)]])-1,FALSE)</f>
        <v>#N/A</v>
      </c>
      <c r="BX68" s="248" t="e">
        <f>VLOOKUP(BR68,Reinforcements[],COLUMN(Reinforcements[[#Headers],[Effective H (in)]])-1,FALSE)</f>
        <v>#N/A</v>
      </c>
      <c r="BY68" s="248" t="e">
        <f>VLOOKUP(BR68,Reinforcements[],COLUMN(Reinforcements[[#Headers],[Gross Area (in2)]])-1,FALSE)</f>
        <v>#N/A</v>
      </c>
      <c r="BZ68" s="255" t="s">
        <v>697</v>
      </c>
      <c r="CA68" s="248" t="e">
        <f>VLOOKUP(BR68,Reinforcements[],COLUMN(Reinforcements[[#Headers],[Pole Face to Centroid (in)]])-1,FALSE)</f>
        <v>#N/A</v>
      </c>
      <c r="CB68" s="248" t="e">
        <f>VLOOKUP(BR68,Reinforcements[],COLUMN(Reinforcements[[#Headers],[Equivalent Rectangle Ix (in4)]])-1,FALSE)</f>
        <v>#N/A</v>
      </c>
      <c r="CC68" s="248" t="e">
        <f>VLOOKUP(BR68,Reinforcements[],COLUMN(Reinforcements[[#Headers],[Equivalent Rectangle Iy (in4)]])-1,FALSE)</f>
        <v>#N/A</v>
      </c>
      <c r="CD68" s="248" t="e">
        <f>VLOOKUP(BR68,Reinforcements[],COLUMN(Reinforcements[[#Headers],[Lu (in)]])-1,FALSE)</f>
        <v>#N/A</v>
      </c>
      <c r="CE68" s="255" t="s">
        <v>697</v>
      </c>
      <c r="CF68" s="255" t="s">
        <v>697</v>
      </c>
      <c r="CG68" s="248" t="e">
        <f>VLOOKUP(VLOOKUP(BR68,Reinforcements[],COLUMN(Reinforcements[[#Headers],[Material]])-1,FALSE),Materials[],2,FALSE)</f>
        <v>#N/A</v>
      </c>
      <c r="CH68" s="248" t="e">
        <f>VLOOKUP(VLOOKUP(BR68,Reinforcements[],COLUMN(Reinforcements[[#Headers],[Material]])-1,FALSE),Materials[],3,FALSE)</f>
        <v>#N/A</v>
      </c>
      <c r="CI68" s="255" t="e">
        <f>VLOOKUP(BR68,Reinforcements[],COLUMN(Reinforcements[[#Headers],[Tension Only?]])-1,FALSE)</f>
        <v>#N/A</v>
      </c>
      <c r="CJ68" s="17" t="str">
        <f>IF(BQ68="","",AND(INDEX(Results!$G$5:$G$104,MATCH(VLOOKUP($BQ68,Input!$B$21:$J$50,2,FALSE)-0.001,Results!$G$5:$G$104,-1))=$D$4))</f>
        <v/>
      </c>
      <c r="CK68" s="17" t="str">
        <f>IF(BQ68="","",AND(INDEX('Macro References'!$BB$2:$BB$101,MATCH(VLOOKUP($BQ68,Input!$B$21:$J$50,6,FALSE)-0.001,'Macro References'!$BB$2:$BB$101,1))=$D$4))</f>
        <v/>
      </c>
      <c r="CL68" s="17" t="e">
        <f>IF(CJ68,VLOOKUP(BR68,Reinforcements[],COLUMN(Reinforcements[[#Headers],[Bottom End Connection Type]])-1,FALSE),IF(CK68,VLOOKUP(BR68,Reinforcements[],COLUMN(Reinforcements[[#Headers],[Top End Connection Type]])-1,FALSE),""))</f>
        <v>#VALUE!</v>
      </c>
      <c r="CM68" s="17" t="e">
        <f>IF(ISBLANK(VLOOKUP(BR68,Reinforcements[],COLUMN(Reinforcements[[#Headers],[Bottom Transverse Weld Length]])-1,FALSE)),"",(VLOOKUP(BR68,Reinforcements[],COLUMN(Reinforcements[[#Headers],[Bottom Transverse Weld Length]])-1,FALSE)))</f>
        <v>#N/A</v>
      </c>
      <c r="CN68" s="17" t="e">
        <f>IF(ISBLANK(VLOOKUP(BR68,Reinforcements[],COLUMN(Reinforcements[[#Headers],[Bottom Transverse (Horizontal) Weld]])-1,FALSE)),"",(VLOOKUP(BR68,Reinforcements[],COLUMN(Reinforcements[[#Headers],[Bottom Transverse (Horizontal) Weld]])-1,FALSE)))</f>
        <v>#N/A</v>
      </c>
      <c r="CO68" s="17" t="e">
        <f>IF(ISBLANK(VLOOKUP(BR68,Reinforcements[],COLUMN(Reinforcements[[#Headers],[Bottom Longitudinal Weld Length]])-1,FALSE)),"",(VLOOKUP(BR68,Reinforcements[],COLUMN(Reinforcements[[#Headers],[Bottom Longitudinal Weld Length]])-1,FALSE)))</f>
        <v>#N/A</v>
      </c>
      <c r="CP68" s="17" t="str">
        <f>IFERROR(VLOOKUP(BR68,Reinforcements[],COLUMN(Reinforcements[[#Headers],[Bottom Connected to Flange/Base Plate?]])-1,FALSE),"")</f>
        <v/>
      </c>
      <c r="CQ68" s="248" t="e">
        <f>IF(Rev="F",VLOOKUP(BR68,Reinforcements[],COLUMN(Reinforcements[[#Headers],[Rev. F Bottom Transverse Weld Strength]])-1,FALSE),VLOOKUP(BR68,Reinforcements[],COLUMN(Reinforcements[[#Headers],[Rev. G Bottom Transverse Weld Strength]])-1,FALSE))</f>
        <v>#N/A</v>
      </c>
      <c r="CR68" s="248"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248" t="str">
        <f>IF(CP68&lt;&gt;"Yes","",(VLOOKUP(BR68,Reinforcements[],COLUMN(Reinforcements[[#Headers],[Bottom Transverse Weld Groove Depth (in)]])-1,FALSE)+VLOOKUP(BR68,Reinforcements[],COLUMN(Reinforcements[[#Headers],[Bottom Transverse Weld Fillet Size (in)]])-1,FALSE))*CM68*IF(Rev="F",0.6,φ_t_y)*$D$14)</f>
        <v/>
      </c>
      <c r="CT68" s="248" t="e">
        <f>IF(CP68="Yes","",VLOOKUP(BR68,Reinforcements[],COLUMN(Reinforcements[[#Headers],[Bottom Transverse Weld Fillet Size (in)]])-1,FALSE)*CM68*MIN(IF(Rev="F",0.4,φ_shear_yield*0.6)*$D$6,IF(Rev="F",0.3,φ_shear_rupture*0.6)*$D$7))</f>
        <v>#N/A</v>
      </c>
      <c r="CU68" s="248" t="e">
        <f>IF(Rev="F",VLOOKUP(BR68,Reinforcements[],COLUMN(Reinforcements[[#Headers],[Rev. F Bottom Longitudinal Weld Strength]])-1,FALSE),VLOOKUP(BR68,Reinforcements[],COLUMN(Reinforcements[[#Headers],[Rev. G Bottom Longitudinal Weld Strength]])-1,FALSE))</f>
        <v>#N/A</v>
      </c>
      <c r="CV68" s="248" t="e">
        <f>2*VLOOKUP(BR68,Reinforcements[],COLUMN(Reinforcements[[#Headers],[Bottom Longitudinal Weld Fillet Size (in)]])-1,FALSE)*CO68*MIN(IF(Rev="F",0.4,φ_shear_yield*0.6)*CG68,IF(Rev="F",0.3,φ_shear_rupture*0.6)*CH68)</f>
        <v>#N/A</v>
      </c>
      <c r="CW68" s="248" t="e">
        <f>2*VLOOKUP(BR68,Reinforcements[],COLUMN(Reinforcements[[#Headers],[Bottom Longitudinal Weld Fillet Size (in)]])-1,FALSE)*CO68*MIN(IF(Rev="F",0.4,φ_shear_yield*0.6)*$D$6,IF(Rev="F",0.3,φ_shear_rupture*0.6)*$D$7)</f>
        <v>#N/A</v>
      </c>
      <c r="CX68" s="248" t="e">
        <f>IF(ISBLANK(VLOOKUP(BR68,Reinforcements[],COLUMN(Reinforcements[[#Headers],[Top Transverse Weld Length]])-1,FALSE)),"",(VLOOKUP(BR68,Reinforcements[],COLUMN(Reinforcements[[#Headers],[Top Transverse Weld Length]])-1,FALSE)))</f>
        <v>#N/A</v>
      </c>
      <c r="CY68" s="248" t="e">
        <f>IF(ISBLANK(VLOOKUP(BR68,Reinforcements[],COLUMN(Reinforcements[[#Headers],[Top Transverse (Horizontal) Weld]])-1,FALSE)),"",(VLOOKUP(BR68,Reinforcements[],COLUMN(Reinforcements[[#Headers],[Top Transverse (Horizontal) Weld]])-1,FALSE)))</f>
        <v>#N/A</v>
      </c>
      <c r="CZ68" s="248" t="e">
        <f>IF(ISBLANK(VLOOKUP(BR68,Reinforcements[],COLUMN(Reinforcements[[#Headers],[Top Longitudinal Weld Length]])-1,FALSE)),"",(VLOOKUP(BR68,Reinforcements[],COLUMN(Reinforcements[[#Headers],[Top Longitudinal Weld Length]])-1,FALSE)))</f>
        <v>#N/A</v>
      </c>
      <c r="DA68" s="248" t="str">
        <f>IFERROR(VLOOKUP(BR68,Reinforcements[],COLUMN(Reinforcements[[#Headers],[Top Connected to Flange/Base Plate?]])-1,FALSE),"")</f>
        <v/>
      </c>
      <c r="DB68" s="248" t="e">
        <f>IF(Rev="F",VLOOKUP(BR68,Reinforcements[],COLUMN(Reinforcements[[#Headers],[Rev. F Top Transverse Weld Strength]])-1,FALSE),VLOOKUP(BR68,Reinforcements[],COLUMN(Reinforcements[[#Headers],[Rev. G Top Transverse Weld Strength]])-1,FALSE))</f>
        <v>#N/A</v>
      </c>
      <c r="DC68" s="248"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248" t="str">
        <f>IF(DA68&lt;&gt;"Yes","",(VLOOKUP(BR68,Reinforcements[],COLUMN(Reinforcements[[#Headers],[Top Transverse Weld Groove Depth (in)]])-1,FALSE)+VLOOKUP(BR68,Reinforcements[],COLUMN(Reinforcements[[#Headers],[Top Transverse Weld Fillet Size (in)]])-1,FALSE))*CX68*IF(Rev="F",0.6,φ_t_y)*$D$14)</f>
        <v/>
      </c>
      <c r="DE68" s="248" t="e">
        <f>IF(DA68="Yes","",VLOOKUP(BR68,Reinforcements[],COLUMN(Reinforcements[[#Headers],[Top Transverse Weld Fillet Size (in)]])-1,FALSE)*CX68*MIN(IF(Rev="F",0.4,φ_shear_yield*0.6)*$D$6,IF(Rev="F",0.3,φ_shear_rupture*0.6)*$D$7))</f>
        <v>#N/A</v>
      </c>
      <c r="DF68" s="248" t="e">
        <f>IF(Rev="F",VLOOKUP(BR68,Reinforcements[],COLUMN(Reinforcements[[#Headers],[Rev. F Top Longitudinal Weld Strength]])-1,FALSE),VLOOKUP(BR68,Reinforcements[],COLUMN(Reinforcements[[#Headers],[Rev. G Top Longitudinal Weld Strength]])-1,FALSE))</f>
        <v>#N/A</v>
      </c>
      <c r="DG68" s="248" t="e">
        <f>2*VLOOKUP(BR68,Reinforcements[],COLUMN(Reinforcements[[#Headers],[Top Longitudinal Weld Fillet Size (in)]])-1,FALSE)*CZ68*MIN(IF(Rev="F",0.4,φ_shear_yield*0.6)*CG68,IF(Rev="F",0.3,φ_shear_rupture*0.6)*CH68)</f>
        <v>#N/A</v>
      </c>
      <c r="DH68" s="248" t="e">
        <f>2*VLOOKUP(BR68,Reinforcements[],COLUMN(Reinforcements[[#Headers],[Top Longitudinal Weld Fillet Size (in)]])-1,FALSE)*CZ68*MIN(IF(Rev="F",0.4,φ_shear_yield*0.6)*$D$6,IF(Rev="F",0.3,φ_shear_rupture*0.6)*$D$7)</f>
        <v>#N/A</v>
      </c>
      <c r="DI68" s="49" t="e">
        <f>IF(BS68="channel",VLOOKUP(Calculations!BR68,Reinforcements[],COLUMN(Reinforcements[[#Headers],['[Channel']Web Thickness (in)]])-1,FALSE),"")</f>
        <v>#N/A</v>
      </c>
      <c r="DJ68" s="49" t="b">
        <f t="shared" si="84"/>
        <v>0</v>
      </c>
      <c r="DK68" s="49" t="e">
        <f>IF(BS68="channel",Calculations!BU68-DI68,"")</f>
        <v>#N/A</v>
      </c>
      <c r="DL68" s="49" t="e">
        <f>IF(BS68="channel",(Calculations!BY68-Calculations!BT68*DI68)/(2*DK68))</f>
        <v>#N/A</v>
      </c>
      <c r="DM68" s="49" t="e">
        <f>IF(BS68="channel",(Calculations!BT68*(DI68^2)/2+2*DK68*DL68*(DI68+DK68/2))/Calculations!BY68,"")</f>
        <v>#N/A</v>
      </c>
    </row>
    <row r="69" spans="2:117" ht="15" x14ac:dyDescent="0.25">
      <c r="B69" s="49" t="str">
        <f t="shared" si="70"/>
        <v/>
      </c>
      <c r="C69" s="201">
        <v>10</v>
      </c>
      <c r="D69" s="255" t="str">
        <f>IF(BQ69="","",IF($D$8=0,IF(OR(VLOOKUP(BQ69,Input!$B$21:$AL$50,19+C69,FALSE)+$D$5=0,VLOOKUP(BQ69,Input!$B$21:$AL$50,19+C69,FALSE)+$D$5=180),VLOOKUP(BQ69,Input!$B$21:$AL$50,19+C69,FALSE)+$D$5+0.0001,VLOOKUP(BQ69,Input!$B$21:$AL$50,19+C69,FALSE)+$D$5),IF(VLOOKUP(BQ69,Input!$B$21:$AL$50,19+C69,FALSE)="c",VLOOKUP($C69,$C$40:$E$57,2,FALSE)+180/$D$8,VLOOKUP($C69,$C$40:$E$57,2,FALSE))))</f>
        <v/>
      </c>
      <c r="E69" s="17" t="str">
        <f t="shared" si="39"/>
        <v/>
      </c>
      <c r="F69" s="258" t="str">
        <f>IF(BR69="","",VLOOKUP(BR69,Reinforcements[],COLUMN(Reinforcements[[#Headers],[Gross Area (in2)]])-1,FALSE))</f>
        <v/>
      </c>
      <c r="G69" s="256" t="e">
        <f>(IF(VLOOKUP(BQ69,Input!$B$21:$AL$50,19+C69,FALSE)="c",$D$20/COS(RADIANS(180/$D$8)),$D$20)+CA69)*SIN(RADIANS(D69))-IF(AND(ISNUMBER(VLOOKUP(BQ69,Input!$B$21:$AL$50,19+C69,FALSE)),$D$8&lt;&gt;0),VLOOKUP(BQ69,Input!$B$21:$AL$50,19+C69,FALSE)*COS(RADIANS(D69)),0)</f>
        <v>#N/A</v>
      </c>
      <c r="H69" s="251" t="str">
        <f t="shared" si="71"/>
        <v/>
      </c>
      <c r="I69" s="251" t="e">
        <f t="shared" si="40"/>
        <v>#N/A</v>
      </c>
      <c r="J69" s="251" t="e">
        <f t="shared" si="41"/>
        <v>#N/A</v>
      </c>
      <c r="K69" s="251" t="e">
        <f t="shared" si="42"/>
        <v>#N/A</v>
      </c>
      <c r="L69" s="251" t="e">
        <f t="shared" si="72"/>
        <v>#N/A</v>
      </c>
      <c r="M69" s="252" t="str">
        <f>IFERROR((L69+F69*I69^2)*IF(CI69="Yes",BP69,1),"")</f>
        <v/>
      </c>
      <c r="N69" s="250" t="str">
        <f>IFERROR((IF(VLOOKUP(BQ69,Input!$B$21:$AL$50,19+C69,FALSE)="c",$D$20/COS(RADIANS(180/$D$8)),$D$20)+CA69)*SIN(RADIANS(D69))-IF(AND(ISNUMBER(VLOOKUP(BQ69,Input!$B$21:$AL$50,19+C69,FALSE)),$D$8&lt;&gt;0),VLOOKUP(BQ69,Input!$B$21:$AL$50,19+C69,FALSE)*COS(RADIANS(D69)),0)-$D$35,"")</f>
        <v/>
      </c>
      <c r="O69" s="253" t="str">
        <f t="shared" si="43"/>
        <v/>
      </c>
      <c r="P69" s="253" t="str">
        <f t="shared" si="44"/>
        <v/>
      </c>
      <c r="Q69" s="253" t="str">
        <f t="shared" si="45"/>
        <v/>
      </c>
      <c r="R69" s="254" t="str">
        <f t="shared" si="46"/>
        <v/>
      </c>
      <c r="S69" s="251" t="str">
        <f t="shared" si="74"/>
        <v/>
      </c>
      <c r="T69" s="251" t="str">
        <f t="shared" si="75"/>
        <v/>
      </c>
      <c r="U69" s="251" t="str">
        <f t="shared" si="76"/>
        <v/>
      </c>
      <c r="V69" s="252" t="str">
        <f t="shared" si="77"/>
        <v/>
      </c>
      <c r="W69" s="323"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324"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324"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324" t="str">
        <f>IFERROR(IF('Macro References'!$A$9,IF(AND(CJ69,CL69="Welded"),MIN(CQ69:CT69),IF(AND(CK69,CL69="Welded"),MIN(DB69:DE69),"")),""),"")</f>
        <v/>
      </c>
      <c r="AA69" s="255" t="str">
        <f>IFERROR(IF('Macro References'!$A$9,IF(AND(CJ69,CL69="Welded"),MIN(CU69:CW69),IF(AND(CK69,CL69="Welded"),MIN(DF69:DH69),"")),""),"")</f>
        <v/>
      </c>
      <c r="AB69" s="255" t="str">
        <f>IFERROR(IF('Macro References'!$A$9,IF(AND(CJ69,CL69="Welded",CN69="Fillet",CU69&gt;0),TRUE,IF(AND(CK69,CL69="Welded",CY69="Fillet",DF69&gt;0),TRUE,"")),""),"")</f>
        <v/>
      </c>
      <c r="AC69" s="255"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255"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32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248"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32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274" t="str">
        <f t="shared" si="47"/>
        <v/>
      </c>
      <c r="AI69" s="255" t="str">
        <f t="shared" si="48"/>
        <v/>
      </c>
      <c r="AJ69" s="255" t="str">
        <f t="shared" si="49"/>
        <v/>
      </c>
      <c r="AK69" s="255" t="str">
        <f t="shared" si="85"/>
        <v/>
      </c>
      <c r="AL69" s="248" t="str">
        <f t="shared" si="78"/>
        <v/>
      </c>
      <c r="AM69" s="255" t="str">
        <f>""</f>
        <v/>
      </c>
      <c r="AN69" s="255" t="str">
        <f t="shared" si="50"/>
        <v/>
      </c>
      <c r="AO69" s="248" t="str">
        <f t="shared" si="51"/>
        <v/>
      </c>
      <c r="AP69" s="275" t="str">
        <f t="shared" si="52"/>
        <v/>
      </c>
      <c r="AQ69" s="276" t="str">
        <f t="shared" si="53"/>
        <v/>
      </c>
      <c r="AR69" s="255" t="str">
        <f>IF(BR69="","",VLOOKUP(VLOOKUP(BR69,Reinforcements[],COLUMN(Reinforcements[[#Headers],[Material]])-1,FALSE),Materials[],2,FALSE)/$D$28)</f>
        <v/>
      </c>
      <c r="AS69" s="248" t="str">
        <f t="shared" si="54"/>
        <v/>
      </c>
      <c r="AT69" s="327" t="str">
        <f t="shared" si="55"/>
        <v/>
      </c>
      <c r="AU69" s="277">
        <f t="shared" si="56"/>
        <v>0</v>
      </c>
      <c r="AV69" s="278">
        <f t="shared" si="57"/>
        <v>0</v>
      </c>
      <c r="AW69" s="278" t="e">
        <f t="shared" si="58"/>
        <v>#N/A</v>
      </c>
      <c r="AX69" s="278" t="e">
        <f t="shared" si="59"/>
        <v>#N/A</v>
      </c>
      <c r="AY69" s="278" t="str">
        <f t="shared" si="60"/>
        <v/>
      </c>
      <c r="AZ69" s="278" t="e">
        <f t="shared" si="61"/>
        <v>#VALUE!</v>
      </c>
      <c r="BA69" s="295" t="str">
        <f t="shared" si="62"/>
        <v/>
      </c>
      <c r="BB69" s="297" t="str">
        <f t="shared" si="79"/>
        <v/>
      </c>
      <c r="BC69" s="298" t="str">
        <f t="shared" si="63"/>
        <v/>
      </c>
      <c r="BD69" s="298" t="str">
        <f t="shared" si="64"/>
        <v/>
      </c>
      <c r="BE69" s="295" t="str">
        <f t="shared" si="80"/>
        <v/>
      </c>
      <c r="BF69" s="299" t="e">
        <f t="shared" si="81"/>
        <v>#DIV/0!</v>
      </c>
      <c r="BG69" s="300" t="str">
        <f t="shared" si="65"/>
        <v/>
      </c>
      <c r="BH69" s="300" t="str">
        <f t="shared" si="66"/>
        <v/>
      </c>
      <c r="BI69" s="295" t="e">
        <f t="shared" si="82"/>
        <v>#DIV/0!</v>
      </c>
      <c r="BJ69" s="299" t="str">
        <f t="shared" si="83"/>
        <v/>
      </c>
      <c r="BK69" s="278" t="e">
        <f t="shared" si="67"/>
        <v>#DIV/0!</v>
      </c>
      <c r="BL69" s="49" t="str">
        <f t="shared" si="68"/>
        <v/>
      </c>
      <c r="BP69" s="25" t="e">
        <f t="shared" si="69"/>
        <v>#DIV/0!</v>
      </c>
      <c r="BQ69" s="223" t="str">
        <f>IFERROR(VALUE(LEFT(VLOOKUP(Calculations!$D$4,Results!$G$5:$CM$105,67+$C69,FALSE),FIND(";",VLOOKUP(Calculations!$D$4,Results!$G$5:$CM$105,67+$C69,FALSE))-1)),"")</f>
        <v/>
      </c>
      <c r="BR69" s="303" t="str">
        <f>IF(BQ69="","",VLOOKUP(BQ69,Input!$B$21:$Q$50,13,FALSE))</f>
        <v/>
      </c>
      <c r="BS69" s="248" t="e">
        <f>VLOOKUP(BR69,Reinforcements[],COLUMN(Reinforcements[[#Headers],[Type]])-1,FALSE)</f>
        <v>#N/A</v>
      </c>
      <c r="BT69" s="248" t="e">
        <f>IF(BS69="solid round",VLOOKUP(BR69,Reinforcements[],COLUMN(Reinforcements[[#Headers],[Diameter (in)]])-1,FALSE),VLOOKUP(BR69,Reinforcements[],COLUMN(Reinforcements[[#Headers],[B (in)]])-1,FALSE))</f>
        <v>#N/A</v>
      </c>
      <c r="BU69" s="248" t="e">
        <f>IF(BS69="solid round",VLOOKUP(BR69,Reinforcements[],COLUMN(Reinforcements[[#Headers],[Diameter (in)]])-1,FALSE),VLOOKUP(BR69,Reinforcements[],COLUMN(Reinforcements[[#Headers],[H (in)]])-1,FALSE))</f>
        <v>#N/A</v>
      </c>
      <c r="BV69" s="278" t="e">
        <f>IFERROR((IF(VLOOKUP(BQ69,Input!$B$21:$AL$50,19+C69,FALSE)="c",$D$20/COS(RADIANS(180/$D$8)),$D$20)+BU69/2)*SIN(RADIANS(D69))-IF(ISNUMBER(VLOOKUP(BQ69,Input!$B$21:$AL$50,19+C69,FALSE)),VLOOKUP(BQ69,Input!$B$21:$AL$50,19+C69,FALSE)*COS(RADIANS(D69)),0)-$D$35,"")*0+N69*1</f>
        <v>#VALUE!</v>
      </c>
      <c r="BW69" s="248" t="e">
        <f>VLOOKUP(BR69,Reinforcements[],COLUMN(Reinforcements[[#Headers],[Effective B (in)]])-1,FALSE)</f>
        <v>#N/A</v>
      </c>
      <c r="BX69" s="248" t="e">
        <f>VLOOKUP(BR69,Reinforcements[],COLUMN(Reinforcements[[#Headers],[Effective H (in)]])-1,FALSE)</f>
        <v>#N/A</v>
      </c>
      <c r="BY69" s="248" t="e">
        <f>VLOOKUP(BR69,Reinforcements[],COLUMN(Reinforcements[[#Headers],[Gross Area (in2)]])-1,FALSE)</f>
        <v>#N/A</v>
      </c>
      <c r="BZ69" s="255" t="s">
        <v>697</v>
      </c>
      <c r="CA69" s="248" t="e">
        <f>VLOOKUP(BR69,Reinforcements[],COLUMN(Reinforcements[[#Headers],[Pole Face to Centroid (in)]])-1,FALSE)</f>
        <v>#N/A</v>
      </c>
      <c r="CB69" s="248" t="e">
        <f>VLOOKUP(BR69,Reinforcements[],COLUMN(Reinforcements[[#Headers],[Equivalent Rectangle Ix (in4)]])-1,FALSE)</f>
        <v>#N/A</v>
      </c>
      <c r="CC69" s="248" t="e">
        <f>VLOOKUP(BR69,Reinforcements[],COLUMN(Reinforcements[[#Headers],[Equivalent Rectangle Iy (in4)]])-1,FALSE)</f>
        <v>#N/A</v>
      </c>
      <c r="CD69" s="248" t="e">
        <f>VLOOKUP(BR69,Reinforcements[],COLUMN(Reinforcements[[#Headers],[Lu (in)]])-1,FALSE)</f>
        <v>#N/A</v>
      </c>
      <c r="CE69" s="255" t="s">
        <v>697</v>
      </c>
      <c r="CF69" s="255" t="s">
        <v>697</v>
      </c>
      <c r="CG69" s="248" t="e">
        <f>VLOOKUP(VLOOKUP(BR69,Reinforcements[],COLUMN(Reinforcements[[#Headers],[Material]])-1,FALSE),Materials[],2,FALSE)</f>
        <v>#N/A</v>
      </c>
      <c r="CH69" s="248" t="e">
        <f>VLOOKUP(VLOOKUP(BR69,Reinforcements[],COLUMN(Reinforcements[[#Headers],[Material]])-1,FALSE),Materials[],3,FALSE)</f>
        <v>#N/A</v>
      </c>
      <c r="CI69" s="255" t="e">
        <f>VLOOKUP(BR69,Reinforcements[],COLUMN(Reinforcements[[#Headers],[Tension Only?]])-1,FALSE)</f>
        <v>#N/A</v>
      </c>
      <c r="CJ69" s="17" t="str">
        <f>IF(BQ69="","",AND(INDEX(Results!$G$5:$G$104,MATCH(VLOOKUP($BQ69,Input!$B$21:$J$50,2,FALSE)-0.001,Results!$G$5:$G$104,-1))=$D$4))</f>
        <v/>
      </c>
      <c r="CK69" s="17" t="str">
        <f>IF(BQ69="","",AND(INDEX('Macro References'!$BB$2:$BB$101,MATCH(VLOOKUP($BQ69,Input!$B$21:$J$50,6,FALSE)-0.001,'Macro References'!$BB$2:$BB$101,1))=$D$4))</f>
        <v/>
      </c>
      <c r="CL69" s="17" t="e">
        <f>IF(CJ69,VLOOKUP(BR69,Reinforcements[],COLUMN(Reinforcements[[#Headers],[Bottom End Connection Type]])-1,FALSE),IF(CK69,VLOOKUP(BR69,Reinforcements[],COLUMN(Reinforcements[[#Headers],[Top End Connection Type]])-1,FALSE),""))</f>
        <v>#VALUE!</v>
      </c>
      <c r="CM69" s="17" t="e">
        <f>IF(ISBLANK(VLOOKUP(BR69,Reinforcements[],COLUMN(Reinforcements[[#Headers],[Bottom Transverse Weld Length]])-1,FALSE)),"",(VLOOKUP(BR69,Reinforcements[],COLUMN(Reinforcements[[#Headers],[Bottom Transverse Weld Length]])-1,FALSE)))</f>
        <v>#N/A</v>
      </c>
      <c r="CN69" s="17" t="e">
        <f>IF(ISBLANK(VLOOKUP(BR69,Reinforcements[],COLUMN(Reinforcements[[#Headers],[Bottom Transverse (Horizontal) Weld]])-1,FALSE)),"",(VLOOKUP(BR69,Reinforcements[],COLUMN(Reinforcements[[#Headers],[Bottom Transverse (Horizontal) Weld]])-1,FALSE)))</f>
        <v>#N/A</v>
      </c>
      <c r="CO69" s="17" t="e">
        <f>IF(ISBLANK(VLOOKUP(BR69,Reinforcements[],COLUMN(Reinforcements[[#Headers],[Bottom Longitudinal Weld Length]])-1,FALSE)),"",(VLOOKUP(BR69,Reinforcements[],COLUMN(Reinforcements[[#Headers],[Bottom Longitudinal Weld Length]])-1,FALSE)))</f>
        <v>#N/A</v>
      </c>
      <c r="CP69" s="17" t="str">
        <f>IFERROR(VLOOKUP(BR69,Reinforcements[],COLUMN(Reinforcements[[#Headers],[Bottom Connected to Flange/Base Plate?]])-1,FALSE),"")</f>
        <v/>
      </c>
      <c r="CQ69" s="248" t="e">
        <f>IF(Rev="F",VLOOKUP(BR69,Reinforcements[],COLUMN(Reinforcements[[#Headers],[Rev. F Bottom Transverse Weld Strength]])-1,FALSE),VLOOKUP(BR69,Reinforcements[],COLUMN(Reinforcements[[#Headers],[Rev. G Bottom Transverse Weld Strength]])-1,FALSE))</f>
        <v>#N/A</v>
      </c>
      <c r="CR69" s="248"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248" t="str">
        <f>IF(CP69&lt;&gt;"Yes","",(VLOOKUP(BR69,Reinforcements[],COLUMN(Reinforcements[[#Headers],[Bottom Transverse Weld Groove Depth (in)]])-1,FALSE)+VLOOKUP(BR69,Reinforcements[],COLUMN(Reinforcements[[#Headers],[Bottom Transverse Weld Fillet Size (in)]])-1,FALSE))*CM69*IF(Rev="F",0.6,φ_t_y)*$D$14)</f>
        <v/>
      </c>
      <c r="CT69" s="248" t="e">
        <f>IF(CP69="Yes","",VLOOKUP(BR69,Reinforcements[],COLUMN(Reinforcements[[#Headers],[Bottom Transverse Weld Fillet Size (in)]])-1,FALSE)*CM69*MIN(IF(Rev="F",0.4,φ_shear_yield*0.6)*$D$6,IF(Rev="F",0.3,φ_shear_rupture*0.6)*$D$7))</f>
        <v>#N/A</v>
      </c>
      <c r="CU69" s="248" t="e">
        <f>IF(Rev="F",VLOOKUP(BR69,Reinforcements[],COLUMN(Reinforcements[[#Headers],[Rev. F Bottom Longitudinal Weld Strength]])-1,FALSE),VLOOKUP(BR69,Reinforcements[],COLUMN(Reinforcements[[#Headers],[Rev. G Bottom Longitudinal Weld Strength]])-1,FALSE))</f>
        <v>#N/A</v>
      </c>
      <c r="CV69" s="248" t="e">
        <f>2*VLOOKUP(BR69,Reinforcements[],COLUMN(Reinforcements[[#Headers],[Bottom Longitudinal Weld Fillet Size (in)]])-1,FALSE)*CO69*MIN(IF(Rev="F",0.4,φ_shear_yield*0.6)*CG69,IF(Rev="F",0.3,φ_shear_rupture*0.6)*CH69)</f>
        <v>#N/A</v>
      </c>
      <c r="CW69" s="248" t="e">
        <f>2*VLOOKUP(BR69,Reinforcements[],COLUMN(Reinforcements[[#Headers],[Bottom Longitudinal Weld Fillet Size (in)]])-1,FALSE)*CO69*MIN(IF(Rev="F",0.4,φ_shear_yield*0.6)*$D$6,IF(Rev="F",0.3,φ_shear_rupture*0.6)*$D$7)</f>
        <v>#N/A</v>
      </c>
      <c r="CX69" s="248" t="e">
        <f>IF(ISBLANK(VLOOKUP(BR69,Reinforcements[],COLUMN(Reinforcements[[#Headers],[Top Transverse Weld Length]])-1,FALSE)),"",(VLOOKUP(BR69,Reinforcements[],COLUMN(Reinforcements[[#Headers],[Top Transverse Weld Length]])-1,FALSE)))</f>
        <v>#N/A</v>
      </c>
      <c r="CY69" s="248" t="e">
        <f>IF(ISBLANK(VLOOKUP(BR69,Reinforcements[],COLUMN(Reinforcements[[#Headers],[Top Transverse (Horizontal) Weld]])-1,FALSE)),"",(VLOOKUP(BR69,Reinforcements[],COLUMN(Reinforcements[[#Headers],[Top Transverse (Horizontal) Weld]])-1,FALSE)))</f>
        <v>#N/A</v>
      </c>
      <c r="CZ69" s="248" t="e">
        <f>IF(ISBLANK(VLOOKUP(BR69,Reinforcements[],COLUMN(Reinforcements[[#Headers],[Top Longitudinal Weld Length]])-1,FALSE)),"",(VLOOKUP(BR69,Reinforcements[],COLUMN(Reinforcements[[#Headers],[Top Longitudinal Weld Length]])-1,FALSE)))</f>
        <v>#N/A</v>
      </c>
      <c r="DA69" s="248" t="str">
        <f>IFERROR(VLOOKUP(BR69,Reinforcements[],COLUMN(Reinforcements[[#Headers],[Top Connected to Flange/Base Plate?]])-1,FALSE),"")</f>
        <v/>
      </c>
      <c r="DB69" s="248" t="e">
        <f>IF(Rev="F",VLOOKUP(BR69,Reinforcements[],COLUMN(Reinforcements[[#Headers],[Rev. F Top Transverse Weld Strength]])-1,FALSE),VLOOKUP(BR69,Reinforcements[],COLUMN(Reinforcements[[#Headers],[Rev. G Top Transverse Weld Strength]])-1,FALSE))</f>
        <v>#N/A</v>
      </c>
      <c r="DC69" s="248"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248" t="str">
        <f>IF(DA69&lt;&gt;"Yes","",(VLOOKUP(BR69,Reinforcements[],COLUMN(Reinforcements[[#Headers],[Top Transverse Weld Groove Depth (in)]])-1,FALSE)+VLOOKUP(BR69,Reinforcements[],COLUMN(Reinforcements[[#Headers],[Top Transverse Weld Fillet Size (in)]])-1,FALSE))*CX69*IF(Rev="F",0.6,φ_t_y)*$D$14)</f>
        <v/>
      </c>
      <c r="DE69" s="248" t="e">
        <f>IF(DA69="Yes","",VLOOKUP(BR69,Reinforcements[],COLUMN(Reinforcements[[#Headers],[Top Transverse Weld Fillet Size (in)]])-1,FALSE)*CX69*MIN(IF(Rev="F",0.4,φ_shear_yield*0.6)*$D$6,IF(Rev="F",0.3,φ_shear_rupture*0.6)*$D$7))</f>
        <v>#N/A</v>
      </c>
      <c r="DF69" s="248" t="e">
        <f>IF(Rev="F",VLOOKUP(BR69,Reinforcements[],COLUMN(Reinforcements[[#Headers],[Rev. F Top Longitudinal Weld Strength]])-1,FALSE),VLOOKUP(BR69,Reinforcements[],COLUMN(Reinforcements[[#Headers],[Rev. G Top Longitudinal Weld Strength]])-1,FALSE))</f>
        <v>#N/A</v>
      </c>
      <c r="DG69" s="248" t="e">
        <f>2*VLOOKUP(BR69,Reinforcements[],COLUMN(Reinforcements[[#Headers],[Top Longitudinal Weld Fillet Size (in)]])-1,FALSE)*CZ69*MIN(IF(Rev="F",0.4,φ_shear_yield*0.6)*CG69,IF(Rev="F",0.3,φ_shear_rupture*0.6)*CH69)</f>
        <v>#N/A</v>
      </c>
      <c r="DH69" s="248" t="e">
        <f>2*VLOOKUP(BR69,Reinforcements[],COLUMN(Reinforcements[[#Headers],[Top Longitudinal Weld Fillet Size (in)]])-1,FALSE)*CZ69*MIN(IF(Rev="F",0.4,φ_shear_yield*0.6)*$D$6,IF(Rev="F",0.3,φ_shear_rupture*0.6)*$D$7)</f>
        <v>#N/A</v>
      </c>
      <c r="DI69" s="49" t="e">
        <f>IF(BS69="channel",VLOOKUP(Calculations!BR69,Reinforcements[],COLUMN(Reinforcements[[#Headers],['[Channel']Web Thickness (in)]])-1,FALSE),"")</f>
        <v>#N/A</v>
      </c>
      <c r="DJ69" s="49" t="b">
        <f t="shared" si="84"/>
        <v>0</v>
      </c>
      <c r="DK69" s="49" t="e">
        <f>IF(BS69="channel",Calculations!BU69-DI69,"")</f>
        <v>#N/A</v>
      </c>
      <c r="DL69" s="49" t="e">
        <f>IF(BS69="channel",(Calculations!BY69-Calculations!BT69*DI69)/(2*DK69))</f>
        <v>#N/A</v>
      </c>
      <c r="DM69" s="49" t="e">
        <f>IF(BS69="channel",(Calculations!BT69*(DI69^2)/2+2*DK69*DL69*(DI69+DK69/2))/Calculations!BY69,"")</f>
        <v>#N/A</v>
      </c>
    </row>
    <row r="70" spans="2:117" ht="15" x14ac:dyDescent="0.25">
      <c r="B70" s="49" t="str">
        <f t="shared" si="70"/>
        <v/>
      </c>
      <c r="C70" s="201">
        <v>11</v>
      </c>
      <c r="D70" s="255" t="str">
        <f>IF(BQ70="","",IF($D$8=0,IF(OR(VLOOKUP(BQ70,Input!$B$21:$AL$50,19+C70,FALSE)+$D$5=0,VLOOKUP(BQ70,Input!$B$21:$AL$50,19+C70,FALSE)+$D$5=180),VLOOKUP(BQ70,Input!$B$21:$AL$50,19+C70,FALSE)+$D$5+0.0001,VLOOKUP(BQ70,Input!$B$21:$AL$50,19+C70,FALSE)+$D$5),IF(VLOOKUP(BQ70,Input!$B$21:$AL$50,19+C70,FALSE)="c",VLOOKUP($C70,$C$40:$E$57,2,FALSE)+180/$D$8,VLOOKUP($C70,$C$40:$E$57,2,FALSE))))</f>
        <v/>
      </c>
      <c r="E70" s="17" t="str">
        <f t="shared" si="39"/>
        <v/>
      </c>
      <c r="F70" s="258" t="str">
        <f>IF(BR70="","",VLOOKUP(BR70,Reinforcements[],COLUMN(Reinforcements[[#Headers],[Gross Area (in2)]])-1,FALSE))</f>
        <v/>
      </c>
      <c r="G70" s="256" t="e">
        <f>(IF(VLOOKUP(BQ70,Input!$B$21:$AL$50,19+C70,FALSE)="c",$D$20/COS(RADIANS(180/$D$8)),$D$20)+CA70)*SIN(RADIANS(D70))-IF(AND(ISNUMBER(VLOOKUP(BQ70,Input!$B$21:$AL$50,19+C70,FALSE)),$D$8&lt;&gt;0),VLOOKUP(BQ70,Input!$B$21:$AL$50,19+C70,FALSE)*COS(RADIANS(D70)),0)</f>
        <v>#N/A</v>
      </c>
      <c r="H70" s="251" t="str">
        <f t="shared" si="71"/>
        <v/>
      </c>
      <c r="I70" s="251" t="e">
        <f t="shared" si="40"/>
        <v>#N/A</v>
      </c>
      <c r="J70" s="251" t="e">
        <f t="shared" si="41"/>
        <v>#N/A</v>
      </c>
      <c r="K70" s="251" t="e">
        <f t="shared" si="42"/>
        <v>#N/A</v>
      </c>
      <c r="L70" s="251" t="e">
        <f t="shared" si="72"/>
        <v>#N/A</v>
      </c>
      <c r="M70" s="252" t="str">
        <f t="shared" si="73"/>
        <v/>
      </c>
      <c r="N70" s="250" t="str">
        <f>IFERROR((IF(VLOOKUP(BQ70,Input!$B$21:$AL$50,19+C70,FALSE)="c",$D$20/COS(RADIANS(180/$D$8)),$D$20)+CA70)*SIN(RADIANS(D70))-IF(AND(ISNUMBER(VLOOKUP(BQ70,Input!$B$21:$AL$50,19+C70,FALSE)),$D$8&lt;&gt;0),VLOOKUP(BQ70,Input!$B$21:$AL$50,19+C70,FALSE)*COS(RADIANS(D70)),0)-$D$35,"")</f>
        <v/>
      </c>
      <c r="O70" s="253" t="str">
        <f t="shared" si="43"/>
        <v/>
      </c>
      <c r="P70" s="253" t="str">
        <f t="shared" si="44"/>
        <v/>
      </c>
      <c r="Q70" s="253" t="str">
        <f t="shared" si="45"/>
        <v/>
      </c>
      <c r="R70" s="254" t="str">
        <f t="shared" si="46"/>
        <v/>
      </c>
      <c r="S70" s="251" t="str">
        <f t="shared" si="74"/>
        <v/>
      </c>
      <c r="T70" s="251" t="str">
        <f t="shared" si="75"/>
        <v/>
      </c>
      <c r="U70" s="251" t="str">
        <f t="shared" si="76"/>
        <v/>
      </c>
      <c r="V70" s="252" t="str">
        <f t="shared" si="77"/>
        <v/>
      </c>
      <c r="W70" s="323"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324"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324"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324" t="str">
        <f>IFERROR(IF('Macro References'!$A$9,IF(AND(CJ70,CL70="Welded"),MIN(CQ70:CT70),IF(AND(CK70,CL70="Welded"),MIN(DB70:DE70),"")),""),"")</f>
        <v/>
      </c>
      <c r="AA70" s="255" t="str">
        <f>IFERROR(IF('Macro References'!$A$9,IF(AND(CJ70,CL70="Welded"),MIN(CU70:CW70),IF(AND(CK70,CL70="Welded"),MIN(DF70:DH70),"")),""),"")</f>
        <v/>
      </c>
      <c r="AB70" s="255" t="str">
        <f>IFERROR(IF('Macro References'!$A$9,IF(AND(CJ70,CL70="Welded",CN70="Fillet",CU70&gt;0),TRUE,IF(AND(CK70,CL70="Welded",CY70="Fillet",DF70&gt;0),TRUE,"")),""),"")</f>
        <v/>
      </c>
      <c r="AC70" s="255"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255"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32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248"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32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274" t="str">
        <f t="shared" si="47"/>
        <v/>
      </c>
      <c r="AI70" s="255" t="str">
        <f t="shared" si="48"/>
        <v/>
      </c>
      <c r="AJ70" s="255" t="str">
        <f t="shared" si="49"/>
        <v/>
      </c>
      <c r="AK70" s="255" t="str">
        <f t="shared" si="85"/>
        <v/>
      </c>
      <c r="AL70" s="248" t="str">
        <f t="shared" si="78"/>
        <v/>
      </c>
      <c r="AM70" s="255" t="str">
        <f>""</f>
        <v/>
      </c>
      <c r="AN70" s="255" t="str">
        <f t="shared" si="50"/>
        <v/>
      </c>
      <c r="AO70" s="248" t="str">
        <f t="shared" si="51"/>
        <v/>
      </c>
      <c r="AP70" s="275" t="str">
        <f t="shared" si="52"/>
        <v/>
      </c>
      <c r="AQ70" s="276" t="str">
        <f t="shared" si="53"/>
        <v/>
      </c>
      <c r="AR70" s="255" t="str">
        <f>IF(BR70="","",VLOOKUP(VLOOKUP(BR70,Reinforcements[],COLUMN(Reinforcements[[#Headers],[Material]])-1,FALSE),Materials[],2,FALSE)/$D$28)</f>
        <v/>
      </c>
      <c r="AS70" s="248" t="str">
        <f t="shared" si="54"/>
        <v/>
      </c>
      <c r="AT70" s="327" t="str">
        <f t="shared" si="55"/>
        <v/>
      </c>
      <c r="AU70" s="277">
        <f t="shared" si="56"/>
        <v>0</v>
      </c>
      <c r="AV70" s="278">
        <f t="shared" si="57"/>
        <v>0</v>
      </c>
      <c r="AW70" s="278" t="e">
        <f t="shared" si="58"/>
        <v>#N/A</v>
      </c>
      <c r="AX70" s="278" t="e">
        <f t="shared" si="59"/>
        <v>#N/A</v>
      </c>
      <c r="AY70" s="278" t="str">
        <f t="shared" si="60"/>
        <v/>
      </c>
      <c r="AZ70" s="278" t="e">
        <f t="shared" si="61"/>
        <v>#VALUE!</v>
      </c>
      <c r="BA70" s="295" t="str">
        <f t="shared" si="62"/>
        <v/>
      </c>
      <c r="BB70" s="297" t="str">
        <f t="shared" si="79"/>
        <v/>
      </c>
      <c r="BC70" s="298" t="str">
        <f t="shared" si="63"/>
        <v/>
      </c>
      <c r="BD70" s="298" t="str">
        <f t="shared" si="64"/>
        <v/>
      </c>
      <c r="BE70" s="295" t="str">
        <f t="shared" si="80"/>
        <v/>
      </c>
      <c r="BF70" s="299" t="e">
        <f t="shared" si="81"/>
        <v>#DIV/0!</v>
      </c>
      <c r="BG70" s="300" t="str">
        <f t="shared" si="65"/>
        <v/>
      </c>
      <c r="BH70" s="300" t="str">
        <f t="shared" si="66"/>
        <v/>
      </c>
      <c r="BI70" s="295" t="e">
        <f t="shared" si="82"/>
        <v>#DIV/0!</v>
      </c>
      <c r="BJ70" s="299" t="str">
        <f t="shared" si="83"/>
        <v/>
      </c>
      <c r="BK70" s="278" t="e">
        <f t="shared" si="67"/>
        <v>#DIV/0!</v>
      </c>
      <c r="BL70" s="49" t="str">
        <f t="shared" si="68"/>
        <v/>
      </c>
      <c r="BP70" s="25" t="e">
        <f t="shared" si="69"/>
        <v>#DIV/0!</v>
      </c>
      <c r="BQ70" s="223" t="str">
        <f>IFERROR(VALUE(LEFT(VLOOKUP(Calculations!$D$4,Results!$G$5:$CM$105,67+$C70,FALSE),FIND(";",VLOOKUP(Calculations!$D$4,Results!$G$5:$CM$105,67+$C70,FALSE))-1)),"")</f>
        <v/>
      </c>
      <c r="BR70" s="303" t="str">
        <f>IF(BQ70="","",VLOOKUP(BQ70,Input!$B$21:$Q$50,13,FALSE))</f>
        <v/>
      </c>
      <c r="BS70" s="248" t="e">
        <f>VLOOKUP(BR70,Reinforcements[],COLUMN(Reinforcements[[#Headers],[Type]])-1,FALSE)</f>
        <v>#N/A</v>
      </c>
      <c r="BT70" s="248" t="e">
        <f>IF(BS70="solid round",VLOOKUP(BR70,Reinforcements[],COLUMN(Reinforcements[[#Headers],[Diameter (in)]])-1,FALSE),VLOOKUP(BR70,Reinforcements[],COLUMN(Reinforcements[[#Headers],[B (in)]])-1,FALSE))</f>
        <v>#N/A</v>
      </c>
      <c r="BU70" s="248" t="e">
        <f>IF(BS70="solid round",VLOOKUP(BR70,Reinforcements[],COLUMN(Reinforcements[[#Headers],[Diameter (in)]])-1,FALSE),VLOOKUP(BR70,Reinforcements[],COLUMN(Reinforcements[[#Headers],[H (in)]])-1,FALSE))</f>
        <v>#N/A</v>
      </c>
      <c r="BV70" s="278" t="e">
        <f>IFERROR((IF(VLOOKUP(BQ70,Input!$B$21:$AL$50,19+C70,FALSE)="c",$D$20/COS(RADIANS(180/$D$8)),$D$20)+BU70/2)*SIN(RADIANS(D70))-IF(ISNUMBER(VLOOKUP(BQ70,Input!$B$21:$AL$50,19+C70,FALSE)),VLOOKUP(BQ70,Input!$B$21:$AL$50,19+C70,FALSE)*COS(RADIANS(D70)),0)-$D$35,"")*0+N70*1</f>
        <v>#VALUE!</v>
      </c>
      <c r="BW70" s="248" t="e">
        <f>VLOOKUP(BR70,Reinforcements[],COLUMN(Reinforcements[[#Headers],[Effective B (in)]])-1,FALSE)</f>
        <v>#N/A</v>
      </c>
      <c r="BX70" s="248" t="e">
        <f>VLOOKUP(BR70,Reinforcements[],COLUMN(Reinforcements[[#Headers],[Effective H (in)]])-1,FALSE)</f>
        <v>#N/A</v>
      </c>
      <c r="BY70" s="248" t="e">
        <f>VLOOKUP(BR70,Reinforcements[],COLUMN(Reinforcements[[#Headers],[Gross Area (in2)]])-1,FALSE)</f>
        <v>#N/A</v>
      </c>
      <c r="BZ70" s="255" t="s">
        <v>697</v>
      </c>
      <c r="CA70" s="248" t="e">
        <f>VLOOKUP(BR70,Reinforcements[],COLUMN(Reinforcements[[#Headers],[Pole Face to Centroid (in)]])-1,FALSE)</f>
        <v>#N/A</v>
      </c>
      <c r="CB70" s="248" t="e">
        <f>VLOOKUP(BR70,Reinforcements[],COLUMN(Reinforcements[[#Headers],[Equivalent Rectangle Ix (in4)]])-1,FALSE)</f>
        <v>#N/A</v>
      </c>
      <c r="CC70" s="248" t="e">
        <f>VLOOKUP(BR70,Reinforcements[],COLUMN(Reinforcements[[#Headers],[Equivalent Rectangle Iy (in4)]])-1,FALSE)</f>
        <v>#N/A</v>
      </c>
      <c r="CD70" s="248" t="e">
        <f>VLOOKUP(BR70,Reinforcements[],COLUMN(Reinforcements[[#Headers],[Lu (in)]])-1,FALSE)</f>
        <v>#N/A</v>
      </c>
      <c r="CE70" s="255" t="s">
        <v>697</v>
      </c>
      <c r="CF70" s="255" t="s">
        <v>697</v>
      </c>
      <c r="CG70" s="248" t="e">
        <f>VLOOKUP(VLOOKUP(BR70,Reinforcements[],COLUMN(Reinforcements[[#Headers],[Material]])-1,FALSE),Materials[],2,FALSE)</f>
        <v>#N/A</v>
      </c>
      <c r="CH70" s="248" t="e">
        <f>VLOOKUP(VLOOKUP(BR70,Reinforcements[],COLUMN(Reinforcements[[#Headers],[Material]])-1,FALSE),Materials[],3,FALSE)</f>
        <v>#N/A</v>
      </c>
      <c r="CI70" s="255" t="e">
        <f>VLOOKUP(BR70,Reinforcements[],COLUMN(Reinforcements[[#Headers],[Tension Only?]])-1,FALSE)</f>
        <v>#N/A</v>
      </c>
      <c r="CJ70" s="17" t="str">
        <f>IF(BQ70="","",AND(INDEX(Results!$G$5:$G$104,MATCH(VLOOKUP($BQ70,Input!$B$21:$J$50,2,FALSE)-0.001,Results!$G$5:$G$104,-1))=$D$4))</f>
        <v/>
      </c>
      <c r="CK70" s="17" t="str">
        <f>IF(BQ70="","",AND(INDEX('Macro References'!$BB$2:$BB$101,MATCH(VLOOKUP($BQ70,Input!$B$21:$J$50,6,FALSE)-0.001,'Macro References'!$BB$2:$BB$101,1))=$D$4))</f>
        <v/>
      </c>
      <c r="CL70" s="17" t="e">
        <f>IF(CJ70,VLOOKUP(BR70,Reinforcements[],COLUMN(Reinforcements[[#Headers],[Bottom End Connection Type]])-1,FALSE),IF(CK70,VLOOKUP(BR70,Reinforcements[],COLUMN(Reinforcements[[#Headers],[Top End Connection Type]])-1,FALSE),""))</f>
        <v>#VALUE!</v>
      </c>
      <c r="CM70" s="17" t="e">
        <f>IF(ISBLANK(VLOOKUP(BR70,Reinforcements[],COLUMN(Reinforcements[[#Headers],[Bottom Transverse Weld Length]])-1,FALSE)),"",(VLOOKUP(BR70,Reinforcements[],COLUMN(Reinforcements[[#Headers],[Bottom Transverse Weld Length]])-1,FALSE)))</f>
        <v>#N/A</v>
      </c>
      <c r="CN70" s="17" t="e">
        <f>IF(ISBLANK(VLOOKUP(BR70,Reinforcements[],COLUMN(Reinforcements[[#Headers],[Bottom Transverse (Horizontal) Weld]])-1,FALSE)),"",(VLOOKUP(BR70,Reinforcements[],COLUMN(Reinforcements[[#Headers],[Bottom Transverse (Horizontal) Weld]])-1,FALSE)))</f>
        <v>#N/A</v>
      </c>
      <c r="CO70" s="17" t="e">
        <f>IF(ISBLANK(VLOOKUP(BR70,Reinforcements[],COLUMN(Reinforcements[[#Headers],[Bottom Longitudinal Weld Length]])-1,FALSE)),"",(VLOOKUP(BR70,Reinforcements[],COLUMN(Reinforcements[[#Headers],[Bottom Longitudinal Weld Length]])-1,FALSE)))</f>
        <v>#N/A</v>
      </c>
      <c r="CP70" s="17" t="str">
        <f>IFERROR(VLOOKUP(BR70,Reinforcements[],COLUMN(Reinforcements[[#Headers],[Bottom Connected to Flange/Base Plate?]])-1,FALSE),"")</f>
        <v/>
      </c>
      <c r="CQ70" s="248" t="e">
        <f>IF(Rev="F",VLOOKUP(BR70,Reinforcements[],COLUMN(Reinforcements[[#Headers],[Rev. F Bottom Transverse Weld Strength]])-1,FALSE),VLOOKUP(BR70,Reinforcements[],COLUMN(Reinforcements[[#Headers],[Rev. G Bottom Transverse Weld Strength]])-1,FALSE))</f>
        <v>#N/A</v>
      </c>
      <c r="CR70" s="248"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248" t="str">
        <f>IF(CP70&lt;&gt;"Yes","",(VLOOKUP(BR70,Reinforcements[],COLUMN(Reinforcements[[#Headers],[Bottom Transverse Weld Groove Depth (in)]])-1,FALSE)+VLOOKUP(BR70,Reinforcements[],COLUMN(Reinforcements[[#Headers],[Bottom Transverse Weld Fillet Size (in)]])-1,FALSE))*CM70*IF(Rev="F",0.6,φ_t_y)*$D$14)</f>
        <v/>
      </c>
      <c r="CT70" s="248" t="e">
        <f>IF(CP70="Yes","",VLOOKUP(BR70,Reinforcements[],COLUMN(Reinforcements[[#Headers],[Bottom Transverse Weld Fillet Size (in)]])-1,FALSE)*CM70*MIN(IF(Rev="F",0.4,φ_shear_yield*0.6)*$D$6,IF(Rev="F",0.3,φ_shear_rupture*0.6)*$D$7))</f>
        <v>#N/A</v>
      </c>
      <c r="CU70" s="248" t="e">
        <f>IF(Rev="F",VLOOKUP(BR70,Reinforcements[],COLUMN(Reinforcements[[#Headers],[Rev. F Bottom Longitudinal Weld Strength]])-1,FALSE),VLOOKUP(BR70,Reinforcements[],COLUMN(Reinforcements[[#Headers],[Rev. G Bottom Longitudinal Weld Strength]])-1,FALSE))</f>
        <v>#N/A</v>
      </c>
      <c r="CV70" s="248" t="e">
        <f>2*VLOOKUP(BR70,Reinforcements[],COLUMN(Reinforcements[[#Headers],[Bottom Longitudinal Weld Fillet Size (in)]])-1,FALSE)*CO70*MIN(IF(Rev="F",0.4,φ_shear_yield*0.6)*CG70,IF(Rev="F",0.3,φ_shear_rupture*0.6)*CH70)</f>
        <v>#N/A</v>
      </c>
      <c r="CW70" s="248" t="e">
        <f>2*VLOOKUP(BR70,Reinforcements[],COLUMN(Reinforcements[[#Headers],[Bottom Longitudinal Weld Fillet Size (in)]])-1,FALSE)*CO70*MIN(IF(Rev="F",0.4,φ_shear_yield*0.6)*$D$6,IF(Rev="F",0.3,φ_shear_rupture*0.6)*$D$7)</f>
        <v>#N/A</v>
      </c>
      <c r="CX70" s="248" t="e">
        <f>IF(ISBLANK(VLOOKUP(BR70,Reinforcements[],COLUMN(Reinforcements[[#Headers],[Top Transverse Weld Length]])-1,FALSE)),"",(VLOOKUP(BR70,Reinforcements[],COLUMN(Reinforcements[[#Headers],[Top Transverse Weld Length]])-1,FALSE)))</f>
        <v>#N/A</v>
      </c>
      <c r="CY70" s="248" t="e">
        <f>IF(ISBLANK(VLOOKUP(BR70,Reinforcements[],COLUMN(Reinforcements[[#Headers],[Top Transverse (Horizontal) Weld]])-1,FALSE)),"",(VLOOKUP(BR70,Reinforcements[],COLUMN(Reinforcements[[#Headers],[Top Transverse (Horizontal) Weld]])-1,FALSE)))</f>
        <v>#N/A</v>
      </c>
      <c r="CZ70" s="248" t="e">
        <f>IF(ISBLANK(VLOOKUP(BR70,Reinforcements[],COLUMN(Reinforcements[[#Headers],[Top Longitudinal Weld Length]])-1,FALSE)),"",(VLOOKUP(BR70,Reinforcements[],COLUMN(Reinforcements[[#Headers],[Top Longitudinal Weld Length]])-1,FALSE)))</f>
        <v>#N/A</v>
      </c>
      <c r="DA70" s="248" t="str">
        <f>IFERROR(VLOOKUP(BR70,Reinforcements[],COLUMN(Reinforcements[[#Headers],[Top Connected to Flange/Base Plate?]])-1,FALSE),"")</f>
        <v/>
      </c>
      <c r="DB70" s="248" t="e">
        <f>IF(Rev="F",VLOOKUP(BR70,Reinforcements[],COLUMN(Reinforcements[[#Headers],[Rev. F Top Transverse Weld Strength]])-1,FALSE),VLOOKUP(BR70,Reinforcements[],COLUMN(Reinforcements[[#Headers],[Rev. G Top Transverse Weld Strength]])-1,FALSE))</f>
        <v>#N/A</v>
      </c>
      <c r="DC70" s="248"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248" t="str">
        <f>IF(DA70&lt;&gt;"Yes","",(VLOOKUP(BR70,Reinforcements[],COLUMN(Reinforcements[[#Headers],[Top Transverse Weld Groove Depth (in)]])-1,FALSE)+VLOOKUP(BR70,Reinforcements[],COLUMN(Reinforcements[[#Headers],[Top Transverse Weld Fillet Size (in)]])-1,FALSE))*CX70*IF(Rev="F",0.6,φ_t_y)*$D$14)</f>
        <v/>
      </c>
      <c r="DE70" s="248" t="e">
        <f>IF(DA70="Yes","",VLOOKUP(BR70,Reinforcements[],COLUMN(Reinforcements[[#Headers],[Top Transverse Weld Fillet Size (in)]])-1,FALSE)*CX70*MIN(IF(Rev="F",0.4,φ_shear_yield*0.6)*$D$6,IF(Rev="F",0.3,φ_shear_rupture*0.6)*$D$7))</f>
        <v>#N/A</v>
      </c>
      <c r="DF70" s="248" t="e">
        <f>IF(Rev="F",VLOOKUP(BR70,Reinforcements[],COLUMN(Reinforcements[[#Headers],[Rev. F Top Longitudinal Weld Strength]])-1,FALSE),VLOOKUP(BR70,Reinforcements[],COLUMN(Reinforcements[[#Headers],[Rev. G Top Longitudinal Weld Strength]])-1,FALSE))</f>
        <v>#N/A</v>
      </c>
      <c r="DG70" s="248" t="e">
        <f>2*VLOOKUP(BR70,Reinforcements[],COLUMN(Reinforcements[[#Headers],[Top Longitudinal Weld Fillet Size (in)]])-1,FALSE)*CZ70*MIN(IF(Rev="F",0.4,φ_shear_yield*0.6)*CG70,IF(Rev="F",0.3,φ_shear_rupture*0.6)*CH70)</f>
        <v>#N/A</v>
      </c>
      <c r="DH70" s="248" t="e">
        <f>2*VLOOKUP(BR70,Reinforcements[],COLUMN(Reinforcements[[#Headers],[Top Longitudinal Weld Fillet Size (in)]])-1,FALSE)*CZ70*MIN(IF(Rev="F",0.4,φ_shear_yield*0.6)*$D$6,IF(Rev="F",0.3,φ_shear_rupture*0.6)*$D$7)</f>
        <v>#N/A</v>
      </c>
      <c r="DI70" s="49" t="e">
        <f>IF(BS70="channel",VLOOKUP(Calculations!BR70,Reinforcements[],COLUMN(Reinforcements[[#Headers],['[Channel']Web Thickness (in)]])-1,FALSE),"")</f>
        <v>#N/A</v>
      </c>
      <c r="DJ70" s="49" t="b">
        <f t="shared" si="84"/>
        <v>0</v>
      </c>
      <c r="DK70" s="49" t="e">
        <f>IF(BS70="channel",Calculations!BU70-DI70,"")</f>
        <v>#N/A</v>
      </c>
      <c r="DL70" s="49" t="e">
        <f>IF(BS70="channel",(Calculations!BY70-Calculations!BT70*DI70)/(2*DK70))</f>
        <v>#N/A</v>
      </c>
      <c r="DM70" s="49" t="e">
        <f>IF(BS70="channel",(Calculations!BT70*(DI70^2)/2+2*DK70*DL70*(DI70+DK70/2))/Calculations!BY70,"")</f>
        <v>#N/A</v>
      </c>
    </row>
    <row r="71" spans="2:117" ht="15" x14ac:dyDescent="0.25">
      <c r="B71" s="49" t="str">
        <f t="shared" si="70"/>
        <v/>
      </c>
      <c r="C71" s="201">
        <v>12</v>
      </c>
      <c r="D71" s="255" t="str">
        <f>IF(BQ71="","",IF($D$8=0,IF(OR(VLOOKUP(BQ71,Input!$B$21:$AL$50,19+C71,FALSE)+$D$5=0,VLOOKUP(BQ71,Input!$B$21:$AL$50,19+C71,FALSE)+$D$5=180),VLOOKUP(BQ71,Input!$B$21:$AL$50,19+C71,FALSE)+$D$5+0.0001,VLOOKUP(BQ71,Input!$B$21:$AL$50,19+C71,FALSE)+$D$5),IF(VLOOKUP(BQ71,Input!$B$21:$AL$50,19+C71,FALSE)="c",VLOOKUP($C71,$C$40:$E$57,2,FALSE)+180/$D$8,VLOOKUP($C71,$C$40:$E$57,2,FALSE))))</f>
        <v/>
      </c>
      <c r="E71" s="17" t="str">
        <f t="shared" si="39"/>
        <v/>
      </c>
      <c r="F71" s="258" t="str">
        <f>IF(BR71="","",VLOOKUP(BR71,Reinforcements[],COLUMN(Reinforcements[[#Headers],[Gross Area (in2)]])-1,FALSE))</f>
        <v/>
      </c>
      <c r="G71" s="256" t="e">
        <f>(IF(VLOOKUP(BQ71,Input!$B$21:$AL$50,19+C71,FALSE)="c",$D$20/COS(RADIANS(180/$D$8)),$D$20)+CA71)*SIN(RADIANS(D71))-IF(AND(ISNUMBER(VLOOKUP(BQ71,Input!$B$21:$AL$50,19+C71,FALSE)),$D$8&lt;&gt;0),VLOOKUP(BQ71,Input!$B$21:$AL$50,19+C71,FALSE)*COS(RADIANS(D71)),0)</f>
        <v>#N/A</v>
      </c>
      <c r="H71" s="251" t="str">
        <f t="shared" si="71"/>
        <v/>
      </c>
      <c r="I71" s="251" t="e">
        <f t="shared" si="40"/>
        <v>#N/A</v>
      </c>
      <c r="J71" s="251" t="e">
        <f t="shared" si="41"/>
        <v>#N/A</v>
      </c>
      <c r="K71" s="251" t="e">
        <f t="shared" si="42"/>
        <v>#N/A</v>
      </c>
      <c r="L71" s="251" t="e">
        <f t="shared" si="72"/>
        <v>#N/A</v>
      </c>
      <c r="M71" s="252" t="str">
        <f t="shared" si="73"/>
        <v/>
      </c>
      <c r="N71" s="250" t="str">
        <f>IFERROR((IF(VLOOKUP(BQ71,Input!$B$21:$AL$50,19+C71,FALSE)="c",$D$20/COS(RADIANS(180/$D$8)),$D$20)+CA71)*SIN(RADIANS(D71))-IF(AND(ISNUMBER(VLOOKUP(BQ71,Input!$B$21:$AL$50,19+C71,FALSE)),$D$8&lt;&gt;0),VLOOKUP(BQ71,Input!$B$21:$AL$50,19+C71,FALSE)*COS(RADIANS(D71)),0)-$D$35,"")</f>
        <v/>
      </c>
      <c r="O71" s="253" t="str">
        <f t="shared" si="43"/>
        <v/>
      </c>
      <c r="P71" s="253" t="str">
        <f t="shared" si="44"/>
        <v/>
      </c>
      <c r="Q71" s="253" t="str">
        <f t="shared" si="45"/>
        <v/>
      </c>
      <c r="R71" s="254" t="str">
        <f t="shared" si="46"/>
        <v/>
      </c>
      <c r="S71" s="251" t="str">
        <f t="shared" si="74"/>
        <v/>
      </c>
      <c r="T71" s="251" t="str">
        <f t="shared" si="75"/>
        <v/>
      </c>
      <c r="U71" s="251" t="str">
        <f t="shared" si="76"/>
        <v/>
      </c>
      <c r="V71" s="252" t="str">
        <f t="shared" si="77"/>
        <v/>
      </c>
      <c r="W71" s="323"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324"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324"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324" t="str">
        <f>IFERROR(IF('Macro References'!$A$9,IF(AND(CJ71,CL71="Welded"),MIN(CQ71:CT71),IF(AND(CK71,CL71="Welded"),MIN(DB71:DE71),"")),""),"")</f>
        <v/>
      </c>
      <c r="AA71" s="255" t="str">
        <f>IFERROR(IF('Macro References'!$A$9,IF(AND(CJ71,CL71="Welded"),MIN(CU71:CW71),IF(AND(CK71,CL71="Welded"),MIN(DF71:DH71),"")),""),"")</f>
        <v/>
      </c>
      <c r="AB71" s="255" t="str">
        <f>IFERROR(IF('Macro References'!$A$9,IF(AND(CJ71,CL71="Welded",CN71="Fillet",CU71&gt;0),TRUE,IF(AND(CK71,CL71="Welded",CY71="Fillet",DF71&gt;0),TRUE,"")),""),"")</f>
        <v/>
      </c>
      <c r="AC71" s="255"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255"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32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248"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32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274" t="str">
        <f t="shared" si="47"/>
        <v/>
      </c>
      <c r="AI71" s="255" t="str">
        <f t="shared" si="48"/>
        <v/>
      </c>
      <c r="AJ71" s="255" t="str">
        <f t="shared" si="49"/>
        <v/>
      </c>
      <c r="AK71" s="255" t="str">
        <f t="shared" si="85"/>
        <v/>
      </c>
      <c r="AL71" s="248" t="str">
        <f t="shared" si="78"/>
        <v/>
      </c>
      <c r="AM71" s="255" t="str">
        <f>""</f>
        <v/>
      </c>
      <c r="AN71" s="255" t="str">
        <f t="shared" si="50"/>
        <v/>
      </c>
      <c r="AO71" s="248" t="str">
        <f t="shared" si="51"/>
        <v/>
      </c>
      <c r="AP71" s="275" t="str">
        <f t="shared" si="52"/>
        <v/>
      </c>
      <c r="AQ71" s="276" t="str">
        <f t="shared" si="53"/>
        <v/>
      </c>
      <c r="AR71" s="255" t="str">
        <f>IF(BR71="","",VLOOKUP(VLOOKUP(BR71,Reinforcements[],COLUMN(Reinforcements[[#Headers],[Material]])-1,FALSE),Materials[],2,FALSE)/$D$28)</f>
        <v/>
      </c>
      <c r="AS71" s="248" t="str">
        <f t="shared" si="54"/>
        <v/>
      </c>
      <c r="AT71" s="327" t="str">
        <f t="shared" si="55"/>
        <v/>
      </c>
      <c r="AU71" s="277">
        <f t="shared" si="56"/>
        <v>0</v>
      </c>
      <c r="AV71" s="278">
        <f t="shared" si="57"/>
        <v>0</v>
      </c>
      <c r="AW71" s="278" t="e">
        <f t="shared" si="58"/>
        <v>#N/A</v>
      </c>
      <c r="AX71" s="278" t="e">
        <f t="shared" si="59"/>
        <v>#N/A</v>
      </c>
      <c r="AY71" s="278" t="str">
        <f t="shared" si="60"/>
        <v/>
      </c>
      <c r="AZ71" s="278" t="e">
        <f t="shared" si="61"/>
        <v>#VALUE!</v>
      </c>
      <c r="BA71" s="295" t="str">
        <f t="shared" si="62"/>
        <v/>
      </c>
      <c r="BB71" s="297" t="str">
        <f t="shared" si="79"/>
        <v/>
      </c>
      <c r="BC71" s="298" t="str">
        <f t="shared" si="63"/>
        <v/>
      </c>
      <c r="BD71" s="298" t="str">
        <f t="shared" si="64"/>
        <v/>
      </c>
      <c r="BE71" s="295" t="str">
        <f t="shared" si="80"/>
        <v/>
      </c>
      <c r="BF71" s="299" t="e">
        <f t="shared" si="81"/>
        <v>#DIV/0!</v>
      </c>
      <c r="BG71" s="300" t="str">
        <f t="shared" si="65"/>
        <v/>
      </c>
      <c r="BH71" s="300" t="str">
        <f t="shared" si="66"/>
        <v/>
      </c>
      <c r="BI71" s="295" t="e">
        <f t="shared" si="82"/>
        <v>#DIV/0!</v>
      </c>
      <c r="BJ71" s="299" t="str">
        <f t="shared" si="83"/>
        <v/>
      </c>
      <c r="BK71" s="278" t="e">
        <f t="shared" si="67"/>
        <v>#DIV/0!</v>
      </c>
      <c r="BL71" s="49" t="str">
        <f t="shared" si="68"/>
        <v/>
      </c>
      <c r="BP71" s="25" t="e">
        <f t="shared" si="69"/>
        <v>#DIV/0!</v>
      </c>
      <c r="BQ71" s="223" t="str">
        <f>IFERROR(VALUE(LEFT(VLOOKUP(Calculations!$D$4,Results!$G$5:$CM$105,67+$C71,FALSE),FIND(";",VLOOKUP(Calculations!$D$4,Results!$G$5:$CM$105,67+$C71,FALSE))-1)),"")</f>
        <v/>
      </c>
      <c r="BR71" s="303" t="str">
        <f>IF(BQ71="","",VLOOKUP(BQ71,Input!$B$21:$Q$50,13,FALSE))</f>
        <v/>
      </c>
      <c r="BS71" s="248" t="e">
        <f>VLOOKUP(BR71,Reinforcements[],COLUMN(Reinforcements[[#Headers],[Type]])-1,FALSE)</f>
        <v>#N/A</v>
      </c>
      <c r="BT71" s="248" t="e">
        <f>IF(BS71="solid round",VLOOKUP(BR71,Reinforcements[],COLUMN(Reinforcements[[#Headers],[Diameter (in)]])-1,FALSE),VLOOKUP(BR71,Reinforcements[],COLUMN(Reinforcements[[#Headers],[B (in)]])-1,FALSE))</f>
        <v>#N/A</v>
      </c>
      <c r="BU71" s="248" t="e">
        <f>IF(BS71="solid round",VLOOKUP(BR71,Reinforcements[],COLUMN(Reinforcements[[#Headers],[Diameter (in)]])-1,FALSE),VLOOKUP(BR71,Reinforcements[],COLUMN(Reinforcements[[#Headers],[H (in)]])-1,FALSE))</f>
        <v>#N/A</v>
      </c>
      <c r="BV71" s="278" t="e">
        <f>IFERROR((IF(VLOOKUP(BQ71,Input!$B$21:$AL$50,19+C71,FALSE)="c",$D$20/COS(RADIANS(180/$D$8)),$D$20)+BU71/2)*SIN(RADIANS(D71))-IF(ISNUMBER(VLOOKUP(BQ71,Input!$B$21:$AL$50,19+C71,FALSE)),VLOOKUP(BQ71,Input!$B$21:$AL$50,19+C71,FALSE)*COS(RADIANS(D71)),0)-$D$35,"")*0+N71*1</f>
        <v>#VALUE!</v>
      </c>
      <c r="BW71" s="248" t="e">
        <f>VLOOKUP(BR71,Reinforcements[],COLUMN(Reinforcements[[#Headers],[Effective B (in)]])-1,FALSE)</f>
        <v>#N/A</v>
      </c>
      <c r="BX71" s="248" t="e">
        <f>VLOOKUP(BR71,Reinforcements[],COLUMN(Reinforcements[[#Headers],[Effective H (in)]])-1,FALSE)</f>
        <v>#N/A</v>
      </c>
      <c r="BY71" s="248" t="e">
        <f>VLOOKUP(BR71,Reinforcements[],COLUMN(Reinforcements[[#Headers],[Gross Area (in2)]])-1,FALSE)</f>
        <v>#N/A</v>
      </c>
      <c r="BZ71" s="255" t="s">
        <v>697</v>
      </c>
      <c r="CA71" s="248" t="e">
        <f>VLOOKUP(BR71,Reinforcements[],COLUMN(Reinforcements[[#Headers],[Pole Face to Centroid (in)]])-1,FALSE)</f>
        <v>#N/A</v>
      </c>
      <c r="CB71" s="248" t="e">
        <f>VLOOKUP(BR71,Reinforcements[],COLUMN(Reinforcements[[#Headers],[Equivalent Rectangle Ix (in4)]])-1,FALSE)</f>
        <v>#N/A</v>
      </c>
      <c r="CC71" s="248" t="e">
        <f>VLOOKUP(BR71,Reinforcements[],COLUMN(Reinforcements[[#Headers],[Equivalent Rectangle Iy (in4)]])-1,FALSE)</f>
        <v>#N/A</v>
      </c>
      <c r="CD71" s="248" t="e">
        <f>VLOOKUP(BR71,Reinforcements[],COLUMN(Reinforcements[[#Headers],[Lu (in)]])-1,FALSE)</f>
        <v>#N/A</v>
      </c>
      <c r="CE71" s="255" t="s">
        <v>697</v>
      </c>
      <c r="CF71" s="255" t="s">
        <v>697</v>
      </c>
      <c r="CG71" s="248" t="e">
        <f>VLOOKUP(VLOOKUP(BR71,Reinforcements[],COLUMN(Reinforcements[[#Headers],[Material]])-1,FALSE),Materials[],2,FALSE)</f>
        <v>#N/A</v>
      </c>
      <c r="CH71" s="248" t="e">
        <f>VLOOKUP(VLOOKUP(BR71,Reinforcements[],COLUMN(Reinforcements[[#Headers],[Material]])-1,FALSE),Materials[],3,FALSE)</f>
        <v>#N/A</v>
      </c>
      <c r="CI71" s="255" t="e">
        <f>VLOOKUP(BR71,Reinforcements[],COLUMN(Reinforcements[[#Headers],[Tension Only?]])-1,FALSE)</f>
        <v>#N/A</v>
      </c>
      <c r="CJ71" s="17" t="str">
        <f>IF(BQ71="","",AND(INDEX(Results!$G$5:$G$104,MATCH(VLOOKUP($BQ71,Input!$B$21:$J$50,2,FALSE)-0.001,Results!$G$5:$G$104,-1))=$D$4))</f>
        <v/>
      </c>
      <c r="CK71" s="17" t="str">
        <f>IF(BQ71="","",AND(INDEX('Macro References'!$BB$2:$BB$101,MATCH(VLOOKUP($BQ71,Input!$B$21:$J$50,6,FALSE)-0.001,'Macro References'!$BB$2:$BB$101,1))=$D$4))</f>
        <v/>
      </c>
      <c r="CL71" s="17" t="e">
        <f>IF(CJ71,VLOOKUP(BR71,Reinforcements[],COLUMN(Reinforcements[[#Headers],[Bottom End Connection Type]])-1,FALSE),IF(CK71,VLOOKUP(BR71,Reinforcements[],COLUMN(Reinforcements[[#Headers],[Top End Connection Type]])-1,FALSE),""))</f>
        <v>#VALUE!</v>
      </c>
      <c r="CM71" s="17" t="e">
        <f>IF(ISBLANK(VLOOKUP(BR71,Reinforcements[],COLUMN(Reinforcements[[#Headers],[Bottom Transverse Weld Length]])-1,FALSE)),"",(VLOOKUP(BR71,Reinforcements[],COLUMN(Reinforcements[[#Headers],[Bottom Transverse Weld Length]])-1,FALSE)))</f>
        <v>#N/A</v>
      </c>
      <c r="CN71" s="17" t="e">
        <f>IF(ISBLANK(VLOOKUP(BR71,Reinforcements[],COLUMN(Reinforcements[[#Headers],[Bottom Transverse (Horizontal) Weld]])-1,FALSE)),"",(VLOOKUP(BR71,Reinforcements[],COLUMN(Reinforcements[[#Headers],[Bottom Transverse (Horizontal) Weld]])-1,FALSE)))</f>
        <v>#N/A</v>
      </c>
      <c r="CO71" s="17" t="e">
        <f>IF(ISBLANK(VLOOKUP(BR71,Reinforcements[],COLUMN(Reinforcements[[#Headers],[Bottom Longitudinal Weld Length]])-1,FALSE)),"",(VLOOKUP(BR71,Reinforcements[],COLUMN(Reinforcements[[#Headers],[Bottom Longitudinal Weld Length]])-1,FALSE)))</f>
        <v>#N/A</v>
      </c>
      <c r="CP71" s="17" t="str">
        <f>IFERROR(VLOOKUP(BR71,Reinforcements[],COLUMN(Reinforcements[[#Headers],[Bottom Connected to Flange/Base Plate?]])-1,FALSE),"")</f>
        <v/>
      </c>
      <c r="CQ71" s="248" t="e">
        <f>IF(Rev="F",VLOOKUP(BR71,Reinforcements[],COLUMN(Reinforcements[[#Headers],[Rev. F Bottom Transverse Weld Strength]])-1,FALSE),VLOOKUP(BR71,Reinforcements[],COLUMN(Reinforcements[[#Headers],[Rev. G Bottom Transverse Weld Strength]])-1,FALSE))</f>
        <v>#N/A</v>
      </c>
      <c r="CR71" s="248"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248" t="str">
        <f>IF(CP71&lt;&gt;"Yes","",(VLOOKUP(BR71,Reinforcements[],COLUMN(Reinforcements[[#Headers],[Bottom Transverse Weld Groove Depth (in)]])-1,FALSE)+VLOOKUP(BR71,Reinforcements[],COLUMN(Reinforcements[[#Headers],[Bottom Transverse Weld Fillet Size (in)]])-1,FALSE))*CM71*IF(Rev="F",0.6,φ_t_y)*$D$14)</f>
        <v/>
      </c>
      <c r="CT71" s="248" t="e">
        <f>IF(CP71="Yes","",VLOOKUP(BR71,Reinforcements[],COLUMN(Reinforcements[[#Headers],[Bottom Transverse Weld Fillet Size (in)]])-1,FALSE)*CM71*MIN(IF(Rev="F",0.4,φ_shear_yield*0.6)*$D$6,IF(Rev="F",0.3,φ_shear_rupture*0.6)*$D$7))</f>
        <v>#N/A</v>
      </c>
      <c r="CU71" s="248" t="e">
        <f>IF(Rev="F",VLOOKUP(BR71,Reinforcements[],COLUMN(Reinforcements[[#Headers],[Rev. F Bottom Longitudinal Weld Strength]])-1,FALSE),VLOOKUP(BR71,Reinforcements[],COLUMN(Reinforcements[[#Headers],[Rev. G Bottom Longitudinal Weld Strength]])-1,FALSE))</f>
        <v>#N/A</v>
      </c>
      <c r="CV71" s="248" t="e">
        <f>2*VLOOKUP(BR71,Reinforcements[],COLUMN(Reinforcements[[#Headers],[Bottom Longitudinal Weld Fillet Size (in)]])-1,FALSE)*CO71*MIN(IF(Rev="F",0.4,φ_shear_yield*0.6)*CG71,IF(Rev="F",0.3,φ_shear_rupture*0.6)*CH71)</f>
        <v>#N/A</v>
      </c>
      <c r="CW71" s="248" t="e">
        <f>2*VLOOKUP(BR71,Reinforcements[],COLUMN(Reinforcements[[#Headers],[Bottom Longitudinal Weld Fillet Size (in)]])-1,FALSE)*CO71*MIN(IF(Rev="F",0.4,φ_shear_yield*0.6)*$D$6,IF(Rev="F",0.3,φ_shear_rupture*0.6)*$D$7)</f>
        <v>#N/A</v>
      </c>
      <c r="CX71" s="248" t="e">
        <f>IF(ISBLANK(VLOOKUP(BR71,Reinforcements[],COLUMN(Reinforcements[[#Headers],[Top Transverse Weld Length]])-1,FALSE)),"",(VLOOKUP(BR71,Reinforcements[],COLUMN(Reinforcements[[#Headers],[Top Transverse Weld Length]])-1,FALSE)))</f>
        <v>#N/A</v>
      </c>
      <c r="CY71" s="248" t="e">
        <f>IF(ISBLANK(VLOOKUP(BR71,Reinforcements[],COLUMN(Reinforcements[[#Headers],[Top Transverse (Horizontal) Weld]])-1,FALSE)),"",(VLOOKUP(BR71,Reinforcements[],COLUMN(Reinforcements[[#Headers],[Top Transverse (Horizontal) Weld]])-1,FALSE)))</f>
        <v>#N/A</v>
      </c>
      <c r="CZ71" s="248" t="e">
        <f>IF(ISBLANK(VLOOKUP(BR71,Reinforcements[],COLUMN(Reinforcements[[#Headers],[Top Longitudinal Weld Length]])-1,FALSE)),"",(VLOOKUP(BR71,Reinforcements[],COLUMN(Reinforcements[[#Headers],[Top Longitudinal Weld Length]])-1,FALSE)))</f>
        <v>#N/A</v>
      </c>
      <c r="DA71" s="248" t="str">
        <f>IFERROR(VLOOKUP(BR71,Reinforcements[],COLUMN(Reinforcements[[#Headers],[Top Connected to Flange/Base Plate?]])-1,FALSE),"")</f>
        <v/>
      </c>
      <c r="DB71" s="248" t="e">
        <f>IF(Rev="F",VLOOKUP(BR71,Reinforcements[],COLUMN(Reinforcements[[#Headers],[Rev. F Top Transverse Weld Strength]])-1,FALSE),VLOOKUP(BR71,Reinforcements[],COLUMN(Reinforcements[[#Headers],[Rev. G Top Transverse Weld Strength]])-1,FALSE))</f>
        <v>#N/A</v>
      </c>
      <c r="DC71" s="248"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248" t="str">
        <f>IF(DA71&lt;&gt;"Yes","",(VLOOKUP(BR71,Reinforcements[],COLUMN(Reinforcements[[#Headers],[Top Transverse Weld Groove Depth (in)]])-1,FALSE)+VLOOKUP(BR71,Reinforcements[],COLUMN(Reinforcements[[#Headers],[Top Transverse Weld Fillet Size (in)]])-1,FALSE))*CX71*IF(Rev="F",0.6,φ_t_y)*$D$14)</f>
        <v/>
      </c>
      <c r="DE71" s="248" t="e">
        <f>IF(DA71="Yes","",VLOOKUP(BR71,Reinforcements[],COLUMN(Reinforcements[[#Headers],[Top Transverse Weld Fillet Size (in)]])-1,FALSE)*CX71*MIN(IF(Rev="F",0.4,φ_shear_yield*0.6)*$D$6,IF(Rev="F",0.3,φ_shear_rupture*0.6)*$D$7))</f>
        <v>#N/A</v>
      </c>
      <c r="DF71" s="248" t="e">
        <f>IF(Rev="F",VLOOKUP(BR71,Reinforcements[],COLUMN(Reinforcements[[#Headers],[Rev. F Top Longitudinal Weld Strength]])-1,FALSE),VLOOKUP(BR71,Reinforcements[],COLUMN(Reinforcements[[#Headers],[Rev. G Top Longitudinal Weld Strength]])-1,FALSE))</f>
        <v>#N/A</v>
      </c>
      <c r="DG71" s="248" t="e">
        <f>2*VLOOKUP(BR71,Reinforcements[],COLUMN(Reinforcements[[#Headers],[Top Longitudinal Weld Fillet Size (in)]])-1,FALSE)*CZ71*MIN(IF(Rev="F",0.4,φ_shear_yield*0.6)*CG71,IF(Rev="F",0.3,φ_shear_rupture*0.6)*CH71)</f>
        <v>#N/A</v>
      </c>
      <c r="DH71" s="248" t="e">
        <f>2*VLOOKUP(BR71,Reinforcements[],COLUMN(Reinforcements[[#Headers],[Top Longitudinal Weld Fillet Size (in)]])-1,FALSE)*CZ71*MIN(IF(Rev="F",0.4,φ_shear_yield*0.6)*$D$6,IF(Rev="F",0.3,φ_shear_rupture*0.6)*$D$7)</f>
        <v>#N/A</v>
      </c>
      <c r="DI71" s="49" t="e">
        <f>IF(BS71="channel",VLOOKUP(Calculations!BR71,Reinforcements[],COLUMN(Reinforcements[[#Headers],['[Channel']Web Thickness (in)]])-1,FALSE),"")</f>
        <v>#N/A</v>
      </c>
      <c r="DJ71" s="49" t="b">
        <f t="shared" si="84"/>
        <v>0</v>
      </c>
      <c r="DK71" s="49" t="e">
        <f>IF(BS71="channel",Calculations!BU71-DI71,"")</f>
        <v>#N/A</v>
      </c>
      <c r="DL71" s="49" t="e">
        <f>IF(BS71="channel",(Calculations!BY71-Calculations!BT71*DI71)/(2*DK71))</f>
        <v>#N/A</v>
      </c>
      <c r="DM71" s="49" t="e">
        <f>IF(BS71="channel",(Calculations!BT71*(DI71^2)/2+2*DK71*DL71*(DI71+DK71/2))/Calculations!BY71,"")</f>
        <v>#N/A</v>
      </c>
    </row>
    <row r="72" spans="2:117" ht="15" x14ac:dyDescent="0.25">
      <c r="B72" s="49" t="str">
        <f t="shared" si="70"/>
        <v/>
      </c>
      <c r="C72" s="201">
        <v>13</v>
      </c>
      <c r="D72" s="255" t="str">
        <f>IF(BQ72="","",IF($D$8=0,IF(OR(VLOOKUP(BQ72,Input!$B$21:$AL$50,19+C72,FALSE)+$D$5=0,VLOOKUP(BQ72,Input!$B$21:$AL$50,19+C72,FALSE)+$D$5=180),VLOOKUP(BQ72,Input!$B$21:$AL$50,19+C72,FALSE)+$D$5+0.0001,VLOOKUP(BQ72,Input!$B$21:$AL$50,19+C72,FALSE)+$D$5),IF(VLOOKUP(BQ72,Input!$B$21:$AL$50,19+C72,FALSE)="c",VLOOKUP($C72,$C$40:$E$57,2,FALSE)+180/$D$8,VLOOKUP($C72,$C$40:$E$57,2,FALSE))))</f>
        <v/>
      </c>
      <c r="E72" s="17" t="str">
        <f t="shared" si="39"/>
        <v/>
      </c>
      <c r="F72" s="258" t="str">
        <f>IF(BR72="","",VLOOKUP(BR72,Reinforcements[],COLUMN(Reinforcements[[#Headers],[Gross Area (in2)]])-1,FALSE))</f>
        <v/>
      </c>
      <c r="G72" s="256" t="e">
        <f>(IF(VLOOKUP(BQ72,Input!$B$21:$AL$50,19+C72,FALSE)="c",$D$20/COS(RADIANS(180/$D$8)),$D$20)+CA72)*SIN(RADIANS(D72))-IF(AND(ISNUMBER(VLOOKUP(BQ72,Input!$B$21:$AL$50,19+C72,FALSE)),$D$8&lt;&gt;0),VLOOKUP(BQ72,Input!$B$21:$AL$50,19+C72,FALSE)*COS(RADIANS(D72)),0)</f>
        <v>#N/A</v>
      </c>
      <c r="H72" s="251" t="str">
        <f t="shared" si="71"/>
        <v/>
      </c>
      <c r="I72" s="251" t="e">
        <f t="shared" si="40"/>
        <v>#N/A</v>
      </c>
      <c r="J72" s="251" t="e">
        <f t="shared" si="41"/>
        <v>#N/A</v>
      </c>
      <c r="K72" s="251" t="e">
        <f t="shared" si="42"/>
        <v>#N/A</v>
      </c>
      <c r="L72" s="251" t="e">
        <f t="shared" si="72"/>
        <v>#N/A</v>
      </c>
      <c r="M72" s="252" t="str">
        <f t="shared" si="73"/>
        <v/>
      </c>
      <c r="N72" s="250" t="str">
        <f>IFERROR((IF(VLOOKUP(BQ72,Input!$B$21:$AL$50,19+C72,FALSE)="c",$D$20/COS(RADIANS(180/$D$8)),$D$20)+CA72)*SIN(RADIANS(D72))-IF(AND(ISNUMBER(VLOOKUP(BQ72,Input!$B$21:$AL$50,19+C72,FALSE)),$D$8&lt;&gt;0),VLOOKUP(BQ72,Input!$B$21:$AL$50,19+C72,FALSE)*COS(RADIANS(D72)),0)-$D$35,"")</f>
        <v/>
      </c>
      <c r="O72" s="253" t="str">
        <f t="shared" si="43"/>
        <v/>
      </c>
      <c r="P72" s="253" t="str">
        <f t="shared" si="44"/>
        <v/>
      </c>
      <c r="Q72" s="253" t="str">
        <f t="shared" si="45"/>
        <v/>
      </c>
      <c r="R72" s="254" t="str">
        <f t="shared" si="46"/>
        <v/>
      </c>
      <c r="S72" s="251" t="str">
        <f t="shared" si="74"/>
        <v/>
      </c>
      <c r="T72" s="251" t="str">
        <f t="shared" si="75"/>
        <v/>
      </c>
      <c r="U72" s="251" t="str">
        <f t="shared" si="76"/>
        <v/>
      </c>
      <c r="V72" s="252" t="str">
        <f t="shared" si="77"/>
        <v/>
      </c>
      <c r="W72" s="323"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324"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324"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324" t="str">
        <f>IFERROR(IF('Macro References'!$A$9,IF(AND(CJ72,CL72="Welded"),MIN(CQ72:CT72),IF(AND(CK72,CL72="Welded"),MIN(DB72:DE72),"")),""),"")</f>
        <v/>
      </c>
      <c r="AA72" s="255" t="str">
        <f>IFERROR(IF('Macro References'!$A$9,IF(AND(CJ72,CL72="Welded"),MIN(CU72:CW72),IF(AND(CK72,CL72="Welded"),MIN(DF72:DH72),"")),""),"")</f>
        <v/>
      </c>
      <c r="AB72" s="255" t="str">
        <f>IFERROR(IF('Macro References'!$A$9,IF(AND(CJ72,CL72="Welded",CN72="Fillet",CU72&gt;0),TRUE,IF(AND(CK72,CL72="Welded",CY72="Fillet",DF72&gt;0),TRUE,"")),""),"")</f>
        <v/>
      </c>
      <c r="AC72" s="255"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255"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32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248"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32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274" t="str">
        <f t="shared" si="47"/>
        <v/>
      </c>
      <c r="AI72" s="255" t="str">
        <f t="shared" si="48"/>
        <v/>
      </c>
      <c r="AJ72" s="255" t="str">
        <f t="shared" si="49"/>
        <v/>
      </c>
      <c r="AK72" s="255" t="str">
        <f t="shared" si="85"/>
        <v/>
      </c>
      <c r="AL72" s="248" t="str">
        <f t="shared" si="78"/>
        <v/>
      </c>
      <c r="AM72" s="255" t="str">
        <f>""</f>
        <v/>
      </c>
      <c r="AN72" s="255" t="str">
        <f t="shared" si="50"/>
        <v/>
      </c>
      <c r="AO72" s="248" t="str">
        <f t="shared" si="51"/>
        <v/>
      </c>
      <c r="AP72" s="275" t="str">
        <f t="shared" si="52"/>
        <v/>
      </c>
      <c r="AQ72" s="276" t="str">
        <f t="shared" si="53"/>
        <v/>
      </c>
      <c r="AR72" s="255" t="str">
        <f>IF(BR72="","",VLOOKUP(VLOOKUP(BR72,Reinforcements[],COLUMN(Reinforcements[[#Headers],[Material]])-1,FALSE),Materials[],2,FALSE)/$D$28)</f>
        <v/>
      </c>
      <c r="AS72" s="248" t="str">
        <f t="shared" si="54"/>
        <v/>
      </c>
      <c r="AT72" s="327" t="str">
        <f t="shared" si="55"/>
        <v/>
      </c>
      <c r="AU72" s="277">
        <f t="shared" si="56"/>
        <v>0</v>
      </c>
      <c r="AV72" s="278">
        <f t="shared" si="57"/>
        <v>0</v>
      </c>
      <c r="AW72" s="278" t="e">
        <f t="shared" si="58"/>
        <v>#N/A</v>
      </c>
      <c r="AX72" s="278" t="e">
        <f t="shared" si="59"/>
        <v>#N/A</v>
      </c>
      <c r="AY72" s="278" t="str">
        <f t="shared" si="60"/>
        <v/>
      </c>
      <c r="AZ72" s="278" t="e">
        <f t="shared" si="61"/>
        <v>#VALUE!</v>
      </c>
      <c r="BA72" s="295" t="str">
        <f t="shared" si="62"/>
        <v/>
      </c>
      <c r="BB72" s="297" t="str">
        <f t="shared" si="79"/>
        <v/>
      </c>
      <c r="BC72" s="298" t="str">
        <f t="shared" si="63"/>
        <v/>
      </c>
      <c r="BD72" s="298" t="str">
        <f t="shared" si="64"/>
        <v/>
      </c>
      <c r="BE72" s="295" t="str">
        <f t="shared" si="80"/>
        <v/>
      </c>
      <c r="BF72" s="299" t="e">
        <f t="shared" si="81"/>
        <v>#DIV/0!</v>
      </c>
      <c r="BG72" s="300" t="str">
        <f t="shared" si="65"/>
        <v/>
      </c>
      <c r="BH72" s="300" t="str">
        <f t="shared" si="66"/>
        <v/>
      </c>
      <c r="BI72" s="295" t="e">
        <f t="shared" si="82"/>
        <v>#DIV/0!</v>
      </c>
      <c r="BJ72" s="299" t="str">
        <f t="shared" si="83"/>
        <v/>
      </c>
      <c r="BK72" s="278" t="e">
        <f t="shared" si="67"/>
        <v>#DIV/0!</v>
      </c>
      <c r="BL72" s="49" t="str">
        <f t="shared" si="68"/>
        <v/>
      </c>
      <c r="BP72" s="25" t="e">
        <f t="shared" si="69"/>
        <v>#DIV/0!</v>
      </c>
      <c r="BQ72" s="223" t="str">
        <f>IFERROR(VALUE(LEFT(VLOOKUP(Calculations!$D$4,Results!$G$5:$CM$105,67+$C72,FALSE),FIND(";",VLOOKUP(Calculations!$D$4,Results!$G$5:$CM$105,67+$C72,FALSE))-1)),"")</f>
        <v/>
      </c>
      <c r="BR72" s="303" t="str">
        <f>IF(BQ72="","",VLOOKUP(BQ72,Input!$B$21:$Q$50,13,FALSE))</f>
        <v/>
      </c>
      <c r="BS72" s="248" t="e">
        <f>VLOOKUP(BR72,Reinforcements[],COLUMN(Reinforcements[[#Headers],[Type]])-1,FALSE)</f>
        <v>#N/A</v>
      </c>
      <c r="BT72" s="248" t="e">
        <f>IF(BS72="solid round",VLOOKUP(BR72,Reinforcements[],COLUMN(Reinforcements[[#Headers],[Diameter (in)]])-1,FALSE),VLOOKUP(BR72,Reinforcements[],COLUMN(Reinforcements[[#Headers],[B (in)]])-1,FALSE))</f>
        <v>#N/A</v>
      </c>
      <c r="BU72" s="248" t="e">
        <f>IF(BS72="solid round",VLOOKUP(BR72,Reinforcements[],COLUMN(Reinforcements[[#Headers],[Diameter (in)]])-1,FALSE),VLOOKUP(BR72,Reinforcements[],COLUMN(Reinforcements[[#Headers],[H (in)]])-1,FALSE))</f>
        <v>#N/A</v>
      </c>
      <c r="BV72" s="278" t="e">
        <f>IFERROR((IF(VLOOKUP(BQ72,Input!$B$21:$AL$50,19+C72,FALSE)="c",$D$20/COS(RADIANS(180/$D$8)),$D$20)+BU72/2)*SIN(RADIANS(D72))-IF(ISNUMBER(VLOOKUP(BQ72,Input!$B$21:$AL$50,19+C72,FALSE)),VLOOKUP(BQ72,Input!$B$21:$AL$50,19+C72,FALSE)*COS(RADIANS(D72)),0)-$D$35,"")*0+N72*1</f>
        <v>#VALUE!</v>
      </c>
      <c r="BW72" s="248" t="e">
        <f>VLOOKUP(BR72,Reinforcements[],COLUMN(Reinforcements[[#Headers],[Effective B (in)]])-1,FALSE)</f>
        <v>#N/A</v>
      </c>
      <c r="BX72" s="248" t="e">
        <f>VLOOKUP(BR72,Reinforcements[],COLUMN(Reinforcements[[#Headers],[Effective H (in)]])-1,FALSE)</f>
        <v>#N/A</v>
      </c>
      <c r="BY72" s="248" t="e">
        <f>VLOOKUP(BR72,Reinforcements[],COLUMN(Reinforcements[[#Headers],[Gross Area (in2)]])-1,FALSE)</f>
        <v>#N/A</v>
      </c>
      <c r="BZ72" s="255" t="s">
        <v>697</v>
      </c>
      <c r="CA72" s="248" t="e">
        <f>VLOOKUP(BR72,Reinforcements[],COLUMN(Reinforcements[[#Headers],[Pole Face to Centroid (in)]])-1,FALSE)</f>
        <v>#N/A</v>
      </c>
      <c r="CB72" s="248" t="e">
        <f>VLOOKUP(BR72,Reinforcements[],COLUMN(Reinforcements[[#Headers],[Equivalent Rectangle Ix (in4)]])-1,FALSE)</f>
        <v>#N/A</v>
      </c>
      <c r="CC72" s="248" t="e">
        <f>VLOOKUP(BR72,Reinforcements[],COLUMN(Reinforcements[[#Headers],[Equivalent Rectangle Iy (in4)]])-1,FALSE)</f>
        <v>#N/A</v>
      </c>
      <c r="CD72" s="248" t="e">
        <f>VLOOKUP(BR72,Reinforcements[],COLUMN(Reinforcements[[#Headers],[Lu (in)]])-1,FALSE)</f>
        <v>#N/A</v>
      </c>
      <c r="CE72" s="255" t="s">
        <v>697</v>
      </c>
      <c r="CF72" s="255" t="s">
        <v>697</v>
      </c>
      <c r="CG72" s="248" t="e">
        <f>VLOOKUP(VLOOKUP(BR72,Reinforcements[],COLUMN(Reinforcements[[#Headers],[Material]])-1,FALSE),Materials[],2,FALSE)</f>
        <v>#N/A</v>
      </c>
      <c r="CH72" s="248" t="e">
        <f>VLOOKUP(VLOOKUP(BR72,Reinforcements[],COLUMN(Reinforcements[[#Headers],[Material]])-1,FALSE),Materials[],3,FALSE)</f>
        <v>#N/A</v>
      </c>
      <c r="CI72" s="255" t="e">
        <f>VLOOKUP(BR72,Reinforcements[],COLUMN(Reinforcements[[#Headers],[Tension Only?]])-1,FALSE)</f>
        <v>#N/A</v>
      </c>
      <c r="CJ72" s="17" t="str">
        <f>IF(BQ72="","",AND(INDEX(Results!$G$5:$G$104,MATCH(VLOOKUP($BQ72,Input!$B$21:$J$50,2,FALSE)-0.001,Results!$G$5:$G$104,-1))=$D$4))</f>
        <v/>
      </c>
      <c r="CK72" s="17" t="str">
        <f>IF(BQ72="","",AND(INDEX('Macro References'!$BB$2:$BB$101,MATCH(VLOOKUP($BQ72,Input!$B$21:$J$50,6,FALSE)-0.001,'Macro References'!$BB$2:$BB$101,1))=$D$4))</f>
        <v/>
      </c>
      <c r="CL72" s="17" t="e">
        <f>IF(CJ72,VLOOKUP(BR72,Reinforcements[],COLUMN(Reinforcements[[#Headers],[Bottom End Connection Type]])-1,FALSE),IF(CK72,VLOOKUP(BR72,Reinforcements[],COLUMN(Reinforcements[[#Headers],[Top End Connection Type]])-1,FALSE),""))</f>
        <v>#VALUE!</v>
      </c>
      <c r="CM72" s="17" t="e">
        <f>IF(ISBLANK(VLOOKUP(BR72,Reinforcements[],COLUMN(Reinforcements[[#Headers],[Bottom Transverse Weld Length]])-1,FALSE)),"",(VLOOKUP(BR72,Reinforcements[],COLUMN(Reinforcements[[#Headers],[Bottom Transverse Weld Length]])-1,FALSE)))</f>
        <v>#N/A</v>
      </c>
      <c r="CN72" s="17" t="e">
        <f>IF(ISBLANK(VLOOKUP(BR72,Reinforcements[],COLUMN(Reinforcements[[#Headers],[Bottom Transverse (Horizontal) Weld]])-1,FALSE)),"",(VLOOKUP(BR72,Reinforcements[],COLUMN(Reinforcements[[#Headers],[Bottom Transverse (Horizontal) Weld]])-1,FALSE)))</f>
        <v>#N/A</v>
      </c>
      <c r="CO72" s="17" t="e">
        <f>IF(ISBLANK(VLOOKUP(BR72,Reinforcements[],COLUMN(Reinforcements[[#Headers],[Bottom Longitudinal Weld Length]])-1,FALSE)),"",(VLOOKUP(BR72,Reinforcements[],COLUMN(Reinforcements[[#Headers],[Bottom Longitudinal Weld Length]])-1,FALSE)))</f>
        <v>#N/A</v>
      </c>
      <c r="CP72" s="17" t="str">
        <f>IFERROR(VLOOKUP(BR72,Reinforcements[],COLUMN(Reinforcements[[#Headers],[Bottom Connected to Flange/Base Plate?]])-1,FALSE),"")</f>
        <v/>
      </c>
      <c r="CQ72" s="248" t="e">
        <f>IF(Rev="F",VLOOKUP(BR72,Reinforcements[],COLUMN(Reinforcements[[#Headers],[Rev. F Bottom Transverse Weld Strength]])-1,FALSE),VLOOKUP(BR72,Reinforcements[],COLUMN(Reinforcements[[#Headers],[Rev. G Bottom Transverse Weld Strength]])-1,FALSE))</f>
        <v>#N/A</v>
      </c>
      <c r="CR72" s="248"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248" t="str">
        <f>IF(CP72&lt;&gt;"Yes","",(VLOOKUP(BR72,Reinforcements[],COLUMN(Reinforcements[[#Headers],[Bottom Transverse Weld Groove Depth (in)]])-1,FALSE)+VLOOKUP(BR72,Reinforcements[],COLUMN(Reinforcements[[#Headers],[Bottom Transverse Weld Fillet Size (in)]])-1,FALSE))*CM72*IF(Rev="F",0.6,φ_t_y)*$D$14)</f>
        <v/>
      </c>
      <c r="CT72" s="248" t="e">
        <f>IF(CP72="Yes","",VLOOKUP(BR72,Reinforcements[],COLUMN(Reinforcements[[#Headers],[Bottom Transverse Weld Fillet Size (in)]])-1,FALSE)*CM72*MIN(IF(Rev="F",0.4,φ_shear_yield*0.6)*$D$6,IF(Rev="F",0.3,φ_shear_rupture*0.6)*$D$7))</f>
        <v>#N/A</v>
      </c>
      <c r="CU72" s="248" t="e">
        <f>IF(Rev="F",VLOOKUP(BR72,Reinforcements[],COLUMN(Reinforcements[[#Headers],[Rev. F Bottom Longitudinal Weld Strength]])-1,FALSE),VLOOKUP(BR72,Reinforcements[],COLUMN(Reinforcements[[#Headers],[Rev. G Bottom Longitudinal Weld Strength]])-1,FALSE))</f>
        <v>#N/A</v>
      </c>
      <c r="CV72" s="248" t="e">
        <f>2*VLOOKUP(BR72,Reinforcements[],COLUMN(Reinforcements[[#Headers],[Bottom Longitudinal Weld Fillet Size (in)]])-1,FALSE)*CO72*MIN(IF(Rev="F",0.4,φ_shear_yield*0.6)*CG72,IF(Rev="F",0.3,φ_shear_rupture*0.6)*CH72)</f>
        <v>#N/A</v>
      </c>
      <c r="CW72" s="248" t="e">
        <f>2*VLOOKUP(BR72,Reinforcements[],COLUMN(Reinforcements[[#Headers],[Bottom Longitudinal Weld Fillet Size (in)]])-1,FALSE)*CO72*MIN(IF(Rev="F",0.4,φ_shear_yield*0.6)*$D$6,IF(Rev="F",0.3,φ_shear_rupture*0.6)*$D$7)</f>
        <v>#N/A</v>
      </c>
      <c r="CX72" s="248" t="e">
        <f>IF(ISBLANK(VLOOKUP(BR72,Reinforcements[],COLUMN(Reinforcements[[#Headers],[Top Transverse Weld Length]])-1,FALSE)),"",(VLOOKUP(BR72,Reinforcements[],COLUMN(Reinforcements[[#Headers],[Top Transverse Weld Length]])-1,FALSE)))</f>
        <v>#N/A</v>
      </c>
      <c r="CY72" s="248" t="e">
        <f>IF(ISBLANK(VLOOKUP(BR72,Reinforcements[],COLUMN(Reinforcements[[#Headers],[Top Transverse (Horizontal) Weld]])-1,FALSE)),"",(VLOOKUP(BR72,Reinforcements[],COLUMN(Reinforcements[[#Headers],[Top Transverse (Horizontal) Weld]])-1,FALSE)))</f>
        <v>#N/A</v>
      </c>
      <c r="CZ72" s="248" t="e">
        <f>IF(ISBLANK(VLOOKUP(BR72,Reinforcements[],COLUMN(Reinforcements[[#Headers],[Top Longitudinal Weld Length]])-1,FALSE)),"",(VLOOKUP(BR72,Reinforcements[],COLUMN(Reinforcements[[#Headers],[Top Longitudinal Weld Length]])-1,FALSE)))</f>
        <v>#N/A</v>
      </c>
      <c r="DA72" s="248" t="str">
        <f>IFERROR(VLOOKUP(BR72,Reinforcements[],COLUMN(Reinforcements[[#Headers],[Top Connected to Flange/Base Plate?]])-1,FALSE),"")</f>
        <v/>
      </c>
      <c r="DB72" s="248" t="e">
        <f>IF(Rev="F",VLOOKUP(BR72,Reinforcements[],COLUMN(Reinforcements[[#Headers],[Rev. F Top Transverse Weld Strength]])-1,FALSE),VLOOKUP(BR72,Reinforcements[],COLUMN(Reinforcements[[#Headers],[Rev. G Top Transverse Weld Strength]])-1,FALSE))</f>
        <v>#N/A</v>
      </c>
      <c r="DC72" s="248"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248" t="str">
        <f>IF(DA72&lt;&gt;"Yes","",(VLOOKUP(BR72,Reinforcements[],COLUMN(Reinforcements[[#Headers],[Top Transverse Weld Groove Depth (in)]])-1,FALSE)+VLOOKUP(BR72,Reinforcements[],COLUMN(Reinforcements[[#Headers],[Top Transverse Weld Fillet Size (in)]])-1,FALSE))*CX72*IF(Rev="F",0.6,φ_t_y)*$D$14)</f>
        <v/>
      </c>
      <c r="DE72" s="248" t="e">
        <f>IF(DA72="Yes","",VLOOKUP(BR72,Reinforcements[],COLUMN(Reinforcements[[#Headers],[Top Transverse Weld Fillet Size (in)]])-1,FALSE)*CX72*MIN(IF(Rev="F",0.4,φ_shear_yield*0.6)*$D$6,IF(Rev="F",0.3,φ_shear_rupture*0.6)*$D$7))</f>
        <v>#N/A</v>
      </c>
      <c r="DF72" s="248" t="e">
        <f>IF(Rev="F",VLOOKUP(BR72,Reinforcements[],COLUMN(Reinforcements[[#Headers],[Rev. F Top Longitudinal Weld Strength]])-1,FALSE),VLOOKUP(BR72,Reinforcements[],COLUMN(Reinforcements[[#Headers],[Rev. G Top Longitudinal Weld Strength]])-1,FALSE))</f>
        <v>#N/A</v>
      </c>
      <c r="DG72" s="248" t="e">
        <f>2*VLOOKUP(BR72,Reinforcements[],COLUMN(Reinforcements[[#Headers],[Top Longitudinal Weld Fillet Size (in)]])-1,FALSE)*CZ72*MIN(IF(Rev="F",0.4,φ_shear_yield*0.6)*CG72,IF(Rev="F",0.3,φ_shear_rupture*0.6)*CH72)</f>
        <v>#N/A</v>
      </c>
      <c r="DH72" s="248" t="e">
        <f>2*VLOOKUP(BR72,Reinforcements[],COLUMN(Reinforcements[[#Headers],[Top Longitudinal Weld Fillet Size (in)]])-1,FALSE)*CZ72*MIN(IF(Rev="F",0.4,φ_shear_yield*0.6)*$D$6,IF(Rev="F",0.3,φ_shear_rupture*0.6)*$D$7)</f>
        <v>#N/A</v>
      </c>
      <c r="DI72" s="49" t="e">
        <f>IF(BS72="channel",VLOOKUP(Calculations!BR72,Reinforcements[],COLUMN(Reinforcements[[#Headers],['[Channel']Web Thickness (in)]])-1,FALSE),"")</f>
        <v>#N/A</v>
      </c>
      <c r="DJ72" s="49" t="b">
        <f t="shared" si="84"/>
        <v>0</v>
      </c>
      <c r="DK72" s="49" t="e">
        <f>IF(BS72="channel",Calculations!BU72-DI72,"")</f>
        <v>#N/A</v>
      </c>
      <c r="DL72" s="49" t="e">
        <f>IF(BS72="channel",(Calculations!BY72-Calculations!BT72*DI72)/(2*DK72))</f>
        <v>#N/A</v>
      </c>
      <c r="DM72" s="49" t="e">
        <f>IF(BS72="channel",(Calculations!BT72*(DI72^2)/2+2*DK72*DL72*(DI72+DK72/2))/Calculations!BY72,"")</f>
        <v>#N/A</v>
      </c>
    </row>
    <row r="73" spans="2:117" ht="15" x14ac:dyDescent="0.25">
      <c r="B73" s="49" t="str">
        <f t="shared" si="70"/>
        <v/>
      </c>
      <c r="C73" s="201">
        <v>14</v>
      </c>
      <c r="D73" s="255" t="str">
        <f>IF(BQ73="","",IF($D$8=0,IF(OR(VLOOKUP(BQ73,Input!$B$21:$AL$50,19+C73,FALSE)+$D$5=0,VLOOKUP(BQ73,Input!$B$21:$AL$50,19+C73,FALSE)+$D$5=180),VLOOKUP(BQ73,Input!$B$21:$AL$50,19+C73,FALSE)+$D$5+0.0001,VLOOKUP(BQ73,Input!$B$21:$AL$50,19+C73,FALSE)+$D$5),IF(VLOOKUP(BQ73,Input!$B$21:$AL$50,19+C73,FALSE)="c",VLOOKUP($C73,$C$40:$E$57,2,FALSE)+180/$D$8,VLOOKUP($C73,$C$40:$E$57,2,FALSE))))</f>
        <v/>
      </c>
      <c r="E73" s="17" t="str">
        <f t="shared" si="39"/>
        <v/>
      </c>
      <c r="F73" s="258" t="str">
        <f>IF(BR73="","",VLOOKUP(BR73,Reinforcements[],COLUMN(Reinforcements[[#Headers],[Gross Area (in2)]])-1,FALSE))</f>
        <v/>
      </c>
      <c r="G73" s="256" t="e">
        <f>(IF(VLOOKUP(BQ73,Input!$B$21:$AL$50,19+C73,FALSE)="c",$D$20/COS(RADIANS(180/$D$8)),$D$20)+CA73)*SIN(RADIANS(D73))-IF(AND(ISNUMBER(VLOOKUP(BQ73,Input!$B$21:$AL$50,19+C73,FALSE)),$D$8&lt;&gt;0),VLOOKUP(BQ73,Input!$B$21:$AL$50,19+C73,FALSE)*COS(RADIANS(D73)),0)</f>
        <v>#N/A</v>
      </c>
      <c r="H73" s="251" t="str">
        <f t="shared" si="71"/>
        <v/>
      </c>
      <c r="I73" s="251" t="e">
        <f t="shared" si="40"/>
        <v>#N/A</v>
      </c>
      <c r="J73" s="251" t="e">
        <f t="shared" si="41"/>
        <v>#N/A</v>
      </c>
      <c r="K73" s="251" t="e">
        <f t="shared" si="42"/>
        <v>#N/A</v>
      </c>
      <c r="L73" s="251" t="e">
        <f t="shared" si="72"/>
        <v>#N/A</v>
      </c>
      <c r="M73" s="252" t="str">
        <f t="shared" si="73"/>
        <v/>
      </c>
      <c r="N73" s="250" t="str">
        <f>IFERROR((IF(VLOOKUP(BQ73,Input!$B$21:$AL$50,19+C73,FALSE)="c",$D$20/COS(RADIANS(180/$D$8)),$D$20)+CA73)*SIN(RADIANS(D73))-IF(AND(ISNUMBER(VLOOKUP(BQ73,Input!$B$21:$AL$50,19+C73,FALSE)),$D$8&lt;&gt;0),VLOOKUP(BQ73,Input!$B$21:$AL$50,19+C73,FALSE)*COS(RADIANS(D73)),0)-$D$35,"")</f>
        <v/>
      </c>
      <c r="O73" s="253" t="str">
        <f t="shared" si="43"/>
        <v/>
      </c>
      <c r="P73" s="253" t="str">
        <f t="shared" si="44"/>
        <v/>
      </c>
      <c r="Q73" s="253" t="str">
        <f t="shared" si="45"/>
        <v/>
      </c>
      <c r="R73" s="254" t="str">
        <f t="shared" si="46"/>
        <v/>
      </c>
      <c r="S73" s="251" t="str">
        <f t="shared" si="74"/>
        <v/>
      </c>
      <c r="T73" s="251" t="str">
        <f t="shared" si="75"/>
        <v/>
      </c>
      <c r="U73" s="251" t="str">
        <f t="shared" si="76"/>
        <v/>
      </c>
      <c r="V73" s="252" t="str">
        <f t="shared" si="77"/>
        <v/>
      </c>
      <c r="W73" s="323"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324"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324"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324" t="str">
        <f>IFERROR(IF('Macro References'!$A$9,IF(AND(CJ73,CL73="Welded"),MIN(CQ73:CT73),IF(AND(CK73,CL73="Welded"),MIN(DB73:DE73),"")),""),"")</f>
        <v/>
      </c>
      <c r="AA73" s="255" t="str">
        <f>IFERROR(IF('Macro References'!$A$9,IF(AND(CJ73,CL73="Welded"),MIN(CU73:CW73),IF(AND(CK73,CL73="Welded"),MIN(DF73:DH73),"")),""),"")</f>
        <v/>
      </c>
      <c r="AB73" s="255" t="str">
        <f>IFERROR(IF('Macro References'!$A$9,IF(AND(CJ73,CL73="Welded",CN73="Fillet",CU73&gt;0),TRUE,IF(AND(CK73,CL73="Welded",CY73="Fillet",DF73&gt;0),TRUE,"")),""),"")</f>
        <v/>
      </c>
      <c r="AC73" s="255"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255"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32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248"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32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274" t="str">
        <f t="shared" si="47"/>
        <v/>
      </c>
      <c r="AI73" s="255" t="str">
        <f t="shared" si="48"/>
        <v/>
      </c>
      <c r="AJ73" s="255" t="str">
        <f t="shared" si="49"/>
        <v/>
      </c>
      <c r="AK73" s="255" t="str">
        <f t="shared" si="85"/>
        <v/>
      </c>
      <c r="AL73" s="248" t="str">
        <f t="shared" si="78"/>
        <v/>
      </c>
      <c r="AM73" s="255" t="str">
        <f>""</f>
        <v/>
      </c>
      <c r="AN73" s="255" t="str">
        <f t="shared" si="50"/>
        <v/>
      </c>
      <c r="AO73" s="248" t="str">
        <f t="shared" si="51"/>
        <v/>
      </c>
      <c r="AP73" s="275" t="str">
        <f t="shared" si="52"/>
        <v/>
      </c>
      <c r="AQ73" s="276" t="str">
        <f t="shared" si="53"/>
        <v/>
      </c>
      <c r="AR73" s="255" t="str">
        <f>IF(BR73="","",VLOOKUP(VLOOKUP(BR73,Reinforcements[],COLUMN(Reinforcements[[#Headers],[Material]])-1,FALSE),Materials[],2,FALSE)/$D$28)</f>
        <v/>
      </c>
      <c r="AS73" s="248" t="str">
        <f t="shared" si="54"/>
        <v/>
      </c>
      <c r="AT73" s="327" t="str">
        <f t="shared" si="55"/>
        <v/>
      </c>
      <c r="AU73" s="277">
        <f t="shared" si="56"/>
        <v>0</v>
      </c>
      <c r="AV73" s="278">
        <f t="shared" si="57"/>
        <v>0</v>
      </c>
      <c r="AW73" s="278" t="e">
        <f t="shared" si="58"/>
        <v>#N/A</v>
      </c>
      <c r="AX73" s="278" t="e">
        <f t="shared" si="59"/>
        <v>#N/A</v>
      </c>
      <c r="AY73" s="278" t="str">
        <f t="shared" si="60"/>
        <v/>
      </c>
      <c r="AZ73" s="278" t="e">
        <f t="shared" si="61"/>
        <v>#VALUE!</v>
      </c>
      <c r="BA73" s="295" t="str">
        <f t="shared" si="62"/>
        <v/>
      </c>
      <c r="BB73" s="297" t="str">
        <f t="shared" si="79"/>
        <v/>
      </c>
      <c r="BC73" s="298" t="str">
        <f t="shared" si="63"/>
        <v/>
      </c>
      <c r="BD73" s="298" t="str">
        <f t="shared" si="64"/>
        <v/>
      </c>
      <c r="BE73" s="295" t="str">
        <f t="shared" si="80"/>
        <v/>
      </c>
      <c r="BF73" s="299" t="e">
        <f t="shared" si="81"/>
        <v>#DIV/0!</v>
      </c>
      <c r="BG73" s="300" t="str">
        <f t="shared" si="65"/>
        <v/>
      </c>
      <c r="BH73" s="300" t="str">
        <f t="shared" si="66"/>
        <v/>
      </c>
      <c r="BI73" s="295" t="e">
        <f t="shared" si="82"/>
        <v>#DIV/0!</v>
      </c>
      <c r="BJ73" s="299" t="str">
        <f t="shared" si="83"/>
        <v/>
      </c>
      <c r="BK73" s="278" t="e">
        <f t="shared" si="67"/>
        <v>#DIV/0!</v>
      </c>
      <c r="BL73" s="49" t="str">
        <f t="shared" si="68"/>
        <v/>
      </c>
      <c r="BP73" s="25" t="e">
        <f t="shared" si="69"/>
        <v>#DIV/0!</v>
      </c>
      <c r="BQ73" s="223" t="str">
        <f>IFERROR(VALUE(LEFT(VLOOKUP(Calculations!$D$4,Results!$G$5:$CM$105,67+$C73,FALSE),FIND(";",VLOOKUP(Calculations!$D$4,Results!$G$5:$CM$105,67+$C73,FALSE))-1)),"")</f>
        <v/>
      </c>
      <c r="BR73" s="303" t="str">
        <f>IF(BQ73="","",VLOOKUP(BQ73,Input!$B$21:$Q$50,13,FALSE))</f>
        <v/>
      </c>
      <c r="BS73" s="248" t="e">
        <f>VLOOKUP(BR73,Reinforcements[],COLUMN(Reinforcements[[#Headers],[Type]])-1,FALSE)</f>
        <v>#N/A</v>
      </c>
      <c r="BT73" s="248" t="e">
        <f>IF(BS73="solid round",VLOOKUP(BR73,Reinforcements[],COLUMN(Reinforcements[[#Headers],[Diameter (in)]])-1,FALSE),VLOOKUP(BR73,Reinforcements[],COLUMN(Reinforcements[[#Headers],[B (in)]])-1,FALSE))</f>
        <v>#N/A</v>
      </c>
      <c r="BU73" s="248" t="e">
        <f>IF(BS73="solid round",VLOOKUP(BR73,Reinforcements[],COLUMN(Reinforcements[[#Headers],[Diameter (in)]])-1,FALSE),VLOOKUP(BR73,Reinforcements[],COLUMN(Reinforcements[[#Headers],[H (in)]])-1,FALSE))</f>
        <v>#N/A</v>
      </c>
      <c r="BV73" s="278" t="e">
        <f>IFERROR((IF(VLOOKUP(BQ73,Input!$B$21:$AL$50,19+C73,FALSE)="c",$D$20/COS(RADIANS(180/$D$8)),$D$20)+BU73/2)*SIN(RADIANS(D73))-IF(ISNUMBER(VLOOKUP(BQ73,Input!$B$21:$AL$50,19+C73,FALSE)),VLOOKUP(BQ73,Input!$B$21:$AL$50,19+C73,FALSE)*COS(RADIANS(D73)),0)-$D$35,"")*0+N73*1</f>
        <v>#VALUE!</v>
      </c>
      <c r="BW73" s="248" t="e">
        <f>VLOOKUP(BR73,Reinforcements[],COLUMN(Reinforcements[[#Headers],[Effective B (in)]])-1,FALSE)</f>
        <v>#N/A</v>
      </c>
      <c r="BX73" s="248" t="e">
        <f>VLOOKUP(BR73,Reinforcements[],COLUMN(Reinforcements[[#Headers],[Effective H (in)]])-1,FALSE)</f>
        <v>#N/A</v>
      </c>
      <c r="BY73" s="248" t="e">
        <f>VLOOKUP(BR73,Reinforcements[],COLUMN(Reinforcements[[#Headers],[Gross Area (in2)]])-1,FALSE)</f>
        <v>#N/A</v>
      </c>
      <c r="BZ73" s="255" t="s">
        <v>697</v>
      </c>
      <c r="CA73" s="248" t="e">
        <f>VLOOKUP(BR73,Reinforcements[],COLUMN(Reinforcements[[#Headers],[Pole Face to Centroid (in)]])-1,FALSE)</f>
        <v>#N/A</v>
      </c>
      <c r="CB73" s="248" t="e">
        <f>VLOOKUP(BR73,Reinforcements[],COLUMN(Reinforcements[[#Headers],[Equivalent Rectangle Ix (in4)]])-1,FALSE)</f>
        <v>#N/A</v>
      </c>
      <c r="CC73" s="248" t="e">
        <f>VLOOKUP(BR73,Reinforcements[],COLUMN(Reinforcements[[#Headers],[Equivalent Rectangle Iy (in4)]])-1,FALSE)</f>
        <v>#N/A</v>
      </c>
      <c r="CD73" s="248" t="e">
        <f>VLOOKUP(BR73,Reinforcements[],COLUMN(Reinforcements[[#Headers],[Lu (in)]])-1,FALSE)</f>
        <v>#N/A</v>
      </c>
      <c r="CE73" s="255" t="s">
        <v>697</v>
      </c>
      <c r="CF73" s="255" t="s">
        <v>697</v>
      </c>
      <c r="CG73" s="248" t="e">
        <f>VLOOKUP(VLOOKUP(BR73,Reinforcements[],COLUMN(Reinforcements[[#Headers],[Material]])-1,FALSE),Materials[],2,FALSE)</f>
        <v>#N/A</v>
      </c>
      <c r="CH73" s="248" t="e">
        <f>VLOOKUP(VLOOKUP(BR73,Reinforcements[],COLUMN(Reinforcements[[#Headers],[Material]])-1,FALSE),Materials[],3,FALSE)</f>
        <v>#N/A</v>
      </c>
      <c r="CI73" s="255" t="e">
        <f>VLOOKUP(BR73,Reinforcements[],COLUMN(Reinforcements[[#Headers],[Tension Only?]])-1,FALSE)</f>
        <v>#N/A</v>
      </c>
      <c r="CJ73" s="17" t="str">
        <f>IF(BQ73="","",AND(INDEX(Results!$G$5:$G$104,MATCH(VLOOKUP($BQ73,Input!$B$21:$J$50,2,FALSE)-0.001,Results!$G$5:$G$104,-1))=$D$4))</f>
        <v/>
      </c>
      <c r="CK73" s="17" t="str">
        <f>IF(BQ73="","",AND(INDEX('Macro References'!$BB$2:$BB$101,MATCH(VLOOKUP($BQ73,Input!$B$21:$J$50,6,FALSE)-0.001,'Macro References'!$BB$2:$BB$101,1))=$D$4))</f>
        <v/>
      </c>
      <c r="CL73" s="17" t="e">
        <f>IF(CJ73,VLOOKUP(BR73,Reinforcements[],COLUMN(Reinforcements[[#Headers],[Bottom End Connection Type]])-1,FALSE),IF(CK73,VLOOKUP(BR73,Reinforcements[],COLUMN(Reinforcements[[#Headers],[Top End Connection Type]])-1,FALSE),""))</f>
        <v>#VALUE!</v>
      </c>
      <c r="CM73" s="17" t="e">
        <f>IF(ISBLANK(VLOOKUP(BR73,Reinforcements[],COLUMN(Reinforcements[[#Headers],[Bottom Transverse Weld Length]])-1,FALSE)),"",(VLOOKUP(BR73,Reinforcements[],COLUMN(Reinforcements[[#Headers],[Bottom Transverse Weld Length]])-1,FALSE)))</f>
        <v>#N/A</v>
      </c>
      <c r="CN73" s="17" t="e">
        <f>IF(ISBLANK(VLOOKUP(BR73,Reinforcements[],COLUMN(Reinforcements[[#Headers],[Bottom Transverse (Horizontal) Weld]])-1,FALSE)),"",(VLOOKUP(BR73,Reinforcements[],COLUMN(Reinforcements[[#Headers],[Bottom Transverse (Horizontal) Weld]])-1,FALSE)))</f>
        <v>#N/A</v>
      </c>
      <c r="CO73" s="17" t="e">
        <f>IF(ISBLANK(VLOOKUP(BR73,Reinforcements[],COLUMN(Reinforcements[[#Headers],[Bottom Longitudinal Weld Length]])-1,FALSE)),"",(VLOOKUP(BR73,Reinforcements[],COLUMN(Reinforcements[[#Headers],[Bottom Longitudinal Weld Length]])-1,FALSE)))</f>
        <v>#N/A</v>
      </c>
      <c r="CP73" s="17" t="str">
        <f>IFERROR(VLOOKUP(BR73,Reinforcements[],COLUMN(Reinforcements[[#Headers],[Bottom Connected to Flange/Base Plate?]])-1,FALSE),"")</f>
        <v/>
      </c>
      <c r="CQ73" s="248" t="e">
        <f>IF(Rev="F",VLOOKUP(BR73,Reinforcements[],COLUMN(Reinforcements[[#Headers],[Rev. F Bottom Transverse Weld Strength]])-1,FALSE),VLOOKUP(BR73,Reinforcements[],COLUMN(Reinforcements[[#Headers],[Rev. G Bottom Transverse Weld Strength]])-1,FALSE))</f>
        <v>#N/A</v>
      </c>
      <c r="CR73" s="248"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248" t="str">
        <f>IF(CP73&lt;&gt;"Yes","",(VLOOKUP(BR73,Reinforcements[],COLUMN(Reinforcements[[#Headers],[Bottom Transverse Weld Groove Depth (in)]])-1,FALSE)+VLOOKUP(BR73,Reinforcements[],COLUMN(Reinforcements[[#Headers],[Bottom Transverse Weld Fillet Size (in)]])-1,FALSE))*CM73*IF(Rev="F",0.6,φ_t_y)*$D$14)</f>
        <v/>
      </c>
      <c r="CT73" s="248" t="e">
        <f>IF(CP73="Yes","",VLOOKUP(BR73,Reinforcements[],COLUMN(Reinforcements[[#Headers],[Bottom Transverse Weld Fillet Size (in)]])-1,FALSE)*CM73*MIN(IF(Rev="F",0.4,φ_shear_yield*0.6)*$D$6,IF(Rev="F",0.3,φ_shear_rupture*0.6)*$D$7))</f>
        <v>#N/A</v>
      </c>
      <c r="CU73" s="248" t="e">
        <f>IF(Rev="F",VLOOKUP(BR73,Reinforcements[],COLUMN(Reinforcements[[#Headers],[Rev. F Bottom Longitudinal Weld Strength]])-1,FALSE),VLOOKUP(BR73,Reinforcements[],COLUMN(Reinforcements[[#Headers],[Rev. G Bottom Longitudinal Weld Strength]])-1,FALSE))</f>
        <v>#N/A</v>
      </c>
      <c r="CV73" s="248" t="e">
        <f>2*VLOOKUP(BR73,Reinforcements[],COLUMN(Reinforcements[[#Headers],[Bottom Longitudinal Weld Fillet Size (in)]])-1,FALSE)*CO73*MIN(IF(Rev="F",0.4,φ_shear_yield*0.6)*CG73,IF(Rev="F",0.3,φ_shear_rupture*0.6)*CH73)</f>
        <v>#N/A</v>
      </c>
      <c r="CW73" s="248" t="e">
        <f>2*VLOOKUP(BR73,Reinforcements[],COLUMN(Reinforcements[[#Headers],[Bottom Longitudinal Weld Fillet Size (in)]])-1,FALSE)*CO73*MIN(IF(Rev="F",0.4,φ_shear_yield*0.6)*$D$6,IF(Rev="F",0.3,φ_shear_rupture*0.6)*$D$7)</f>
        <v>#N/A</v>
      </c>
      <c r="CX73" s="248" t="e">
        <f>IF(ISBLANK(VLOOKUP(BR73,Reinforcements[],COLUMN(Reinforcements[[#Headers],[Top Transverse Weld Length]])-1,FALSE)),"",(VLOOKUP(BR73,Reinforcements[],COLUMN(Reinforcements[[#Headers],[Top Transverse Weld Length]])-1,FALSE)))</f>
        <v>#N/A</v>
      </c>
      <c r="CY73" s="248" t="e">
        <f>IF(ISBLANK(VLOOKUP(BR73,Reinforcements[],COLUMN(Reinforcements[[#Headers],[Top Transverse (Horizontal) Weld]])-1,FALSE)),"",(VLOOKUP(BR73,Reinforcements[],COLUMN(Reinforcements[[#Headers],[Top Transverse (Horizontal) Weld]])-1,FALSE)))</f>
        <v>#N/A</v>
      </c>
      <c r="CZ73" s="248" t="e">
        <f>IF(ISBLANK(VLOOKUP(BR73,Reinforcements[],COLUMN(Reinforcements[[#Headers],[Top Longitudinal Weld Length]])-1,FALSE)),"",(VLOOKUP(BR73,Reinforcements[],COLUMN(Reinforcements[[#Headers],[Top Longitudinal Weld Length]])-1,FALSE)))</f>
        <v>#N/A</v>
      </c>
      <c r="DA73" s="248" t="str">
        <f>IFERROR(VLOOKUP(BR73,Reinforcements[],COLUMN(Reinforcements[[#Headers],[Top Connected to Flange/Base Plate?]])-1,FALSE),"")</f>
        <v/>
      </c>
      <c r="DB73" s="248" t="e">
        <f>IF(Rev="F",VLOOKUP(BR73,Reinforcements[],COLUMN(Reinforcements[[#Headers],[Rev. F Top Transverse Weld Strength]])-1,FALSE),VLOOKUP(BR73,Reinforcements[],COLUMN(Reinforcements[[#Headers],[Rev. G Top Transverse Weld Strength]])-1,FALSE))</f>
        <v>#N/A</v>
      </c>
      <c r="DC73" s="248"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248" t="str">
        <f>IF(DA73&lt;&gt;"Yes","",(VLOOKUP(BR73,Reinforcements[],COLUMN(Reinforcements[[#Headers],[Top Transverse Weld Groove Depth (in)]])-1,FALSE)+VLOOKUP(BR73,Reinforcements[],COLUMN(Reinforcements[[#Headers],[Top Transverse Weld Fillet Size (in)]])-1,FALSE))*CX73*IF(Rev="F",0.6,φ_t_y)*$D$14)</f>
        <v/>
      </c>
      <c r="DE73" s="248" t="e">
        <f>IF(DA73="Yes","",VLOOKUP(BR73,Reinforcements[],COLUMN(Reinforcements[[#Headers],[Top Transverse Weld Fillet Size (in)]])-1,FALSE)*CX73*MIN(IF(Rev="F",0.4,φ_shear_yield*0.6)*$D$6,IF(Rev="F",0.3,φ_shear_rupture*0.6)*$D$7))</f>
        <v>#N/A</v>
      </c>
      <c r="DF73" s="248" t="e">
        <f>IF(Rev="F",VLOOKUP(BR73,Reinforcements[],COLUMN(Reinforcements[[#Headers],[Rev. F Top Longitudinal Weld Strength]])-1,FALSE),VLOOKUP(BR73,Reinforcements[],COLUMN(Reinforcements[[#Headers],[Rev. G Top Longitudinal Weld Strength]])-1,FALSE))</f>
        <v>#N/A</v>
      </c>
      <c r="DG73" s="248" t="e">
        <f>2*VLOOKUP(BR73,Reinforcements[],COLUMN(Reinforcements[[#Headers],[Top Longitudinal Weld Fillet Size (in)]])-1,FALSE)*CZ73*MIN(IF(Rev="F",0.4,φ_shear_yield*0.6)*CG73,IF(Rev="F",0.3,φ_shear_rupture*0.6)*CH73)</f>
        <v>#N/A</v>
      </c>
      <c r="DH73" s="248" t="e">
        <f>2*VLOOKUP(BR73,Reinforcements[],COLUMN(Reinforcements[[#Headers],[Top Longitudinal Weld Fillet Size (in)]])-1,FALSE)*CZ73*MIN(IF(Rev="F",0.4,φ_shear_yield*0.6)*$D$6,IF(Rev="F",0.3,φ_shear_rupture*0.6)*$D$7)</f>
        <v>#N/A</v>
      </c>
      <c r="DI73" s="49" t="e">
        <f>IF(BS73="channel",VLOOKUP(Calculations!BR73,Reinforcements[],COLUMN(Reinforcements[[#Headers],['[Channel']Web Thickness (in)]])-1,FALSE),"")</f>
        <v>#N/A</v>
      </c>
      <c r="DJ73" s="49" t="b">
        <f t="shared" si="84"/>
        <v>0</v>
      </c>
      <c r="DK73" s="49" t="e">
        <f>IF(BS73="channel",Calculations!BU73-DI73,"")</f>
        <v>#N/A</v>
      </c>
      <c r="DL73" s="49" t="e">
        <f>IF(BS73="channel",(Calculations!BY73-Calculations!BT73*DI73)/(2*DK73))</f>
        <v>#N/A</v>
      </c>
      <c r="DM73" s="49" t="e">
        <f>IF(BS73="channel",(Calculations!BT73*(DI73^2)/2+2*DK73*DL73*(DI73+DK73/2))/Calculations!BY73,"")</f>
        <v>#N/A</v>
      </c>
    </row>
    <row r="74" spans="2:117" ht="15" x14ac:dyDescent="0.25">
      <c r="B74" s="49" t="str">
        <f t="shared" si="70"/>
        <v/>
      </c>
      <c r="C74" s="201">
        <v>15</v>
      </c>
      <c r="D74" s="255" t="str">
        <f>IF(BQ74="","",IF($D$8=0,IF(OR(VLOOKUP(BQ74,Input!$B$21:$AL$50,19+C74,FALSE)+$D$5=0,VLOOKUP(BQ74,Input!$B$21:$AL$50,19+C74,FALSE)+$D$5=180),VLOOKUP(BQ74,Input!$B$21:$AL$50,19+C74,FALSE)+$D$5+0.0001,VLOOKUP(BQ74,Input!$B$21:$AL$50,19+C74,FALSE)+$D$5),IF(VLOOKUP(BQ74,Input!$B$21:$AL$50,19+C74,FALSE)="c",VLOOKUP($C74,$C$40:$E$57,2,FALSE)+180/$D$8,VLOOKUP($C74,$C$40:$E$57,2,FALSE))))</f>
        <v/>
      </c>
      <c r="E74" s="17" t="str">
        <f t="shared" si="39"/>
        <v/>
      </c>
      <c r="F74" s="258" t="str">
        <f>IF(BR74="","",VLOOKUP(BR74,Reinforcements[],COLUMN(Reinforcements[[#Headers],[Gross Area (in2)]])-1,FALSE))</f>
        <v/>
      </c>
      <c r="G74" s="256" t="e">
        <f>(IF(VLOOKUP(BQ74,Input!$B$21:$AL$50,19+C74,FALSE)="c",$D$20/COS(RADIANS(180/$D$8)),$D$20)+CA74)*SIN(RADIANS(D74))-IF(AND(ISNUMBER(VLOOKUP(BQ74,Input!$B$21:$AL$50,19+C74,FALSE)),$D$8&lt;&gt;0),VLOOKUP(BQ74,Input!$B$21:$AL$50,19+C74,FALSE)*COS(RADIANS(D74)),0)</f>
        <v>#N/A</v>
      </c>
      <c r="H74" s="251" t="str">
        <f>IF(ISERROR(F74*G74),"",F74*G74)</f>
        <v/>
      </c>
      <c r="I74" s="251" t="e">
        <f t="shared" si="40"/>
        <v>#N/A</v>
      </c>
      <c r="J74" s="251" t="e">
        <f>CB74</f>
        <v>#N/A</v>
      </c>
      <c r="K74" s="251" t="e">
        <f>CC74</f>
        <v>#N/A</v>
      </c>
      <c r="L74" s="251" t="e">
        <f>(J74+K74)/2+(J74-K74)/2*COS(2*RADIANS(D74+90))</f>
        <v>#N/A</v>
      </c>
      <c r="M74" s="252" t="str">
        <f t="shared" si="73"/>
        <v/>
      </c>
      <c r="N74" s="250" t="str">
        <f>IFERROR((IF(VLOOKUP(BQ74,Input!$B$21:$AL$50,19+C74,FALSE)="c",$D$20/COS(RADIANS(180/$D$8)),$D$20)+CA74)*SIN(RADIANS(D74))-IF(AND(ISNUMBER(VLOOKUP(BQ74,Input!$B$21:$AL$50,19+C74,FALSE)),$D$8&lt;&gt;0),VLOOKUP(BQ74,Input!$B$21:$AL$50,19+C74,FALSE)*COS(RADIANS(D74)),0)-$D$35,"")</f>
        <v/>
      </c>
      <c r="O74" s="253" t="str">
        <f t="shared" si="43"/>
        <v/>
      </c>
      <c r="P74" s="253" t="str">
        <f t="shared" si="44"/>
        <v/>
      </c>
      <c r="Q74" s="253" t="str">
        <f t="shared" si="45"/>
        <v/>
      </c>
      <c r="R74" s="254" t="str">
        <f t="shared" si="46"/>
        <v/>
      </c>
      <c r="S74" s="251" t="str">
        <f t="shared" si="74"/>
        <v/>
      </c>
      <c r="T74" s="251" t="str">
        <f t="shared" si="75"/>
        <v/>
      </c>
      <c r="U74" s="251" t="str">
        <f t="shared" si="76"/>
        <v/>
      </c>
      <c r="V74" s="252" t="str">
        <f t="shared" si="77"/>
        <v/>
      </c>
      <c r="W74" s="323"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324"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324"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324" t="str">
        <f>IFERROR(IF('Macro References'!$A$9,IF(AND(CJ74,CL74="Welded"),MIN(CQ74:CT74),IF(AND(CK74,CL74="Welded"),MIN(DB74:DE74),"")),""),"")</f>
        <v/>
      </c>
      <c r="AA74" s="255" t="str">
        <f>IFERROR(IF('Macro References'!$A$9,IF(AND(CJ74,CL74="Welded"),MIN(CU74:CW74),IF(AND(CK74,CL74="Welded"),MIN(DF74:DH74),"")),""),"")</f>
        <v/>
      </c>
      <c r="AB74" s="255" t="str">
        <f>IFERROR(IF('Macro References'!$A$9,IF(AND(CJ74,CL74="Welded",CN74="Fillet",CU74&gt;0),TRUE,IF(AND(CK74,CL74="Welded",CY74="Fillet",DF74&gt;0),TRUE,"")),""),"")</f>
        <v/>
      </c>
      <c r="AC74" s="255"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255"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32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248"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32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274" t="str">
        <f t="shared" si="47"/>
        <v/>
      </c>
      <c r="AI74" s="255" t="str">
        <f t="shared" si="48"/>
        <v/>
      </c>
      <c r="AJ74" s="255" t="str">
        <f t="shared" si="49"/>
        <v/>
      </c>
      <c r="AK74" s="255" t="str">
        <f t="shared" si="85"/>
        <v/>
      </c>
      <c r="AL74" s="248" t="str">
        <f t="shared" si="78"/>
        <v/>
      </c>
      <c r="AM74" s="255" t="str">
        <f>""</f>
        <v/>
      </c>
      <c r="AN74" s="255" t="str">
        <f t="shared" si="50"/>
        <v/>
      </c>
      <c r="AO74" s="248" t="str">
        <f t="shared" si="51"/>
        <v/>
      </c>
      <c r="AP74" s="275" t="str">
        <f t="shared" si="52"/>
        <v/>
      </c>
      <c r="AQ74" s="276" t="str">
        <f t="shared" si="53"/>
        <v/>
      </c>
      <c r="AR74" s="255" t="str">
        <f>IF(BR74="","",VLOOKUP(VLOOKUP(BR74,Reinforcements[],COLUMN(Reinforcements[[#Headers],[Material]])-1,FALSE),Materials[],2,FALSE)/$D$28)</f>
        <v/>
      </c>
      <c r="AS74" s="248" t="str">
        <f t="shared" si="54"/>
        <v/>
      </c>
      <c r="AT74" s="327" t="str">
        <f t="shared" si="55"/>
        <v/>
      </c>
      <c r="AU74" s="277">
        <f t="shared" si="56"/>
        <v>0</v>
      </c>
      <c r="AV74" s="278">
        <f t="shared" si="57"/>
        <v>0</v>
      </c>
      <c r="AW74" s="278" t="e">
        <f t="shared" si="58"/>
        <v>#N/A</v>
      </c>
      <c r="AX74" s="278" t="e">
        <f t="shared" si="59"/>
        <v>#N/A</v>
      </c>
      <c r="AY74" s="278" t="str">
        <f t="shared" si="60"/>
        <v/>
      </c>
      <c r="AZ74" s="278" t="e">
        <f t="shared" si="61"/>
        <v>#VALUE!</v>
      </c>
      <c r="BA74" s="295" t="str">
        <f t="shared" si="62"/>
        <v/>
      </c>
      <c r="BB74" s="297" t="str">
        <f t="shared" si="79"/>
        <v/>
      </c>
      <c r="BC74" s="298" t="str">
        <f t="shared" si="63"/>
        <v/>
      </c>
      <c r="BD74" s="298" t="str">
        <f t="shared" si="64"/>
        <v/>
      </c>
      <c r="BE74" s="295" t="str">
        <f t="shared" si="80"/>
        <v/>
      </c>
      <c r="BF74" s="299" t="e">
        <f t="shared" si="81"/>
        <v>#DIV/0!</v>
      </c>
      <c r="BG74" s="300" t="str">
        <f t="shared" si="65"/>
        <v/>
      </c>
      <c r="BH74" s="300" t="str">
        <f t="shared" si="66"/>
        <v/>
      </c>
      <c r="BI74" s="295" t="e">
        <f t="shared" si="82"/>
        <v>#DIV/0!</v>
      </c>
      <c r="BJ74" s="299" t="str">
        <f t="shared" si="83"/>
        <v/>
      </c>
      <c r="BK74" s="278" t="e">
        <f t="shared" si="67"/>
        <v>#DIV/0!</v>
      </c>
      <c r="BL74" s="49" t="str">
        <f t="shared" si="68"/>
        <v/>
      </c>
      <c r="BP74" s="25" t="e">
        <f t="shared" si="69"/>
        <v>#DIV/0!</v>
      </c>
      <c r="BQ74" s="223" t="str">
        <f>IFERROR(VALUE(LEFT(VLOOKUP(Calculations!$D$4,Results!$G$5:$CM$105,67+$C74,FALSE),FIND(";",VLOOKUP(Calculations!$D$4,Results!$G$5:$CM$105,67+$C74,FALSE))-1)),"")</f>
        <v/>
      </c>
      <c r="BR74" s="303" t="str">
        <f>IF(BQ74="","",VLOOKUP(BQ74,Input!$B$21:$Q$50,13,FALSE))</f>
        <v/>
      </c>
      <c r="BS74" s="248" t="e">
        <f>VLOOKUP(BR74,Reinforcements[],COLUMN(Reinforcements[[#Headers],[Type]])-1,FALSE)</f>
        <v>#N/A</v>
      </c>
      <c r="BT74" s="248" t="e">
        <f>IF(BS74="solid round",VLOOKUP(BR74,Reinforcements[],COLUMN(Reinforcements[[#Headers],[Diameter (in)]])-1,FALSE),VLOOKUP(BR74,Reinforcements[],COLUMN(Reinforcements[[#Headers],[B (in)]])-1,FALSE))</f>
        <v>#N/A</v>
      </c>
      <c r="BU74" s="248" t="e">
        <f>IF(BS74="solid round",VLOOKUP(BR74,Reinforcements[],COLUMN(Reinforcements[[#Headers],[Diameter (in)]])-1,FALSE),VLOOKUP(BR74,Reinforcements[],COLUMN(Reinforcements[[#Headers],[H (in)]])-1,FALSE))</f>
        <v>#N/A</v>
      </c>
      <c r="BV74" s="278" t="e">
        <f>IFERROR((IF(VLOOKUP(BQ74,Input!$B$21:$AL$50,19+C74,FALSE)="c",$D$20/COS(RADIANS(180/$D$8)),$D$20)+BU74/2)*SIN(RADIANS(D74))-IF(ISNUMBER(VLOOKUP(BQ74,Input!$B$21:$AL$50,19+C74,FALSE)),VLOOKUP(BQ74,Input!$B$21:$AL$50,19+C74,FALSE)*COS(RADIANS(D74)),0)-$D$35,"")*0+N74*1</f>
        <v>#VALUE!</v>
      </c>
      <c r="BW74" s="248" t="e">
        <f>VLOOKUP(BR74,Reinforcements[],COLUMN(Reinforcements[[#Headers],[Effective B (in)]])-1,FALSE)</f>
        <v>#N/A</v>
      </c>
      <c r="BX74" s="248" t="e">
        <f>VLOOKUP(BR74,Reinforcements[],COLUMN(Reinforcements[[#Headers],[Effective H (in)]])-1,FALSE)</f>
        <v>#N/A</v>
      </c>
      <c r="BY74" s="248" t="e">
        <f>VLOOKUP(BR74,Reinforcements[],COLUMN(Reinforcements[[#Headers],[Gross Area (in2)]])-1,FALSE)</f>
        <v>#N/A</v>
      </c>
      <c r="BZ74" s="255" t="s">
        <v>697</v>
      </c>
      <c r="CA74" s="248" t="e">
        <f>VLOOKUP(BR74,Reinforcements[],COLUMN(Reinforcements[[#Headers],[Pole Face to Centroid (in)]])-1,FALSE)</f>
        <v>#N/A</v>
      </c>
      <c r="CB74" s="248" t="e">
        <f>VLOOKUP(BR74,Reinforcements[],COLUMN(Reinforcements[[#Headers],[Equivalent Rectangle Ix (in4)]])-1,FALSE)</f>
        <v>#N/A</v>
      </c>
      <c r="CC74" s="248" t="e">
        <f>VLOOKUP(BR74,Reinforcements[],COLUMN(Reinforcements[[#Headers],[Equivalent Rectangle Iy (in4)]])-1,FALSE)</f>
        <v>#N/A</v>
      </c>
      <c r="CD74" s="248" t="e">
        <f>VLOOKUP(BR74,Reinforcements[],COLUMN(Reinforcements[[#Headers],[Lu (in)]])-1,FALSE)</f>
        <v>#N/A</v>
      </c>
      <c r="CE74" s="255" t="s">
        <v>697</v>
      </c>
      <c r="CF74" s="255" t="s">
        <v>697</v>
      </c>
      <c r="CG74" s="248" t="e">
        <f>VLOOKUP(VLOOKUP(BR74,Reinforcements[],COLUMN(Reinforcements[[#Headers],[Material]])-1,FALSE),Materials[],2,FALSE)</f>
        <v>#N/A</v>
      </c>
      <c r="CH74" s="248" t="e">
        <f>VLOOKUP(VLOOKUP(BR74,Reinforcements[],COLUMN(Reinforcements[[#Headers],[Material]])-1,FALSE),Materials[],3,FALSE)</f>
        <v>#N/A</v>
      </c>
      <c r="CI74" s="255" t="e">
        <f>VLOOKUP(BR74,Reinforcements[],COLUMN(Reinforcements[[#Headers],[Tension Only?]])-1,FALSE)</f>
        <v>#N/A</v>
      </c>
      <c r="CJ74" s="17" t="str">
        <f>IF(BQ74="","",AND(INDEX(Results!$G$5:$G$104,MATCH(VLOOKUP($BQ74,Input!$B$21:$J$50,2,FALSE)-0.001,Results!$G$5:$G$104,-1))=$D$4))</f>
        <v/>
      </c>
      <c r="CK74" s="17" t="str">
        <f>IF(BQ74="","",AND(INDEX('Macro References'!$BB$2:$BB$101,MATCH(VLOOKUP($BQ74,Input!$B$21:$J$50,6,FALSE)-0.001,'Macro References'!$BB$2:$BB$101,1))=$D$4))</f>
        <v/>
      </c>
      <c r="CL74" s="17" t="e">
        <f>IF(CJ74,VLOOKUP(BR74,Reinforcements[],COLUMN(Reinforcements[[#Headers],[Bottom End Connection Type]])-1,FALSE),IF(CK74,VLOOKUP(BR74,Reinforcements[],COLUMN(Reinforcements[[#Headers],[Top End Connection Type]])-1,FALSE),""))</f>
        <v>#VALUE!</v>
      </c>
      <c r="CM74" s="17" t="e">
        <f>IF(ISBLANK(VLOOKUP(BR74,Reinforcements[],COLUMN(Reinforcements[[#Headers],[Bottom Transverse Weld Length]])-1,FALSE)),"",(VLOOKUP(BR74,Reinforcements[],COLUMN(Reinforcements[[#Headers],[Bottom Transverse Weld Length]])-1,FALSE)))</f>
        <v>#N/A</v>
      </c>
      <c r="CN74" s="17" t="e">
        <f>IF(ISBLANK(VLOOKUP(BR74,Reinforcements[],COLUMN(Reinforcements[[#Headers],[Bottom Transverse (Horizontal) Weld]])-1,FALSE)),"",(VLOOKUP(BR74,Reinforcements[],COLUMN(Reinforcements[[#Headers],[Bottom Transverse (Horizontal) Weld]])-1,FALSE)))</f>
        <v>#N/A</v>
      </c>
      <c r="CO74" s="17" t="e">
        <f>IF(ISBLANK(VLOOKUP(BR74,Reinforcements[],COLUMN(Reinforcements[[#Headers],[Bottom Longitudinal Weld Length]])-1,FALSE)),"",(VLOOKUP(BR74,Reinforcements[],COLUMN(Reinforcements[[#Headers],[Bottom Longitudinal Weld Length]])-1,FALSE)))</f>
        <v>#N/A</v>
      </c>
      <c r="CP74" s="17" t="str">
        <f>IFERROR(VLOOKUP(BR74,Reinforcements[],COLUMN(Reinforcements[[#Headers],[Bottom Connected to Flange/Base Plate?]])-1,FALSE),"")</f>
        <v/>
      </c>
      <c r="CQ74" s="248" t="e">
        <f>IF(Rev="F",VLOOKUP(BR74,Reinforcements[],COLUMN(Reinforcements[[#Headers],[Rev. F Bottom Transverse Weld Strength]])-1,FALSE),VLOOKUP(BR74,Reinforcements[],COLUMN(Reinforcements[[#Headers],[Rev. G Bottom Transverse Weld Strength]])-1,FALSE))</f>
        <v>#N/A</v>
      </c>
      <c r="CR74" s="248"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248" t="str">
        <f>IF(CP74&lt;&gt;"Yes","",(VLOOKUP(BR74,Reinforcements[],COLUMN(Reinforcements[[#Headers],[Bottom Transverse Weld Groove Depth (in)]])-1,FALSE)+VLOOKUP(BR74,Reinforcements[],COLUMN(Reinforcements[[#Headers],[Bottom Transverse Weld Fillet Size (in)]])-1,FALSE))*CM74*IF(Rev="F",0.6,φ_t_y)*$D$14)</f>
        <v/>
      </c>
      <c r="CT74" s="248" t="e">
        <f>IF(CP74="Yes","",VLOOKUP(BR74,Reinforcements[],COLUMN(Reinforcements[[#Headers],[Bottom Transverse Weld Fillet Size (in)]])-1,FALSE)*CM74*MIN(IF(Rev="F",0.4,φ_shear_yield*0.6)*$D$6,IF(Rev="F",0.3,φ_shear_rupture*0.6)*$D$7))</f>
        <v>#N/A</v>
      </c>
      <c r="CU74" s="248" t="e">
        <f>IF(Rev="F",VLOOKUP(BR74,Reinforcements[],COLUMN(Reinforcements[[#Headers],[Rev. F Bottom Longitudinal Weld Strength]])-1,FALSE),VLOOKUP(BR74,Reinforcements[],COLUMN(Reinforcements[[#Headers],[Rev. G Bottom Longitudinal Weld Strength]])-1,FALSE))</f>
        <v>#N/A</v>
      </c>
      <c r="CV74" s="248" t="e">
        <f>2*VLOOKUP(BR74,Reinforcements[],COLUMN(Reinforcements[[#Headers],[Bottom Longitudinal Weld Fillet Size (in)]])-1,FALSE)*CO74*MIN(IF(Rev="F",0.4,φ_shear_yield*0.6)*CG74,IF(Rev="F",0.3,φ_shear_rupture*0.6)*CH74)</f>
        <v>#N/A</v>
      </c>
      <c r="CW74" s="248" t="e">
        <f>2*VLOOKUP(BR74,Reinforcements[],COLUMN(Reinforcements[[#Headers],[Bottom Longitudinal Weld Fillet Size (in)]])-1,FALSE)*CO74*MIN(IF(Rev="F",0.4,φ_shear_yield*0.6)*$D$6,IF(Rev="F",0.3,φ_shear_rupture*0.6)*$D$7)</f>
        <v>#N/A</v>
      </c>
      <c r="CX74" s="248" t="e">
        <f>IF(ISBLANK(VLOOKUP(BR74,Reinforcements[],COLUMN(Reinforcements[[#Headers],[Top Transverse Weld Length]])-1,FALSE)),"",(VLOOKUP(BR74,Reinforcements[],COLUMN(Reinforcements[[#Headers],[Top Transverse Weld Length]])-1,FALSE)))</f>
        <v>#N/A</v>
      </c>
      <c r="CY74" s="248" t="e">
        <f>IF(ISBLANK(VLOOKUP(BR74,Reinforcements[],COLUMN(Reinforcements[[#Headers],[Top Transverse (Horizontal) Weld]])-1,FALSE)),"",(VLOOKUP(BR74,Reinforcements[],COLUMN(Reinforcements[[#Headers],[Top Transverse (Horizontal) Weld]])-1,FALSE)))</f>
        <v>#N/A</v>
      </c>
      <c r="CZ74" s="248" t="e">
        <f>IF(ISBLANK(VLOOKUP(BR74,Reinforcements[],COLUMN(Reinforcements[[#Headers],[Top Longitudinal Weld Length]])-1,FALSE)),"",(VLOOKUP(BR74,Reinforcements[],COLUMN(Reinforcements[[#Headers],[Top Longitudinal Weld Length]])-1,FALSE)))</f>
        <v>#N/A</v>
      </c>
      <c r="DA74" s="248" t="str">
        <f>IFERROR(VLOOKUP(BR74,Reinforcements[],COLUMN(Reinforcements[[#Headers],[Top Connected to Flange/Base Plate?]])-1,FALSE),"")</f>
        <v/>
      </c>
      <c r="DB74" s="248" t="e">
        <f>IF(Rev="F",VLOOKUP(BR74,Reinforcements[],COLUMN(Reinforcements[[#Headers],[Rev. F Top Transverse Weld Strength]])-1,FALSE),VLOOKUP(BR74,Reinforcements[],COLUMN(Reinforcements[[#Headers],[Rev. G Top Transverse Weld Strength]])-1,FALSE))</f>
        <v>#N/A</v>
      </c>
      <c r="DC74" s="248"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248" t="str">
        <f>IF(DA74&lt;&gt;"Yes","",(VLOOKUP(BR74,Reinforcements[],COLUMN(Reinforcements[[#Headers],[Top Transverse Weld Groove Depth (in)]])-1,FALSE)+VLOOKUP(BR74,Reinforcements[],COLUMN(Reinforcements[[#Headers],[Top Transverse Weld Fillet Size (in)]])-1,FALSE))*CX74*IF(Rev="F",0.6,φ_t_y)*$D$14)</f>
        <v/>
      </c>
      <c r="DE74" s="248" t="e">
        <f>IF(DA74="Yes","",VLOOKUP(BR74,Reinforcements[],COLUMN(Reinforcements[[#Headers],[Top Transverse Weld Fillet Size (in)]])-1,FALSE)*CX74*MIN(IF(Rev="F",0.4,φ_shear_yield*0.6)*$D$6,IF(Rev="F",0.3,φ_shear_rupture*0.6)*$D$7))</f>
        <v>#N/A</v>
      </c>
      <c r="DF74" s="248" t="e">
        <f>IF(Rev="F",VLOOKUP(BR74,Reinforcements[],COLUMN(Reinforcements[[#Headers],[Rev. F Top Longitudinal Weld Strength]])-1,FALSE),VLOOKUP(BR74,Reinforcements[],COLUMN(Reinforcements[[#Headers],[Rev. G Top Longitudinal Weld Strength]])-1,FALSE))</f>
        <v>#N/A</v>
      </c>
      <c r="DG74" s="248" t="e">
        <f>2*VLOOKUP(BR74,Reinforcements[],COLUMN(Reinforcements[[#Headers],[Top Longitudinal Weld Fillet Size (in)]])-1,FALSE)*CZ74*MIN(IF(Rev="F",0.4,φ_shear_yield*0.6)*CG74,IF(Rev="F",0.3,φ_shear_rupture*0.6)*CH74)</f>
        <v>#N/A</v>
      </c>
      <c r="DH74" s="248" t="e">
        <f>2*VLOOKUP(BR74,Reinforcements[],COLUMN(Reinforcements[[#Headers],[Top Longitudinal Weld Fillet Size (in)]])-1,FALSE)*CZ74*MIN(IF(Rev="F",0.4,φ_shear_yield*0.6)*$D$6,IF(Rev="F",0.3,φ_shear_rupture*0.6)*$D$7)</f>
        <v>#N/A</v>
      </c>
      <c r="DI74" s="49" t="e">
        <f>IF(BS74="channel",VLOOKUP(Calculations!BR74,Reinforcements[],COLUMN(Reinforcements[[#Headers],['[Channel']Web Thickness (in)]])-1,FALSE),"")</f>
        <v>#N/A</v>
      </c>
      <c r="DJ74" s="49" t="b">
        <f t="shared" si="84"/>
        <v>0</v>
      </c>
      <c r="DK74" s="49" t="e">
        <f>IF(BS74="channel",Calculations!BU74-DI74,"")</f>
        <v>#N/A</v>
      </c>
      <c r="DL74" s="49" t="e">
        <f>IF(BS74="channel",(Calculations!BY74-Calculations!BT74*DI74)/(2*DK74))</f>
        <v>#N/A</v>
      </c>
      <c r="DM74" s="49" t="e">
        <f>IF(BS74="channel",(Calculations!BT74*(DI74^2)/2+2*DK74*DL74*(DI74+DK74/2))/Calculations!BY74,"")</f>
        <v>#N/A</v>
      </c>
    </row>
    <row r="75" spans="2:117" ht="15" x14ac:dyDescent="0.25">
      <c r="B75" s="49" t="str">
        <f t="shared" si="70"/>
        <v/>
      </c>
      <c r="C75" s="201">
        <v>16</v>
      </c>
      <c r="D75" s="255" t="str">
        <f>IF(BQ75="","",IF($D$8=0,IF(OR(VLOOKUP(BQ75,Input!$B$21:$AL$50,19+C75,FALSE)+$D$5=0,VLOOKUP(BQ75,Input!$B$21:$AL$50,19+C75,FALSE)+$D$5=180),VLOOKUP(BQ75,Input!$B$21:$AL$50,19+C75,FALSE)+$D$5+0.0001,VLOOKUP(BQ75,Input!$B$21:$AL$50,19+C75,FALSE)+$D$5),IF(VLOOKUP(BQ75,Input!$B$21:$AL$50,19+C75,FALSE)="c",VLOOKUP($C75,$C$40:$E$57,2,FALSE)+180/$D$8,VLOOKUP($C75,$C$40:$E$57,2,FALSE))))</f>
        <v/>
      </c>
      <c r="E75" s="17" t="str">
        <f t="shared" si="39"/>
        <v/>
      </c>
      <c r="F75" s="258" t="str">
        <f>IF(BR75="","",VLOOKUP(BR75,Reinforcements[],COLUMN(Reinforcements[[#Headers],[Gross Area (in2)]])-1,FALSE))</f>
        <v/>
      </c>
      <c r="G75" s="256" t="e">
        <f>(IF(VLOOKUP(BQ75,Input!$B$21:$AL$50,19+C75,FALSE)="c",$D$20/COS(RADIANS(180/$D$8)),$D$20)+CA75)*SIN(RADIANS(D75))-IF(AND(ISNUMBER(VLOOKUP(BQ75,Input!$B$21:$AL$50,19+C75,FALSE)),$D$8&lt;&gt;0),VLOOKUP(BQ75,Input!$B$21:$AL$50,19+C75,FALSE)*COS(RADIANS(D75)),0)</f>
        <v>#N/A</v>
      </c>
      <c r="H75" s="251" t="str">
        <f t="shared" si="71"/>
        <v/>
      </c>
      <c r="I75" s="251" t="e">
        <f t="shared" si="40"/>
        <v>#N/A</v>
      </c>
      <c r="J75" s="251" t="e">
        <f t="shared" si="41"/>
        <v>#N/A</v>
      </c>
      <c r="K75" s="251" t="e">
        <f t="shared" si="42"/>
        <v>#N/A</v>
      </c>
      <c r="L75" s="251" t="e">
        <f t="shared" si="72"/>
        <v>#N/A</v>
      </c>
      <c r="M75" s="252" t="str">
        <f t="shared" si="73"/>
        <v/>
      </c>
      <c r="N75" s="250" t="str">
        <f>IFERROR((IF(VLOOKUP(BQ75,Input!$B$21:$AL$50,19+C75,FALSE)="c",$D$20/COS(RADIANS(180/$D$8)),$D$20)+CA75)*SIN(RADIANS(D75))-IF(AND(ISNUMBER(VLOOKUP(BQ75,Input!$B$21:$AL$50,19+C75,FALSE)),$D$8&lt;&gt;0),VLOOKUP(BQ75,Input!$B$21:$AL$50,19+C75,FALSE)*COS(RADIANS(D75)),0)-$D$35,"")</f>
        <v/>
      </c>
      <c r="O75" s="253" t="str">
        <f t="shared" si="43"/>
        <v/>
      </c>
      <c r="P75" s="253" t="str">
        <f t="shared" si="44"/>
        <v/>
      </c>
      <c r="Q75" s="253" t="str">
        <f t="shared" si="45"/>
        <v/>
      </c>
      <c r="R75" s="254" t="str">
        <f t="shared" si="46"/>
        <v/>
      </c>
      <c r="S75" s="251" t="str">
        <f t="shared" si="74"/>
        <v/>
      </c>
      <c r="T75" s="251" t="str">
        <f t="shared" si="75"/>
        <v/>
      </c>
      <c r="U75" s="251" t="str">
        <f t="shared" si="76"/>
        <v/>
      </c>
      <c r="V75" s="252" t="str">
        <f t="shared" si="77"/>
        <v/>
      </c>
      <c r="W75" s="323"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324"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324"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324" t="str">
        <f>IFERROR(IF('Macro References'!$A$9,IF(AND(CJ75,CL75="Welded"),MIN(CQ75:CT75),IF(AND(CK75,CL75="Welded"),MIN(DB75:DE75),"")),""),"")</f>
        <v/>
      </c>
      <c r="AA75" s="255" t="str">
        <f>IFERROR(IF('Macro References'!$A$9,IF(AND(CJ75,CL75="Welded"),MIN(CU75:CW75),IF(AND(CK75,CL75="Welded"),MIN(DF75:DH75),"")),""),"")</f>
        <v/>
      </c>
      <c r="AB75" s="255" t="str">
        <f>IFERROR(IF('Macro References'!$A$9,IF(AND(CJ75,CL75="Welded",CN75="Fillet",CU75&gt;0),TRUE,IF(AND(CK75,CL75="Welded",CY75="Fillet",DF75&gt;0),TRUE,"")),""),"")</f>
        <v/>
      </c>
      <c r="AC75" s="255"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255"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32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248"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32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274" t="str">
        <f t="shared" si="47"/>
        <v/>
      </c>
      <c r="AI75" s="255" t="str">
        <f t="shared" si="48"/>
        <v/>
      </c>
      <c r="AJ75" s="255" t="str">
        <f t="shared" si="49"/>
        <v/>
      </c>
      <c r="AK75" s="255" t="str">
        <f t="shared" si="85"/>
        <v/>
      </c>
      <c r="AL75" s="248" t="str">
        <f t="shared" si="78"/>
        <v/>
      </c>
      <c r="AM75" s="255" t="str">
        <f>""</f>
        <v/>
      </c>
      <c r="AN75" s="255" t="str">
        <f t="shared" si="50"/>
        <v/>
      </c>
      <c r="AO75" s="248" t="str">
        <f t="shared" si="51"/>
        <v/>
      </c>
      <c r="AP75" s="275" t="str">
        <f t="shared" si="52"/>
        <v/>
      </c>
      <c r="AQ75" s="276" t="str">
        <f t="shared" si="53"/>
        <v/>
      </c>
      <c r="AR75" s="255" t="str">
        <f>IF(BR75="","",VLOOKUP(VLOOKUP(BR75,Reinforcements[],COLUMN(Reinforcements[[#Headers],[Material]])-1,FALSE),Materials[],2,FALSE)/$D$28)</f>
        <v/>
      </c>
      <c r="AS75" s="248" t="str">
        <f t="shared" si="54"/>
        <v/>
      </c>
      <c r="AT75" s="327" t="str">
        <f t="shared" si="55"/>
        <v/>
      </c>
      <c r="AU75" s="277">
        <f t="shared" si="56"/>
        <v>0</v>
      </c>
      <c r="AV75" s="278">
        <f t="shared" si="57"/>
        <v>0</v>
      </c>
      <c r="AW75" s="278" t="e">
        <f t="shared" si="58"/>
        <v>#N/A</v>
      </c>
      <c r="AX75" s="278" t="e">
        <f t="shared" si="59"/>
        <v>#N/A</v>
      </c>
      <c r="AY75" s="278" t="str">
        <f t="shared" si="60"/>
        <v/>
      </c>
      <c r="AZ75" s="278" t="e">
        <f t="shared" si="61"/>
        <v>#VALUE!</v>
      </c>
      <c r="BA75" s="295" t="str">
        <f t="shared" si="62"/>
        <v/>
      </c>
      <c r="BB75" s="297" t="str">
        <f t="shared" si="79"/>
        <v/>
      </c>
      <c r="BC75" s="298" t="str">
        <f t="shared" si="63"/>
        <v/>
      </c>
      <c r="BD75" s="298" t="str">
        <f t="shared" si="64"/>
        <v/>
      </c>
      <c r="BE75" s="295" t="str">
        <f t="shared" si="80"/>
        <v/>
      </c>
      <c r="BF75" s="299" t="e">
        <f t="shared" si="81"/>
        <v>#DIV/0!</v>
      </c>
      <c r="BG75" s="300" t="str">
        <f t="shared" si="65"/>
        <v/>
      </c>
      <c r="BH75" s="300" t="str">
        <f t="shared" si="66"/>
        <v/>
      </c>
      <c r="BI75" s="295" t="e">
        <f t="shared" si="82"/>
        <v>#DIV/0!</v>
      </c>
      <c r="BJ75" s="299" t="str">
        <f t="shared" si="83"/>
        <v/>
      </c>
      <c r="BK75" s="278" t="e">
        <f t="shared" si="67"/>
        <v>#DIV/0!</v>
      </c>
      <c r="BL75" s="49" t="str">
        <f t="shared" si="68"/>
        <v/>
      </c>
      <c r="BP75" s="25" t="e">
        <f t="shared" si="69"/>
        <v>#DIV/0!</v>
      </c>
      <c r="BQ75" s="223" t="str">
        <f>IFERROR(VALUE(LEFT(VLOOKUP(Calculations!$D$4,Results!$G$5:$CM$105,67+$C75,FALSE),FIND(";",VLOOKUP(Calculations!$D$4,Results!$G$5:$CM$105,67+$C75,FALSE))-1)),"")</f>
        <v/>
      </c>
      <c r="BR75" s="303" t="str">
        <f>IF(BQ75="","",VLOOKUP(BQ75,Input!$B$21:$Q$50,13,FALSE))</f>
        <v/>
      </c>
      <c r="BS75" s="248" t="e">
        <f>VLOOKUP(BR75,Reinforcements[],COLUMN(Reinforcements[[#Headers],[Type]])-1,FALSE)</f>
        <v>#N/A</v>
      </c>
      <c r="BT75" s="248" t="e">
        <f>IF(BS75="solid round",VLOOKUP(BR75,Reinforcements[],COLUMN(Reinforcements[[#Headers],[Diameter (in)]])-1,FALSE),VLOOKUP(BR75,Reinforcements[],COLUMN(Reinforcements[[#Headers],[B (in)]])-1,FALSE))</f>
        <v>#N/A</v>
      </c>
      <c r="BU75" s="248" t="e">
        <f>IF(BS75="solid round",VLOOKUP(BR75,Reinforcements[],COLUMN(Reinforcements[[#Headers],[Diameter (in)]])-1,FALSE),VLOOKUP(BR75,Reinforcements[],COLUMN(Reinforcements[[#Headers],[H (in)]])-1,FALSE))</f>
        <v>#N/A</v>
      </c>
      <c r="BV75" s="278" t="e">
        <f>IFERROR((IF(VLOOKUP(BQ75,Input!$B$21:$AL$50,19+C75,FALSE)="c",$D$20/COS(RADIANS(180/$D$8)),$D$20)+BU75/2)*SIN(RADIANS(D75))-IF(ISNUMBER(VLOOKUP(BQ75,Input!$B$21:$AL$50,19+C75,FALSE)),VLOOKUP(BQ75,Input!$B$21:$AL$50,19+C75,FALSE)*COS(RADIANS(D75)),0)-$D$35,"")*0+N75*1</f>
        <v>#VALUE!</v>
      </c>
      <c r="BW75" s="248" t="e">
        <f>VLOOKUP(BR75,Reinforcements[],COLUMN(Reinforcements[[#Headers],[Effective B (in)]])-1,FALSE)</f>
        <v>#N/A</v>
      </c>
      <c r="BX75" s="248" t="e">
        <f>VLOOKUP(BR75,Reinforcements[],COLUMN(Reinforcements[[#Headers],[Effective H (in)]])-1,FALSE)</f>
        <v>#N/A</v>
      </c>
      <c r="BY75" s="248" t="e">
        <f>VLOOKUP(BR75,Reinforcements[],COLUMN(Reinforcements[[#Headers],[Gross Area (in2)]])-1,FALSE)</f>
        <v>#N/A</v>
      </c>
      <c r="BZ75" s="255" t="s">
        <v>697</v>
      </c>
      <c r="CA75" s="248" t="e">
        <f>VLOOKUP(BR75,Reinforcements[],COLUMN(Reinforcements[[#Headers],[Pole Face to Centroid (in)]])-1,FALSE)</f>
        <v>#N/A</v>
      </c>
      <c r="CB75" s="248" t="e">
        <f>VLOOKUP(BR75,Reinforcements[],COLUMN(Reinforcements[[#Headers],[Equivalent Rectangle Ix (in4)]])-1,FALSE)</f>
        <v>#N/A</v>
      </c>
      <c r="CC75" s="248" t="e">
        <f>VLOOKUP(BR75,Reinforcements[],COLUMN(Reinforcements[[#Headers],[Equivalent Rectangle Iy (in4)]])-1,FALSE)</f>
        <v>#N/A</v>
      </c>
      <c r="CD75" s="248" t="e">
        <f>VLOOKUP(BR75,Reinforcements[],COLUMN(Reinforcements[[#Headers],[Lu (in)]])-1,FALSE)</f>
        <v>#N/A</v>
      </c>
      <c r="CE75" s="255" t="s">
        <v>697</v>
      </c>
      <c r="CF75" s="255" t="s">
        <v>697</v>
      </c>
      <c r="CG75" s="248" t="e">
        <f>VLOOKUP(VLOOKUP(BR75,Reinforcements[],COLUMN(Reinforcements[[#Headers],[Material]])-1,FALSE),Materials[],2,FALSE)</f>
        <v>#N/A</v>
      </c>
      <c r="CH75" s="248" t="e">
        <f>VLOOKUP(VLOOKUP(BR75,Reinforcements[],COLUMN(Reinforcements[[#Headers],[Material]])-1,FALSE),Materials[],3,FALSE)</f>
        <v>#N/A</v>
      </c>
      <c r="CI75" s="255" t="e">
        <f>VLOOKUP(BR75,Reinforcements[],COLUMN(Reinforcements[[#Headers],[Tension Only?]])-1,FALSE)</f>
        <v>#N/A</v>
      </c>
      <c r="CJ75" s="17" t="str">
        <f>IF(BQ75="","",AND(INDEX(Results!$G$5:$G$104,MATCH(VLOOKUP($BQ75,Input!$B$21:$J$50,2,FALSE)-0.001,Results!$G$5:$G$104,-1))=$D$4))</f>
        <v/>
      </c>
      <c r="CK75" s="17" t="str">
        <f>IF(BQ75="","",AND(INDEX('Macro References'!$BB$2:$BB$101,MATCH(VLOOKUP($BQ75,Input!$B$21:$J$50,6,FALSE)-0.001,'Macro References'!$BB$2:$BB$101,1))=$D$4))</f>
        <v/>
      </c>
      <c r="CL75" s="17" t="e">
        <f>IF(CJ75,VLOOKUP(BR75,Reinforcements[],COLUMN(Reinforcements[[#Headers],[Bottom End Connection Type]])-1,FALSE),IF(CK75,VLOOKUP(BR75,Reinforcements[],COLUMN(Reinforcements[[#Headers],[Top End Connection Type]])-1,FALSE),""))</f>
        <v>#VALUE!</v>
      </c>
      <c r="CM75" s="17" t="e">
        <f>IF(ISBLANK(VLOOKUP(BR75,Reinforcements[],COLUMN(Reinforcements[[#Headers],[Bottom Transverse Weld Length]])-1,FALSE)),"",(VLOOKUP(BR75,Reinforcements[],COLUMN(Reinforcements[[#Headers],[Bottom Transverse Weld Length]])-1,FALSE)))</f>
        <v>#N/A</v>
      </c>
      <c r="CN75" s="17" t="e">
        <f>IF(ISBLANK(VLOOKUP(BR75,Reinforcements[],COLUMN(Reinforcements[[#Headers],[Bottom Transverse (Horizontal) Weld]])-1,FALSE)),"",(VLOOKUP(BR75,Reinforcements[],COLUMN(Reinforcements[[#Headers],[Bottom Transverse (Horizontal) Weld]])-1,FALSE)))</f>
        <v>#N/A</v>
      </c>
      <c r="CO75" s="17" t="e">
        <f>IF(ISBLANK(VLOOKUP(BR75,Reinforcements[],COLUMN(Reinforcements[[#Headers],[Bottom Longitudinal Weld Length]])-1,FALSE)),"",(VLOOKUP(BR75,Reinforcements[],COLUMN(Reinforcements[[#Headers],[Bottom Longitudinal Weld Length]])-1,FALSE)))</f>
        <v>#N/A</v>
      </c>
      <c r="CP75" s="17" t="str">
        <f>IFERROR(VLOOKUP(BR75,Reinforcements[],COLUMN(Reinforcements[[#Headers],[Bottom Connected to Flange/Base Plate?]])-1,FALSE),"")</f>
        <v/>
      </c>
      <c r="CQ75" s="248" t="e">
        <f>IF(Rev="F",VLOOKUP(BR75,Reinforcements[],COLUMN(Reinforcements[[#Headers],[Rev. F Bottom Transverse Weld Strength]])-1,FALSE),VLOOKUP(BR75,Reinforcements[],COLUMN(Reinforcements[[#Headers],[Rev. G Bottom Transverse Weld Strength]])-1,FALSE))</f>
        <v>#N/A</v>
      </c>
      <c r="CR75" s="248"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248" t="str">
        <f>IF(CP75&lt;&gt;"Yes","",(VLOOKUP(BR75,Reinforcements[],COLUMN(Reinforcements[[#Headers],[Bottom Transverse Weld Groove Depth (in)]])-1,FALSE)+VLOOKUP(BR75,Reinforcements[],COLUMN(Reinforcements[[#Headers],[Bottom Transverse Weld Fillet Size (in)]])-1,FALSE))*CM75*IF(Rev="F",0.6,φ_t_y)*$D$14)</f>
        <v/>
      </c>
      <c r="CT75" s="248" t="e">
        <f>IF(CP75="Yes","",VLOOKUP(BR75,Reinforcements[],COLUMN(Reinforcements[[#Headers],[Bottom Transverse Weld Fillet Size (in)]])-1,FALSE)*CM75*MIN(IF(Rev="F",0.4,φ_shear_yield*0.6)*$D$6,IF(Rev="F",0.3,φ_shear_rupture*0.6)*$D$7))</f>
        <v>#N/A</v>
      </c>
      <c r="CU75" s="248" t="e">
        <f>IF(Rev="F",VLOOKUP(BR75,Reinforcements[],COLUMN(Reinforcements[[#Headers],[Rev. F Bottom Longitudinal Weld Strength]])-1,FALSE),VLOOKUP(BR75,Reinforcements[],COLUMN(Reinforcements[[#Headers],[Rev. G Bottom Longitudinal Weld Strength]])-1,FALSE))</f>
        <v>#N/A</v>
      </c>
      <c r="CV75" s="248" t="e">
        <f>2*VLOOKUP(BR75,Reinforcements[],COLUMN(Reinforcements[[#Headers],[Bottom Longitudinal Weld Fillet Size (in)]])-1,FALSE)*CO75*MIN(IF(Rev="F",0.4,φ_shear_yield*0.6)*CG75,IF(Rev="F",0.3,φ_shear_rupture*0.6)*CH75)</f>
        <v>#N/A</v>
      </c>
      <c r="CW75" s="248" t="e">
        <f>2*VLOOKUP(BR75,Reinforcements[],COLUMN(Reinforcements[[#Headers],[Bottom Longitudinal Weld Fillet Size (in)]])-1,FALSE)*CO75*MIN(IF(Rev="F",0.4,φ_shear_yield*0.6)*$D$6,IF(Rev="F",0.3,φ_shear_rupture*0.6)*$D$7)</f>
        <v>#N/A</v>
      </c>
      <c r="CX75" s="248" t="e">
        <f>IF(ISBLANK(VLOOKUP(BR75,Reinforcements[],COLUMN(Reinforcements[[#Headers],[Top Transverse Weld Length]])-1,FALSE)),"",(VLOOKUP(BR75,Reinforcements[],COLUMN(Reinforcements[[#Headers],[Top Transverse Weld Length]])-1,FALSE)))</f>
        <v>#N/A</v>
      </c>
      <c r="CY75" s="248" t="e">
        <f>IF(ISBLANK(VLOOKUP(BR75,Reinforcements[],COLUMN(Reinforcements[[#Headers],[Top Transverse (Horizontal) Weld]])-1,FALSE)),"",(VLOOKUP(BR75,Reinforcements[],COLUMN(Reinforcements[[#Headers],[Top Transverse (Horizontal) Weld]])-1,FALSE)))</f>
        <v>#N/A</v>
      </c>
      <c r="CZ75" s="248" t="e">
        <f>IF(ISBLANK(VLOOKUP(BR75,Reinforcements[],COLUMN(Reinforcements[[#Headers],[Top Longitudinal Weld Length]])-1,FALSE)),"",(VLOOKUP(BR75,Reinforcements[],COLUMN(Reinforcements[[#Headers],[Top Longitudinal Weld Length]])-1,FALSE)))</f>
        <v>#N/A</v>
      </c>
      <c r="DA75" s="248" t="str">
        <f>IFERROR(VLOOKUP(BR75,Reinforcements[],COLUMN(Reinforcements[[#Headers],[Top Connected to Flange/Base Plate?]])-1,FALSE),"")</f>
        <v/>
      </c>
      <c r="DB75" s="248" t="e">
        <f>IF(Rev="F",VLOOKUP(BR75,Reinforcements[],COLUMN(Reinforcements[[#Headers],[Rev. F Top Transverse Weld Strength]])-1,FALSE),VLOOKUP(BR75,Reinforcements[],COLUMN(Reinforcements[[#Headers],[Rev. G Top Transverse Weld Strength]])-1,FALSE))</f>
        <v>#N/A</v>
      </c>
      <c r="DC75" s="248"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248" t="str">
        <f>IF(DA75&lt;&gt;"Yes","",(VLOOKUP(BR75,Reinforcements[],COLUMN(Reinforcements[[#Headers],[Top Transverse Weld Groove Depth (in)]])-1,FALSE)+VLOOKUP(BR75,Reinforcements[],COLUMN(Reinforcements[[#Headers],[Top Transverse Weld Fillet Size (in)]])-1,FALSE))*CX75*IF(Rev="F",0.6,φ_t_y)*$D$14)</f>
        <v/>
      </c>
      <c r="DE75" s="248" t="e">
        <f>IF(DA75="Yes","",VLOOKUP(BR75,Reinforcements[],COLUMN(Reinforcements[[#Headers],[Top Transverse Weld Fillet Size (in)]])-1,FALSE)*CX75*MIN(IF(Rev="F",0.4,φ_shear_yield*0.6)*$D$6,IF(Rev="F",0.3,φ_shear_rupture*0.6)*$D$7))</f>
        <v>#N/A</v>
      </c>
      <c r="DF75" s="248" t="e">
        <f>IF(Rev="F",VLOOKUP(BR75,Reinforcements[],COLUMN(Reinforcements[[#Headers],[Rev. F Top Longitudinal Weld Strength]])-1,FALSE),VLOOKUP(BR75,Reinforcements[],COLUMN(Reinforcements[[#Headers],[Rev. G Top Longitudinal Weld Strength]])-1,FALSE))</f>
        <v>#N/A</v>
      </c>
      <c r="DG75" s="248" t="e">
        <f>2*VLOOKUP(BR75,Reinforcements[],COLUMN(Reinforcements[[#Headers],[Top Longitudinal Weld Fillet Size (in)]])-1,FALSE)*CZ75*MIN(IF(Rev="F",0.4,φ_shear_yield*0.6)*CG75,IF(Rev="F",0.3,φ_shear_rupture*0.6)*CH75)</f>
        <v>#N/A</v>
      </c>
      <c r="DH75" s="248" t="e">
        <f>2*VLOOKUP(BR75,Reinforcements[],COLUMN(Reinforcements[[#Headers],[Top Longitudinal Weld Fillet Size (in)]])-1,FALSE)*CZ75*MIN(IF(Rev="F",0.4,φ_shear_yield*0.6)*$D$6,IF(Rev="F",0.3,φ_shear_rupture*0.6)*$D$7)</f>
        <v>#N/A</v>
      </c>
      <c r="DI75" s="49" t="e">
        <f>IF(BS75="channel",VLOOKUP(Calculations!BR75,Reinforcements[],COLUMN(Reinforcements[[#Headers],['[Channel']Web Thickness (in)]])-1,FALSE),"")</f>
        <v>#N/A</v>
      </c>
      <c r="DJ75" s="49" t="b">
        <f t="shared" si="84"/>
        <v>0</v>
      </c>
      <c r="DK75" s="49" t="e">
        <f>IF(BS75="channel",Calculations!BU75-DI75,"")</f>
        <v>#N/A</v>
      </c>
      <c r="DL75" s="49" t="e">
        <f>IF(BS75="channel",(Calculations!BY75-Calculations!BT75*DI75)/(2*DK75))</f>
        <v>#N/A</v>
      </c>
      <c r="DM75" s="49" t="e">
        <f>IF(BS75="channel",(Calculations!BT75*(DI75^2)/2+2*DK75*DL75*(DI75+DK75/2))/Calculations!BY75,"")</f>
        <v>#N/A</v>
      </c>
    </row>
    <row r="76" spans="2:117" ht="15" x14ac:dyDescent="0.25">
      <c r="B76" s="49" t="str">
        <f t="shared" si="70"/>
        <v/>
      </c>
      <c r="C76" s="201">
        <v>17</v>
      </c>
      <c r="D76" s="255" t="str">
        <f>IF(BQ76="","",IF($D$8=0,IF(OR(VLOOKUP(BQ76,Input!$B$21:$AL$50,19+C76,FALSE)+$D$5=0,VLOOKUP(BQ76,Input!$B$21:$AL$50,19+C76,FALSE)+$D$5=180),VLOOKUP(BQ76,Input!$B$21:$AL$50,19+C76,FALSE)+$D$5+0.0001,VLOOKUP(BQ76,Input!$B$21:$AL$50,19+C76,FALSE)+$D$5),IF(VLOOKUP(BQ76,Input!$B$21:$AL$50,19+C76,FALSE)="c",VLOOKUP($C76,$C$40:$E$57,2,FALSE)+180/$D$8,VLOOKUP($C76,$C$40:$E$57,2,FALSE))))</f>
        <v/>
      </c>
      <c r="E76" s="17" t="str">
        <f t="shared" si="39"/>
        <v/>
      </c>
      <c r="F76" s="258" t="str">
        <f>IF(BR76="","",VLOOKUP(BR76,Reinforcements[],COLUMN(Reinforcements[[#Headers],[Gross Area (in2)]])-1,FALSE))</f>
        <v/>
      </c>
      <c r="G76" s="256" t="e">
        <f>(IF(VLOOKUP(BQ76,Input!$B$21:$AL$50,19+C76,FALSE)="c",$D$20/COS(RADIANS(180/$D$8)),$D$20)+CA76)*SIN(RADIANS(D76))-IF(AND(ISNUMBER(VLOOKUP(BQ76,Input!$B$21:$AL$50,19+C76,FALSE)),$D$8&lt;&gt;0),VLOOKUP(BQ76,Input!$B$21:$AL$50,19+C76,FALSE)*COS(RADIANS(D76)),0)</f>
        <v>#N/A</v>
      </c>
      <c r="H76" s="251" t="str">
        <f t="shared" si="71"/>
        <v/>
      </c>
      <c r="I76" s="251" t="e">
        <f t="shared" si="40"/>
        <v>#N/A</v>
      </c>
      <c r="J76" s="251" t="e">
        <f t="shared" si="41"/>
        <v>#N/A</v>
      </c>
      <c r="K76" s="251" t="e">
        <f t="shared" si="42"/>
        <v>#N/A</v>
      </c>
      <c r="L76" s="251" t="e">
        <f t="shared" si="72"/>
        <v>#N/A</v>
      </c>
      <c r="M76" s="252" t="str">
        <f t="shared" si="73"/>
        <v/>
      </c>
      <c r="N76" s="250" t="str">
        <f>IFERROR((IF(VLOOKUP(BQ76,Input!$B$21:$AL$50,19+C76,FALSE)="c",$D$20/COS(RADIANS(180/$D$8)),$D$20)+CA76)*SIN(RADIANS(D76))-IF(AND(ISNUMBER(VLOOKUP(BQ76,Input!$B$21:$AL$50,19+C76,FALSE)),$D$8&lt;&gt;0),VLOOKUP(BQ76,Input!$B$21:$AL$50,19+C76,FALSE)*COS(RADIANS(D76)),0)-$D$35,"")</f>
        <v/>
      </c>
      <c r="O76" s="253" t="str">
        <f t="shared" si="43"/>
        <v/>
      </c>
      <c r="P76" s="253" t="str">
        <f t="shared" si="44"/>
        <v/>
      </c>
      <c r="Q76" s="253" t="str">
        <f t="shared" si="45"/>
        <v/>
      </c>
      <c r="R76" s="254" t="str">
        <f t="shared" si="46"/>
        <v/>
      </c>
      <c r="S76" s="251" t="str">
        <f t="shared" si="74"/>
        <v/>
      </c>
      <c r="T76" s="251" t="str">
        <f t="shared" si="75"/>
        <v/>
      </c>
      <c r="U76" s="251" t="str">
        <f t="shared" si="76"/>
        <v/>
      </c>
      <c r="V76" s="252" t="str">
        <f t="shared" si="77"/>
        <v/>
      </c>
      <c r="W76" s="323"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324"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324"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324" t="str">
        <f>IFERROR(IF('Macro References'!$A$9,IF(AND(CJ76,CL76="Welded"),MIN(CQ76:CT76),IF(AND(CK76,CL76="Welded"),MIN(DB76:DE76),"")),""),"")</f>
        <v/>
      </c>
      <c r="AA76" s="255" t="str">
        <f>IFERROR(IF('Macro References'!$A$9,IF(AND(CJ76,CL76="Welded"),MIN(CU76:CW76),IF(AND(CK76,CL76="Welded"),MIN(DF76:DH76),"")),""),"")</f>
        <v/>
      </c>
      <c r="AB76" s="255" t="str">
        <f>IFERROR(IF('Macro References'!$A$9,IF(AND(CJ76,CL76="Welded",CN76="Fillet",CU76&gt;0),TRUE,IF(AND(CK76,CL76="Welded",CY76="Fillet",DF76&gt;0),TRUE,"")),""),"")</f>
        <v/>
      </c>
      <c r="AC76" s="255"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255"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32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248"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32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274" t="str">
        <f t="shared" si="47"/>
        <v/>
      </c>
      <c r="AI76" s="255" t="str">
        <f t="shared" si="48"/>
        <v/>
      </c>
      <c r="AJ76" s="255" t="str">
        <f t="shared" si="49"/>
        <v/>
      </c>
      <c r="AK76" s="255" t="str">
        <f t="shared" si="85"/>
        <v/>
      </c>
      <c r="AL76" s="248" t="str">
        <f t="shared" si="78"/>
        <v/>
      </c>
      <c r="AM76" s="255" t="str">
        <f>""</f>
        <v/>
      </c>
      <c r="AN76" s="255" t="str">
        <f t="shared" si="50"/>
        <v/>
      </c>
      <c r="AO76" s="248" t="str">
        <f t="shared" si="51"/>
        <v/>
      </c>
      <c r="AP76" s="275" t="str">
        <f t="shared" si="52"/>
        <v/>
      </c>
      <c r="AQ76" s="276" t="str">
        <f t="shared" si="53"/>
        <v/>
      </c>
      <c r="AR76" s="255" t="str">
        <f>IF(BR76="","",VLOOKUP(VLOOKUP(BR76,Reinforcements[],COLUMN(Reinforcements[[#Headers],[Material]])-1,FALSE),Materials[],2,FALSE)/$D$28)</f>
        <v/>
      </c>
      <c r="AS76" s="248" t="str">
        <f t="shared" si="54"/>
        <v/>
      </c>
      <c r="AT76" s="327" t="str">
        <f t="shared" si="55"/>
        <v/>
      </c>
      <c r="AU76" s="277">
        <f t="shared" si="56"/>
        <v>0</v>
      </c>
      <c r="AV76" s="278">
        <f t="shared" si="57"/>
        <v>0</v>
      </c>
      <c r="AW76" s="278" t="e">
        <f t="shared" si="58"/>
        <v>#N/A</v>
      </c>
      <c r="AX76" s="278" t="e">
        <f t="shared" si="59"/>
        <v>#N/A</v>
      </c>
      <c r="AY76" s="278" t="str">
        <f t="shared" si="60"/>
        <v/>
      </c>
      <c r="AZ76" s="278" t="e">
        <f t="shared" si="61"/>
        <v>#VALUE!</v>
      </c>
      <c r="BA76" s="295" t="str">
        <f t="shared" si="62"/>
        <v/>
      </c>
      <c r="BB76" s="297" t="str">
        <f t="shared" si="79"/>
        <v/>
      </c>
      <c r="BC76" s="298" t="str">
        <f t="shared" si="63"/>
        <v/>
      </c>
      <c r="BD76" s="298" t="str">
        <f t="shared" si="64"/>
        <v/>
      </c>
      <c r="BE76" s="295" t="str">
        <f t="shared" si="80"/>
        <v/>
      </c>
      <c r="BF76" s="299" t="e">
        <f t="shared" si="81"/>
        <v>#DIV/0!</v>
      </c>
      <c r="BG76" s="300" t="str">
        <f t="shared" si="65"/>
        <v/>
      </c>
      <c r="BH76" s="300" t="str">
        <f t="shared" si="66"/>
        <v/>
      </c>
      <c r="BI76" s="295" t="e">
        <f t="shared" si="82"/>
        <v>#DIV/0!</v>
      </c>
      <c r="BJ76" s="299" t="str">
        <f t="shared" si="83"/>
        <v/>
      </c>
      <c r="BK76" s="278" t="e">
        <f t="shared" si="67"/>
        <v>#DIV/0!</v>
      </c>
      <c r="BL76" s="49" t="str">
        <f t="shared" si="68"/>
        <v/>
      </c>
      <c r="BP76" s="25" t="e">
        <f t="shared" si="69"/>
        <v>#DIV/0!</v>
      </c>
      <c r="BQ76" s="223" t="str">
        <f>IFERROR(VALUE(LEFT(VLOOKUP(Calculations!$D$4,Results!$G$5:$CM$105,67+$C76,FALSE),FIND(";",VLOOKUP(Calculations!$D$4,Results!$G$5:$CM$105,67+$C76,FALSE))-1)),"")</f>
        <v/>
      </c>
      <c r="BR76" s="303" t="str">
        <f>IF(BQ76="","",VLOOKUP(BQ76,Input!$B$21:$Q$50,13,FALSE))</f>
        <v/>
      </c>
      <c r="BS76" s="248" t="e">
        <f>VLOOKUP(BR76,Reinforcements[],COLUMN(Reinforcements[[#Headers],[Type]])-1,FALSE)</f>
        <v>#N/A</v>
      </c>
      <c r="BT76" s="248" t="e">
        <f>IF(BS76="solid round",VLOOKUP(BR76,Reinforcements[],COLUMN(Reinforcements[[#Headers],[Diameter (in)]])-1,FALSE),VLOOKUP(BR76,Reinforcements[],COLUMN(Reinforcements[[#Headers],[B (in)]])-1,FALSE))</f>
        <v>#N/A</v>
      </c>
      <c r="BU76" s="248" t="e">
        <f>IF(BS76="solid round",VLOOKUP(BR76,Reinforcements[],COLUMN(Reinforcements[[#Headers],[Diameter (in)]])-1,FALSE),VLOOKUP(BR76,Reinforcements[],COLUMN(Reinforcements[[#Headers],[H (in)]])-1,FALSE))</f>
        <v>#N/A</v>
      </c>
      <c r="BV76" s="278" t="e">
        <f>IFERROR((IF(VLOOKUP(BQ76,Input!$B$21:$AL$50,19+C76,FALSE)="c",$D$20/COS(RADIANS(180/$D$8)),$D$20)+BU76/2)*SIN(RADIANS(D76))-IF(ISNUMBER(VLOOKUP(BQ76,Input!$B$21:$AL$50,19+C76,FALSE)),VLOOKUP(BQ76,Input!$B$21:$AL$50,19+C76,FALSE)*COS(RADIANS(D76)),0)-$D$35,"")*0+N76*1</f>
        <v>#VALUE!</v>
      </c>
      <c r="BW76" s="248" t="e">
        <f>VLOOKUP(BR76,Reinforcements[],COLUMN(Reinforcements[[#Headers],[Effective B (in)]])-1,FALSE)</f>
        <v>#N/A</v>
      </c>
      <c r="BX76" s="248" t="e">
        <f>VLOOKUP(BR76,Reinforcements[],COLUMN(Reinforcements[[#Headers],[Effective H (in)]])-1,FALSE)</f>
        <v>#N/A</v>
      </c>
      <c r="BY76" s="248" t="e">
        <f>VLOOKUP(BR76,Reinforcements[],COLUMN(Reinforcements[[#Headers],[Gross Area (in2)]])-1,FALSE)</f>
        <v>#N/A</v>
      </c>
      <c r="BZ76" s="255" t="s">
        <v>697</v>
      </c>
      <c r="CA76" s="248" t="e">
        <f>VLOOKUP(BR76,Reinforcements[],COLUMN(Reinforcements[[#Headers],[Pole Face to Centroid (in)]])-1,FALSE)</f>
        <v>#N/A</v>
      </c>
      <c r="CB76" s="248" t="e">
        <f>VLOOKUP(BR76,Reinforcements[],COLUMN(Reinforcements[[#Headers],[Equivalent Rectangle Ix (in4)]])-1,FALSE)</f>
        <v>#N/A</v>
      </c>
      <c r="CC76" s="248" t="e">
        <f>VLOOKUP(BR76,Reinforcements[],COLUMN(Reinforcements[[#Headers],[Equivalent Rectangle Iy (in4)]])-1,FALSE)</f>
        <v>#N/A</v>
      </c>
      <c r="CD76" s="248" t="e">
        <f>VLOOKUP(BR76,Reinforcements[],COLUMN(Reinforcements[[#Headers],[Lu (in)]])-1,FALSE)</f>
        <v>#N/A</v>
      </c>
      <c r="CE76" s="255" t="s">
        <v>697</v>
      </c>
      <c r="CF76" s="255" t="s">
        <v>697</v>
      </c>
      <c r="CG76" s="248" t="e">
        <f>VLOOKUP(VLOOKUP(BR76,Reinforcements[],COLUMN(Reinforcements[[#Headers],[Material]])-1,FALSE),Materials[],2,FALSE)</f>
        <v>#N/A</v>
      </c>
      <c r="CH76" s="248" t="e">
        <f>VLOOKUP(VLOOKUP(BR76,Reinforcements[],COLUMN(Reinforcements[[#Headers],[Material]])-1,FALSE),Materials[],3,FALSE)</f>
        <v>#N/A</v>
      </c>
      <c r="CI76" s="255" t="e">
        <f>VLOOKUP(BR76,Reinforcements[],COLUMN(Reinforcements[[#Headers],[Tension Only?]])-1,FALSE)</f>
        <v>#N/A</v>
      </c>
      <c r="CJ76" s="17" t="str">
        <f>IF(BQ76="","",AND(INDEX(Results!$G$5:$G$104,MATCH(VLOOKUP($BQ76,Input!$B$21:$J$50,2,FALSE)-0.001,Results!$G$5:$G$104,-1))=$D$4))</f>
        <v/>
      </c>
      <c r="CK76" s="17" t="str">
        <f>IF(BQ76="","",AND(INDEX('Macro References'!$BB$2:$BB$101,MATCH(VLOOKUP($BQ76,Input!$B$21:$J$50,6,FALSE)-0.001,'Macro References'!$BB$2:$BB$101,1))=$D$4))</f>
        <v/>
      </c>
      <c r="CL76" s="17" t="e">
        <f>IF(CJ76,VLOOKUP(BR76,Reinforcements[],COLUMN(Reinforcements[[#Headers],[Bottom End Connection Type]])-1,FALSE),IF(CK76,VLOOKUP(BR76,Reinforcements[],COLUMN(Reinforcements[[#Headers],[Top End Connection Type]])-1,FALSE),""))</f>
        <v>#VALUE!</v>
      </c>
      <c r="CM76" s="17" t="e">
        <f>IF(ISBLANK(VLOOKUP(BR76,Reinforcements[],COLUMN(Reinforcements[[#Headers],[Bottom Transverse Weld Length]])-1,FALSE)),"",(VLOOKUP(BR76,Reinforcements[],COLUMN(Reinforcements[[#Headers],[Bottom Transverse Weld Length]])-1,FALSE)))</f>
        <v>#N/A</v>
      </c>
      <c r="CN76" s="17" t="e">
        <f>IF(ISBLANK(VLOOKUP(BR76,Reinforcements[],COLUMN(Reinforcements[[#Headers],[Bottom Transverse (Horizontal) Weld]])-1,FALSE)),"",(VLOOKUP(BR76,Reinforcements[],COLUMN(Reinforcements[[#Headers],[Bottom Transverse (Horizontal) Weld]])-1,FALSE)))</f>
        <v>#N/A</v>
      </c>
      <c r="CO76" s="17" t="e">
        <f>IF(ISBLANK(VLOOKUP(BR76,Reinforcements[],COLUMN(Reinforcements[[#Headers],[Bottom Longitudinal Weld Length]])-1,FALSE)),"",(VLOOKUP(BR76,Reinforcements[],COLUMN(Reinforcements[[#Headers],[Bottom Longitudinal Weld Length]])-1,FALSE)))</f>
        <v>#N/A</v>
      </c>
      <c r="CP76" s="17" t="str">
        <f>IFERROR(VLOOKUP(BR76,Reinforcements[],COLUMN(Reinforcements[[#Headers],[Bottom Connected to Flange/Base Plate?]])-1,FALSE),"")</f>
        <v/>
      </c>
      <c r="CQ76" s="248" t="e">
        <f>IF(Rev="F",VLOOKUP(BR76,Reinforcements[],COLUMN(Reinforcements[[#Headers],[Rev. F Bottom Transverse Weld Strength]])-1,FALSE),VLOOKUP(BR76,Reinforcements[],COLUMN(Reinforcements[[#Headers],[Rev. G Bottom Transverse Weld Strength]])-1,FALSE))</f>
        <v>#N/A</v>
      </c>
      <c r="CR76" s="248"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248" t="str">
        <f>IF(CP76&lt;&gt;"Yes","",(VLOOKUP(BR76,Reinforcements[],COLUMN(Reinforcements[[#Headers],[Bottom Transverse Weld Groove Depth (in)]])-1,FALSE)+VLOOKUP(BR76,Reinforcements[],COLUMN(Reinforcements[[#Headers],[Bottom Transverse Weld Fillet Size (in)]])-1,FALSE))*CM76*IF(Rev="F",0.6,φ_t_y)*$D$14)</f>
        <v/>
      </c>
      <c r="CT76" s="248" t="e">
        <f>IF(CP76="Yes","",VLOOKUP(BR76,Reinforcements[],COLUMN(Reinforcements[[#Headers],[Bottom Transverse Weld Fillet Size (in)]])-1,FALSE)*CM76*MIN(IF(Rev="F",0.4,φ_shear_yield*0.6)*$D$6,IF(Rev="F",0.3,φ_shear_rupture*0.6)*$D$7))</f>
        <v>#N/A</v>
      </c>
      <c r="CU76" s="248" t="e">
        <f>IF(Rev="F",VLOOKUP(BR76,Reinforcements[],COLUMN(Reinforcements[[#Headers],[Rev. F Bottom Longitudinal Weld Strength]])-1,FALSE),VLOOKUP(BR76,Reinforcements[],COLUMN(Reinforcements[[#Headers],[Rev. G Bottom Longitudinal Weld Strength]])-1,FALSE))</f>
        <v>#N/A</v>
      </c>
      <c r="CV76" s="248" t="e">
        <f>2*VLOOKUP(BR76,Reinforcements[],COLUMN(Reinforcements[[#Headers],[Bottom Longitudinal Weld Fillet Size (in)]])-1,FALSE)*CO76*MIN(IF(Rev="F",0.4,φ_shear_yield*0.6)*CG76,IF(Rev="F",0.3,φ_shear_rupture*0.6)*CH76)</f>
        <v>#N/A</v>
      </c>
      <c r="CW76" s="248" t="e">
        <f>2*VLOOKUP(BR76,Reinforcements[],COLUMN(Reinforcements[[#Headers],[Bottom Longitudinal Weld Fillet Size (in)]])-1,FALSE)*CO76*MIN(IF(Rev="F",0.4,φ_shear_yield*0.6)*$D$6,IF(Rev="F",0.3,φ_shear_rupture*0.6)*$D$7)</f>
        <v>#N/A</v>
      </c>
      <c r="CX76" s="248" t="e">
        <f>IF(ISBLANK(VLOOKUP(BR76,Reinforcements[],COLUMN(Reinforcements[[#Headers],[Top Transverse Weld Length]])-1,FALSE)),"",(VLOOKUP(BR76,Reinforcements[],COLUMN(Reinforcements[[#Headers],[Top Transverse Weld Length]])-1,FALSE)))</f>
        <v>#N/A</v>
      </c>
      <c r="CY76" s="248" t="e">
        <f>IF(ISBLANK(VLOOKUP(BR76,Reinforcements[],COLUMN(Reinforcements[[#Headers],[Top Transverse (Horizontal) Weld]])-1,FALSE)),"",(VLOOKUP(BR76,Reinforcements[],COLUMN(Reinforcements[[#Headers],[Top Transverse (Horizontal) Weld]])-1,FALSE)))</f>
        <v>#N/A</v>
      </c>
      <c r="CZ76" s="248" t="e">
        <f>IF(ISBLANK(VLOOKUP(BR76,Reinforcements[],COLUMN(Reinforcements[[#Headers],[Top Longitudinal Weld Length]])-1,FALSE)),"",(VLOOKUP(BR76,Reinforcements[],COLUMN(Reinforcements[[#Headers],[Top Longitudinal Weld Length]])-1,FALSE)))</f>
        <v>#N/A</v>
      </c>
      <c r="DA76" s="248" t="str">
        <f>IFERROR(VLOOKUP(BR76,Reinforcements[],COLUMN(Reinforcements[[#Headers],[Top Connected to Flange/Base Plate?]])-1,FALSE),"")</f>
        <v/>
      </c>
      <c r="DB76" s="248" t="e">
        <f>IF(Rev="F",VLOOKUP(BR76,Reinforcements[],COLUMN(Reinforcements[[#Headers],[Rev. F Top Transverse Weld Strength]])-1,FALSE),VLOOKUP(BR76,Reinforcements[],COLUMN(Reinforcements[[#Headers],[Rev. G Top Transverse Weld Strength]])-1,FALSE))</f>
        <v>#N/A</v>
      </c>
      <c r="DC76" s="248"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248" t="str">
        <f>IF(DA76&lt;&gt;"Yes","",(VLOOKUP(BR76,Reinforcements[],COLUMN(Reinforcements[[#Headers],[Top Transverse Weld Groove Depth (in)]])-1,FALSE)+VLOOKUP(BR76,Reinforcements[],COLUMN(Reinforcements[[#Headers],[Top Transverse Weld Fillet Size (in)]])-1,FALSE))*CX76*IF(Rev="F",0.6,φ_t_y)*$D$14)</f>
        <v/>
      </c>
      <c r="DE76" s="248" t="e">
        <f>IF(DA76="Yes","",VLOOKUP(BR76,Reinforcements[],COLUMN(Reinforcements[[#Headers],[Top Transverse Weld Fillet Size (in)]])-1,FALSE)*CX76*MIN(IF(Rev="F",0.4,φ_shear_yield*0.6)*$D$6,IF(Rev="F",0.3,φ_shear_rupture*0.6)*$D$7))</f>
        <v>#N/A</v>
      </c>
      <c r="DF76" s="248" t="e">
        <f>IF(Rev="F",VLOOKUP(BR76,Reinforcements[],COLUMN(Reinforcements[[#Headers],[Rev. F Top Longitudinal Weld Strength]])-1,FALSE),VLOOKUP(BR76,Reinforcements[],COLUMN(Reinforcements[[#Headers],[Rev. G Top Longitudinal Weld Strength]])-1,FALSE))</f>
        <v>#N/A</v>
      </c>
      <c r="DG76" s="248" t="e">
        <f>2*VLOOKUP(BR76,Reinforcements[],COLUMN(Reinforcements[[#Headers],[Top Longitudinal Weld Fillet Size (in)]])-1,FALSE)*CZ76*MIN(IF(Rev="F",0.4,φ_shear_yield*0.6)*CG76,IF(Rev="F",0.3,φ_shear_rupture*0.6)*CH76)</f>
        <v>#N/A</v>
      </c>
      <c r="DH76" s="248" t="e">
        <f>2*VLOOKUP(BR76,Reinforcements[],COLUMN(Reinforcements[[#Headers],[Top Longitudinal Weld Fillet Size (in)]])-1,FALSE)*CZ76*MIN(IF(Rev="F",0.4,φ_shear_yield*0.6)*$D$6,IF(Rev="F",0.3,φ_shear_rupture*0.6)*$D$7)</f>
        <v>#N/A</v>
      </c>
      <c r="DI76" s="49" t="e">
        <f>IF(BS76="channel",VLOOKUP(Calculations!BR76,Reinforcements[],COLUMN(Reinforcements[[#Headers],['[Channel']Web Thickness (in)]])-1,FALSE),"")</f>
        <v>#N/A</v>
      </c>
      <c r="DJ76" s="49" t="b">
        <f t="shared" si="84"/>
        <v>0</v>
      </c>
      <c r="DK76" s="49" t="e">
        <f>IF(BS76="channel",Calculations!BU76-DI76,"")</f>
        <v>#N/A</v>
      </c>
      <c r="DL76" s="49" t="e">
        <f>IF(BS76="channel",(Calculations!BY76-Calculations!BT76*DI76)/(2*DK76))</f>
        <v>#N/A</v>
      </c>
      <c r="DM76" s="49" t="e">
        <f>IF(BS76="channel",(Calculations!BT76*(DI76^2)/2+2*DK76*DL76*(DI76+DK76/2))/Calculations!BY76,"")</f>
        <v>#N/A</v>
      </c>
    </row>
    <row r="77" spans="2:117" ht="15" x14ac:dyDescent="0.25">
      <c r="B77" s="49" t="str">
        <f t="shared" si="70"/>
        <v/>
      </c>
      <c r="C77" s="201">
        <v>18</v>
      </c>
      <c r="D77" s="255" t="str">
        <f>IF(BQ77="","",IF($D$8=0,IF(OR(VLOOKUP(BQ77,Input!$B$21:$AL$50,19+C77,FALSE)+$D$5=0,VLOOKUP(BQ77,Input!$B$21:$AL$50,19+C77,FALSE)+$D$5=180),VLOOKUP(BQ77,Input!$B$21:$AL$50,19+C77,FALSE)+$D$5+0.0001,VLOOKUP(BQ77,Input!$B$21:$AL$50,19+C77,FALSE)+$D$5),IF(VLOOKUP(BQ77,Input!$B$21:$AL$50,19+C77,FALSE)="c",VLOOKUP($C77,$C$40:$E$57,2,FALSE)+180/$D$8,VLOOKUP($C77,$C$40:$E$57,2,FALSE))))</f>
        <v/>
      </c>
      <c r="E77" s="17" t="str">
        <f t="shared" si="39"/>
        <v/>
      </c>
      <c r="F77" s="258" t="str">
        <f>IF(BR77="","",VLOOKUP(BR77,Reinforcements[],COLUMN(Reinforcements[[#Headers],[Gross Area (in2)]])-1,FALSE))</f>
        <v/>
      </c>
      <c r="G77" s="256" t="e">
        <f>(IF(VLOOKUP(BQ77,Input!$B$21:$AL$50,19+C77,FALSE)="c",$D$20/COS(RADIANS(180/$D$8)),$D$20)+CA77)*SIN(RADIANS(D77))-IF(AND(ISNUMBER(VLOOKUP(BQ77,Input!$B$21:$AL$50,19+C77,FALSE)),$D$8&lt;&gt;0),VLOOKUP(BQ77,Input!$B$21:$AL$50,19+C77,FALSE)*COS(RADIANS(D77)),0)</f>
        <v>#N/A</v>
      </c>
      <c r="H77" s="251" t="str">
        <f t="shared" si="71"/>
        <v/>
      </c>
      <c r="I77" s="251" t="e">
        <f t="shared" si="40"/>
        <v>#N/A</v>
      </c>
      <c r="J77" s="251" t="e">
        <f t="shared" si="41"/>
        <v>#N/A</v>
      </c>
      <c r="K77" s="251" t="e">
        <f t="shared" si="42"/>
        <v>#N/A</v>
      </c>
      <c r="L77" s="251" t="e">
        <f t="shared" si="72"/>
        <v>#N/A</v>
      </c>
      <c r="M77" s="252" t="str">
        <f t="shared" si="73"/>
        <v/>
      </c>
      <c r="N77" s="250" t="str">
        <f>IFERROR((IF(VLOOKUP(BQ77,Input!$B$21:$AL$50,19+C77,FALSE)="c",$D$20/COS(RADIANS(180/$D$8)),$D$20)+CA77)*SIN(RADIANS(D77))-IF(AND(ISNUMBER(VLOOKUP(BQ77,Input!$B$21:$AL$50,19+C77,FALSE)),$D$8&lt;&gt;0),VLOOKUP(BQ77,Input!$B$21:$AL$50,19+C77,FALSE)*COS(RADIANS(D77)),0)-$D$35,"")</f>
        <v/>
      </c>
      <c r="O77" s="253" t="str">
        <f t="shared" si="43"/>
        <v/>
      </c>
      <c r="P77" s="253" t="str">
        <f t="shared" si="44"/>
        <v/>
      </c>
      <c r="Q77" s="253" t="str">
        <f t="shared" si="45"/>
        <v/>
      </c>
      <c r="R77" s="254" t="str">
        <f t="shared" si="46"/>
        <v/>
      </c>
      <c r="S77" s="251" t="str">
        <f t="shared" si="74"/>
        <v/>
      </c>
      <c r="T77" s="251" t="str">
        <f t="shared" si="75"/>
        <v/>
      </c>
      <c r="U77" s="251" t="str">
        <f t="shared" si="76"/>
        <v/>
      </c>
      <c r="V77" s="252" t="str">
        <f t="shared" si="77"/>
        <v/>
      </c>
      <c r="W77" s="323"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324"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324"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324" t="str">
        <f>IFERROR(IF('Macro References'!$A$9,IF(AND(CJ77,CL77="Welded"),MIN(CQ77:CT77),IF(AND(CK77,CL77="Welded"),MIN(DB77:DE77),"")),""),"")</f>
        <v/>
      </c>
      <c r="AA77" s="255" t="str">
        <f>IFERROR(IF('Macro References'!$A$9,IF(AND(CJ77,CL77="Welded"),MIN(CU77:CW77),IF(AND(CK77,CL77="Welded"),MIN(DF77:DH77),"")),""),"")</f>
        <v/>
      </c>
      <c r="AB77" s="255" t="str">
        <f>IFERROR(IF('Macro References'!$A$9,IF(AND(CJ77,CL77="Welded",CN77="Fillet",CU77&gt;0),TRUE,IF(AND(CK77,CL77="Welded",CY77="Fillet",DF77&gt;0),TRUE,"")),""),"")</f>
        <v/>
      </c>
      <c r="AC77" s="255"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255"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32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248"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32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274" t="str">
        <f t="shared" si="47"/>
        <v/>
      </c>
      <c r="AI77" s="255" t="str">
        <f t="shared" si="48"/>
        <v/>
      </c>
      <c r="AJ77" s="255" t="str">
        <f t="shared" si="49"/>
        <v/>
      </c>
      <c r="AK77" s="255" t="str">
        <f t="shared" si="85"/>
        <v/>
      </c>
      <c r="AL77" s="248" t="str">
        <f t="shared" si="78"/>
        <v/>
      </c>
      <c r="AM77" s="255" t="str">
        <f>""</f>
        <v/>
      </c>
      <c r="AN77" s="255" t="str">
        <f t="shared" si="50"/>
        <v/>
      </c>
      <c r="AO77" s="248" t="str">
        <f t="shared" si="51"/>
        <v/>
      </c>
      <c r="AP77" s="275" t="str">
        <f t="shared" si="52"/>
        <v/>
      </c>
      <c r="AQ77" s="276" t="str">
        <f t="shared" si="53"/>
        <v/>
      </c>
      <c r="AR77" s="255" t="str">
        <f>IF(BR77="","",VLOOKUP(VLOOKUP(BR77,Reinforcements[],COLUMN(Reinforcements[[#Headers],[Material]])-1,FALSE),Materials[],2,FALSE)/$D$28)</f>
        <v/>
      </c>
      <c r="AS77" s="248" t="str">
        <f t="shared" si="54"/>
        <v/>
      </c>
      <c r="AT77" s="327" t="str">
        <f t="shared" si="55"/>
        <v/>
      </c>
      <c r="AU77" s="277">
        <f t="shared" si="56"/>
        <v>0</v>
      </c>
      <c r="AV77" s="278">
        <f t="shared" si="57"/>
        <v>0</v>
      </c>
      <c r="AW77" s="278" t="e">
        <f t="shared" si="58"/>
        <v>#N/A</v>
      </c>
      <c r="AX77" s="278" t="e">
        <f t="shared" si="59"/>
        <v>#N/A</v>
      </c>
      <c r="AY77" s="278" t="str">
        <f t="shared" si="60"/>
        <v/>
      </c>
      <c r="AZ77" s="278" t="e">
        <f t="shared" si="61"/>
        <v>#VALUE!</v>
      </c>
      <c r="BA77" s="295" t="str">
        <f t="shared" si="62"/>
        <v/>
      </c>
      <c r="BB77" s="297" t="str">
        <f t="shared" si="79"/>
        <v/>
      </c>
      <c r="BC77" s="298" t="str">
        <f t="shared" si="63"/>
        <v/>
      </c>
      <c r="BD77" s="298" t="str">
        <f t="shared" si="64"/>
        <v/>
      </c>
      <c r="BE77" s="295" t="str">
        <f t="shared" si="80"/>
        <v/>
      </c>
      <c r="BF77" s="299" t="e">
        <f t="shared" si="81"/>
        <v>#DIV/0!</v>
      </c>
      <c r="BG77" s="300" t="str">
        <f t="shared" si="65"/>
        <v/>
      </c>
      <c r="BH77" s="300" t="str">
        <f t="shared" si="66"/>
        <v/>
      </c>
      <c r="BI77" s="295" t="e">
        <f t="shared" si="82"/>
        <v>#DIV/0!</v>
      </c>
      <c r="BJ77" s="299" t="str">
        <f t="shared" si="83"/>
        <v/>
      </c>
      <c r="BK77" s="278" t="e">
        <f t="shared" si="67"/>
        <v>#DIV/0!</v>
      </c>
      <c r="BL77" s="49" t="str">
        <f t="shared" si="68"/>
        <v/>
      </c>
      <c r="BP77" s="25" t="e">
        <f t="shared" si="69"/>
        <v>#DIV/0!</v>
      </c>
      <c r="BQ77" s="223" t="str">
        <f>IFERROR(VALUE(LEFT(VLOOKUP(Calculations!$D$4,Results!$G$5:$CM$105,67+$C77,FALSE),FIND(";",VLOOKUP(Calculations!$D$4,Results!$G$5:$CM$105,67+$C77,FALSE))-1)),"")</f>
        <v/>
      </c>
      <c r="BR77" s="303" t="str">
        <f>IF(BQ77="","",VLOOKUP(BQ77,Input!$B$21:$Q$50,13,FALSE))</f>
        <v/>
      </c>
      <c r="BS77" s="248" t="e">
        <f>VLOOKUP(BR77,Reinforcements[],COLUMN(Reinforcements[[#Headers],[Type]])-1,FALSE)</f>
        <v>#N/A</v>
      </c>
      <c r="BT77" s="248" t="e">
        <f>IF(BS77="solid round",VLOOKUP(BR77,Reinforcements[],COLUMN(Reinforcements[[#Headers],[Diameter (in)]])-1,FALSE),VLOOKUP(BR77,Reinforcements[],COLUMN(Reinforcements[[#Headers],[B (in)]])-1,FALSE))</f>
        <v>#N/A</v>
      </c>
      <c r="BU77" s="248" t="e">
        <f>IF(BS77="solid round",VLOOKUP(BR77,Reinforcements[],COLUMN(Reinforcements[[#Headers],[Diameter (in)]])-1,FALSE),VLOOKUP(BR77,Reinforcements[],COLUMN(Reinforcements[[#Headers],[H (in)]])-1,FALSE))</f>
        <v>#N/A</v>
      </c>
      <c r="BV77" s="278" t="e">
        <f>IFERROR((IF(VLOOKUP(BQ77,Input!$B$21:$AL$50,19+C77,FALSE)="c",$D$20/COS(RADIANS(180/$D$8)),$D$20)+BU77/2)*SIN(RADIANS(D77))-IF(ISNUMBER(VLOOKUP(BQ77,Input!$B$21:$AL$50,19+C77,FALSE)),VLOOKUP(BQ77,Input!$B$21:$AL$50,19+C77,FALSE)*COS(RADIANS(D77)),0)-$D$35,"")*0+N77*1</f>
        <v>#VALUE!</v>
      </c>
      <c r="BW77" s="248" t="e">
        <f>VLOOKUP(BR77,Reinforcements[],COLUMN(Reinforcements[[#Headers],[Effective B (in)]])-1,FALSE)</f>
        <v>#N/A</v>
      </c>
      <c r="BX77" s="248" t="e">
        <f>VLOOKUP(BR77,Reinforcements[],COLUMN(Reinforcements[[#Headers],[Effective H (in)]])-1,FALSE)</f>
        <v>#N/A</v>
      </c>
      <c r="BY77" s="248" t="e">
        <f>VLOOKUP(BR77,Reinforcements[],COLUMN(Reinforcements[[#Headers],[Gross Area (in2)]])-1,FALSE)</f>
        <v>#N/A</v>
      </c>
      <c r="BZ77" s="255" t="s">
        <v>697</v>
      </c>
      <c r="CA77" s="248" t="e">
        <f>VLOOKUP(BR77,Reinforcements[],COLUMN(Reinforcements[[#Headers],[Pole Face to Centroid (in)]])-1,FALSE)</f>
        <v>#N/A</v>
      </c>
      <c r="CB77" s="248" t="e">
        <f>VLOOKUP(BR77,Reinforcements[],COLUMN(Reinforcements[[#Headers],[Equivalent Rectangle Ix (in4)]])-1,FALSE)</f>
        <v>#N/A</v>
      </c>
      <c r="CC77" s="248" t="e">
        <f>VLOOKUP(BR77,Reinforcements[],COLUMN(Reinforcements[[#Headers],[Equivalent Rectangle Iy (in4)]])-1,FALSE)</f>
        <v>#N/A</v>
      </c>
      <c r="CD77" s="248" t="e">
        <f>VLOOKUP(BR77,Reinforcements[],COLUMN(Reinforcements[[#Headers],[Lu (in)]])-1,FALSE)</f>
        <v>#N/A</v>
      </c>
      <c r="CE77" s="255" t="s">
        <v>697</v>
      </c>
      <c r="CF77" s="255" t="s">
        <v>697</v>
      </c>
      <c r="CG77" s="248" t="e">
        <f>VLOOKUP(VLOOKUP(BR77,Reinforcements[],COLUMN(Reinforcements[[#Headers],[Material]])-1,FALSE),Materials[],2,FALSE)</f>
        <v>#N/A</v>
      </c>
      <c r="CH77" s="248" t="e">
        <f>VLOOKUP(VLOOKUP(BR77,Reinforcements[],COLUMN(Reinforcements[[#Headers],[Material]])-1,FALSE),Materials[],3,FALSE)</f>
        <v>#N/A</v>
      </c>
      <c r="CI77" s="255" t="e">
        <f>VLOOKUP(BR77,Reinforcements[],COLUMN(Reinforcements[[#Headers],[Tension Only?]])-1,FALSE)</f>
        <v>#N/A</v>
      </c>
      <c r="CJ77" s="17" t="str">
        <f>IF(BQ77="","",AND(INDEX(Results!$G$5:$G$104,MATCH(VLOOKUP($BQ77,Input!$B$21:$J$50,2,FALSE)-0.001,Results!$G$5:$G$104,-1))=$D$4))</f>
        <v/>
      </c>
      <c r="CK77" s="17" t="str">
        <f>IF(BQ77="","",AND(INDEX('Macro References'!$BB$2:$BB$101,MATCH(VLOOKUP($BQ77,Input!$B$21:$J$50,6,FALSE)-0.001,'Macro References'!$BB$2:$BB$101,1))=$D$4))</f>
        <v/>
      </c>
      <c r="CL77" s="17" t="e">
        <f>IF(CJ77,VLOOKUP(BR77,Reinforcements[],COLUMN(Reinforcements[[#Headers],[Bottom End Connection Type]])-1,FALSE),IF(CK77,VLOOKUP(BR77,Reinforcements[],COLUMN(Reinforcements[[#Headers],[Top End Connection Type]])-1,FALSE),""))</f>
        <v>#VALUE!</v>
      </c>
      <c r="CM77" s="17" t="e">
        <f>IF(ISBLANK(VLOOKUP(BR77,Reinforcements[],COLUMN(Reinforcements[[#Headers],[Bottom Transverse Weld Length]])-1,FALSE)),"",(VLOOKUP(BR77,Reinforcements[],COLUMN(Reinforcements[[#Headers],[Bottom Transverse Weld Length]])-1,FALSE)))</f>
        <v>#N/A</v>
      </c>
      <c r="CN77" s="17" t="e">
        <f>IF(ISBLANK(VLOOKUP(BR77,Reinforcements[],COLUMN(Reinforcements[[#Headers],[Bottom Transverse (Horizontal) Weld]])-1,FALSE)),"",(VLOOKUP(BR77,Reinforcements[],COLUMN(Reinforcements[[#Headers],[Bottom Transverse (Horizontal) Weld]])-1,FALSE)))</f>
        <v>#N/A</v>
      </c>
      <c r="CO77" s="17" t="e">
        <f>IF(ISBLANK(VLOOKUP(BR77,Reinforcements[],COLUMN(Reinforcements[[#Headers],[Bottom Longitudinal Weld Length]])-1,FALSE)),"",(VLOOKUP(BR77,Reinforcements[],COLUMN(Reinforcements[[#Headers],[Bottom Longitudinal Weld Length]])-1,FALSE)))</f>
        <v>#N/A</v>
      </c>
      <c r="CP77" s="17" t="str">
        <f>IFERROR(VLOOKUP(BR77,Reinforcements[],COLUMN(Reinforcements[[#Headers],[Bottom Connected to Flange/Base Plate?]])-1,FALSE),"")</f>
        <v/>
      </c>
      <c r="CQ77" s="248" t="e">
        <f>IF(Rev="F",VLOOKUP(BR77,Reinforcements[],COLUMN(Reinforcements[[#Headers],[Rev. F Bottom Transverse Weld Strength]])-1,FALSE),VLOOKUP(BR77,Reinforcements[],COLUMN(Reinforcements[[#Headers],[Rev. G Bottom Transverse Weld Strength]])-1,FALSE))</f>
        <v>#N/A</v>
      </c>
      <c r="CR77" s="248"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248" t="str">
        <f>IF(CP77&lt;&gt;"Yes","",(VLOOKUP(BR77,Reinforcements[],COLUMN(Reinforcements[[#Headers],[Bottom Transverse Weld Groove Depth (in)]])-1,FALSE)+VLOOKUP(BR77,Reinforcements[],COLUMN(Reinforcements[[#Headers],[Bottom Transverse Weld Fillet Size (in)]])-1,FALSE))*CM77*IF(Rev="F",0.6,φ_t_y)*$D$14)</f>
        <v/>
      </c>
      <c r="CT77" s="248" t="e">
        <f>IF(CP77="Yes","",VLOOKUP(BR77,Reinforcements[],COLUMN(Reinforcements[[#Headers],[Bottom Transverse Weld Fillet Size (in)]])-1,FALSE)*CM77*MIN(IF(Rev="F",0.4,φ_shear_yield*0.6)*$D$6,IF(Rev="F",0.3,φ_shear_rupture*0.6)*$D$7))</f>
        <v>#N/A</v>
      </c>
      <c r="CU77" s="248" t="e">
        <f>IF(Rev="F",VLOOKUP(BR77,Reinforcements[],COLUMN(Reinforcements[[#Headers],[Rev. F Bottom Longitudinal Weld Strength]])-1,FALSE),VLOOKUP(BR77,Reinforcements[],COLUMN(Reinforcements[[#Headers],[Rev. G Bottom Longitudinal Weld Strength]])-1,FALSE))</f>
        <v>#N/A</v>
      </c>
      <c r="CV77" s="248" t="e">
        <f>2*VLOOKUP(BR77,Reinforcements[],COLUMN(Reinforcements[[#Headers],[Bottom Longitudinal Weld Fillet Size (in)]])-1,FALSE)*CO77*MIN(IF(Rev="F",0.4,φ_shear_yield*0.6)*CG77,IF(Rev="F",0.3,φ_shear_rupture*0.6)*CH77)</f>
        <v>#N/A</v>
      </c>
      <c r="CW77" s="248" t="e">
        <f>2*VLOOKUP(BR77,Reinforcements[],COLUMN(Reinforcements[[#Headers],[Bottom Longitudinal Weld Fillet Size (in)]])-1,FALSE)*CO77*MIN(IF(Rev="F",0.4,φ_shear_yield*0.6)*$D$6,IF(Rev="F",0.3,φ_shear_rupture*0.6)*$D$7)</f>
        <v>#N/A</v>
      </c>
      <c r="CX77" s="248" t="e">
        <f>IF(ISBLANK(VLOOKUP(BR77,Reinforcements[],COLUMN(Reinforcements[[#Headers],[Top Transverse Weld Length]])-1,FALSE)),"",(VLOOKUP(BR77,Reinforcements[],COLUMN(Reinforcements[[#Headers],[Top Transverse Weld Length]])-1,FALSE)))</f>
        <v>#N/A</v>
      </c>
      <c r="CY77" s="248" t="e">
        <f>IF(ISBLANK(VLOOKUP(BR77,Reinforcements[],COLUMN(Reinforcements[[#Headers],[Top Transverse (Horizontal) Weld]])-1,FALSE)),"",(VLOOKUP(BR77,Reinforcements[],COLUMN(Reinforcements[[#Headers],[Top Transverse (Horizontal) Weld]])-1,FALSE)))</f>
        <v>#N/A</v>
      </c>
      <c r="CZ77" s="248" t="e">
        <f>IF(ISBLANK(VLOOKUP(BR77,Reinforcements[],COLUMN(Reinforcements[[#Headers],[Top Longitudinal Weld Length]])-1,FALSE)),"",(VLOOKUP(BR77,Reinforcements[],COLUMN(Reinforcements[[#Headers],[Top Longitudinal Weld Length]])-1,FALSE)))</f>
        <v>#N/A</v>
      </c>
      <c r="DA77" s="248" t="str">
        <f>IFERROR(VLOOKUP(BR77,Reinforcements[],COLUMN(Reinforcements[[#Headers],[Top Connected to Flange/Base Plate?]])-1,FALSE),"")</f>
        <v/>
      </c>
      <c r="DB77" s="248" t="e">
        <f>IF(Rev="F",VLOOKUP(BR77,Reinforcements[],COLUMN(Reinforcements[[#Headers],[Rev. F Top Transverse Weld Strength]])-1,FALSE),VLOOKUP(BR77,Reinforcements[],COLUMN(Reinforcements[[#Headers],[Rev. G Top Transverse Weld Strength]])-1,FALSE))</f>
        <v>#N/A</v>
      </c>
      <c r="DC77" s="248"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248" t="str">
        <f>IF(DA77&lt;&gt;"Yes","",(VLOOKUP(BR77,Reinforcements[],COLUMN(Reinforcements[[#Headers],[Top Transverse Weld Groove Depth (in)]])-1,FALSE)+VLOOKUP(BR77,Reinforcements[],COLUMN(Reinforcements[[#Headers],[Top Transverse Weld Fillet Size (in)]])-1,FALSE))*CX77*IF(Rev="F",0.6,φ_t_y)*$D$14)</f>
        <v/>
      </c>
      <c r="DE77" s="248" t="e">
        <f>IF(DA77="Yes","",VLOOKUP(BR77,Reinforcements[],COLUMN(Reinforcements[[#Headers],[Top Transverse Weld Fillet Size (in)]])-1,FALSE)*CX77*MIN(IF(Rev="F",0.4,φ_shear_yield*0.6)*$D$6,IF(Rev="F",0.3,φ_shear_rupture*0.6)*$D$7))</f>
        <v>#N/A</v>
      </c>
      <c r="DF77" s="248" t="e">
        <f>IF(Rev="F",VLOOKUP(BR77,Reinforcements[],COLUMN(Reinforcements[[#Headers],[Rev. F Top Longitudinal Weld Strength]])-1,FALSE),VLOOKUP(BR77,Reinforcements[],COLUMN(Reinforcements[[#Headers],[Rev. G Top Longitudinal Weld Strength]])-1,FALSE))</f>
        <v>#N/A</v>
      </c>
      <c r="DG77" s="248" t="e">
        <f>2*VLOOKUP(BR77,Reinforcements[],COLUMN(Reinforcements[[#Headers],[Top Longitudinal Weld Fillet Size (in)]])-1,FALSE)*CZ77*MIN(IF(Rev="F",0.4,φ_shear_yield*0.6)*CG77,IF(Rev="F",0.3,φ_shear_rupture*0.6)*CH77)</f>
        <v>#N/A</v>
      </c>
      <c r="DH77" s="248" t="e">
        <f>2*VLOOKUP(BR77,Reinforcements[],COLUMN(Reinforcements[[#Headers],[Top Longitudinal Weld Fillet Size (in)]])-1,FALSE)*CZ77*MIN(IF(Rev="F",0.4,φ_shear_yield*0.6)*$D$6,IF(Rev="F",0.3,φ_shear_rupture*0.6)*$D$7)</f>
        <v>#N/A</v>
      </c>
      <c r="DI77" s="49" t="e">
        <f>IF(BS77="channel",VLOOKUP(Calculations!BR77,Reinforcements[],COLUMN(Reinforcements[[#Headers],['[Channel']Web Thickness (in)]])-1,FALSE),"")</f>
        <v>#N/A</v>
      </c>
      <c r="DJ77" s="49" t="b">
        <f t="shared" si="84"/>
        <v>0</v>
      </c>
      <c r="DK77" s="49" t="e">
        <f>IF(BS77="channel",Calculations!BU77-DI77,"")</f>
        <v>#N/A</v>
      </c>
      <c r="DL77" s="49" t="e">
        <f>IF(BS77="channel",(Calculations!BY77-Calculations!BT77*DI77)/(2*DK77))</f>
        <v>#N/A</v>
      </c>
      <c r="DM77" s="49" t="e">
        <f>IF(BS77="channel",(Calculations!BT77*(DI77^2)/2+2*DK77*DL77*(DI77+DK77/2))/Calculations!BY77,"")</f>
        <v>#N/A</v>
      </c>
    </row>
    <row r="78" spans="2:117" ht="15" x14ac:dyDescent="0.25">
      <c r="B78" s="49"/>
      <c r="C78" s="80"/>
      <c r="D78" s="25"/>
      <c r="E78"/>
      <c r="F78" s="16"/>
      <c r="G78" s="8"/>
      <c r="H78" s="8"/>
      <c r="I78" s="8"/>
      <c r="J78" s="8"/>
      <c r="K78" s="8"/>
      <c r="L78" s="8"/>
      <c r="M78" s="8"/>
      <c r="N78" s="8"/>
      <c r="O78" s="8"/>
      <c r="P78" s="8"/>
      <c r="Q78" s="8"/>
      <c r="R78" s="8"/>
      <c r="S78" s="8"/>
      <c r="T78" s="8"/>
      <c r="U78" s="8"/>
      <c r="V78" s="8"/>
      <c r="W78" s="49"/>
      <c r="X78" s="49"/>
      <c r="Y78" s="49"/>
      <c r="Z78" s="49"/>
      <c r="AA78" s="49"/>
      <c r="AB78" s="325"/>
      <c r="AC78" s="25"/>
      <c r="AD78" s="25"/>
      <c r="AE78" s="25"/>
      <c r="AF78" s="49"/>
      <c r="AG78" s="49"/>
      <c r="AH78" s="49"/>
      <c r="AI78" s="49"/>
      <c r="AJ78" s="49"/>
      <c r="AK78" s="49"/>
      <c r="AL78" s="49"/>
      <c r="AM78" s="49"/>
      <c r="AN78" s="25"/>
      <c r="AO78" s="49"/>
      <c r="AP78" s="49"/>
      <c r="AQ78" s="49"/>
      <c r="AR78" s="25"/>
      <c r="AS78" s="49"/>
      <c r="AT78" s="328"/>
      <c r="AU78" s="219"/>
      <c r="AV78" s="219"/>
      <c r="AW78" s="219"/>
      <c r="AX78" s="219"/>
      <c r="AY78" s="219"/>
      <c r="AZ78" s="219"/>
      <c r="BA78" s="219"/>
      <c r="BB78" s="219"/>
      <c r="BC78" s="219"/>
      <c r="BD78" s="219"/>
      <c r="BE78" s="219"/>
      <c r="BF78" s="219"/>
      <c r="BG78" s="219"/>
      <c r="BH78" s="219"/>
      <c r="BI78" s="219"/>
      <c r="BJ78" s="219"/>
      <c r="BK78" s="219"/>
      <c r="BQ78" s="104"/>
      <c r="BR78" s="304"/>
      <c r="BS78" s="305"/>
      <c r="BT78" s="305"/>
      <c r="BU78" s="305"/>
      <c r="BV78" s="306"/>
      <c r="BW78" s="305"/>
      <c r="BX78" s="305"/>
      <c r="BY78" s="305"/>
      <c r="BZ78" s="305"/>
      <c r="CA78" s="305"/>
      <c r="CB78" s="305"/>
      <c r="CC78" s="305"/>
      <c r="CD78" s="305"/>
      <c r="CE78" s="305"/>
      <c r="CF78" s="305"/>
      <c r="CG78" s="305"/>
      <c r="CH78" s="305"/>
      <c r="CI78" s="305"/>
      <c r="CJ78" s="307"/>
      <c r="CK78" s="307"/>
      <c r="CL78" s="307"/>
      <c r="CM78" s="307"/>
      <c r="CN78" s="307"/>
      <c r="CO78" s="307"/>
      <c r="CP78" s="307"/>
      <c r="CQ78" s="305"/>
      <c r="CR78" s="305"/>
      <c r="CS78" s="305"/>
      <c r="CT78" s="305"/>
      <c r="CU78" s="305"/>
      <c r="CV78" s="305"/>
      <c r="CW78" s="305"/>
      <c r="CX78" s="305"/>
      <c r="CY78" s="305"/>
      <c r="CZ78" s="305"/>
      <c r="DA78" s="305"/>
      <c r="DB78" s="305"/>
      <c r="DC78" s="305"/>
      <c r="DD78" s="305"/>
      <c r="DE78" s="305"/>
      <c r="DF78" s="305"/>
      <c r="DG78" s="305"/>
      <c r="DH78" s="305"/>
      <c r="DI78" s="49"/>
      <c r="DJ78" s="49"/>
      <c r="DK78" s="49"/>
      <c r="DL78" s="49"/>
      <c r="DM78" s="49"/>
    </row>
    <row r="79" spans="2:117" ht="15" customHeight="1" x14ac:dyDescent="0.25">
      <c r="B79" s="49" t="str">
        <f t="shared" si="70"/>
        <v/>
      </c>
      <c r="C79" s="201">
        <v>1</v>
      </c>
      <c r="D79" s="255" t="str">
        <f>IF(BQ79="","",IF($D$8=0,IF(OR(VLOOKUP(BQ79,Input!$B$21:$AL$50,19+C79,FALSE)+$D$5=0,VLOOKUP(BQ79,Input!$B$21:$AL$50,19+C79,FALSE)+$D$5=180),VLOOKUP(BQ79,Input!$B$21:$AL$50,19+C79,FALSE)+$D$5+0.0001,VLOOKUP(BQ79,Input!$B$21:$AL$50,19+C79,FALSE)+$D$5),IF(VLOOKUP(BQ79,Input!$B$21:$AL$50,19+C79,FALSE)="c",VLOOKUP($C79,$C$40:$E$57,2,FALSE)+180/$D$8,VLOOKUP($C79,$C$40:$E$57,2,FALSE))))</f>
        <v/>
      </c>
      <c r="E79" s="17" t="str">
        <f>IF(D79="","",IF(D79&gt;630,360-(D79-360),IF(D79&gt;540,(D79-360)-180,IF(D79&gt;450,180-(D79-360),IF(D79&gt;360,D79-360,IF(D79&gt;270,360-D79,IF(D79&gt;180,D79-180,IF(D79&gt;90,180-D79,D79))))))))</f>
        <v/>
      </c>
      <c r="F79" s="258" t="str">
        <f>IF(BR79="","",VLOOKUP(BR79,Reinforcements[],COLUMN(Reinforcements[[#Headers],[Gross Area (in2)]])-1,FALSE))</f>
        <v/>
      </c>
      <c r="G79" s="256" t="e">
        <f>(IF(VLOOKUP(BQ79,Input!$B$21:$AL$50,19+C79,FALSE)="c",$D$20/COS(RADIANS(180/$D$8)),$D$20)+CA79)*SIN(RADIANS(D79))-IF(AND(ISNUMBER(VLOOKUP(BQ79,Input!$B$21:$AL$50,19+C79,FALSE)),$D$8&lt;&gt;0),VLOOKUP(BQ79,Input!$B$21:$AL$50,19+C79,FALSE)*COS(RADIANS(D79)),0)</f>
        <v>#N/A</v>
      </c>
      <c r="H79" s="251" t="str">
        <f>IF(ISERROR(F79*G79),"",F79*G79)</f>
        <v/>
      </c>
      <c r="I79" s="251" t="e">
        <f t="shared" ref="I79:I96" si="86">G79-$D$35</f>
        <v>#N/A</v>
      </c>
      <c r="J79" s="251" t="e">
        <f>CB79</f>
        <v>#N/A</v>
      </c>
      <c r="K79" s="251" t="e">
        <f>CC79</f>
        <v>#N/A</v>
      </c>
      <c r="L79" s="251" t="e">
        <f>(J79+K79)/2+(J79-K79)/2*COS(2*RADIANS(D79+90))</f>
        <v>#N/A</v>
      </c>
      <c r="M79" s="252" t="str">
        <f>IFERROR((L79+F79*I79^2)*IF(CI79="Yes",BP79,1),"")</f>
        <v/>
      </c>
      <c r="N79" s="250" t="str">
        <f>IFERROR((IF(VLOOKUP(BQ79,Input!$B$21:$AL$50,19+C79,FALSE)="c",$D$20/COS(RADIANS(180/$D$8)),$D$20)+CA79)*SIN(RADIANS(D79))-IF(AND(ISNUMBER(VLOOKUP(BQ79,Input!$B$21:$AL$50,19+C79,FALSE)),$D$8&lt;&gt;0),VLOOKUP(BQ79,Input!$B$21:$AL$50,19+C79,FALSE)*COS(RADIANS(D79)),0)-$D$35,"")</f>
        <v/>
      </c>
      <c r="O79" s="251" t="str">
        <f t="shared" ref="O79:O96" si="87">IFERROR(N79+(-BX79/2)*SIN(RADIANS(D79))+(BW79/2)*COS(RADIANS(D79)),"")</f>
        <v/>
      </c>
      <c r="P79" s="251" t="str">
        <f t="shared" ref="P79:P96" si="88">IFERROR(N79+(BX79/2)*SIN(RADIANS(D79))+(BW79/2)*COS(RADIANS(D79)),"")</f>
        <v/>
      </c>
      <c r="Q79" s="251" t="str">
        <f t="shared" ref="Q79:Q96" si="89">IFERROR(N79+(BX79/2)*SIN(RADIANS(D79))+(-BW79/2)*COS(RADIANS(D79)),"")</f>
        <v/>
      </c>
      <c r="R79" s="252" t="str">
        <f t="shared" ref="R79:R96" si="90">IFERROR(N79+(-BX79/2)*SIN(RADIANS(D79))+(-BW79/2)*COS(RADIANS(D79)),"")</f>
        <v/>
      </c>
      <c r="S79" s="251" t="str">
        <f t="shared" ref="S79:S96" si="91">IFERROR(BV79+(-BU79/2)*SIN(RADIANS(D79))+(BT79/2)*COS(RADIANS(D79)),"")</f>
        <v/>
      </c>
      <c r="T79" s="251" t="str">
        <f t="shared" ref="T79:T96" si="92">IFERROR(BV79+(BU79/2)*SIN(RADIANS(D79))+(BT79/2)*COS(RADIANS(D79)),"")</f>
        <v/>
      </c>
      <c r="U79" s="251" t="str">
        <f t="shared" ref="U79:U96" si="93">IFERROR(BV79+(BU79/2)*SIN(RADIANS(D79))+(-BT79/2)*COS(RADIANS(D79)),"")</f>
        <v/>
      </c>
      <c r="V79" s="252" t="str">
        <f t="shared" ref="V79:V96" si="94">IFERROR(BV79+(-BU79/2)*SIN(RADIANS(D79))+(-BT79/2)*COS(RADIANS(D79)),"")</f>
        <v/>
      </c>
      <c r="W79" s="323"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324"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324"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324" t="str">
        <f>IFERROR(IF('Macro References'!$A$9,IF(AND(CJ79,CL79="Welded"),MIN(CQ79:CT79),IF(AND(CK79,CL79="Welded"),MIN(DB79:DE79),"")),""),"")</f>
        <v/>
      </c>
      <c r="AA79" s="255" t="str">
        <f>IFERROR(IF('Macro References'!$A$9,IF(AND(CJ79,CL79="Welded"),MIN(CU79:CW79),IF(AND(CK79,CL79="Welded"),MIN(DF79:DH79),"")),""),"")</f>
        <v/>
      </c>
      <c r="AB79" s="255" t="str">
        <f>IFERROR(IF('Macro References'!$A$9,IF(AND(CJ79,CL79="Welded",CN79="Fillet",CU79&gt;0),TRUE,IF(AND(CK79,CL79="Welded",CY79="Fillet",DF79&gt;0),TRUE,"")),""),"")</f>
        <v/>
      </c>
      <c r="AC79" s="255"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255"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32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248"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32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274" t="str">
        <f t="shared" ref="AH79:AH96" si="95">IFERROR(ABS((W79/BY79)/N79*$D$25),"")</f>
        <v/>
      </c>
      <c r="AI79" s="255" t="str">
        <f t="shared" ref="AI79:AI96" si="96">IFERROR(ABS((X79/BY79)/N79*$D$25),"")</f>
        <v/>
      </c>
      <c r="AJ79" s="255" t="str">
        <f t="shared" ref="AJ79:AJ96" si="97">IFERROR(ABS((Y79/BY79)/N79*$D$25),"")</f>
        <v/>
      </c>
      <c r="AK79" s="255" t="str">
        <f t="shared" si="85"/>
        <v/>
      </c>
      <c r="AL79" s="248" t="str">
        <f t="shared" si="78"/>
        <v/>
      </c>
      <c r="AM79" s="255" t="str">
        <f>""</f>
        <v/>
      </c>
      <c r="AN79" s="255" t="str">
        <f t="shared" ref="AN79:AN96" si="98">IFERROR(IF(CI79="Yes","",ABS((AD79/BY79)/N79*$D$25)),"")</f>
        <v/>
      </c>
      <c r="AO79" s="248" t="str">
        <f t="shared" ref="AO79:AO96" si="99">IFERROR(ABS((AF79/BY79)/N79*$D$25),"")</f>
        <v/>
      </c>
      <c r="AP79" s="275" t="str">
        <f t="shared" ref="AP79:AP96" si="100">IFERROR(ABS((AG79/BY79)/N79*$D$25),"")</f>
        <v/>
      </c>
      <c r="AQ79" s="276" t="str">
        <f t="shared" si="53"/>
        <v/>
      </c>
      <c r="AR79" s="255" t="str">
        <f>IF(BR79="","",VLOOKUP(VLOOKUP(BR79,Reinforcements[],COLUMN(Reinforcements[[#Headers],[Material]])-1,FALSE),Materials[],2,FALSE)/$D$28)</f>
        <v/>
      </c>
      <c r="AS79" s="248" t="str">
        <f t="shared" si="54"/>
        <v/>
      </c>
      <c r="AT79" s="327" t="str">
        <f t="shared" ref="AT79:AT96" si="101">IFERROR((($D$36/$D$25)/(AS79)+$L$7+IF(OR(Rev="G",Rev="H"),($Q$7/$Q$8)^2,0))/IF(Rev="F",ASIF,1)/IF(OR(AND(Rev="H",$F$27=TRUE),AND(Rev&lt;&gt;"H",$F$30=TRUE)),1.05,1),"")</f>
        <v/>
      </c>
      <c r="AU79" s="277">
        <f>IF(ISERROR(IF(OR(D79&gt;540,AND(D79&gt;180,D79&lt;=360)),MIN(O79:R79),MAX(O79:R79))),"",IF(OR(D79&gt;540,AND(D79&gt;180,D79&lt;=360)),MIN(O79:R79),MAX(O79:R79)))</f>
        <v>0</v>
      </c>
      <c r="AV79" s="278">
        <f>IF(ISERROR(IF(AU79=MAX(O79:R79),MIN(O79:R79),MAX(O79:R79))),"",IF(AU79=MAX(O79:R79),MIN(O79:R79),MAX(O79:R79)))</f>
        <v>0</v>
      </c>
      <c r="AW79" s="278" t="e">
        <f t="shared" ref="AW79:AW96" si="102">$D$28*AU79</f>
        <v>#N/A</v>
      </c>
      <c r="AX79" s="278" t="e">
        <f t="shared" ref="AX79:AX96" si="103">$D$28*AV79</f>
        <v>#N/A</v>
      </c>
      <c r="AY79" s="278" t="str">
        <f t="shared" ref="AY79:AY96" si="104">IFERROR($D$28*BX79*BW79/2*(2*AV79+IF(OR(D79&gt;540,AND(D79&gt;180,D79&lt;=360)),-1,1)*BX79*SIN(RADIANS(E79))+IF(OR(D79&gt;540,AND(D79&gt;180,D79&lt;=360)),-1,1)*BW79*COS(RADIANS(E79))),"")</f>
        <v/>
      </c>
      <c r="AZ79" s="278" t="e">
        <f t="shared" ref="AZ79:AZ96" si="105">IF(ABS(AY79)&lt;0.0001,0,AV79+$D$28*BX79*BW79/(12*AY79)*(6*AV79*(IF(OR(D79&gt;540,AND(D79&gt;180,D79&lt;360)),-1,1)*BX79*SIN(RADIANS(E79))+IF(OR(D79&gt;540,AND(D79&gt;180,D79&lt;360)),-1,1)*BW79*COS(RADIANS(E79)))+3*BX79*BW79*SIN(RADIANS(2*E79))+4*BX79^2*SIN(RADIANS(E79))^2+4*BW79^2*COS(RADIANS(E79))^2))</f>
        <v>#VALUE!</v>
      </c>
      <c r="BA79" s="295" t="str">
        <f>IF(ISERROR(AZ79*AY79),"",AZ79*AY79)</f>
        <v/>
      </c>
      <c r="BB79" s="297" t="str">
        <f>IFERROR(IF(MAX(AVERAGE(O79:P79),AVERAGE(Q79:R79))&gt;$AR79,MIN((MAX(AVERAGE(O79:P79),AVERAGE(Q79:R79))-$AR79)/COS(RADIANS($E79)),$BW79)*$BX79*$CG79,""),"")</f>
        <v/>
      </c>
      <c r="BC79" s="298"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298"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295" t="str">
        <f>IFERROR(IF(CI79="Yes","",IF(MIN(AVERAGE(O79:P79),AVERAGE(Q79:R79))&lt;-$AR79,MAX((MIN(AVERAGE(O79:P79),AVERAGE(Q79:R79))+$AR79)/COS(RADIANS($E79)),-$BW79)*$BX79*$CG79,"")),"")</f>
        <v/>
      </c>
      <c r="BF79" s="299" t="e">
        <f>IF(MAX(AVERAGE(O79:P79),AVERAGE(Q79:R79))&gt;$AR79,MAX(AVERAGE(MAX(AVERAGE(O79:P79),AVERAGE(Q79:R79)),$AR79),AVERAGE(O79:R79)),"")</f>
        <v>#DIV/0!</v>
      </c>
      <c r="BG79" s="300"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300"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295" t="e">
        <f>IF(MIN(AVERAGE(O79:P79),AVERAGE(Q79:R79))&lt;-$AR79,MIN(AVERAGE(MIN(AVERAGE(O79:P79),AVERAGE(Q79:R79)),-$AR79),AVERAGE(O79:R79)),"")</f>
        <v>#DIV/0!</v>
      </c>
      <c r="BJ79" s="299" t="str">
        <f>IFERROR(IF(BB79="",0,ABS(BB79))*IF(BF79="",0,ABS(BF79))+IF(BC79="",0,ABS(BC79))*IF(BG79="",0,ABS(BG79))+IF(BD79="",0,ABS(BD79))*IF(BH79="",0,ABS(BH79))+IF(BE79="",0,ABS(BE79))*IF(BI79="",0,ABS(BI79)),"")</f>
        <v/>
      </c>
      <c r="BK79" s="278" t="e">
        <f>(IF(BB79="",0,ABS(BB79))*IF(BF79="",0,BF79)+IF(BC79="",0,ABS(BC79))*IF(BG79="",0,BG79)+IF(BD79="",0,ABS(BD79))*IF(BH79="",0,BH79)+IF(BE79="",0,ABS(BE79))*IF(BI79="",0,BI79))/(IF(BB79="",0,ABS(BB79))+IF(BC79="",0,ABS(BC79))+IF(BD79="",0,ABS(BD79))+IF(BE79="",0,ABS(BE79)))</f>
        <v>#DIV/0!</v>
      </c>
      <c r="BL79" s="49" t="str">
        <f t="shared" si="68"/>
        <v/>
      </c>
      <c r="BP79" s="25"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303"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303" t="str">
        <f>IF(BQ79="","",VLOOKUP(BQ79,Input!$B$21:$Q$50,13,FALSE))</f>
        <v/>
      </c>
      <c r="BS79" s="248" t="e">
        <f>VLOOKUP(BR79,Reinforcements[],COLUMN(Reinforcements[[#Headers],[Type]])-1,FALSE)</f>
        <v>#N/A</v>
      </c>
      <c r="BT79" s="248" t="e">
        <f>IF(BS79="solid round",VLOOKUP(BR79,Reinforcements[],COLUMN(Reinforcements[[#Headers],[Diameter (in)]])-1,FALSE),VLOOKUP(BR79,Reinforcements[],COLUMN(Reinforcements[[#Headers],[B (in)]])-1,FALSE))</f>
        <v>#N/A</v>
      </c>
      <c r="BU79" s="248" t="e">
        <f>IF(BS79="solid round",VLOOKUP(BR79,Reinforcements[],COLUMN(Reinforcements[[#Headers],[Diameter (in)]])-1,FALSE),VLOOKUP(BR79,Reinforcements[],COLUMN(Reinforcements[[#Headers],[H (in)]])-1,FALSE))</f>
        <v>#N/A</v>
      </c>
      <c r="BV79" s="278" t="e">
        <f>IFERROR((IF(VLOOKUP(BQ79,Input!$B$21:$AL$50,19+C79,FALSE)="c",$D$20/COS(RADIANS(180/$D$8)),$D$20)+BU79/2)*SIN(RADIANS(D79))-IF(ISNUMBER(VLOOKUP(BQ79,Input!$B$21:$AL$50,19+C79,FALSE)),VLOOKUP(BQ79,Input!$B$21:$AL$50,19+C79,FALSE)*COS(RADIANS(D79)),0)-$D$35,"")*0+N79*1</f>
        <v>#VALUE!</v>
      </c>
      <c r="BW79" s="248" t="e">
        <f>VLOOKUP(BR79,Reinforcements[],COLUMN(Reinforcements[[#Headers],[Effective B (in)]])-1,FALSE)</f>
        <v>#N/A</v>
      </c>
      <c r="BX79" s="248" t="e">
        <f>VLOOKUP(BR79,Reinforcements[],COLUMN(Reinforcements[[#Headers],[Effective H (in)]])-1,FALSE)</f>
        <v>#N/A</v>
      </c>
      <c r="BY79" s="248" t="e">
        <f>VLOOKUP(BR79,Reinforcements[],COLUMN(Reinforcements[[#Headers],[Gross Area (in2)]])-1,FALSE)</f>
        <v>#N/A</v>
      </c>
      <c r="BZ79" s="255" t="s">
        <v>697</v>
      </c>
      <c r="CA79" s="248" t="e">
        <f>VLOOKUP(BR79,Reinforcements[],COLUMN(Reinforcements[[#Headers],[Pole Face to Centroid (in)]])-1,FALSE)</f>
        <v>#N/A</v>
      </c>
      <c r="CB79" s="248" t="e">
        <f>VLOOKUP(BR79,Reinforcements[],COLUMN(Reinforcements[[#Headers],[Ix]])-1,FALSE)</f>
        <v>#N/A</v>
      </c>
      <c r="CC79" s="248" t="e">
        <f>VLOOKUP(BR79,Reinforcements[],COLUMN(Reinforcements[[#Headers],[Iy]])-1,FALSE)</f>
        <v>#N/A</v>
      </c>
      <c r="CD79" s="248" t="e">
        <f>VLOOKUP(BR79,Reinforcements[],COLUMN(Reinforcements[[#Headers],[Lu (in)]])-1,FALSE)</f>
        <v>#N/A</v>
      </c>
      <c r="CE79" s="255" t="s">
        <v>697</v>
      </c>
      <c r="CF79" s="255" t="s">
        <v>697</v>
      </c>
      <c r="CG79" s="248" t="e">
        <f>VLOOKUP(VLOOKUP(BR79,Reinforcements[],COLUMN(Reinforcements[[#Headers],[Material]])-1,FALSE),Materials[],2,FALSE)</f>
        <v>#N/A</v>
      </c>
      <c r="CH79" s="248" t="e">
        <f>VLOOKUP(VLOOKUP(BR79,Reinforcements[],COLUMN(Reinforcements[[#Headers],[Material]])-1,FALSE),Materials[],3,FALSE)</f>
        <v>#N/A</v>
      </c>
      <c r="CI79" s="255" t="e">
        <f>VLOOKUP(BR79,Reinforcements[],COLUMN(Reinforcements[[#Headers],[Tension Only?]])-1,FALSE)</f>
        <v>#N/A</v>
      </c>
      <c r="CJ79" s="17" t="str">
        <f>IF(BQ79="","",AND(INDEX(Results!$G$5:$G$104,MATCH(VLOOKUP($BQ79,Input!$B$21:$J$50,2,FALSE)-0.001,Results!$G$5:$G$104,-1))=$D$4))</f>
        <v/>
      </c>
      <c r="CK79" s="17" t="str">
        <f>IF(BQ79="","",AND(INDEX('Macro References'!$BB$2:$BB$101,MATCH(VLOOKUP($BQ79,Input!$B$21:$J$50,6,FALSE)-0.001,'Macro References'!$BB$2:$BB$101,1))=$D$4))</f>
        <v/>
      </c>
      <c r="CL79" s="17" t="e">
        <f>IF(CJ79,VLOOKUP(BR79,Reinforcements[],COLUMN(Reinforcements[[#Headers],[Bottom End Connection Type]])-1,FALSE),IF(CK79,VLOOKUP(BR79,Reinforcements[],COLUMN(Reinforcements[[#Headers],[Top End Connection Type]])-1,FALSE),""))</f>
        <v>#VALUE!</v>
      </c>
      <c r="CM79" s="17" t="e">
        <f>IF(ISBLANK(VLOOKUP(BR79,Reinforcements[],COLUMN(Reinforcements[[#Headers],[Bottom Transverse Weld Length]])-1,FALSE)),"",(VLOOKUP(BR79,Reinforcements[],COLUMN(Reinforcements[[#Headers],[Bottom Transverse Weld Length]])-1,FALSE)))</f>
        <v>#N/A</v>
      </c>
      <c r="CN79" s="17" t="e">
        <f>IF(ISBLANK(VLOOKUP(BR79,Reinforcements[],COLUMN(Reinforcements[[#Headers],[Bottom Transverse (Horizontal) Weld]])-1,FALSE)),"",(VLOOKUP(BR79,Reinforcements[],COLUMN(Reinforcements[[#Headers],[Bottom Transverse (Horizontal) Weld]])-1,FALSE)))</f>
        <v>#N/A</v>
      </c>
      <c r="CO79" s="17" t="e">
        <f>IF(ISBLANK(VLOOKUP(BR79,Reinforcements[],COLUMN(Reinforcements[[#Headers],[Bottom Longitudinal Weld Length]])-1,FALSE)),"",(VLOOKUP(BR79,Reinforcements[],COLUMN(Reinforcements[[#Headers],[Bottom Longitudinal Weld Length]])-1,FALSE)))</f>
        <v>#N/A</v>
      </c>
      <c r="CP79" s="17" t="str">
        <f>IFERROR(VLOOKUP(BR79,Reinforcements[],COLUMN(Reinforcements[[#Headers],[Bottom Connected to Flange/Base Plate?]])-1,FALSE),"")</f>
        <v/>
      </c>
      <c r="CQ79" s="248" t="e">
        <f>IF(Rev="F",VLOOKUP(BR79,Reinforcements[],COLUMN(Reinforcements[[#Headers],[Rev. F Bottom Transverse Weld Strength]])-1,FALSE),VLOOKUP(BR79,Reinforcements[],COLUMN(Reinforcements[[#Headers],[Rev. G Bottom Transverse Weld Strength]])-1,FALSE))</f>
        <v>#N/A</v>
      </c>
      <c r="CR79" s="248"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248" t="str">
        <f>IF(CP79&lt;&gt;"Yes","",(VLOOKUP(BR79,Reinforcements[],COLUMN(Reinforcements[[#Headers],[Bottom Transverse Weld Groove Depth (in)]])-1,FALSE)+VLOOKUP(BR79,Reinforcements[],COLUMN(Reinforcements[[#Headers],[Bottom Transverse Weld Fillet Size (in)]])-1,FALSE))*CM79*IF(Rev="F",0.6,φ_t_y)*$D$14)</f>
        <v/>
      </c>
      <c r="CT79" s="248" t="e">
        <f>IF(CP79="Yes","",VLOOKUP(BR79,Reinforcements[],COLUMN(Reinforcements[[#Headers],[Bottom Transverse Weld Fillet Size (in)]])-1,FALSE)*CM79*MIN(IF(Rev="F",0.4,φ_shear_yield*0.6)*$D$6,IF(Rev="F",0.3,φ_shear_rupture*0.6)*$D$7))</f>
        <v>#N/A</v>
      </c>
      <c r="CU79" s="248" t="e">
        <f>IF(Rev="F",VLOOKUP(BR79,Reinforcements[],COLUMN(Reinforcements[[#Headers],[Rev. F Bottom Longitudinal Weld Strength]])-1,FALSE),VLOOKUP(BR79,Reinforcements[],COLUMN(Reinforcements[[#Headers],[Rev. G Bottom Longitudinal Weld Strength]])-1,FALSE))</f>
        <v>#N/A</v>
      </c>
      <c r="CV79" s="248" t="e">
        <f>2*VLOOKUP(BR79,Reinforcements[],COLUMN(Reinforcements[[#Headers],[Bottom Longitudinal Weld Fillet Size (in)]])-1,FALSE)*CO79*MIN(IF(Rev="F",0.4,φ_shear_yield*0.6)*CG79,IF(Rev="F",0.3,φ_shear_rupture*0.6)*CH79)</f>
        <v>#N/A</v>
      </c>
      <c r="CW79" s="248" t="e">
        <f>2*VLOOKUP(BR79,Reinforcements[],COLUMN(Reinforcements[[#Headers],[Bottom Longitudinal Weld Fillet Size (in)]])-1,FALSE)*CO79*MIN(IF(Rev="F",0.4,φ_shear_yield*0.6)*$D$6,IF(Rev="F",0.3,φ_shear_rupture*0.6)*$D$7)</f>
        <v>#N/A</v>
      </c>
      <c r="CX79" s="248" t="e">
        <f>IF(ISBLANK(VLOOKUP(BR79,Reinforcements[],COLUMN(Reinforcements[[#Headers],[Top Transverse Weld Length]])-1,FALSE)),"",(VLOOKUP(BR79,Reinforcements[],COLUMN(Reinforcements[[#Headers],[Top Transverse Weld Length]])-1,FALSE)))</f>
        <v>#N/A</v>
      </c>
      <c r="CY79" s="248" t="e">
        <f>IF(ISBLANK(VLOOKUP(BR79,Reinforcements[],COLUMN(Reinforcements[[#Headers],[Top Transverse (Horizontal) Weld]])-1,FALSE)),"",(VLOOKUP(BR79,Reinforcements[],COLUMN(Reinforcements[[#Headers],[Top Transverse (Horizontal) Weld]])-1,FALSE)))</f>
        <v>#N/A</v>
      </c>
      <c r="CZ79" s="248" t="e">
        <f>IF(ISBLANK(VLOOKUP(BR79,Reinforcements[],COLUMN(Reinforcements[[#Headers],[Top Longitudinal Weld Length]])-1,FALSE)),"",(VLOOKUP(BR79,Reinforcements[],COLUMN(Reinforcements[[#Headers],[Top Longitudinal Weld Length]])-1,FALSE)))</f>
        <v>#N/A</v>
      </c>
      <c r="DA79" s="248" t="str">
        <f>IFERROR(VLOOKUP(BR79,Reinforcements[],COLUMN(Reinforcements[[#Headers],[Top Connected to Flange/Base Plate?]])-1,FALSE),"")</f>
        <v/>
      </c>
      <c r="DB79" s="248" t="e">
        <f>IF(Rev="F",VLOOKUP(BR79,Reinforcements[],COLUMN(Reinforcements[[#Headers],[Rev. F Top Transverse Weld Strength]])-1,FALSE),VLOOKUP(BR79,Reinforcements[],COLUMN(Reinforcements[[#Headers],[Rev. G Top Transverse Weld Strength]])-1,FALSE))</f>
        <v>#N/A</v>
      </c>
      <c r="DC79" s="248"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248" t="str">
        <f>IF(DA79&lt;&gt;"Yes","",(VLOOKUP(BR79,Reinforcements[],COLUMN(Reinforcements[[#Headers],[Top Transverse Weld Groove Depth (in)]])-1,FALSE)+VLOOKUP(BR79,Reinforcements[],COLUMN(Reinforcements[[#Headers],[Top Transverse Weld Fillet Size (in)]])-1,FALSE))*CX79*IF(Rev="F",0.6,φ_t_y)*$D$14)</f>
        <v/>
      </c>
      <c r="DE79" s="248" t="e">
        <f>IF(DA79="Yes","",VLOOKUP(BR79,Reinforcements[],COLUMN(Reinforcements[[#Headers],[Top Transverse Weld Fillet Size (in)]])-1,FALSE)*CX79*MIN(IF(Rev="F",0.4,φ_shear_yield*0.6)*$D$6,IF(Rev="F",0.3,φ_shear_rupture*0.6)*$D$7))</f>
        <v>#N/A</v>
      </c>
      <c r="DF79" s="248" t="e">
        <f>IF(Rev="F",VLOOKUP(BR79,Reinforcements[],COLUMN(Reinforcements[[#Headers],[Rev. F Top Longitudinal Weld Strength]])-1,FALSE),VLOOKUP(BR79,Reinforcements[],COLUMN(Reinforcements[[#Headers],[Rev. G Top Longitudinal Weld Strength]])-1,FALSE))</f>
        <v>#N/A</v>
      </c>
      <c r="DG79" s="248" t="e">
        <f>2*VLOOKUP(BR79,Reinforcements[],COLUMN(Reinforcements[[#Headers],[Top Longitudinal Weld Fillet Size (in)]])-1,FALSE)*CZ79*MIN(IF(Rev="F",0.4,φ_shear_yield*0.6)*CG79,IF(Rev="F",0.3,φ_shear_rupture*0.6)*CH79)</f>
        <v>#N/A</v>
      </c>
      <c r="DH79" s="248" t="e">
        <f>2*VLOOKUP(BR79,Reinforcements[],COLUMN(Reinforcements[[#Headers],[Top Longitudinal Weld Fillet Size (in)]])-1,FALSE)*CZ79*MIN(IF(Rev="F",0.4,φ_shear_yield*0.6)*$D$6,IF(Rev="F",0.3,φ_shear_rupture*0.6)*$D$7)</f>
        <v>#N/A</v>
      </c>
      <c r="DI79" s="49" t="e">
        <f>IF(BS79="channel",VLOOKUP(Calculations!BR79,Reinforcements[],COLUMN(Reinforcements[[#Headers],['[Channel']Web Thickness (in)]])-1,FALSE),"")</f>
        <v>#N/A</v>
      </c>
      <c r="DJ79" s="49" t="b">
        <f>OR(AND(CJ79,CP79="Yes"),AND(CK79,DA79="Yes"))</f>
        <v>0</v>
      </c>
      <c r="DK79" s="49" t="e">
        <f>IF(BS79="channel",Calculations!BU79-DI79,"")</f>
        <v>#N/A</v>
      </c>
      <c r="DL79" s="49" t="e">
        <f>IF(BS79="channel",(Calculations!BY79-Calculations!BT79*DI79)/(2*DK79))</f>
        <v>#N/A</v>
      </c>
      <c r="DM79" s="49" t="e">
        <f>IF(BS79="channel",(Calculations!BT79*(DI79^2)/2+2*DK79*DL79*(DI79+DK79/2))/Calculations!BY79,"")</f>
        <v>#N/A</v>
      </c>
    </row>
    <row r="80" spans="2:117" ht="15" x14ac:dyDescent="0.25">
      <c r="B80" s="49" t="str">
        <f t="shared" si="70"/>
        <v/>
      </c>
      <c r="C80" s="201">
        <v>2</v>
      </c>
      <c r="D80" s="255" t="str">
        <f>IF(BQ80="","",IF($D$8=0,IF(OR(VLOOKUP(BQ80,Input!$B$21:$AL$50,19+C80,FALSE)+$D$5=0,VLOOKUP(BQ80,Input!$B$21:$AL$50,19+C80,FALSE)+$D$5=180),VLOOKUP(BQ80,Input!$B$21:$AL$50,19+C80,FALSE)+$D$5+0.0001,VLOOKUP(BQ80,Input!$B$21:$AL$50,19+C80,FALSE)+$D$5),IF(VLOOKUP(BQ80,Input!$B$21:$AL$50,19+C80,FALSE)="c",VLOOKUP($C80,$C$40:$E$57,2,FALSE)+180/$D$8,VLOOKUP($C80,$C$40:$E$57,2,FALSE))))</f>
        <v/>
      </c>
      <c r="E80" s="17" t="str">
        <f t="shared" ref="E80:E96" si="110">IF(D80="","",IF(D80&gt;630,360-(D80-360),IF(D80&gt;540,(D80-360)-180,IF(D80&gt;450,180-(D80-360),IF(D80&gt;360,D80-360,IF(D80&gt;270,360-D80,IF(D80&gt;180,D80-180,IF(D80&gt;90,180-D80,D80))))))))</f>
        <v/>
      </c>
      <c r="F80" s="258" t="str">
        <f>IF(BR80="","",VLOOKUP(BR80,Reinforcements[],COLUMN(Reinforcements[[#Headers],[Gross Area (in2)]])-1,FALSE))</f>
        <v/>
      </c>
      <c r="G80" s="256" t="e">
        <f>(IF(VLOOKUP(BQ80,Input!$B$21:$AL$50,19+C80,FALSE)="c",$D$20/COS(RADIANS(180/$D$8)),$D$20)+CA80)*SIN(RADIANS(D80))-IF(AND(ISNUMBER(VLOOKUP(BQ80,Input!$B$21:$AL$50,19+C80,FALSE)),$D$8&lt;&gt;0),VLOOKUP(BQ80,Input!$B$21:$AL$50,19+C80,FALSE)*COS(RADIANS(D80)),0)</f>
        <v>#N/A</v>
      </c>
      <c r="H80" s="251" t="str">
        <f t="shared" ref="H80:H96" si="111">IF(ISERROR(F80*G80),"",F80*G80)</f>
        <v/>
      </c>
      <c r="I80" s="251" t="e">
        <f t="shared" si="86"/>
        <v>#N/A</v>
      </c>
      <c r="J80" s="251" t="e">
        <f t="shared" ref="J80:J96" si="112">CB80</f>
        <v>#N/A</v>
      </c>
      <c r="K80" s="251" t="e">
        <f t="shared" ref="K80:K96" si="113">CC80</f>
        <v>#N/A</v>
      </c>
      <c r="L80" s="251" t="e">
        <f t="shared" ref="L80:L96" si="114">(J80+K80)/2+(J80-K80)/2*COS(2*RADIANS(D80+90))</f>
        <v>#N/A</v>
      </c>
      <c r="M80" s="252" t="str">
        <f t="shared" ref="M80:M96" si="115">IFERROR((L80+F80*I80^2)*IF(CI80="Yes",BP80,1),"")</f>
        <v/>
      </c>
      <c r="N80" s="250" t="str">
        <f>IFERROR((IF(VLOOKUP(BQ80,Input!$B$21:$AL$50,19+C80,FALSE)="c",$D$20/COS(RADIANS(180/$D$8)),$D$20)+CA80)*SIN(RADIANS(D80))-IF(AND(ISNUMBER(VLOOKUP(BQ80,Input!$B$21:$AL$50,19+C80,FALSE)),$D$8&lt;&gt;0),VLOOKUP(BQ80,Input!$B$21:$AL$50,19+C80,FALSE)*COS(RADIANS(D80)),0)-$D$35,"")</f>
        <v/>
      </c>
      <c r="O80" s="251" t="str">
        <f t="shared" si="87"/>
        <v/>
      </c>
      <c r="P80" s="251" t="str">
        <f t="shared" si="88"/>
        <v/>
      </c>
      <c r="Q80" s="251" t="str">
        <f t="shared" si="89"/>
        <v/>
      </c>
      <c r="R80" s="252" t="str">
        <f t="shared" si="90"/>
        <v/>
      </c>
      <c r="S80" s="251" t="str">
        <f t="shared" si="91"/>
        <v/>
      </c>
      <c r="T80" s="251" t="str">
        <f t="shared" si="92"/>
        <v/>
      </c>
      <c r="U80" s="251" t="str">
        <f t="shared" si="93"/>
        <v/>
      </c>
      <c r="V80" s="252" t="str">
        <f t="shared" si="94"/>
        <v/>
      </c>
      <c r="W80" s="323"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324"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324"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324" t="str">
        <f>IFERROR(IF('Macro References'!$A$9,IF(AND(CJ80,CL80="Welded"),MIN(CQ80:CT80),IF(AND(CK80,CL80="Welded"),MIN(DB80:DE80),"")),""),"")</f>
        <v/>
      </c>
      <c r="AA80" s="255" t="str">
        <f>IFERROR(IF('Macro References'!$A$9,IF(AND(CJ80,CL80="Welded"),MIN(CU80:CW80),IF(AND(CK80,CL80="Welded"),MIN(DF80:DH80),"")),""),"")</f>
        <v/>
      </c>
      <c r="AB80" s="255" t="str">
        <f>IFERROR(IF('Macro References'!$A$9,IF(AND(CJ80,CL80="Welded",CN80="Fillet",CU80&gt;0),TRUE,IF(AND(CK80,CL80="Welded",CY80="Fillet",DF80&gt;0),TRUE,"")),""),"")</f>
        <v/>
      </c>
      <c r="AC80" s="255"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255"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32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248"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32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274" t="str">
        <f t="shared" si="95"/>
        <v/>
      </c>
      <c r="AI80" s="255" t="str">
        <f t="shared" si="96"/>
        <v/>
      </c>
      <c r="AJ80" s="255" t="str">
        <f t="shared" si="97"/>
        <v/>
      </c>
      <c r="AK80" s="255" t="str">
        <f t="shared" si="85"/>
        <v/>
      </c>
      <c r="AL80" s="248" t="str">
        <f t="shared" si="78"/>
        <v/>
      </c>
      <c r="AM80" s="255" t="str">
        <f>""</f>
        <v/>
      </c>
      <c r="AN80" s="255" t="str">
        <f t="shared" si="98"/>
        <v/>
      </c>
      <c r="AO80" s="248" t="str">
        <f t="shared" si="99"/>
        <v/>
      </c>
      <c r="AP80" s="275" t="str">
        <f t="shared" si="100"/>
        <v/>
      </c>
      <c r="AQ80" s="276" t="str">
        <f t="shared" si="53"/>
        <v/>
      </c>
      <c r="AR80" s="255" t="str">
        <f>IF(BR80="","",VLOOKUP(VLOOKUP(BR80,Reinforcements[],COLUMN(Reinforcements[[#Headers],[Material]])-1,FALSE),Materials[],2,FALSE)/$D$28)</f>
        <v/>
      </c>
      <c r="AS80" s="248" t="str">
        <f t="shared" si="54"/>
        <v/>
      </c>
      <c r="AT80" s="327" t="str">
        <f t="shared" si="101"/>
        <v/>
      </c>
      <c r="AU80" s="277">
        <f t="shared" ref="AU80:AU96" si="116">IF(ISERROR(IF(OR(D80&gt;540,AND(D80&gt;180,D80&lt;=360)),MIN(O80:R80),MAX(O80:R80))),"",IF(OR(D80&gt;540,AND(D80&gt;180,D80&lt;=360)),MIN(O80:R80),MAX(O80:R80)))</f>
        <v>0</v>
      </c>
      <c r="AV80" s="278">
        <f t="shared" ref="AV80:AV96" si="117">IF(ISERROR(IF(AU80=MAX(O80:R80),MIN(O80:R80),MAX(O80:R80))),"",IF(AU80=MAX(O80:R80),MIN(O80:R80),MAX(O80:R80)))</f>
        <v>0</v>
      </c>
      <c r="AW80" s="278" t="e">
        <f t="shared" si="102"/>
        <v>#N/A</v>
      </c>
      <c r="AX80" s="278" t="e">
        <f t="shared" si="103"/>
        <v>#N/A</v>
      </c>
      <c r="AY80" s="278" t="str">
        <f t="shared" si="104"/>
        <v/>
      </c>
      <c r="AZ80" s="278" t="e">
        <f t="shared" si="105"/>
        <v>#VALUE!</v>
      </c>
      <c r="BA80" s="295" t="str">
        <f t="shared" ref="BA80:BA96" si="118">IF(ISERROR(AZ80*AY80),"",AZ80*AY80)</f>
        <v/>
      </c>
      <c r="BB80" s="297" t="str">
        <f t="shared" ref="BB80:BB96" si="119">IFERROR(IF(MAX(AVERAGE(O80:P80),AVERAGE(Q80:R80))&gt;$AR80,MIN((MAX(AVERAGE(O80:P80),AVERAGE(Q80:R80))-$AR80)/COS(RADIANS($E80)),$BW80)*$BX80*$CG80,""),"")</f>
        <v/>
      </c>
      <c r="BC80" s="298"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298" t="str">
        <f t="shared" si="106"/>
        <v/>
      </c>
      <c r="BE80" s="295" t="str">
        <f t="shared" ref="BE80:BE96" si="121">IFERROR(IF(CI80="Yes","",IF(MIN(AVERAGE(O80:P80),AVERAGE(Q80:R80))&lt;-$AR80,MAX((MIN(AVERAGE(O80:P80),AVERAGE(Q80:R80))+$AR80)/COS(RADIANS($E80)),-$BW80)*$BX80*$CG80,"")),"")</f>
        <v/>
      </c>
      <c r="BF80" s="299" t="e">
        <f t="shared" ref="BF80:BF96" si="122">IF(MAX(AVERAGE(O80:P80),AVERAGE(Q80:R80))&gt;$AR80,MAX(AVERAGE(MAX(AVERAGE(O80:P80),AVERAGE(Q80:R80)),$AR80),AVERAGE(O80:R80)),"")</f>
        <v>#DIV/0!</v>
      </c>
      <c r="BG80" s="300" t="str">
        <f t="shared" si="107"/>
        <v/>
      </c>
      <c r="BH80" s="300" t="str">
        <f t="shared" si="108"/>
        <v/>
      </c>
      <c r="BI80" s="295" t="e">
        <f t="shared" ref="BI80:BI96" si="123">IF(MIN(AVERAGE(O80:P80),AVERAGE(Q80:R80))&lt;-$AR80,MIN(AVERAGE(MIN(AVERAGE(O80:P80),AVERAGE(Q80:R80)),-$AR80),AVERAGE(O80:R80)),"")</f>
        <v>#DIV/0!</v>
      </c>
      <c r="BJ80" s="299" t="str">
        <f t="shared" ref="BJ80:BJ96" si="124">IFERROR(IF(BB80="",0,ABS(BB80))*IF(BF80="",0,ABS(BF80))+IF(BC80="",0,ABS(BC80))*IF(BG80="",0,ABS(BG80))+IF(BD80="",0,ABS(BD80))*IF(BH80="",0,ABS(BH80))+IF(BE80="",0,ABS(BE80))*IF(BI80="",0,ABS(BI80)),"")</f>
        <v/>
      </c>
      <c r="BK80" s="278" t="e">
        <f t="shared" ref="BK80:BK96" si="125">(IF(BB80="",0,ABS(BB80))*IF(BF80="",0,BF80)+IF(BC80="",0,ABS(BC80))*IF(BG80="",0,BG80)+IF(BD80="",0,ABS(BD80))*IF(BH80="",0,BH80)+IF(BE80="",0,ABS(BE80))*IF(BI80="",0,BI80))/(IF(BB80="",0,ABS(BB80))+IF(BC80="",0,ABS(BC80))+IF(BD80="",0,ABS(BD80))+IF(BE80="",0,ABS(BE80)))</f>
        <v>#DIV/0!</v>
      </c>
      <c r="BL80" s="49" t="str">
        <f t="shared" si="68"/>
        <v/>
      </c>
      <c r="BP80" s="25" t="e">
        <f t="shared" si="109"/>
        <v>#DIV/0!</v>
      </c>
      <c r="BQ80" s="303"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303" t="str">
        <f>IF(BQ80="","",VLOOKUP(BQ80,Input!$B$21:$Q$50,13,FALSE))</f>
        <v/>
      </c>
      <c r="BS80" s="248" t="e">
        <f>VLOOKUP(BR80,Reinforcements[],COLUMN(Reinforcements[[#Headers],[Type]])-1,FALSE)</f>
        <v>#N/A</v>
      </c>
      <c r="BT80" s="248" t="e">
        <f>IF(BS80="solid round",VLOOKUP(BR80,Reinforcements[],COLUMN(Reinforcements[[#Headers],[Diameter (in)]])-1,FALSE),VLOOKUP(BR80,Reinforcements[],COLUMN(Reinforcements[[#Headers],[B (in)]])-1,FALSE))</f>
        <v>#N/A</v>
      </c>
      <c r="BU80" s="248" t="e">
        <f>IF(BS80="solid round",VLOOKUP(BR80,Reinforcements[],COLUMN(Reinforcements[[#Headers],[Diameter (in)]])-1,FALSE),VLOOKUP(BR80,Reinforcements[],COLUMN(Reinforcements[[#Headers],[H (in)]])-1,FALSE))</f>
        <v>#N/A</v>
      </c>
      <c r="BV80" s="278" t="e">
        <f>IFERROR((IF(VLOOKUP(BQ80,Input!$B$21:$AL$50,19+C80,FALSE)="c",$D$20/COS(RADIANS(180/$D$8)),$D$20)+BU80/2)*SIN(RADIANS(D80))-IF(ISNUMBER(VLOOKUP(BQ80,Input!$B$21:$AL$50,19+C80,FALSE)),VLOOKUP(BQ80,Input!$B$21:$AL$50,19+C80,FALSE)*COS(RADIANS(D80)),0)-$D$35,"")*0+N80*1</f>
        <v>#VALUE!</v>
      </c>
      <c r="BW80" s="248" t="e">
        <f>VLOOKUP(BR80,Reinforcements[],COLUMN(Reinforcements[[#Headers],[Effective B (in)]])-1,FALSE)</f>
        <v>#N/A</v>
      </c>
      <c r="BX80" s="248" t="e">
        <f>VLOOKUP(BR80,Reinforcements[],COLUMN(Reinforcements[[#Headers],[Effective H (in)]])-1,FALSE)</f>
        <v>#N/A</v>
      </c>
      <c r="BY80" s="248" t="e">
        <f>VLOOKUP(BR80,Reinforcements[],COLUMN(Reinforcements[[#Headers],[Gross Area (in2)]])-1,FALSE)</f>
        <v>#N/A</v>
      </c>
      <c r="BZ80" s="255" t="s">
        <v>697</v>
      </c>
      <c r="CA80" s="248" t="e">
        <f>VLOOKUP(BR80,Reinforcements[],COLUMN(Reinforcements[[#Headers],[Pole Face to Centroid (in)]])-1,FALSE)</f>
        <v>#N/A</v>
      </c>
      <c r="CB80" s="248" t="e">
        <f>VLOOKUP(BR80,Reinforcements[],COLUMN(Reinforcements[[#Headers],[Ix]])-1,FALSE)</f>
        <v>#N/A</v>
      </c>
      <c r="CC80" s="248" t="e">
        <f>VLOOKUP(BR80,Reinforcements[],COLUMN(Reinforcements[[#Headers],[Iy]])-1,FALSE)</f>
        <v>#N/A</v>
      </c>
      <c r="CD80" s="248" t="e">
        <f>VLOOKUP(BR80,Reinforcements[],COLUMN(Reinforcements[[#Headers],[Lu (in)]])-1,FALSE)</f>
        <v>#N/A</v>
      </c>
      <c r="CE80" s="255" t="s">
        <v>697</v>
      </c>
      <c r="CF80" s="255" t="s">
        <v>697</v>
      </c>
      <c r="CG80" s="248" t="e">
        <f>VLOOKUP(VLOOKUP(BR80,Reinforcements[],COLUMN(Reinforcements[[#Headers],[Material]])-1,FALSE),Materials[],2,FALSE)</f>
        <v>#N/A</v>
      </c>
      <c r="CH80" s="248" t="e">
        <f>VLOOKUP(VLOOKUP(BR80,Reinforcements[],COLUMN(Reinforcements[[#Headers],[Material]])-1,FALSE),Materials[],3,FALSE)</f>
        <v>#N/A</v>
      </c>
      <c r="CI80" s="255" t="e">
        <f>VLOOKUP(BR80,Reinforcements[],COLUMN(Reinforcements[[#Headers],[Tension Only?]])-1,FALSE)</f>
        <v>#N/A</v>
      </c>
      <c r="CJ80" s="17" t="str">
        <f>IF(BQ80="","",AND(INDEX(Results!$G$5:$G$104,MATCH(VLOOKUP($BQ80,Input!$B$21:$J$50,2,FALSE)-0.001,Results!$G$5:$G$104,-1))=$D$4))</f>
        <v/>
      </c>
      <c r="CK80" s="17" t="str">
        <f>IF(BQ80="","",AND(INDEX('Macro References'!$BB$2:$BB$101,MATCH(VLOOKUP($BQ80,Input!$B$21:$J$50,6,FALSE)-0.001,'Macro References'!$BB$2:$BB$101,1))=$D$4))</f>
        <v/>
      </c>
      <c r="CL80" s="17" t="e">
        <f>IF(CJ80,VLOOKUP(BR80,Reinforcements[],COLUMN(Reinforcements[[#Headers],[Bottom End Connection Type]])-1,FALSE),IF(CK80,VLOOKUP(BR80,Reinforcements[],COLUMN(Reinforcements[[#Headers],[Top End Connection Type]])-1,FALSE),""))</f>
        <v>#VALUE!</v>
      </c>
      <c r="CM80" s="17" t="e">
        <f>IF(ISBLANK(VLOOKUP(BR80,Reinforcements[],COLUMN(Reinforcements[[#Headers],[Bottom Transverse Weld Length]])-1,FALSE)),"",(VLOOKUP(BR80,Reinforcements[],COLUMN(Reinforcements[[#Headers],[Bottom Transverse Weld Length]])-1,FALSE)))</f>
        <v>#N/A</v>
      </c>
      <c r="CN80" s="17" t="e">
        <f>IF(ISBLANK(VLOOKUP(BR80,Reinforcements[],COLUMN(Reinforcements[[#Headers],[Bottom Transverse (Horizontal) Weld]])-1,FALSE)),"",(VLOOKUP(BR80,Reinforcements[],COLUMN(Reinforcements[[#Headers],[Bottom Transverse (Horizontal) Weld]])-1,FALSE)))</f>
        <v>#N/A</v>
      </c>
      <c r="CO80" s="17" t="e">
        <f>IF(ISBLANK(VLOOKUP(BR80,Reinforcements[],COLUMN(Reinforcements[[#Headers],[Bottom Longitudinal Weld Length]])-1,FALSE)),"",(VLOOKUP(BR80,Reinforcements[],COLUMN(Reinforcements[[#Headers],[Bottom Longitudinal Weld Length]])-1,FALSE)))</f>
        <v>#N/A</v>
      </c>
      <c r="CP80" s="17" t="str">
        <f>IFERROR(VLOOKUP(BR80,Reinforcements[],COLUMN(Reinforcements[[#Headers],[Bottom Connected to Flange/Base Plate?]])-1,FALSE),"")</f>
        <v/>
      </c>
      <c r="CQ80" s="248" t="e">
        <f>IF(Rev="F",VLOOKUP(BR80,Reinforcements[],COLUMN(Reinforcements[[#Headers],[Rev. F Bottom Transverse Weld Strength]])-1,FALSE),VLOOKUP(BR80,Reinforcements[],COLUMN(Reinforcements[[#Headers],[Rev. G Bottom Transverse Weld Strength]])-1,FALSE))</f>
        <v>#N/A</v>
      </c>
      <c r="CR80" s="248"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248" t="str">
        <f>IF(CP80&lt;&gt;"Yes","",(VLOOKUP(BR80,Reinforcements[],COLUMN(Reinforcements[[#Headers],[Bottom Transverse Weld Groove Depth (in)]])-1,FALSE)+VLOOKUP(BR80,Reinforcements[],COLUMN(Reinforcements[[#Headers],[Bottom Transverse Weld Fillet Size (in)]])-1,FALSE))*CM80*IF(Rev="F",0.6,φ_t_y)*$D$14)</f>
        <v/>
      </c>
      <c r="CT80" s="248" t="e">
        <f>IF(CP80="Yes","",VLOOKUP(BR80,Reinforcements[],COLUMN(Reinforcements[[#Headers],[Bottom Transverse Weld Fillet Size (in)]])-1,FALSE)*CM80*MIN(IF(Rev="F",0.4,φ_shear_yield*0.6)*$D$6,IF(Rev="F",0.3,φ_shear_rupture*0.6)*$D$7))</f>
        <v>#N/A</v>
      </c>
      <c r="CU80" s="248" t="e">
        <f>IF(Rev="F",VLOOKUP(BR80,Reinforcements[],COLUMN(Reinforcements[[#Headers],[Rev. F Bottom Longitudinal Weld Strength]])-1,FALSE),VLOOKUP(BR80,Reinforcements[],COLUMN(Reinforcements[[#Headers],[Rev. G Bottom Longitudinal Weld Strength]])-1,FALSE))</f>
        <v>#N/A</v>
      </c>
      <c r="CV80" s="248" t="e">
        <f>2*VLOOKUP(BR80,Reinforcements[],COLUMN(Reinforcements[[#Headers],[Bottom Longitudinal Weld Fillet Size (in)]])-1,FALSE)*CO80*MIN(IF(Rev="F",0.4,φ_shear_yield*0.6)*CG80,IF(Rev="F",0.3,φ_shear_rupture*0.6)*CH80)</f>
        <v>#N/A</v>
      </c>
      <c r="CW80" s="248" t="e">
        <f>2*VLOOKUP(BR80,Reinforcements[],COLUMN(Reinforcements[[#Headers],[Bottom Longitudinal Weld Fillet Size (in)]])-1,FALSE)*CO80*MIN(IF(Rev="F",0.4,φ_shear_yield*0.6)*$D$6,IF(Rev="F",0.3,φ_shear_rupture*0.6)*$D$7)</f>
        <v>#N/A</v>
      </c>
      <c r="CX80" s="248" t="e">
        <f>IF(ISBLANK(VLOOKUP(BR80,Reinforcements[],COLUMN(Reinforcements[[#Headers],[Top Transverse Weld Length]])-1,FALSE)),"",(VLOOKUP(BR80,Reinforcements[],COLUMN(Reinforcements[[#Headers],[Top Transverse Weld Length]])-1,FALSE)))</f>
        <v>#N/A</v>
      </c>
      <c r="CY80" s="248" t="e">
        <f>IF(ISBLANK(VLOOKUP(BR80,Reinforcements[],COLUMN(Reinforcements[[#Headers],[Top Transverse (Horizontal) Weld]])-1,FALSE)),"",(VLOOKUP(BR80,Reinforcements[],COLUMN(Reinforcements[[#Headers],[Top Transverse (Horizontal) Weld]])-1,FALSE)))</f>
        <v>#N/A</v>
      </c>
      <c r="CZ80" s="248" t="e">
        <f>IF(ISBLANK(VLOOKUP(BR80,Reinforcements[],COLUMN(Reinforcements[[#Headers],[Top Longitudinal Weld Length]])-1,FALSE)),"",(VLOOKUP(BR80,Reinforcements[],COLUMN(Reinforcements[[#Headers],[Top Longitudinal Weld Length]])-1,FALSE)))</f>
        <v>#N/A</v>
      </c>
      <c r="DA80" s="248" t="str">
        <f>IFERROR(VLOOKUP(BR80,Reinforcements[],COLUMN(Reinforcements[[#Headers],[Top Connected to Flange/Base Plate?]])-1,FALSE),"")</f>
        <v/>
      </c>
      <c r="DB80" s="248" t="e">
        <f>IF(Rev="F",VLOOKUP(BR80,Reinforcements[],COLUMN(Reinforcements[[#Headers],[Rev. F Top Transverse Weld Strength]])-1,FALSE),VLOOKUP(BR80,Reinforcements[],COLUMN(Reinforcements[[#Headers],[Rev. G Top Transverse Weld Strength]])-1,FALSE))</f>
        <v>#N/A</v>
      </c>
      <c r="DC80" s="248"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248" t="str">
        <f>IF(DA80&lt;&gt;"Yes","",(VLOOKUP(BR80,Reinforcements[],COLUMN(Reinforcements[[#Headers],[Top Transverse Weld Groove Depth (in)]])-1,FALSE)+VLOOKUP(BR80,Reinforcements[],COLUMN(Reinforcements[[#Headers],[Top Transverse Weld Fillet Size (in)]])-1,FALSE))*CX80*IF(Rev="F",0.6,φ_t_y)*$D$14)</f>
        <v/>
      </c>
      <c r="DE80" s="248" t="e">
        <f>IF(DA80="Yes","",VLOOKUP(BR80,Reinforcements[],COLUMN(Reinforcements[[#Headers],[Top Transverse Weld Fillet Size (in)]])-1,FALSE)*CX80*MIN(IF(Rev="F",0.4,φ_shear_yield*0.6)*$D$6,IF(Rev="F",0.3,φ_shear_rupture*0.6)*$D$7))</f>
        <v>#N/A</v>
      </c>
      <c r="DF80" s="248" t="e">
        <f>IF(Rev="F",VLOOKUP(BR80,Reinforcements[],COLUMN(Reinforcements[[#Headers],[Rev. F Top Longitudinal Weld Strength]])-1,FALSE),VLOOKUP(BR80,Reinforcements[],COLUMN(Reinforcements[[#Headers],[Rev. G Top Longitudinal Weld Strength]])-1,FALSE))</f>
        <v>#N/A</v>
      </c>
      <c r="DG80" s="248" t="e">
        <f>2*VLOOKUP(BR80,Reinforcements[],COLUMN(Reinforcements[[#Headers],[Top Longitudinal Weld Fillet Size (in)]])-1,FALSE)*CZ80*MIN(IF(Rev="F",0.4,φ_shear_yield*0.6)*CG80,IF(Rev="F",0.3,φ_shear_rupture*0.6)*CH80)</f>
        <v>#N/A</v>
      </c>
      <c r="DH80" s="248" t="e">
        <f>2*VLOOKUP(BR80,Reinforcements[],COLUMN(Reinforcements[[#Headers],[Top Longitudinal Weld Fillet Size (in)]])-1,FALSE)*CZ80*MIN(IF(Rev="F",0.4,φ_shear_yield*0.6)*$D$6,IF(Rev="F",0.3,φ_shear_rupture*0.6)*$D$7)</f>
        <v>#N/A</v>
      </c>
      <c r="DI80" s="49" t="e">
        <f>IF(BS80="channel",VLOOKUP(Calculations!BR80,Reinforcements[],COLUMN(Reinforcements[[#Headers],['[Channel']Web Thickness (in)]])-1,FALSE),"")</f>
        <v>#N/A</v>
      </c>
      <c r="DJ80" s="49" t="b">
        <f t="shared" ref="DJ80:DJ96" si="126">OR(AND(CJ80,CP80="Yes"),AND(CK80,DA80="Yes"))</f>
        <v>0</v>
      </c>
      <c r="DK80" s="49" t="e">
        <f>IF(BS80="channel",Calculations!BU80-DI80,"")</f>
        <v>#N/A</v>
      </c>
      <c r="DL80" s="49" t="e">
        <f>IF(BS80="channel",(Calculations!BY80-Calculations!BT80*DI80)/(2*DK80))</f>
        <v>#N/A</v>
      </c>
      <c r="DM80" s="49" t="e">
        <f>IF(BS80="channel",(Calculations!BT80*(DI80^2)/2+2*DK80*DL80*(DI80+DK80/2))/Calculations!BY80,"")</f>
        <v>#N/A</v>
      </c>
    </row>
    <row r="81" spans="2:117" ht="15" x14ac:dyDescent="0.25">
      <c r="B81" s="49" t="str">
        <f t="shared" si="70"/>
        <v/>
      </c>
      <c r="C81" s="201">
        <v>3</v>
      </c>
      <c r="D81" s="255" t="str">
        <f>IF(BQ81="","",IF($D$8=0,IF(OR(VLOOKUP(BQ81,Input!$B$21:$AL$50,19+C81,FALSE)+$D$5=0,VLOOKUP(BQ81,Input!$B$21:$AL$50,19+C81,FALSE)+$D$5=180),VLOOKUP(BQ81,Input!$B$21:$AL$50,19+C81,FALSE)+$D$5+0.0001,VLOOKUP(BQ81,Input!$B$21:$AL$50,19+C81,FALSE)+$D$5),IF(VLOOKUP(BQ81,Input!$B$21:$AL$50,19+C81,FALSE)="c",VLOOKUP($C81,$C$40:$E$57,2,FALSE)+180/$D$8,VLOOKUP($C81,$C$40:$E$57,2,FALSE))))</f>
        <v/>
      </c>
      <c r="E81" s="17" t="str">
        <f t="shared" si="110"/>
        <v/>
      </c>
      <c r="F81" s="258" t="str">
        <f>IF(BR81="","",VLOOKUP(BR81,Reinforcements[],COLUMN(Reinforcements[[#Headers],[Gross Area (in2)]])-1,FALSE))</f>
        <v/>
      </c>
      <c r="G81" s="256" t="e">
        <f>(IF(VLOOKUP(BQ81,Input!$B$21:$AL$50,19+C81,FALSE)="c",$D$20/COS(RADIANS(180/$D$8)),$D$20)+CA81)*SIN(RADIANS(D81))-IF(AND(ISNUMBER(VLOOKUP(BQ81,Input!$B$21:$AL$50,19+C81,FALSE)),$D$8&lt;&gt;0),VLOOKUP(BQ81,Input!$B$21:$AL$50,19+C81,FALSE)*COS(RADIANS(D81)),0)</f>
        <v>#N/A</v>
      </c>
      <c r="H81" s="251" t="str">
        <f t="shared" si="111"/>
        <v/>
      </c>
      <c r="I81" s="251" t="e">
        <f t="shared" si="86"/>
        <v>#N/A</v>
      </c>
      <c r="J81" s="251" t="e">
        <f t="shared" si="112"/>
        <v>#N/A</v>
      </c>
      <c r="K81" s="251" t="e">
        <f t="shared" si="113"/>
        <v>#N/A</v>
      </c>
      <c r="L81" s="251" t="e">
        <f t="shared" si="114"/>
        <v>#N/A</v>
      </c>
      <c r="M81" s="252" t="str">
        <f t="shared" si="115"/>
        <v/>
      </c>
      <c r="N81" s="250" t="str">
        <f>IFERROR((IF(VLOOKUP(BQ81,Input!$B$21:$AL$50,19+C81,FALSE)="c",$D$20/COS(RADIANS(180/$D$8)),$D$20)+CA81)*SIN(RADIANS(D81))-IF(AND(ISNUMBER(VLOOKUP(BQ81,Input!$B$21:$AL$50,19+C81,FALSE)),$D$8&lt;&gt;0),VLOOKUP(BQ81,Input!$B$21:$AL$50,19+C81,FALSE)*COS(RADIANS(D81)),0)-$D$35,"")</f>
        <v/>
      </c>
      <c r="O81" s="251" t="str">
        <f t="shared" si="87"/>
        <v/>
      </c>
      <c r="P81" s="251" t="str">
        <f t="shared" si="88"/>
        <v/>
      </c>
      <c r="Q81" s="251" t="str">
        <f t="shared" si="89"/>
        <v/>
      </c>
      <c r="R81" s="252" t="str">
        <f t="shared" si="90"/>
        <v/>
      </c>
      <c r="S81" s="251" t="str">
        <f t="shared" si="91"/>
        <v/>
      </c>
      <c r="T81" s="251" t="str">
        <f t="shared" si="92"/>
        <v/>
      </c>
      <c r="U81" s="251" t="str">
        <f t="shared" si="93"/>
        <v/>
      </c>
      <c r="V81" s="252" t="str">
        <f t="shared" si="94"/>
        <v/>
      </c>
      <c r="W81" s="323"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324"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324"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324" t="str">
        <f>IFERROR(IF('Macro References'!$A$9,IF(AND(CJ81,CL81="Welded"),MIN(CQ81:CT81),IF(AND(CK81,CL81="Welded"),MIN(DB81:DE81),"")),""),"")</f>
        <v/>
      </c>
      <c r="AA81" s="255" t="str">
        <f>IFERROR(IF('Macro References'!$A$9,IF(AND(CJ81,CL81="Welded"),MIN(CU81:CW81),IF(AND(CK81,CL81="Welded"),MIN(DF81:DH81),"")),""),"")</f>
        <v/>
      </c>
      <c r="AB81" s="255" t="str">
        <f>IFERROR(IF('Macro References'!$A$9,IF(AND(CJ81,CL81="Welded",CN81="Fillet",CU81&gt;0),TRUE,IF(AND(CK81,CL81="Welded",CY81="Fillet",DF81&gt;0),TRUE,"")),""),"")</f>
        <v/>
      </c>
      <c r="AC81" s="255"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255"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32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248"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32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274" t="str">
        <f t="shared" si="95"/>
        <v/>
      </c>
      <c r="AI81" s="255" t="str">
        <f t="shared" si="96"/>
        <v/>
      </c>
      <c r="AJ81" s="255" t="str">
        <f t="shared" si="97"/>
        <v/>
      </c>
      <c r="AK81" s="255" t="str">
        <f t="shared" si="85"/>
        <v/>
      </c>
      <c r="AL81" s="248" t="str">
        <f t="shared" si="78"/>
        <v/>
      </c>
      <c r="AM81" s="255" t="str">
        <f>""</f>
        <v/>
      </c>
      <c r="AN81" s="255" t="str">
        <f t="shared" si="98"/>
        <v/>
      </c>
      <c r="AO81" s="248" t="str">
        <f t="shared" si="99"/>
        <v/>
      </c>
      <c r="AP81" s="275" t="str">
        <f t="shared" si="100"/>
        <v/>
      </c>
      <c r="AQ81" s="276" t="str">
        <f t="shared" si="53"/>
        <v/>
      </c>
      <c r="AR81" s="255" t="str">
        <f>IF(BR81="","",VLOOKUP(VLOOKUP(BR81,Reinforcements[],COLUMN(Reinforcements[[#Headers],[Material]])-1,FALSE),Materials[],2,FALSE)/$D$28)</f>
        <v/>
      </c>
      <c r="AS81" s="248" t="str">
        <f t="shared" si="54"/>
        <v/>
      </c>
      <c r="AT81" s="327" t="str">
        <f t="shared" si="101"/>
        <v/>
      </c>
      <c r="AU81" s="277">
        <f t="shared" si="116"/>
        <v>0</v>
      </c>
      <c r="AV81" s="278">
        <f t="shared" si="117"/>
        <v>0</v>
      </c>
      <c r="AW81" s="278" t="e">
        <f t="shared" si="102"/>
        <v>#N/A</v>
      </c>
      <c r="AX81" s="278" t="e">
        <f t="shared" si="103"/>
        <v>#N/A</v>
      </c>
      <c r="AY81" s="278" t="str">
        <f t="shared" si="104"/>
        <v/>
      </c>
      <c r="AZ81" s="278" t="e">
        <f t="shared" si="105"/>
        <v>#VALUE!</v>
      </c>
      <c r="BA81" s="295" t="str">
        <f t="shared" si="118"/>
        <v/>
      </c>
      <c r="BB81" s="297" t="str">
        <f t="shared" si="119"/>
        <v/>
      </c>
      <c r="BC81" s="298" t="str">
        <f t="shared" si="120"/>
        <v/>
      </c>
      <c r="BD81" s="298" t="str">
        <f t="shared" si="106"/>
        <v/>
      </c>
      <c r="BE81" s="295" t="str">
        <f t="shared" si="121"/>
        <v/>
      </c>
      <c r="BF81" s="299" t="e">
        <f t="shared" si="122"/>
        <v>#DIV/0!</v>
      </c>
      <c r="BG81" s="300" t="str">
        <f t="shared" si="107"/>
        <v/>
      </c>
      <c r="BH81" s="300" t="str">
        <f t="shared" si="108"/>
        <v/>
      </c>
      <c r="BI81" s="295" t="e">
        <f t="shared" si="123"/>
        <v>#DIV/0!</v>
      </c>
      <c r="BJ81" s="299" t="str">
        <f t="shared" si="124"/>
        <v/>
      </c>
      <c r="BK81" s="278" t="e">
        <f t="shared" si="125"/>
        <v>#DIV/0!</v>
      </c>
      <c r="BL81" s="49" t="str">
        <f t="shared" si="68"/>
        <v/>
      </c>
      <c r="BP81" s="25" t="e">
        <f t="shared" si="109"/>
        <v>#DIV/0!</v>
      </c>
      <c r="BQ81" s="303"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303" t="str">
        <f>IF(BQ81="","",VLOOKUP(BQ81,Input!$B$21:$Q$50,13,FALSE))</f>
        <v/>
      </c>
      <c r="BS81" s="248" t="e">
        <f>VLOOKUP(BR81,Reinforcements[],COLUMN(Reinforcements[[#Headers],[Type]])-1,FALSE)</f>
        <v>#N/A</v>
      </c>
      <c r="BT81" s="248" t="e">
        <f>IF(BS81="solid round",VLOOKUP(BR81,Reinforcements[],COLUMN(Reinforcements[[#Headers],[Diameter (in)]])-1,FALSE),VLOOKUP(BR81,Reinforcements[],COLUMN(Reinforcements[[#Headers],[B (in)]])-1,FALSE))</f>
        <v>#N/A</v>
      </c>
      <c r="BU81" s="248" t="e">
        <f>IF(BS81="solid round",VLOOKUP(BR81,Reinforcements[],COLUMN(Reinforcements[[#Headers],[Diameter (in)]])-1,FALSE),VLOOKUP(BR81,Reinforcements[],COLUMN(Reinforcements[[#Headers],[H (in)]])-1,FALSE))</f>
        <v>#N/A</v>
      </c>
      <c r="BV81" s="278" t="e">
        <f>IFERROR((IF(VLOOKUP(BQ81,Input!$B$21:$AL$50,19+C81,FALSE)="c",$D$20/COS(RADIANS(180/$D$8)),$D$20)+BU81/2)*SIN(RADIANS(D81))-IF(ISNUMBER(VLOOKUP(BQ81,Input!$B$21:$AL$50,19+C81,FALSE)),VLOOKUP(BQ81,Input!$B$21:$AL$50,19+C81,FALSE)*COS(RADIANS(D81)),0)-$D$35,"")*0+N81*1</f>
        <v>#VALUE!</v>
      </c>
      <c r="BW81" s="248" t="e">
        <f>VLOOKUP(BR81,Reinforcements[],COLUMN(Reinforcements[[#Headers],[Effective B (in)]])-1,FALSE)</f>
        <v>#N/A</v>
      </c>
      <c r="BX81" s="248" t="e">
        <f>VLOOKUP(BR81,Reinforcements[],COLUMN(Reinforcements[[#Headers],[Effective H (in)]])-1,FALSE)</f>
        <v>#N/A</v>
      </c>
      <c r="BY81" s="248" t="e">
        <f>VLOOKUP(BR81,Reinforcements[],COLUMN(Reinforcements[[#Headers],[Gross Area (in2)]])-1,FALSE)</f>
        <v>#N/A</v>
      </c>
      <c r="BZ81" s="255" t="s">
        <v>697</v>
      </c>
      <c r="CA81" s="248" t="e">
        <f>VLOOKUP(BR81,Reinforcements[],COLUMN(Reinforcements[[#Headers],[Pole Face to Centroid (in)]])-1,FALSE)</f>
        <v>#N/A</v>
      </c>
      <c r="CB81" s="248" t="e">
        <f>VLOOKUP(BR81,Reinforcements[],COLUMN(Reinforcements[[#Headers],[Ix]])-1,FALSE)</f>
        <v>#N/A</v>
      </c>
      <c r="CC81" s="248" t="e">
        <f>VLOOKUP(BR81,Reinforcements[],COLUMN(Reinforcements[[#Headers],[Iy]])-1,FALSE)</f>
        <v>#N/A</v>
      </c>
      <c r="CD81" s="248" t="e">
        <f>VLOOKUP(BR81,Reinforcements[],COLUMN(Reinforcements[[#Headers],[Lu (in)]])-1,FALSE)</f>
        <v>#N/A</v>
      </c>
      <c r="CE81" s="255" t="s">
        <v>697</v>
      </c>
      <c r="CF81" s="255" t="s">
        <v>697</v>
      </c>
      <c r="CG81" s="248" t="e">
        <f>VLOOKUP(VLOOKUP(BR81,Reinforcements[],COLUMN(Reinforcements[[#Headers],[Material]])-1,FALSE),Materials[],2,FALSE)</f>
        <v>#N/A</v>
      </c>
      <c r="CH81" s="248" t="e">
        <f>VLOOKUP(VLOOKUP(BR81,Reinforcements[],COLUMN(Reinforcements[[#Headers],[Material]])-1,FALSE),Materials[],3,FALSE)</f>
        <v>#N/A</v>
      </c>
      <c r="CI81" s="255" t="e">
        <f>VLOOKUP(BR81,Reinforcements[],COLUMN(Reinforcements[[#Headers],[Tension Only?]])-1,FALSE)</f>
        <v>#N/A</v>
      </c>
      <c r="CJ81" s="17" t="str">
        <f>IF(BQ81="","",AND(INDEX(Results!$G$5:$G$104,MATCH(VLOOKUP($BQ81,Input!$B$21:$J$50,2,FALSE)-0.001,Results!$G$5:$G$104,-1))=$D$4))</f>
        <v/>
      </c>
      <c r="CK81" s="17" t="str">
        <f>IF(BQ81="","",AND(INDEX('Macro References'!$BB$2:$BB$101,MATCH(VLOOKUP($BQ81,Input!$B$21:$J$50,6,FALSE)-0.001,'Macro References'!$BB$2:$BB$101,1))=$D$4))</f>
        <v/>
      </c>
      <c r="CL81" s="17" t="e">
        <f>IF(CJ81,VLOOKUP(BR81,Reinforcements[],COLUMN(Reinforcements[[#Headers],[Bottom End Connection Type]])-1,FALSE),IF(CK81,VLOOKUP(BR81,Reinforcements[],COLUMN(Reinforcements[[#Headers],[Top End Connection Type]])-1,FALSE),""))</f>
        <v>#VALUE!</v>
      </c>
      <c r="CM81" s="17" t="e">
        <f>IF(ISBLANK(VLOOKUP(BR81,Reinforcements[],COLUMN(Reinforcements[[#Headers],[Bottom Transverse Weld Length]])-1,FALSE)),"",(VLOOKUP(BR81,Reinforcements[],COLUMN(Reinforcements[[#Headers],[Bottom Transverse Weld Length]])-1,FALSE)))</f>
        <v>#N/A</v>
      </c>
      <c r="CN81" s="17" t="e">
        <f>IF(ISBLANK(VLOOKUP(BR81,Reinforcements[],COLUMN(Reinforcements[[#Headers],[Bottom Transverse (Horizontal) Weld]])-1,FALSE)),"",(VLOOKUP(BR81,Reinforcements[],COLUMN(Reinforcements[[#Headers],[Bottom Transverse (Horizontal) Weld]])-1,FALSE)))</f>
        <v>#N/A</v>
      </c>
      <c r="CO81" s="17" t="e">
        <f>IF(ISBLANK(VLOOKUP(BR81,Reinforcements[],COLUMN(Reinforcements[[#Headers],[Bottom Longitudinal Weld Length]])-1,FALSE)),"",(VLOOKUP(BR81,Reinforcements[],COLUMN(Reinforcements[[#Headers],[Bottom Longitudinal Weld Length]])-1,FALSE)))</f>
        <v>#N/A</v>
      </c>
      <c r="CP81" s="17" t="str">
        <f>IFERROR(VLOOKUP(BR81,Reinforcements[],COLUMN(Reinforcements[[#Headers],[Bottom Connected to Flange/Base Plate?]])-1,FALSE),"")</f>
        <v/>
      </c>
      <c r="CQ81" s="248" t="e">
        <f>IF(Rev="F",VLOOKUP(BR81,Reinforcements[],COLUMN(Reinforcements[[#Headers],[Rev. F Bottom Transverse Weld Strength]])-1,FALSE),VLOOKUP(BR81,Reinforcements[],COLUMN(Reinforcements[[#Headers],[Rev. G Bottom Transverse Weld Strength]])-1,FALSE))</f>
        <v>#N/A</v>
      </c>
      <c r="CR81" s="248"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248" t="str">
        <f>IF(CP81&lt;&gt;"Yes","",(VLOOKUP(BR81,Reinforcements[],COLUMN(Reinforcements[[#Headers],[Bottom Transverse Weld Groove Depth (in)]])-1,FALSE)+VLOOKUP(BR81,Reinforcements[],COLUMN(Reinforcements[[#Headers],[Bottom Transverse Weld Fillet Size (in)]])-1,FALSE))*CM81*IF(Rev="F",0.6,φ_t_y)*$D$14)</f>
        <v/>
      </c>
      <c r="CT81" s="248" t="e">
        <f>IF(CP81="Yes","",VLOOKUP(BR81,Reinforcements[],COLUMN(Reinforcements[[#Headers],[Bottom Transverse Weld Fillet Size (in)]])-1,FALSE)*CM81*MIN(IF(Rev="F",0.4,φ_shear_yield*0.6)*$D$6,IF(Rev="F",0.3,φ_shear_rupture*0.6)*$D$7))</f>
        <v>#N/A</v>
      </c>
      <c r="CU81" s="248" t="e">
        <f>IF(Rev="F",VLOOKUP(BR81,Reinforcements[],COLUMN(Reinforcements[[#Headers],[Rev. F Bottom Longitudinal Weld Strength]])-1,FALSE),VLOOKUP(BR81,Reinforcements[],COLUMN(Reinforcements[[#Headers],[Rev. G Bottom Longitudinal Weld Strength]])-1,FALSE))</f>
        <v>#N/A</v>
      </c>
      <c r="CV81" s="248" t="e">
        <f>2*VLOOKUP(BR81,Reinforcements[],COLUMN(Reinforcements[[#Headers],[Bottom Longitudinal Weld Fillet Size (in)]])-1,FALSE)*CO81*MIN(IF(Rev="F",0.4,φ_shear_yield*0.6)*CG81,IF(Rev="F",0.3,φ_shear_rupture*0.6)*CH81)</f>
        <v>#N/A</v>
      </c>
      <c r="CW81" s="248" t="e">
        <f>2*VLOOKUP(BR81,Reinforcements[],COLUMN(Reinforcements[[#Headers],[Bottom Longitudinal Weld Fillet Size (in)]])-1,FALSE)*CO81*MIN(IF(Rev="F",0.4,φ_shear_yield*0.6)*$D$6,IF(Rev="F",0.3,φ_shear_rupture*0.6)*$D$7)</f>
        <v>#N/A</v>
      </c>
      <c r="CX81" s="248" t="e">
        <f>IF(ISBLANK(VLOOKUP(BR81,Reinforcements[],COLUMN(Reinforcements[[#Headers],[Top Transverse Weld Length]])-1,FALSE)),"",(VLOOKUP(BR81,Reinforcements[],COLUMN(Reinforcements[[#Headers],[Top Transverse Weld Length]])-1,FALSE)))</f>
        <v>#N/A</v>
      </c>
      <c r="CY81" s="248" t="e">
        <f>IF(ISBLANK(VLOOKUP(BR81,Reinforcements[],COLUMN(Reinforcements[[#Headers],[Top Transverse (Horizontal) Weld]])-1,FALSE)),"",(VLOOKUP(BR81,Reinforcements[],COLUMN(Reinforcements[[#Headers],[Top Transverse (Horizontal) Weld]])-1,FALSE)))</f>
        <v>#N/A</v>
      </c>
      <c r="CZ81" s="248" t="e">
        <f>IF(ISBLANK(VLOOKUP(BR81,Reinforcements[],COLUMN(Reinforcements[[#Headers],[Top Longitudinal Weld Length]])-1,FALSE)),"",(VLOOKUP(BR81,Reinforcements[],COLUMN(Reinforcements[[#Headers],[Top Longitudinal Weld Length]])-1,FALSE)))</f>
        <v>#N/A</v>
      </c>
      <c r="DA81" s="248" t="str">
        <f>IFERROR(VLOOKUP(BR81,Reinforcements[],COLUMN(Reinforcements[[#Headers],[Top Connected to Flange/Base Plate?]])-1,FALSE),"")</f>
        <v/>
      </c>
      <c r="DB81" s="248" t="e">
        <f>IF(Rev="F",VLOOKUP(BR81,Reinforcements[],COLUMN(Reinforcements[[#Headers],[Rev. F Top Transverse Weld Strength]])-1,FALSE),VLOOKUP(BR81,Reinforcements[],COLUMN(Reinforcements[[#Headers],[Rev. G Top Transverse Weld Strength]])-1,FALSE))</f>
        <v>#N/A</v>
      </c>
      <c r="DC81" s="248"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248" t="str">
        <f>IF(DA81&lt;&gt;"Yes","",(VLOOKUP(BR81,Reinforcements[],COLUMN(Reinforcements[[#Headers],[Top Transverse Weld Groove Depth (in)]])-1,FALSE)+VLOOKUP(BR81,Reinforcements[],COLUMN(Reinforcements[[#Headers],[Top Transverse Weld Fillet Size (in)]])-1,FALSE))*CX81*IF(Rev="F",0.6,φ_t_y)*$D$14)</f>
        <v/>
      </c>
      <c r="DE81" s="248" t="e">
        <f>IF(DA81="Yes","",VLOOKUP(BR81,Reinforcements[],COLUMN(Reinforcements[[#Headers],[Top Transverse Weld Fillet Size (in)]])-1,FALSE)*CX81*MIN(IF(Rev="F",0.4,φ_shear_yield*0.6)*$D$6,IF(Rev="F",0.3,φ_shear_rupture*0.6)*$D$7))</f>
        <v>#N/A</v>
      </c>
      <c r="DF81" s="248" t="e">
        <f>IF(Rev="F",VLOOKUP(BR81,Reinforcements[],COLUMN(Reinforcements[[#Headers],[Rev. F Top Longitudinal Weld Strength]])-1,FALSE),VLOOKUP(BR81,Reinforcements[],COLUMN(Reinforcements[[#Headers],[Rev. G Top Longitudinal Weld Strength]])-1,FALSE))</f>
        <v>#N/A</v>
      </c>
      <c r="DG81" s="248" t="e">
        <f>2*VLOOKUP(BR81,Reinforcements[],COLUMN(Reinforcements[[#Headers],[Top Longitudinal Weld Fillet Size (in)]])-1,FALSE)*CZ81*MIN(IF(Rev="F",0.4,φ_shear_yield*0.6)*CG81,IF(Rev="F",0.3,φ_shear_rupture*0.6)*CH81)</f>
        <v>#N/A</v>
      </c>
      <c r="DH81" s="248" t="e">
        <f>2*VLOOKUP(BR81,Reinforcements[],COLUMN(Reinforcements[[#Headers],[Top Longitudinal Weld Fillet Size (in)]])-1,FALSE)*CZ81*MIN(IF(Rev="F",0.4,φ_shear_yield*0.6)*$D$6,IF(Rev="F",0.3,φ_shear_rupture*0.6)*$D$7)</f>
        <v>#N/A</v>
      </c>
      <c r="DI81" s="49" t="e">
        <f>IF(BS81="channel",VLOOKUP(Calculations!BR81,Reinforcements[],COLUMN(Reinforcements[[#Headers],['[Channel']Web Thickness (in)]])-1,FALSE),"")</f>
        <v>#N/A</v>
      </c>
      <c r="DJ81" s="49" t="b">
        <f t="shared" si="126"/>
        <v>0</v>
      </c>
      <c r="DK81" s="49" t="e">
        <f>IF(BS81="channel",Calculations!BU81-DI81,"")</f>
        <v>#N/A</v>
      </c>
      <c r="DL81" s="49" t="e">
        <f>IF(BS81="channel",(Calculations!BY81-Calculations!BT81*DI81)/(2*DK81))</f>
        <v>#N/A</v>
      </c>
      <c r="DM81" s="49" t="e">
        <f>IF(BS81="channel",(Calculations!BT81*(DI81^2)/2+2*DK81*DL81*(DI81+DK81/2))/Calculations!BY81,"")</f>
        <v>#N/A</v>
      </c>
    </row>
    <row r="82" spans="2:117" ht="15" x14ac:dyDescent="0.25">
      <c r="B82" s="49" t="str">
        <f t="shared" si="70"/>
        <v/>
      </c>
      <c r="C82" s="201">
        <v>4</v>
      </c>
      <c r="D82" s="255" t="str">
        <f>IF(BQ82="","",IF($D$8=0,IF(OR(VLOOKUP(BQ82,Input!$B$21:$AL$50,19+C82,FALSE)+$D$5=0,VLOOKUP(BQ82,Input!$B$21:$AL$50,19+C82,FALSE)+$D$5=180),VLOOKUP(BQ82,Input!$B$21:$AL$50,19+C82,FALSE)+$D$5+0.0001,VLOOKUP(BQ82,Input!$B$21:$AL$50,19+C82,FALSE)+$D$5),IF(VLOOKUP(BQ82,Input!$B$21:$AL$50,19+C82,FALSE)="c",VLOOKUP($C82,$C$40:$E$57,2,FALSE)+180/$D$8,VLOOKUP($C82,$C$40:$E$57,2,FALSE))))</f>
        <v/>
      </c>
      <c r="E82" s="17" t="str">
        <f t="shared" si="110"/>
        <v/>
      </c>
      <c r="F82" s="258" t="str">
        <f>IF(BR82="","",VLOOKUP(BR82,Reinforcements[],COLUMN(Reinforcements[[#Headers],[Gross Area (in2)]])-1,FALSE))</f>
        <v/>
      </c>
      <c r="G82" s="256" t="e">
        <f>(IF(VLOOKUP(BQ82,Input!$B$21:$AL$50,19+C82,FALSE)="c",$D$20/COS(RADIANS(180/$D$8)),$D$20)+CA82)*SIN(RADIANS(D82))-IF(AND(ISNUMBER(VLOOKUP(BQ82,Input!$B$21:$AL$50,19+C82,FALSE)),$D$8&lt;&gt;0),VLOOKUP(BQ82,Input!$B$21:$AL$50,19+C82,FALSE)*COS(RADIANS(D82)),0)</f>
        <v>#N/A</v>
      </c>
      <c r="H82" s="251" t="str">
        <f t="shared" si="111"/>
        <v/>
      </c>
      <c r="I82" s="251" t="e">
        <f t="shared" si="86"/>
        <v>#N/A</v>
      </c>
      <c r="J82" s="251" t="e">
        <f t="shared" si="112"/>
        <v>#N/A</v>
      </c>
      <c r="K82" s="251" t="e">
        <f t="shared" si="113"/>
        <v>#N/A</v>
      </c>
      <c r="L82" s="251" t="e">
        <f t="shared" si="114"/>
        <v>#N/A</v>
      </c>
      <c r="M82" s="252" t="str">
        <f t="shared" si="115"/>
        <v/>
      </c>
      <c r="N82" s="250" t="str">
        <f>IFERROR((IF(VLOOKUP(BQ82,Input!$B$21:$AL$50,19+C82,FALSE)="c",$D$20/COS(RADIANS(180/$D$8)),$D$20)+CA82)*SIN(RADIANS(D82))-IF(AND(ISNUMBER(VLOOKUP(BQ82,Input!$B$21:$AL$50,19+C82,FALSE)),$D$8&lt;&gt;0),VLOOKUP(BQ82,Input!$B$21:$AL$50,19+C82,FALSE)*COS(RADIANS(D82)),0)-$D$35,"")</f>
        <v/>
      </c>
      <c r="O82" s="251" t="str">
        <f t="shared" si="87"/>
        <v/>
      </c>
      <c r="P82" s="251" t="str">
        <f t="shared" si="88"/>
        <v/>
      </c>
      <c r="Q82" s="251" t="str">
        <f t="shared" si="89"/>
        <v/>
      </c>
      <c r="R82" s="252" t="str">
        <f t="shared" si="90"/>
        <v/>
      </c>
      <c r="S82" s="251" t="str">
        <f t="shared" si="91"/>
        <v/>
      </c>
      <c r="T82" s="251" t="str">
        <f t="shared" si="92"/>
        <v/>
      </c>
      <c r="U82" s="251" t="str">
        <f t="shared" si="93"/>
        <v/>
      </c>
      <c r="V82" s="252" t="str">
        <f t="shared" si="94"/>
        <v/>
      </c>
      <c r="W82" s="323"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324"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324"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324" t="str">
        <f>IFERROR(IF('Macro References'!$A$9,IF(AND(CJ82,CL82="Welded"),MIN(CQ82:CT82),IF(AND(CK82,CL82="Welded"),MIN(DB82:DE82),"")),""),"")</f>
        <v/>
      </c>
      <c r="AA82" s="255" t="str">
        <f>IFERROR(IF('Macro References'!$A$9,IF(AND(CJ82,CL82="Welded"),MIN(CU82:CW82),IF(AND(CK82,CL82="Welded"),MIN(DF82:DH82),"")),""),"")</f>
        <v/>
      </c>
      <c r="AB82" s="255" t="str">
        <f>IFERROR(IF('Macro References'!$A$9,IF(AND(CJ82,CL82="Welded",CN82="Fillet",CU82&gt;0),TRUE,IF(AND(CK82,CL82="Welded",CY82="Fillet",DF82&gt;0),TRUE,"")),""),"")</f>
        <v/>
      </c>
      <c r="AC82" s="255"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255"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32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248"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32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274" t="str">
        <f t="shared" si="95"/>
        <v/>
      </c>
      <c r="AI82" s="255" t="str">
        <f t="shared" si="96"/>
        <v/>
      </c>
      <c r="AJ82" s="255" t="str">
        <f t="shared" si="97"/>
        <v/>
      </c>
      <c r="AK82" s="255" t="str">
        <f t="shared" si="85"/>
        <v/>
      </c>
      <c r="AL82" s="248" t="str">
        <f t="shared" si="78"/>
        <v/>
      </c>
      <c r="AM82" s="255" t="str">
        <f>""</f>
        <v/>
      </c>
      <c r="AN82" s="255" t="str">
        <f t="shared" si="98"/>
        <v/>
      </c>
      <c r="AO82" s="248" t="str">
        <f t="shared" si="99"/>
        <v/>
      </c>
      <c r="AP82" s="275" t="str">
        <f t="shared" si="100"/>
        <v/>
      </c>
      <c r="AQ82" s="276" t="str">
        <f t="shared" si="53"/>
        <v/>
      </c>
      <c r="AR82" s="255" t="str">
        <f>IF(BR82="","",VLOOKUP(VLOOKUP(BR82,Reinforcements[],COLUMN(Reinforcements[[#Headers],[Material]])-1,FALSE),Materials[],2,FALSE)/$D$28)</f>
        <v/>
      </c>
      <c r="AS82" s="248" t="str">
        <f t="shared" si="54"/>
        <v/>
      </c>
      <c r="AT82" s="327" t="str">
        <f t="shared" si="101"/>
        <v/>
      </c>
      <c r="AU82" s="277">
        <f t="shared" si="116"/>
        <v>0</v>
      </c>
      <c r="AV82" s="278">
        <f t="shared" si="117"/>
        <v>0</v>
      </c>
      <c r="AW82" s="278" t="e">
        <f t="shared" si="102"/>
        <v>#N/A</v>
      </c>
      <c r="AX82" s="278" t="e">
        <f t="shared" si="103"/>
        <v>#N/A</v>
      </c>
      <c r="AY82" s="278" t="str">
        <f t="shared" si="104"/>
        <v/>
      </c>
      <c r="AZ82" s="278" t="e">
        <f t="shared" si="105"/>
        <v>#VALUE!</v>
      </c>
      <c r="BA82" s="295" t="str">
        <f t="shared" si="118"/>
        <v/>
      </c>
      <c r="BB82" s="297" t="str">
        <f t="shared" si="119"/>
        <v/>
      </c>
      <c r="BC82" s="298" t="str">
        <f t="shared" si="120"/>
        <v/>
      </c>
      <c r="BD82" s="298" t="str">
        <f t="shared" si="106"/>
        <v/>
      </c>
      <c r="BE82" s="295" t="str">
        <f t="shared" si="121"/>
        <v/>
      </c>
      <c r="BF82" s="299" t="e">
        <f t="shared" si="122"/>
        <v>#DIV/0!</v>
      </c>
      <c r="BG82" s="300" t="str">
        <f t="shared" si="107"/>
        <v/>
      </c>
      <c r="BH82" s="300" t="str">
        <f t="shared" si="108"/>
        <v/>
      </c>
      <c r="BI82" s="295" t="e">
        <f t="shared" si="123"/>
        <v>#DIV/0!</v>
      </c>
      <c r="BJ82" s="299" t="str">
        <f t="shared" si="124"/>
        <v/>
      </c>
      <c r="BK82" s="278" t="e">
        <f t="shared" si="125"/>
        <v>#DIV/0!</v>
      </c>
      <c r="BL82" s="49" t="str">
        <f t="shared" si="68"/>
        <v/>
      </c>
      <c r="BP82" s="25" t="e">
        <f t="shared" si="109"/>
        <v>#DIV/0!</v>
      </c>
      <c r="BQ82" s="303"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303" t="str">
        <f>IF(BQ82="","",VLOOKUP(BQ82,Input!$B$21:$Q$50,13,FALSE))</f>
        <v/>
      </c>
      <c r="BS82" s="248" t="e">
        <f>VLOOKUP(BR82,Reinforcements[],COLUMN(Reinforcements[[#Headers],[Type]])-1,FALSE)</f>
        <v>#N/A</v>
      </c>
      <c r="BT82" s="248" t="e">
        <f>IF(BS82="solid round",VLOOKUP(BR82,Reinforcements[],COLUMN(Reinforcements[[#Headers],[Diameter (in)]])-1,FALSE),VLOOKUP(BR82,Reinforcements[],COLUMN(Reinforcements[[#Headers],[B (in)]])-1,FALSE))</f>
        <v>#N/A</v>
      </c>
      <c r="BU82" s="248" t="e">
        <f>IF(BS82="solid round",VLOOKUP(BR82,Reinforcements[],COLUMN(Reinforcements[[#Headers],[Diameter (in)]])-1,FALSE),VLOOKUP(BR82,Reinforcements[],COLUMN(Reinforcements[[#Headers],[H (in)]])-1,FALSE))</f>
        <v>#N/A</v>
      </c>
      <c r="BV82" s="278" t="e">
        <f>IFERROR((IF(VLOOKUP(BQ82,Input!$B$21:$AL$50,19+C82,FALSE)="c",$D$20/COS(RADIANS(180/$D$8)),$D$20)+BU82/2)*SIN(RADIANS(D82))-IF(ISNUMBER(VLOOKUP(BQ82,Input!$B$21:$AL$50,19+C82,FALSE)),VLOOKUP(BQ82,Input!$B$21:$AL$50,19+C82,FALSE)*COS(RADIANS(D82)),0)-$D$35,"")*0+N82*1</f>
        <v>#VALUE!</v>
      </c>
      <c r="BW82" s="248" t="e">
        <f>VLOOKUP(BR82,Reinforcements[],COLUMN(Reinforcements[[#Headers],[Effective B (in)]])-1,FALSE)</f>
        <v>#N/A</v>
      </c>
      <c r="BX82" s="248" t="e">
        <f>VLOOKUP(BR82,Reinforcements[],COLUMN(Reinforcements[[#Headers],[Effective H (in)]])-1,FALSE)</f>
        <v>#N/A</v>
      </c>
      <c r="BY82" s="248" t="e">
        <f>VLOOKUP(BR82,Reinforcements[],COLUMN(Reinforcements[[#Headers],[Gross Area (in2)]])-1,FALSE)</f>
        <v>#N/A</v>
      </c>
      <c r="BZ82" s="255" t="s">
        <v>697</v>
      </c>
      <c r="CA82" s="248" t="e">
        <f>VLOOKUP(BR82,Reinforcements[],COLUMN(Reinforcements[[#Headers],[Pole Face to Centroid (in)]])-1,FALSE)</f>
        <v>#N/A</v>
      </c>
      <c r="CB82" s="248" t="e">
        <f>VLOOKUP(BR82,Reinforcements[],COLUMN(Reinforcements[[#Headers],[Ix]])-1,FALSE)</f>
        <v>#N/A</v>
      </c>
      <c r="CC82" s="248" t="e">
        <f>VLOOKUP(BR82,Reinforcements[],COLUMN(Reinforcements[[#Headers],[Iy]])-1,FALSE)</f>
        <v>#N/A</v>
      </c>
      <c r="CD82" s="248" t="e">
        <f>VLOOKUP(BR82,Reinforcements[],COLUMN(Reinforcements[[#Headers],[Lu (in)]])-1,FALSE)</f>
        <v>#N/A</v>
      </c>
      <c r="CE82" s="255" t="s">
        <v>697</v>
      </c>
      <c r="CF82" s="255" t="s">
        <v>697</v>
      </c>
      <c r="CG82" s="248" t="e">
        <f>VLOOKUP(VLOOKUP(BR82,Reinforcements[],COLUMN(Reinforcements[[#Headers],[Material]])-1,FALSE),Materials[],2,FALSE)</f>
        <v>#N/A</v>
      </c>
      <c r="CH82" s="248" t="e">
        <f>VLOOKUP(VLOOKUP(BR82,Reinforcements[],COLUMN(Reinforcements[[#Headers],[Material]])-1,FALSE),Materials[],3,FALSE)</f>
        <v>#N/A</v>
      </c>
      <c r="CI82" s="255" t="e">
        <f>VLOOKUP(BR82,Reinforcements[],COLUMN(Reinforcements[[#Headers],[Tension Only?]])-1,FALSE)</f>
        <v>#N/A</v>
      </c>
      <c r="CJ82" s="17" t="str">
        <f>IF(BQ82="","",AND(INDEX(Results!$G$5:$G$104,MATCH(VLOOKUP($BQ82,Input!$B$21:$J$50,2,FALSE)-0.001,Results!$G$5:$G$104,-1))=$D$4))</f>
        <v/>
      </c>
      <c r="CK82" s="17" t="str">
        <f>IF(BQ82="","",AND(INDEX('Macro References'!$BB$2:$BB$101,MATCH(VLOOKUP($BQ82,Input!$B$21:$J$50,6,FALSE)-0.001,'Macro References'!$BB$2:$BB$101,1))=$D$4))</f>
        <v/>
      </c>
      <c r="CL82" s="17" t="e">
        <f>IF(CJ82,VLOOKUP(BR82,Reinforcements[],COLUMN(Reinforcements[[#Headers],[Bottom End Connection Type]])-1,FALSE),IF(CK82,VLOOKUP(BR82,Reinforcements[],COLUMN(Reinforcements[[#Headers],[Top End Connection Type]])-1,FALSE),""))</f>
        <v>#VALUE!</v>
      </c>
      <c r="CM82" s="17" t="e">
        <f>IF(ISBLANK(VLOOKUP(BR82,Reinforcements[],COLUMN(Reinforcements[[#Headers],[Bottom Transverse Weld Length]])-1,FALSE)),"",(VLOOKUP(BR82,Reinforcements[],COLUMN(Reinforcements[[#Headers],[Bottom Transverse Weld Length]])-1,FALSE)))</f>
        <v>#N/A</v>
      </c>
      <c r="CN82" s="17" t="e">
        <f>IF(ISBLANK(VLOOKUP(BR82,Reinforcements[],COLUMN(Reinforcements[[#Headers],[Bottom Transverse (Horizontal) Weld]])-1,FALSE)),"",(VLOOKUP(BR82,Reinforcements[],COLUMN(Reinforcements[[#Headers],[Bottom Transverse (Horizontal) Weld]])-1,FALSE)))</f>
        <v>#N/A</v>
      </c>
      <c r="CO82" s="17" t="e">
        <f>IF(ISBLANK(VLOOKUP(BR82,Reinforcements[],COLUMN(Reinforcements[[#Headers],[Bottom Longitudinal Weld Length]])-1,FALSE)),"",(VLOOKUP(BR82,Reinforcements[],COLUMN(Reinforcements[[#Headers],[Bottom Longitudinal Weld Length]])-1,FALSE)))</f>
        <v>#N/A</v>
      </c>
      <c r="CP82" s="17" t="str">
        <f>IFERROR(VLOOKUP(BR82,Reinforcements[],COLUMN(Reinforcements[[#Headers],[Bottom Connected to Flange/Base Plate?]])-1,FALSE),"")</f>
        <v/>
      </c>
      <c r="CQ82" s="248" t="e">
        <f>IF(Rev="F",VLOOKUP(BR82,Reinforcements[],COLUMN(Reinforcements[[#Headers],[Rev. F Bottom Transverse Weld Strength]])-1,FALSE),VLOOKUP(BR82,Reinforcements[],COLUMN(Reinforcements[[#Headers],[Rev. G Bottom Transverse Weld Strength]])-1,FALSE))</f>
        <v>#N/A</v>
      </c>
      <c r="CR82" s="248"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248" t="str">
        <f>IF(CP82&lt;&gt;"Yes","",(VLOOKUP(BR82,Reinforcements[],COLUMN(Reinforcements[[#Headers],[Bottom Transverse Weld Groove Depth (in)]])-1,FALSE)+VLOOKUP(BR82,Reinforcements[],COLUMN(Reinforcements[[#Headers],[Bottom Transverse Weld Fillet Size (in)]])-1,FALSE))*CM82*IF(Rev="F",0.6,φ_t_y)*$D$14)</f>
        <v/>
      </c>
      <c r="CT82" s="248" t="e">
        <f>IF(CP82="Yes","",VLOOKUP(BR82,Reinforcements[],COLUMN(Reinforcements[[#Headers],[Bottom Transverse Weld Fillet Size (in)]])-1,FALSE)*CM82*MIN(IF(Rev="F",0.4,φ_shear_yield*0.6)*$D$6,IF(Rev="F",0.3,φ_shear_rupture*0.6)*$D$7))</f>
        <v>#N/A</v>
      </c>
      <c r="CU82" s="248" t="e">
        <f>IF(Rev="F",VLOOKUP(BR82,Reinforcements[],COLUMN(Reinforcements[[#Headers],[Rev. F Bottom Longitudinal Weld Strength]])-1,FALSE),VLOOKUP(BR82,Reinforcements[],COLUMN(Reinforcements[[#Headers],[Rev. G Bottom Longitudinal Weld Strength]])-1,FALSE))</f>
        <v>#N/A</v>
      </c>
      <c r="CV82" s="248" t="e">
        <f>2*VLOOKUP(BR82,Reinforcements[],COLUMN(Reinforcements[[#Headers],[Bottom Longitudinal Weld Fillet Size (in)]])-1,FALSE)*CO82*MIN(IF(Rev="F",0.4,φ_shear_yield*0.6)*CG82,IF(Rev="F",0.3,φ_shear_rupture*0.6)*CH82)</f>
        <v>#N/A</v>
      </c>
      <c r="CW82" s="248" t="e">
        <f>2*VLOOKUP(BR82,Reinforcements[],COLUMN(Reinforcements[[#Headers],[Bottom Longitudinal Weld Fillet Size (in)]])-1,FALSE)*CO82*MIN(IF(Rev="F",0.4,φ_shear_yield*0.6)*$D$6,IF(Rev="F",0.3,φ_shear_rupture*0.6)*$D$7)</f>
        <v>#N/A</v>
      </c>
      <c r="CX82" s="248" t="e">
        <f>IF(ISBLANK(VLOOKUP(BR82,Reinforcements[],COLUMN(Reinforcements[[#Headers],[Top Transverse Weld Length]])-1,FALSE)),"",(VLOOKUP(BR82,Reinforcements[],COLUMN(Reinforcements[[#Headers],[Top Transverse Weld Length]])-1,FALSE)))</f>
        <v>#N/A</v>
      </c>
      <c r="CY82" s="248" t="e">
        <f>IF(ISBLANK(VLOOKUP(BR82,Reinforcements[],COLUMN(Reinforcements[[#Headers],[Top Transverse (Horizontal) Weld]])-1,FALSE)),"",(VLOOKUP(BR82,Reinforcements[],COLUMN(Reinforcements[[#Headers],[Top Transverse (Horizontal) Weld]])-1,FALSE)))</f>
        <v>#N/A</v>
      </c>
      <c r="CZ82" s="248" t="e">
        <f>IF(ISBLANK(VLOOKUP(BR82,Reinforcements[],COLUMN(Reinforcements[[#Headers],[Top Longitudinal Weld Length]])-1,FALSE)),"",(VLOOKUP(BR82,Reinforcements[],COLUMN(Reinforcements[[#Headers],[Top Longitudinal Weld Length]])-1,FALSE)))</f>
        <v>#N/A</v>
      </c>
      <c r="DA82" s="248" t="str">
        <f>IFERROR(VLOOKUP(BR82,Reinforcements[],COLUMN(Reinforcements[[#Headers],[Top Connected to Flange/Base Plate?]])-1,FALSE),"")</f>
        <v/>
      </c>
      <c r="DB82" s="248" t="e">
        <f>IF(Rev="F",VLOOKUP(BR82,Reinforcements[],COLUMN(Reinforcements[[#Headers],[Rev. F Top Transverse Weld Strength]])-1,FALSE),VLOOKUP(BR82,Reinforcements[],COLUMN(Reinforcements[[#Headers],[Rev. G Top Transverse Weld Strength]])-1,FALSE))</f>
        <v>#N/A</v>
      </c>
      <c r="DC82" s="248"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248" t="str">
        <f>IF(DA82&lt;&gt;"Yes","",(VLOOKUP(BR82,Reinforcements[],COLUMN(Reinforcements[[#Headers],[Top Transverse Weld Groove Depth (in)]])-1,FALSE)+VLOOKUP(BR82,Reinforcements[],COLUMN(Reinforcements[[#Headers],[Top Transverse Weld Fillet Size (in)]])-1,FALSE))*CX82*IF(Rev="F",0.6,φ_t_y)*$D$14)</f>
        <v/>
      </c>
      <c r="DE82" s="248" t="e">
        <f>IF(DA82="Yes","",VLOOKUP(BR82,Reinforcements[],COLUMN(Reinforcements[[#Headers],[Top Transverse Weld Fillet Size (in)]])-1,FALSE)*CX82*MIN(IF(Rev="F",0.4,φ_shear_yield*0.6)*$D$6,IF(Rev="F",0.3,φ_shear_rupture*0.6)*$D$7))</f>
        <v>#N/A</v>
      </c>
      <c r="DF82" s="248" t="e">
        <f>IF(Rev="F",VLOOKUP(BR82,Reinforcements[],COLUMN(Reinforcements[[#Headers],[Rev. F Top Longitudinal Weld Strength]])-1,FALSE),VLOOKUP(BR82,Reinforcements[],COLUMN(Reinforcements[[#Headers],[Rev. G Top Longitudinal Weld Strength]])-1,FALSE))</f>
        <v>#N/A</v>
      </c>
      <c r="DG82" s="248" t="e">
        <f>2*VLOOKUP(BR82,Reinforcements[],COLUMN(Reinforcements[[#Headers],[Top Longitudinal Weld Fillet Size (in)]])-1,FALSE)*CZ82*MIN(IF(Rev="F",0.4,φ_shear_yield*0.6)*CG82,IF(Rev="F",0.3,φ_shear_rupture*0.6)*CH82)</f>
        <v>#N/A</v>
      </c>
      <c r="DH82" s="248" t="e">
        <f>2*VLOOKUP(BR82,Reinforcements[],COLUMN(Reinforcements[[#Headers],[Top Longitudinal Weld Fillet Size (in)]])-1,FALSE)*CZ82*MIN(IF(Rev="F",0.4,φ_shear_yield*0.6)*$D$6,IF(Rev="F",0.3,φ_shear_rupture*0.6)*$D$7)</f>
        <v>#N/A</v>
      </c>
      <c r="DI82" s="49" t="e">
        <f>IF(BS82="channel",VLOOKUP(Calculations!BR82,Reinforcements[],COLUMN(Reinforcements[[#Headers],['[Channel']Web Thickness (in)]])-1,FALSE),"")</f>
        <v>#N/A</v>
      </c>
      <c r="DJ82" s="49" t="b">
        <f t="shared" si="126"/>
        <v>0</v>
      </c>
      <c r="DK82" s="49" t="e">
        <f>IF(BS82="channel",Calculations!BU82-DI82,"")</f>
        <v>#N/A</v>
      </c>
      <c r="DL82" s="49" t="e">
        <f>IF(BS82="channel",(Calculations!BY82-Calculations!BT82*DI82)/(2*DK82))</f>
        <v>#N/A</v>
      </c>
      <c r="DM82" s="49" t="e">
        <f>IF(BS82="channel",(Calculations!BT82*(DI82^2)/2+2*DK82*DL82*(DI82+DK82/2))/Calculations!BY82,"")</f>
        <v>#N/A</v>
      </c>
    </row>
    <row r="83" spans="2:117" ht="15" x14ac:dyDescent="0.25">
      <c r="B83" s="49" t="str">
        <f t="shared" si="70"/>
        <v/>
      </c>
      <c r="C83" s="201">
        <v>5</v>
      </c>
      <c r="D83" s="255" t="str">
        <f>IF(BQ83="","",IF($D$8=0,IF(OR(VLOOKUP(BQ83,Input!$B$21:$AL$50,19+C83,FALSE)+$D$5=0,VLOOKUP(BQ83,Input!$B$21:$AL$50,19+C83,FALSE)+$D$5=180),VLOOKUP(BQ83,Input!$B$21:$AL$50,19+C83,FALSE)+$D$5+0.0001,VLOOKUP(BQ83,Input!$B$21:$AL$50,19+C83,FALSE)+$D$5),IF(VLOOKUP(BQ83,Input!$B$21:$AL$50,19+C83,FALSE)="c",VLOOKUP($C83,$C$40:$E$57,2,FALSE)+180/$D$8,VLOOKUP($C83,$C$40:$E$57,2,FALSE))))</f>
        <v/>
      </c>
      <c r="E83" s="17" t="str">
        <f t="shared" si="110"/>
        <v/>
      </c>
      <c r="F83" s="258" t="str">
        <f>IF(BR83="","",VLOOKUP(BR83,Reinforcements[],COLUMN(Reinforcements[[#Headers],[Gross Area (in2)]])-1,FALSE))</f>
        <v/>
      </c>
      <c r="G83" s="256" t="e">
        <f>(IF(VLOOKUP(BQ83,Input!$B$21:$AL$50,19+C83,FALSE)="c",$D$20/COS(RADIANS(180/$D$8)),$D$20)+CA83)*SIN(RADIANS(D83))-IF(AND(ISNUMBER(VLOOKUP(BQ83,Input!$B$21:$AL$50,19+C83,FALSE)),$D$8&lt;&gt;0),VLOOKUP(BQ83,Input!$B$21:$AL$50,19+C83,FALSE)*COS(RADIANS(D83)),0)</f>
        <v>#N/A</v>
      </c>
      <c r="H83" s="251" t="str">
        <f t="shared" si="111"/>
        <v/>
      </c>
      <c r="I83" s="251" t="e">
        <f t="shared" si="86"/>
        <v>#N/A</v>
      </c>
      <c r="J83" s="251" t="e">
        <f t="shared" si="112"/>
        <v>#N/A</v>
      </c>
      <c r="K83" s="251" t="e">
        <f t="shared" si="113"/>
        <v>#N/A</v>
      </c>
      <c r="L83" s="251" t="e">
        <f t="shared" si="114"/>
        <v>#N/A</v>
      </c>
      <c r="M83" s="252" t="str">
        <f t="shared" si="115"/>
        <v/>
      </c>
      <c r="N83" s="250" t="str">
        <f>IFERROR((IF(VLOOKUP(BQ83,Input!$B$21:$AL$50,19+C83,FALSE)="c",$D$20/COS(RADIANS(180/$D$8)),$D$20)+CA83)*SIN(RADIANS(D83))-IF(AND(ISNUMBER(VLOOKUP(BQ83,Input!$B$21:$AL$50,19+C83,FALSE)),$D$8&lt;&gt;0),VLOOKUP(BQ83,Input!$B$21:$AL$50,19+C83,FALSE)*COS(RADIANS(D83)),0)-$D$35,"")</f>
        <v/>
      </c>
      <c r="O83" s="251" t="str">
        <f t="shared" si="87"/>
        <v/>
      </c>
      <c r="P83" s="251" t="str">
        <f t="shared" si="88"/>
        <v/>
      </c>
      <c r="Q83" s="251" t="str">
        <f t="shared" si="89"/>
        <v/>
      </c>
      <c r="R83" s="252" t="str">
        <f t="shared" si="90"/>
        <v/>
      </c>
      <c r="S83" s="251" t="str">
        <f t="shared" si="91"/>
        <v/>
      </c>
      <c r="T83" s="251" t="str">
        <f t="shared" si="92"/>
        <v/>
      </c>
      <c r="U83" s="251" t="str">
        <f t="shared" si="93"/>
        <v/>
      </c>
      <c r="V83" s="252" t="str">
        <f t="shared" si="94"/>
        <v/>
      </c>
      <c r="W83" s="323"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324"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324"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324" t="str">
        <f>IFERROR(IF('Macro References'!$A$9,IF(AND(CJ83,CL83="Welded"),MIN(CQ83:CT83),IF(AND(CK83,CL83="Welded"),MIN(DB83:DE83),"")),""),"")</f>
        <v/>
      </c>
      <c r="AA83" s="255" t="str">
        <f>IFERROR(IF('Macro References'!$A$9,IF(AND(CJ83,CL83="Welded"),MIN(CU83:CW83),IF(AND(CK83,CL83="Welded"),MIN(DF83:DH83),"")),""),"")</f>
        <v/>
      </c>
      <c r="AB83" s="255" t="str">
        <f>IFERROR(IF('Macro References'!$A$9,IF(AND(CJ83,CL83="Welded",CN83="Fillet",CU83&gt;0),TRUE,IF(AND(CK83,CL83="Welded",CY83="Fillet",DF83&gt;0),TRUE,"")),""),"")</f>
        <v/>
      </c>
      <c r="AC83" s="255"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255"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32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248"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32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274" t="str">
        <f t="shared" si="95"/>
        <v/>
      </c>
      <c r="AI83" s="255" t="str">
        <f t="shared" si="96"/>
        <v/>
      </c>
      <c r="AJ83" s="255" t="str">
        <f t="shared" si="97"/>
        <v/>
      </c>
      <c r="AK83" s="255" t="str">
        <f t="shared" si="85"/>
        <v/>
      </c>
      <c r="AL83" s="248" t="str">
        <f t="shared" si="78"/>
        <v/>
      </c>
      <c r="AM83" s="255" t="str">
        <f>""</f>
        <v/>
      </c>
      <c r="AN83" s="255" t="str">
        <f t="shared" si="98"/>
        <v/>
      </c>
      <c r="AO83" s="248" t="str">
        <f t="shared" si="99"/>
        <v/>
      </c>
      <c r="AP83" s="275" t="str">
        <f t="shared" si="100"/>
        <v/>
      </c>
      <c r="AQ83" s="276" t="str">
        <f t="shared" si="53"/>
        <v/>
      </c>
      <c r="AR83" s="255" t="str">
        <f>IF(BR83="","",VLOOKUP(VLOOKUP(BR83,Reinforcements[],COLUMN(Reinforcements[[#Headers],[Material]])-1,FALSE),Materials[],2,FALSE)/$D$28)</f>
        <v/>
      </c>
      <c r="AS83" s="248" t="str">
        <f t="shared" si="54"/>
        <v/>
      </c>
      <c r="AT83" s="327" t="str">
        <f t="shared" si="101"/>
        <v/>
      </c>
      <c r="AU83" s="277">
        <f t="shared" si="116"/>
        <v>0</v>
      </c>
      <c r="AV83" s="278">
        <f t="shared" si="117"/>
        <v>0</v>
      </c>
      <c r="AW83" s="278" t="e">
        <f t="shared" si="102"/>
        <v>#N/A</v>
      </c>
      <c r="AX83" s="278" t="e">
        <f t="shared" si="103"/>
        <v>#N/A</v>
      </c>
      <c r="AY83" s="278" t="str">
        <f t="shared" si="104"/>
        <v/>
      </c>
      <c r="AZ83" s="278" t="e">
        <f t="shared" si="105"/>
        <v>#VALUE!</v>
      </c>
      <c r="BA83" s="295" t="str">
        <f t="shared" si="118"/>
        <v/>
      </c>
      <c r="BB83" s="297" t="str">
        <f t="shared" si="119"/>
        <v/>
      </c>
      <c r="BC83" s="298" t="str">
        <f t="shared" si="120"/>
        <v/>
      </c>
      <c r="BD83" s="298" t="str">
        <f t="shared" si="106"/>
        <v/>
      </c>
      <c r="BE83" s="295" t="str">
        <f t="shared" si="121"/>
        <v/>
      </c>
      <c r="BF83" s="299" t="e">
        <f t="shared" si="122"/>
        <v>#DIV/0!</v>
      </c>
      <c r="BG83" s="300" t="str">
        <f t="shared" si="107"/>
        <v/>
      </c>
      <c r="BH83" s="300" t="str">
        <f t="shared" si="108"/>
        <v/>
      </c>
      <c r="BI83" s="295" t="e">
        <f t="shared" si="123"/>
        <v>#DIV/0!</v>
      </c>
      <c r="BJ83" s="299" t="str">
        <f t="shared" si="124"/>
        <v/>
      </c>
      <c r="BK83" s="278" t="e">
        <f t="shared" si="125"/>
        <v>#DIV/0!</v>
      </c>
      <c r="BL83" s="49" t="str">
        <f t="shared" si="68"/>
        <v/>
      </c>
      <c r="BP83" s="25" t="e">
        <f t="shared" si="109"/>
        <v>#DIV/0!</v>
      </c>
      <c r="BQ83" s="303"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303" t="str">
        <f>IF(BQ83="","",VLOOKUP(BQ83,Input!$B$21:$Q$50,13,FALSE))</f>
        <v/>
      </c>
      <c r="BS83" s="248" t="e">
        <f>VLOOKUP(BR83,Reinforcements[],COLUMN(Reinforcements[[#Headers],[Type]])-1,FALSE)</f>
        <v>#N/A</v>
      </c>
      <c r="BT83" s="248" t="e">
        <f>IF(BS83="solid round",VLOOKUP(BR83,Reinforcements[],COLUMN(Reinforcements[[#Headers],[Diameter (in)]])-1,FALSE),VLOOKUP(BR83,Reinforcements[],COLUMN(Reinforcements[[#Headers],[B (in)]])-1,FALSE))</f>
        <v>#N/A</v>
      </c>
      <c r="BU83" s="248" t="e">
        <f>IF(BS83="solid round",VLOOKUP(BR83,Reinforcements[],COLUMN(Reinforcements[[#Headers],[Diameter (in)]])-1,FALSE),VLOOKUP(BR83,Reinforcements[],COLUMN(Reinforcements[[#Headers],[H (in)]])-1,FALSE))</f>
        <v>#N/A</v>
      </c>
      <c r="BV83" s="278" t="e">
        <f>IFERROR((IF(VLOOKUP(BQ83,Input!$B$21:$AL$50,19+C83,FALSE)="c",$D$20/COS(RADIANS(180/$D$8)),$D$20)+BU83/2)*SIN(RADIANS(D83))-IF(ISNUMBER(VLOOKUP(BQ83,Input!$B$21:$AL$50,19+C83,FALSE)),VLOOKUP(BQ83,Input!$B$21:$AL$50,19+C83,FALSE)*COS(RADIANS(D83)),0)-$D$35,"")*0+N83*1</f>
        <v>#VALUE!</v>
      </c>
      <c r="BW83" s="248" t="e">
        <f>VLOOKUP(BR83,Reinforcements[],COLUMN(Reinforcements[[#Headers],[Effective B (in)]])-1,FALSE)</f>
        <v>#N/A</v>
      </c>
      <c r="BX83" s="248" t="e">
        <f>VLOOKUP(BR83,Reinforcements[],COLUMN(Reinforcements[[#Headers],[Effective H (in)]])-1,FALSE)</f>
        <v>#N/A</v>
      </c>
      <c r="BY83" s="248" t="e">
        <f>VLOOKUP(BR83,Reinforcements[],COLUMN(Reinforcements[[#Headers],[Gross Area (in2)]])-1,FALSE)</f>
        <v>#N/A</v>
      </c>
      <c r="BZ83" s="255" t="s">
        <v>697</v>
      </c>
      <c r="CA83" s="248" t="e">
        <f>VLOOKUP(BR83,Reinforcements[],COLUMN(Reinforcements[[#Headers],[Pole Face to Centroid (in)]])-1,FALSE)</f>
        <v>#N/A</v>
      </c>
      <c r="CB83" s="248" t="e">
        <f>VLOOKUP(BR83,Reinforcements[],COLUMN(Reinforcements[[#Headers],[Ix]])-1,FALSE)</f>
        <v>#N/A</v>
      </c>
      <c r="CC83" s="248" t="e">
        <f>VLOOKUP(BR83,Reinforcements[],COLUMN(Reinforcements[[#Headers],[Iy]])-1,FALSE)</f>
        <v>#N/A</v>
      </c>
      <c r="CD83" s="248" t="e">
        <f>VLOOKUP(BR83,Reinforcements[],COLUMN(Reinforcements[[#Headers],[Lu (in)]])-1,FALSE)</f>
        <v>#N/A</v>
      </c>
      <c r="CE83" s="255" t="s">
        <v>697</v>
      </c>
      <c r="CF83" s="255" t="s">
        <v>697</v>
      </c>
      <c r="CG83" s="248" t="e">
        <f>VLOOKUP(VLOOKUP(BR83,Reinforcements[],COLUMN(Reinforcements[[#Headers],[Material]])-1,FALSE),Materials[],2,FALSE)</f>
        <v>#N/A</v>
      </c>
      <c r="CH83" s="248" t="e">
        <f>VLOOKUP(VLOOKUP(BR83,Reinforcements[],COLUMN(Reinforcements[[#Headers],[Material]])-1,FALSE),Materials[],3,FALSE)</f>
        <v>#N/A</v>
      </c>
      <c r="CI83" s="255" t="e">
        <f>VLOOKUP(BR83,Reinforcements[],COLUMN(Reinforcements[[#Headers],[Tension Only?]])-1,FALSE)</f>
        <v>#N/A</v>
      </c>
      <c r="CJ83" s="17" t="str">
        <f>IF(BQ83="","",AND(INDEX(Results!$G$5:$G$104,MATCH(VLOOKUP($BQ83,Input!$B$21:$J$50,2,FALSE)-0.001,Results!$G$5:$G$104,-1))=$D$4))</f>
        <v/>
      </c>
      <c r="CK83" s="17" t="str">
        <f>IF(BQ83="","",AND(INDEX('Macro References'!$BB$2:$BB$101,MATCH(VLOOKUP($BQ83,Input!$B$21:$J$50,6,FALSE)-0.001,'Macro References'!$BB$2:$BB$101,1))=$D$4))</f>
        <v/>
      </c>
      <c r="CL83" s="17" t="e">
        <f>IF(CJ83,VLOOKUP(BR83,Reinforcements[],COLUMN(Reinforcements[[#Headers],[Bottom End Connection Type]])-1,FALSE),IF(CK83,VLOOKUP(BR83,Reinforcements[],COLUMN(Reinforcements[[#Headers],[Top End Connection Type]])-1,FALSE),""))</f>
        <v>#VALUE!</v>
      </c>
      <c r="CM83" s="17" t="e">
        <f>IF(ISBLANK(VLOOKUP(BR83,Reinforcements[],COLUMN(Reinforcements[[#Headers],[Bottom Transverse Weld Length]])-1,FALSE)),"",(VLOOKUP(BR83,Reinforcements[],COLUMN(Reinforcements[[#Headers],[Bottom Transverse Weld Length]])-1,FALSE)))</f>
        <v>#N/A</v>
      </c>
      <c r="CN83" s="17" t="e">
        <f>IF(ISBLANK(VLOOKUP(BR83,Reinforcements[],COLUMN(Reinforcements[[#Headers],[Bottom Transverse (Horizontal) Weld]])-1,FALSE)),"",(VLOOKUP(BR83,Reinforcements[],COLUMN(Reinforcements[[#Headers],[Bottom Transverse (Horizontal) Weld]])-1,FALSE)))</f>
        <v>#N/A</v>
      </c>
      <c r="CO83" s="17" t="e">
        <f>IF(ISBLANK(VLOOKUP(BR83,Reinforcements[],COLUMN(Reinforcements[[#Headers],[Bottom Longitudinal Weld Length]])-1,FALSE)),"",(VLOOKUP(BR83,Reinforcements[],COLUMN(Reinforcements[[#Headers],[Bottom Longitudinal Weld Length]])-1,FALSE)))</f>
        <v>#N/A</v>
      </c>
      <c r="CP83" s="17" t="str">
        <f>IFERROR(VLOOKUP(BR83,Reinforcements[],COLUMN(Reinforcements[[#Headers],[Bottom Connected to Flange/Base Plate?]])-1,FALSE),"")</f>
        <v/>
      </c>
      <c r="CQ83" s="248" t="e">
        <f>IF(Rev="F",VLOOKUP(BR83,Reinforcements[],COLUMN(Reinforcements[[#Headers],[Rev. F Bottom Transverse Weld Strength]])-1,FALSE),VLOOKUP(BR83,Reinforcements[],COLUMN(Reinforcements[[#Headers],[Rev. G Bottom Transverse Weld Strength]])-1,FALSE))</f>
        <v>#N/A</v>
      </c>
      <c r="CR83" s="248"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248" t="str">
        <f>IF(CP83&lt;&gt;"Yes","",(VLOOKUP(BR83,Reinforcements[],COLUMN(Reinforcements[[#Headers],[Bottom Transverse Weld Groove Depth (in)]])-1,FALSE)+VLOOKUP(BR83,Reinforcements[],COLUMN(Reinforcements[[#Headers],[Bottom Transverse Weld Fillet Size (in)]])-1,FALSE))*CM83*IF(Rev="F",0.6,φ_t_y)*$D$14)</f>
        <v/>
      </c>
      <c r="CT83" s="248" t="e">
        <f>IF(CP83="Yes","",VLOOKUP(BR83,Reinforcements[],COLUMN(Reinforcements[[#Headers],[Bottom Transverse Weld Fillet Size (in)]])-1,FALSE)*CM83*MIN(IF(Rev="F",0.4,φ_shear_yield*0.6)*$D$6,IF(Rev="F",0.3,φ_shear_rupture*0.6)*$D$7))</f>
        <v>#N/A</v>
      </c>
      <c r="CU83" s="248" t="e">
        <f>IF(Rev="F",VLOOKUP(BR83,Reinforcements[],COLUMN(Reinforcements[[#Headers],[Rev. F Bottom Longitudinal Weld Strength]])-1,FALSE),VLOOKUP(BR83,Reinforcements[],COLUMN(Reinforcements[[#Headers],[Rev. G Bottom Longitudinal Weld Strength]])-1,FALSE))</f>
        <v>#N/A</v>
      </c>
      <c r="CV83" s="248" t="e">
        <f>2*VLOOKUP(BR83,Reinforcements[],COLUMN(Reinforcements[[#Headers],[Bottom Longitudinal Weld Fillet Size (in)]])-1,FALSE)*CO83*MIN(IF(Rev="F",0.4,φ_shear_yield*0.6)*CG83,IF(Rev="F",0.3,φ_shear_rupture*0.6)*CH83)</f>
        <v>#N/A</v>
      </c>
      <c r="CW83" s="248" t="e">
        <f>2*VLOOKUP(BR83,Reinforcements[],COLUMN(Reinforcements[[#Headers],[Bottom Longitudinal Weld Fillet Size (in)]])-1,FALSE)*CO83*MIN(IF(Rev="F",0.4,φ_shear_yield*0.6)*$D$6,IF(Rev="F",0.3,φ_shear_rupture*0.6)*$D$7)</f>
        <v>#N/A</v>
      </c>
      <c r="CX83" s="248" t="e">
        <f>IF(ISBLANK(VLOOKUP(BR83,Reinforcements[],COLUMN(Reinforcements[[#Headers],[Top Transverse Weld Length]])-1,FALSE)),"",(VLOOKUP(BR83,Reinforcements[],COLUMN(Reinforcements[[#Headers],[Top Transverse Weld Length]])-1,FALSE)))</f>
        <v>#N/A</v>
      </c>
      <c r="CY83" s="248" t="e">
        <f>IF(ISBLANK(VLOOKUP(BR83,Reinforcements[],COLUMN(Reinforcements[[#Headers],[Top Transverse (Horizontal) Weld]])-1,FALSE)),"",(VLOOKUP(BR83,Reinforcements[],COLUMN(Reinforcements[[#Headers],[Top Transverse (Horizontal) Weld]])-1,FALSE)))</f>
        <v>#N/A</v>
      </c>
      <c r="CZ83" s="248" t="e">
        <f>IF(ISBLANK(VLOOKUP(BR83,Reinforcements[],COLUMN(Reinforcements[[#Headers],[Top Longitudinal Weld Length]])-1,FALSE)),"",(VLOOKUP(BR83,Reinforcements[],COLUMN(Reinforcements[[#Headers],[Top Longitudinal Weld Length]])-1,FALSE)))</f>
        <v>#N/A</v>
      </c>
      <c r="DA83" s="248" t="str">
        <f>IFERROR(VLOOKUP(BR83,Reinforcements[],COLUMN(Reinforcements[[#Headers],[Top Connected to Flange/Base Plate?]])-1,FALSE),"")</f>
        <v/>
      </c>
      <c r="DB83" s="248" t="e">
        <f>IF(Rev="F",VLOOKUP(BR83,Reinforcements[],COLUMN(Reinforcements[[#Headers],[Rev. F Top Transverse Weld Strength]])-1,FALSE),VLOOKUP(BR83,Reinforcements[],COLUMN(Reinforcements[[#Headers],[Rev. G Top Transverse Weld Strength]])-1,FALSE))</f>
        <v>#N/A</v>
      </c>
      <c r="DC83" s="248"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248" t="str">
        <f>IF(DA83&lt;&gt;"Yes","",(VLOOKUP(BR83,Reinforcements[],COLUMN(Reinforcements[[#Headers],[Top Transverse Weld Groove Depth (in)]])-1,FALSE)+VLOOKUP(BR83,Reinforcements[],COLUMN(Reinforcements[[#Headers],[Top Transverse Weld Fillet Size (in)]])-1,FALSE))*CX83*IF(Rev="F",0.6,φ_t_y)*$D$14)</f>
        <v/>
      </c>
      <c r="DE83" s="248" t="e">
        <f>IF(DA83="Yes","",VLOOKUP(BR83,Reinforcements[],COLUMN(Reinforcements[[#Headers],[Top Transverse Weld Fillet Size (in)]])-1,FALSE)*CX83*MIN(IF(Rev="F",0.4,φ_shear_yield*0.6)*$D$6,IF(Rev="F",0.3,φ_shear_rupture*0.6)*$D$7))</f>
        <v>#N/A</v>
      </c>
      <c r="DF83" s="248" t="e">
        <f>IF(Rev="F",VLOOKUP(BR83,Reinforcements[],COLUMN(Reinforcements[[#Headers],[Rev. F Top Longitudinal Weld Strength]])-1,FALSE),VLOOKUP(BR83,Reinforcements[],COLUMN(Reinforcements[[#Headers],[Rev. G Top Longitudinal Weld Strength]])-1,FALSE))</f>
        <v>#N/A</v>
      </c>
      <c r="DG83" s="248" t="e">
        <f>2*VLOOKUP(BR83,Reinforcements[],COLUMN(Reinforcements[[#Headers],[Top Longitudinal Weld Fillet Size (in)]])-1,FALSE)*CZ83*MIN(IF(Rev="F",0.4,φ_shear_yield*0.6)*CG83,IF(Rev="F",0.3,φ_shear_rupture*0.6)*CH83)</f>
        <v>#N/A</v>
      </c>
      <c r="DH83" s="248" t="e">
        <f>2*VLOOKUP(BR83,Reinforcements[],COLUMN(Reinforcements[[#Headers],[Top Longitudinal Weld Fillet Size (in)]])-1,FALSE)*CZ83*MIN(IF(Rev="F",0.4,φ_shear_yield*0.6)*$D$6,IF(Rev="F",0.3,φ_shear_rupture*0.6)*$D$7)</f>
        <v>#N/A</v>
      </c>
      <c r="DI83" s="49" t="e">
        <f>IF(BS83="channel",VLOOKUP(Calculations!BR83,Reinforcements[],COLUMN(Reinforcements[[#Headers],['[Channel']Web Thickness (in)]])-1,FALSE),"")</f>
        <v>#N/A</v>
      </c>
      <c r="DJ83" s="49" t="b">
        <f t="shared" si="126"/>
        <v>0</v>
      </c>
      <c r="DK83" s="49" t="e">
        <f>IF(BS83="channel",Calculations!BU83-DI83,"")</f>
        <v>#N/A</v>
      </c>
      <c r="DL83" s="49" t="e">
        <f>IF(BS83="channel",(Calculations!BY83-Calculations!BT83*DI83)/(2*DK83))</f>
        <v>#N/A</v>
      </c>
      <c r="DM83" s="49" t="e">
        <f>IF(BS83="channel",(Calculations!BT83*(DI83^2)/2+2*DK83*DL83*(DI83+DK83/2))/Calculations!BY83,"")</f>
        <v>#N/A</v>
      </c>
    </row>
    <row r="84" spans="2:117" ht="15" x14ac:dyDescent="0.25">
      <c r="B84" s="49" t="str">
        <f t="shared" si="70"/>
        <v/>
      </c>
      <c r="C84" s="201">
        <v>6</v>
      </c>
      <c r="D84" s="255" t="str">
        <f>IF(BQ84="","",IF($D$8=0,IF(OR(VLOOKUP(BQ84,Input!$B$21:$AL$50,19+C84,FALSE)+$D$5=0,VLOOKUP(BQ84,Input!$B$21:$AL$50,19+C84,FALSE)+$D$5=180),VLOOKUP(BQ84,Input!$B$21:$AL$50,19+C84,FALSE)+$D$5+0.0001,VLOOKUP(BQ84,Input!$B$21:$AL$50,19+C84,FALSE)+$D$5),IF(VLOOKUP(BQ84,Input!$B$21:$AL$50,19+C84,FALSE)="c",VLOOKUP($C84,$C$40:$E$57,2,FALSE)+180/$D$8,VLOOKUP($C84,$C$40:$E$57,2,FALSE))))</f>
        <v/>
      </c>
      <c r="E84" s="17" t="str">
        <f t="shared" si="110"/>
        <v/>
      </c>
      <c r="F84" s="258" t="str">
        <f>IF(BR84="","",VLOOKUP(BR84,Reinforcements[],COLUMN(Reinforcements[[#Headers],[Gross Area (in2)]])-1,FALSE))</f>
        <v/>
      </c>
      <c r="G84" s="256" t="e">
        <f>(IF(VLOOKUP(BQ84,Input!$B$21:$AL$50,19+C84,FALSE)="c",$D$20/COS(RADIANS(180/$D$8)),$D$20)+CA84)*SIN(RADIANS(D84))-IF(AND(ISNUMBER(VLOOKUP(BQ84,Input!$B$21:$AL$50,19+C84,FALSE)),$D$8&lt;&gt;0),VLOOKUP(BQ84,Input!$B$21:$AL$50,19+C84,FALSE)*COS(RADIANS(D84)),0)</f>
        <v>#N/A</v>
      </c>
      <c r="H84" s="251" t="str">
        <f t="shared" si="111"/>
        <v/>
      </c>
      <c r="I84" s="251" t="e">
        <f t="shared" si="86"/>
        <v>#N/A</v>
      </c>
      <c r="J84" s="251" t="e">
        <f t="shared" si="112"/>
        <v>#N/A</v>
      </c>
      <c r="K84" s="251" t="e">
        <f t="shared" si="113"/>
        <v>#N/A</v>
      </c>
      <c r="L84" s="251" t="e">
        <f t="shared" si="114"/>
        <v>#N/A</v>
      </c>
      <c r="M84" s="252" t="str">
        <f t="shared" si="115"/>
        <v/>
      </c>
      <c r="N84" s="250" t="str">
        <f>IFERROR((IF(VLOOKUP(BQ84,Input!$B$21:$AL$50,19+C84,FALSE)="c",$D$20/COS(RADIANS(180/$D$8)),$D$20)+CA84)*SIN(RADIANS(D84))-IF(AND(ISNUMBER(VLOOKUP(BQ84,Input!$B$21:$AL$50,19+C84,FALSE)),$D$8&lt;&gt;0),VLOOKUP(BQ84,Input!$B$21:$AL$50,19+C84,FALSE)*COS(RADIANS(D84)),0)-$D$35,"")</f>
        <v/>
      </c>
      <c r="O84" s="251" t="str">
        <f t="shared" si="87"/>
        <v/>
      </c>
      <c r="P84" s="251" t="str">
        <f t="shared" si="88"/>
        <v/>
      </c>
      <c r="Q84" s="251" t="str">
        <f t="shared" si="89"/>
        <v/>
      </c>
      <c r="R84" s="252" t="str">
        <f t="shared" si="90"/>
        <v/>
      </c>
      <c r="S84" s="251" t="str">
        <f t="shared" si="91"/>
        <v/>
      </c>
      <c r="T84" s="251" t="str">
        <f t="shared" si="92"/>
        <v/>
      </c>
      <c r="U84" s="251" t="str">
        <f t="shared" si="93"/>
        <v/>
      </c>
      <c r="V84" s="252" t="str">
        <f t="shared" si="94"/>
        <v/>
      </c>
      <c r="W84" s="323"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324"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324"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324" t="str">
        <f>IFERROR(IF('Macro References'!$A$9,IF(AND(CJ84,CL84="Welded"),MIN(CQ84:CT84),IF(AND(CK84,CL84="Welded"),MIN(DB84:DE84),"")),""),"")</f>
        <v/>
      </c>
      <c r="AA84" s="255" t="str">
        <f>IFERROR(IF('Macro References'!$A$9,IF(AND(CJ84,CL84="Welded"),MIN(CU84:CW84),IF(AND(CK84,CL84="Welded"),MIN(DF84:DH84),"")),""),"")</f>
        <v/>
      </c>
      <c r="AB84" s="255" t="str">
        <f>IFERROR(IF('Macro References'!$A$9,IF(AND(CJ84,CL84="Welded",CN84="Fillet",CU84&gt;0),TRUE,IF(AND(CK84,CL84="Welded",CY84="Fillet",DF84&gt;0),TRUE,"")),""),"")</f>
        <v/>
      </c>
      <c r="AC84" s="255"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255"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32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248"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32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274" t="str">
        <f t="shared" si="95"/>
        <v/>
      </c>
      <c r="AI84" s="255" t="str">
        <f t="shared" si="96"/>
        <v/>
      </c>
      <c r="AJ84" s="255" t="str">
        <f t="shared" si="97"/>
        <v/>
      </c>
      <c r="AK84" s="255" t="str">
        <f t="shared" si="85"/>
        <v/>
      </c>
      <c r="AL84" s="248" t="str">
        <f t="shared" si="78"/>
        <v/>
      </c>
      <c r="AM84" s="255" t="str">
        <f>""</f>
        <v/>
      </c>
      <c r="AN84" s="255" t="str">
        <f t="shared" si="98"/>
        <v/>
      </c>
      <c r="AO84" s="248" t="str">
        <f t="shared" si="99"/>
        <v/>
      </c>
      <c r="AP84" s="275" t="str">
        <f t="shared" si="100"/>
        <v/>
      </c>
      <c r="AQ84" s="276" t="str">
        <f t="shared" si="53"/>
        <v/>
      </c>
      <c r="AR84" s="255" t="str">
        <f>IF(BR84="","",VLOOKUP(VLOOKUP(BR84,Reinforcements[],COLUMN(Reinforcements[[#Headers],[Material]])-1,FALSE),Materials[],2,FALSE)/$D$28)</f>
        <v/>
      </c>
      <c r="AS84" s="248" t="str">
        <f t="shared" si="54"/>
        <v/>
      </c>
      <c r="AT84" s="327" t="str">
        <f t="shared" si="101"/>
        <v/>
      </c>
      <c r="AU84" s="277">
        <f t="shared" si="116"/>
        <v>0</v>
      </c>
      <c r="AV84" s="278">
        <f t="shared" si="117"/>
        <v>0</v>
      </c>
      <c r="AW84" s="278" t="e">
        <f t="shared" si="102"/>
        <v>#N/A</v>
      </c>
      <c r="AX84" s="278" t="e">
        <f t="shared" si="103"/>
        <v>#N/A</v>
      </c>
      <c r="AY84" s="278" t="str">
        <f t="shared" si="104"/>
        <v/>
      </c>
      <c r="AZ84" s="278" t="e">
        <f t="shared" si="105"/>
        <v>#VALUE!</v>
      </c>
      <c r="BA84" s="295" t="str">
        <f t="shared" si="118"/>
        <v/>
      </c>
      <c r="BB84" s="297" t="str">
        <f t="shared" si="119"/>
        <v/>
      </c>
      <c r="BC84" s="298" t="str">
        <f t="shared" si="120"/>
        <v/>
      </c>
      <c r="BD84" s="298" t="str">
        <f t="shared" si="106"/>
        <v/>
      </c>
      <c r="BE84" s="295" t="str">
        <f t="shared" si="121"/>
        <v/>
      </c>
      <c r="BF84" s="299" t="e">
        <f t="shared" si="122"/>
        <v>#DIV/0!</v>
      </c>
      <c r="BG84" s="300" t="str">
        <f t="shared" si="107"/>
        <v/>
      </c>
      <c r="BH84" s="300" t="str">
        <f t="shared" si="108"/>
        <v/>
      </c>
      <c r="BI84" s="295" t="e">
        <f t="shared" si="123"/>
        <v>#DIV/0!</v>
      </c>
      <c r="BJ84" s="299" t="str">
        <f t="shared" si="124"/>
        <v/>
      </c>
      <c r="BK84" s="278" t="e">
        <f t="shared" si="125"/>
        <v>#DIV/0!</v>
      </c>
      <c r="BL84" s="49" t="str">
        <f t="shared" si="68"/>
        <v/>
      </c>
      <c r="BP84" s="25" t="e">
        <f t="shared" si="109"/>
        <v>#DIV/0!</v>
      </c>
      <c r="BQ84" s="303"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303" t="str">
        <f>IF(BQ84="","",VLOOKUP(BQ84,Input!$B$21:$Q$50,13,FALSE))</f>
        <v/>
      </c>
      <c r="BS84" s="248" t="e">
        <f>VLOOKUP(BR84,Reinforcements[],COLUMN(Reinforcements[[#Headers],[Type]])-1,FALSE)</f>
        <v>#N/A</v>
      </c>
      <c r="BT84" s="248" t="e">
        <f>IF(BS84="solid round",VLOOKUP(BR84,Reinforcements[],COLUMN(Reinforcements[[#Headers],[Diameter (in)]])-1,FALSE),VLOOKUP(BR84,Reinforcements[],COLUMN(Reinforcements[[#Headers],[B (in)]])-1,FALSE))</f>
        <v>#N/A</v>
      </c>
      <c r="BU84" s="248" t="e">
        <f>IF(BS84="solid round",VLOOKUP(BR84,Reinforcements[],COLUMN(Reinforcements[[#Headers],[Diameter (in)]])-1,FALSE),VLOOKUP(BR84,Reinforcements[],COLUMN(Reinforcements[[#Headers],[H (in)]])-1,FALSE))</f>
        <v>#N/A</v>
      </c>
      <c r="BV84" s="278" t="e">
        <f>IFERROR((IF(VLOOKUP(BQ84,Input!$B$21:$AL$50,19+C84,FALSE)="c",$D$20/COS(RADIANS(180/$D$8)),$D$20)+BU84/2)*SIN(RADIANS(D84))-IF(ISNUMBER(VLOOKUP(BQ84,Input!$B$21:$AL$50,19+C84,FALSE)),VLOOKUP(BQ84,Input!$B$21:$AL$50,19+C84,FALSE)*COS(RADIANS(D84)),0)-$D$35,"")*0+N84*1</f>
        <v>#VALUE!</v>
      </c>
      <c r="BW84" s="248" t="e">
        <f>VLOOKUP(BR84,Reinforcements[],COLUMN(Reinforcements[[#Headers],[Effective B (in)]])-1,FALSE)</f>
        <v>#N/A</v>
      </c>
      <c r="BX84" s="248" t="e">
        <f>VLOOKUP(BR84,Reinforcements[],COLUMN(Reinforcements[[#Headers],[Effective H (in)]])-1,FALSE)</f>
        <v>#N/A</v>
      </c>
      <c r="BY84" s="248" t="e">
        <f>VLOOKUP(BR84,Reinforcements[],COLUMN(Reinforcements[[#Headers],[Gross Area (in2)]])-1,FALSE)</f>
        <v>#N/A</v>
      </c>
      <c r="BZ84" s="255" t="s">
        <v>697</v>
      </c>
      <c r="CA84" s="248" t="e">
        <f>VLOOKUP(BR84,Reinforcements[],COLUMN(Reinforcements[[#Headers],[Pole Face to Centroid (in)]])-1,FALSE)</f>
        <v>#N/A</v>
      </c>
      <c r="CB84" s="248" t="e">
        <f>VLOOKUP(BR84,Reinforcements[],COLUMN(Reinforcements[[#Headers],[Ix]])-1,FALSE)</f>
        <v>#N/A</v>
      </c>
      <c r="CC84" s="248" t="e">
        <f>VLOOKUP(BR84,Reinforcements[],COLUMN(Reinforcements[[#Headers],[Iy]])-1,FALSE)</f>
        <v>#N/A</v>
      </c>
      <c r="CD84" s="248" t="e">
        <f>VLOOKUP(BR84,Reinforcements[],COLUMN(Reinforcements[[#Headers],[Lu (in)]])-1,FALSE)</f>
        <v>#N/A</v>
      </c>
      <c r="CE84" s="255" t="s">
        <v>697</v>
      </c>
      <c r="CF84" s="255" t="s">
        <v>697</v>
      </c>
      <c r="CG84" s="248" t="e">
        <f>VLOOKUP(VLOOKUP(BR84,Reinforcements[],COLUMN(Reinforcements[[#Headers],[Material]])-1,FALSE),Materials[],2,FALSE)</f>
        <v>#N/A</v>
      </c>
      <c r="CH84" s="248" t="e">
        <f>VLOOKUP(VLOOKUP(BR84,Reinforcements[],COLUMN(Reinforcements[[#Headers],[Material]])-1,FALSE),Materials[],3,FALSE)</f>
        <v>#N/A</v>
      </c>
      <c r="CI84" s="255" t="e">
        <f>VLOOKUP(BR84,Reinforcements[],COLUMN(Reinforcements[[#Headers],[Tension Only?]])-1,FALSE)</f>
        <v>#N/A</v>
      </c>
      <c r="CJ84" s="17" t="str">
        <f>IF(BQ84="","",AND(INDEX(Results!$G$5:$G$104,MATCH(VLOOKUP($BQ84,Input!$B$21:$J$50,2,FALSE)-0.001,Results!$G$5:$G$104,-1))=$D$4))</f>
        <v/>
      </c>
      <c r="CK84" s="17" t="str">
        <f>IF(BQ84="","",AND(INDEX('Macro References'!$BB$2:$BB$101,MATCH(VLOOKUP($BQ84,Input!$B$21:$J$50,6,FALSE)-0.001,'Macro References'!$BB$2:$BB$101,1))=$D$4))</f>
        <v/>
      </c>
      <c r="CL84" s="17" t="e">
        <f>IF(CJ84,VLOOKUP(BR84,Reinforcements[],COLUMN(Reinforcements[[#Headers],[Bottom End Connection Type]])-1,FALSE),IF(CK84,VLOOKUP(BR84,Reinforcements[],COLUMN(Reinforcements[[#Headers],[Top End Connection Type]])-1,FALSE),""))</f>
        <v>#VALUE!</v>
      </c>
      <c r="CM84" s="17" t="e">
        <f>IF(ISBLANK(VLOOKUP(BR84,Reinforcements[],COLUMN(Reinforcements[[#Headers],[Bottom Transverse Weld Length]])-1,FALSE)),"",(VLOOKUP(BR84,Reinforcements[],COLUMN(Reinforcements[[#Headers],[Bottom Transverse Weld Length]])-1,FALSE)))</f>
        <v>#N/A</v>
      </c>
      <c r="CN84" s="17" t="e">
        <f>IF(ISBLANK(VLOOKUP(BR84,Reinforcements[],COLUMN(Reinforcements[[#Headers],[Bottom Transverse (Horizontal) Weld]])-1,FALSE)),"",(VLOOKUP(BR84,Reinforcements[],COLUMN(Reinforcements[[#Headers],[Bottom Transverse (Horizontal) Weld]])-1,FALSE)))</f>
        <v>#N/A</v>
      </c>
      <c r="CO84" s="17" t="e">
        <f>IF(ISBLANK(VLOOKUP(BR84,Reinforcements[],COLUMN(Reinforcements[[#Headers],[Bottom Longitudinal Weld Length]])-1,FALSE)),"",(VLOOKUP(BR84,Reinforcements[],COLUMN(Reinforcements[[#Headers],[Bottom Longitudinal Weld Length]])-1,FALSE)))</f>
        <v>#N/A</v>
      </c>
      <c r="CP84" s="17" t="str">
        <f>IFERROR(VLOOKUP(BR84,Reinforcements[],COLUMN(Reinforcements[[#Headers],[Bottom Connected to Flange/Base Plate?]])-1,FALSE),"")</f>
        <v/>
      </c>
      <c r="CQ84" s="248" t="e">
        <f>IF(Rev="F",VLOOKUP(BR84,Reinforcements[],COLUMN(Reinforcements[[#Headers],[Rev. F Bottom Transverse Weld Strength]])-1,FALSE),VLOOKUP(BR84,Reinforcements[],COLUMN(Reinforcements[[#Headers],[Rev. G Bottom Transverse Weld Strength]])-1,FALSE))</f>
        <v>#N/A</v>
      </c>
      <c r="CR84" s="248"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248" t="str">
        <f>IF(CP84&lt;&gt;"Yes","",(VLOOKUP(BR84,Reinforcements[],COLUMN(Reinforcements[[#Headers],[Bottom Transverse Weld Groove Depth (in)]])-1,FALSE)+VLOOKUP(BR84,Reinforcements[],COLUMN(Reinforcements[[#Headers],[Bottom Transverse Weld Fillet Size (in)]])-1,FALSE))*CM84*IF(Rev="F",0.6,φ_t_y)*$D$14)</f>
        <v/>
      </c>
      <c r="CT84" s="248" t="e">
        <f>IF(CP84="Yes","",VLOOKUP(BR84,Reinforcements[],COLUMN(Reinforcements[[#Headers],[Bottom Transverse Weld Fillet Size (in)]])-1,FALSE)*CM84*MIN(IF(Rev="F",0.4,φ_shear_yield*0.6)*$D$6,IF(Rev="F",0.3,φ_shear_rupture*0.6)*$D$7))</f>
        <v>#N/A</v>
      </c>
      <c r="CU84" s="248" t="e">
        <f>IF(Rev="F",VLOOKUP(BR84,Reinforcements[],COLUMN(Reinforcements[[#Headers],[Rev. F Bottom Longitudinal Weld Strength]])-1,FALSE),VLOOKUP(BR84,Reinforcements[],COLUMN(Reinforcements[[#Headers],[Rev. G Bottom Longitudinal Weld Strength]])-1,FALSE))</f>
        <v>#N/A</v>
      </c>
      <c r="CV84" s="248" t="e">
        <f>2*VLOOKUP(BR84,Reinforcements[],COLUMN(Reinforcements[[#Headers],[Bottom Longitudinal Weld Fillet Size (in)]])-1,FALSE)*CO84*MIN(IF(Rev="F",0.4,φ_shear_yield*0.6)*CG84,IF(Rev="F",0.3,φ_shear_rupture*0.6)*CH84)</f>
        <v>#N/A</v>
      </c>
      <c r="CW84" s="248" t="e">
        <f>2*VLOOKUP(BR84,Reinforcements[],COLUMN(Reinforcements[[#Headers],[Bottom Longitudinal Weld Fillet Size (in)]])-1,FALSE)*CO84*MIN(IF(Rev="F",0.4,φ_shear_yield*0.6)*$D$6,IF(Rev="F",0.3,φ_shear_rupture*0.6)*$D$7)</f>
        <v>#N/A</v>
      </c>
      <c r="CX84" s="248" t="e">
        <f>IF(ISBLANK(VLOOKUP(BR84,Reinforcements[],COLUMN(Reinforcements[[#Headers],[Top Transverse Weld Length]])-1,FALSE)),"",(VLOOKUP(BR84,Reinforcements[],COLUMN(Reinforcements[[#Headers],[Top Transverse Weld Length]])-1,FALSE)))</f>
        <v>#N/A</v>
      </c>
      <c r="CY84" s="248" t="e">
        <f>IF(ISBLANK(VLOOKUP(BR84,Reinforcements[],COLUMN(Reinforcements[[#Headers],[Top Transverse (Horizontal) Weld]])-1,FALSE)),"",(VLOOKUP(BR84,Reinforcements[],COLUMN(Reinforcements[[#Headers],[Top Transverse (Horizontal) Weld]])-1,FALSE)))</f>
        <v>#N/A</v>
      </c>
      <c r="CZ84" s="248" t="e">
        <f>IF(ISBLANK(VLOOKUP(BR84,Reinforcements[],COLUMN(Reinforcements[[#Headers],[Top Longitudinal Weld Length]])-1,FALSE)),"",(VLOOKUP(BR84,Reinforcements[],COLUMN(Reinforcements[[#Headers],[Top Longitudinal Weld Length]])-1,FALSE)))</f>
        <v>#N/A</v>
      </c>
      <c r="DA84" s="248" t="str">
        <f>IFERROR(VLOOKUP(BR84,Reinforcements[],COLUMN(Reinforcements[[#Headers],[Top Connected to Flange/Base Plate?]])-1,FALSE),"")</f>
        <v/>
      </c>
      <c r="DB84" s="248" t="e">
        <f>IF(Rev="F",VLOOKUP(BR84,Reinforcements[],COLUMN(Reinforcements[[#Headers],[Rev. F Top Transverse Weld Strength]])-1,FALSE),VLOOKUP(BR84,Reinforcements[],COLUMN(Reinforcements[[#Headers],[Rev. G Top Transverse Weld Strength]])-1,FALSE))</f>
        <v>#N/A</v>
      </c>
      <c r="DC84" s="248"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248" t="str">
        <f>IF(DA84&lt;&gt;"Yes","",(VLOOKUP(BR84,Reinforcements[],COLUMN(Reinforcements[[#Headers],[Top Transverse Weld Groove Depth (in)]])-1,FALSE)+VLOOKUP(BR84,Reinforcements[],COLUMN(Reinforcements[[#Headers],[Top Transverse Weld Fillet Size (in)]])-1,FALSE))*CX84*IF(Rev="F",0.6,φ_t_y)*$D$14)</f>
        <v/>
      </c>
      <c r="DE84" s="248" t="e">
        <f>IF(DA84="Yes","",VLOOKUP(BR84,Reinforcements[],COLUMN(Reinforcements[[#Headers],[Top Transverse Weld Fillet Size (in)]])-1,FALSE)*CX84*MIN(IF(Rev="F",0.4,φ_shear_yield*0.6)*$D$6,IF(Rev="F",0.3,φ_shear_rupture*0.6)*$D$7))</f>
        <v>#N/A</v>
      </c>
      <c r="DF84" s="248" t="e">
        <f>IF(Rev="F",VLOOKUP(BR84,Reinforcements[],COLUMN(Reinforcements[[#Headers],[Rev. F Top Longitudinal Weld Strength]])-1,FALSE),VLOOKUP(BR84,Reinforcements[],COLUMN(Reinforcements[[#Headers],[Rev. G Top Longitudinal Weld Strength]])-1,FALSE))</f>
        <v>#N/A</v>
      </c>
      <c r="DG84" s="248" t="e">
        <f>2*VLOOKUP(BR84,Reinforcements[],COLUMN(Reinforcements[[#Headers],[Top Longitudinal Weld Fillet Size (in)]])-1,FALSE)*CZ84*MIN(IF(Rev="F",0.4,φ_shear_yield*0.6)*CG84,IF(Rev="F",0.3,φ_shear_rupture*0.6)*CH84)</f>
        <v>#N/A</v>
      </c>
      <c r="DH84" s="248" t="e">
        <f>2*VLOOKUP(BR84,Reinforcements[],COLUMN(Reinforcements[[#Headers],[Top Longitudinal Weld Fillet Size (in)]])-1,FALSE)*CZ84*MIN(IF(Rev="F",0.4,φ_shear_yield*0.6)*$D$6,IF(Rev="F",0.3,φ_shear_rupture*0.6)*$D$7)</f>
        <v>#N/A</v>
      </c>
      <c r="DI84" s="49" t="e">
        <f>IF(BS84="channel",VLOOKUP(Calculations!BR84,Reinforcements[],COLUMN(Reinforcements[[#Headers],['[Channel']Web Thickness (in)]])-1,FALSE),"")</f>
        <v>#N/A</v>
      </c>
      <c r="DJ84" s="49" t="b">
        <f t="shared" si="126"/>
        <v>0</v>
      </c>
      <c r="DK84" s="49" t="e">
        <f>IF(BS84="channel",Calculations!BU84-DI84,"")</f>
        <v>#N/A</v>
      </c>
      <c r="DL84" s="49" t="e">
        <f>IF(BS84="channel",(Calculations!BY84-Calculations!BT84*DI84)/(2*DK84))</f>
        <v>#N/A</v>
      </c>
      <c r="DM84" s="49" t="e">
        <f>IF(BS84="channel",(Calculations!BT84*(DI84^2)/2+2*DK84*DL84*(DI84+DK84/2))/Calculations!BY84,"")</f>
        <v>#N/A</v>
      </c>
    </row>
    <row r="85" spans="2:117" ht="15" x14ac:dyDescent="0.25">
      <c r="B85" s="49" t="str">
        <f t="shared" si="70"/>
        <v/>
      </c>
      <c r="C85" s="201">
        <v>7</v>
      </c>
      <c r="D85" s="255" t="str">
        <f>IF(BQ85="","",IF($D$8=0,IF(OR(VLOOKUP(BQ85,Input!$B$21:$AL$50,19+C85,FALSE)+$D$5=0,VLOOKUP(BQ85,Input!$B$21:$AL$50,19+C85,FALSE)+$D$5=180),VLOOKUP(BQ85,Input!$B$21:$AL$50,19+C85,FALSE)+$D$5+0.0001,VLOOKUP(BQ85,Input!$B$21:$AL$50,19+C85,FALSE)+$D$5),IF(VLOOKUP(BQ85,Input!$B$21:$AL$50,19+C85,FALSE)="c",VLOOKUP($C85,$C$40:$E$57,2,FALSE)+180/$D$8,VLOOKUP($C85,$C$40:$E$57,2,FALSE))))</f>
        <v/>
      </c>
      <c r="E85" s="17" t="str">
        <f t="shared" si="110"/>
        <v/>
      </c>
      <c r="F85" s="258" t="str">
        <f>IF(BR85="","",VLOOKUP(BR85,Reinforcements[],COLUMN(Reinforcements[[#Headers],[Gross Area (in2)]])-1,FALSE))</f>
        <v/>
      </c>
      <c r="G85" s="256" t="e">
        <f>(IF(VLOOKUP(BQ85,Input!$B$21:$AL$50,19+C85,FALSE)="c",$D$20/COS(RADIANS(180/$D$8)),$D$20)+CA85)*SIN(RADIANS(D85))-IF(AND(ISNUMBER(VLOOKUP(BQ85,Input!$B$21:$AL$50,19+C85,FALSE)),$D$8&lt;&gt;0),VLOOKUP(BQ85,Input!$B$21:$AL$50,19+C85,FALSE)*COS(RADIANS(D85)),0)</f>
        <v>#N/A</v>
      </c>
      <c r="H85" s="251" t="str">
        <f t="shared" si="111"/>
        <v/>
      </c>
      <c r="I85" s="251" t="e">
        <f t="shared" si="86"/>
        <v>#N/A</v>
      </c>
      <c r="J85" s="251" t="e">
        <f t="shared" si="112"/>
        <v>#N/A</v>
      </c>
      <c r="K85" s="251" t="e">
        <f t="shared" si="113"/>
        <v>#N/A</v>
      </c>
      <c r="L85" s="251" t="e">
        <f t="shared" si="114"/>
        <v>#N/A</v>
      </c>
      <c r="M85" s="252" t="str">
        <f t="shared" si="115"/>
        <v/>
      </c>
      <c r="N85" s="250" t="str">
        <f>IFERROR((IF(VLOOKUP(BQ85,Input!$B$21:$AL$50,19+C85,FALSE)="c",$D$20/COS(RADIANS(180/$D$8)),$D$20)+CA85)*SIN(RADIANS(D85))-IF(AND(ISNUMBER(VLOOKUP(BQ85,Input!$B$21:$AL$50,19+C85,FALSE)),$D$8&lt;&gt;0),VLOOKUP(BQ85,Input!$B$21:$AL$50,19+C85,FALSE)*COS(RADIANS(D85)),0)-$D$35,"")</f>
        <v/>
      </c>
      <c r="O85" s="251" t="str">
        <f t="shared" si="87"/>
        <v/>
      </c>
      <c r="P85" s="251" t="str">
        <f t="shared" si="88"/>
        <v/>
      </c>
      <c r="Q85" s="251" t="str">
        <f t="shared" si="89"/>
        <v/>
      </c>
      <c r="R85" s="252" t="str">
        <f t="shared" si="90"/>
        <v/>
      </c>
      <c r="S85" s="251" t="str">
        <f t="shared" si="91"/>
        <v/>
      </c>
      <c r="T85" s="251" t="str">
        <f t="shared" si="92"/>
        <v/>
      </c>
      <c r="U85" s="251" t="str">
        <f t="shared" si="93"/>
        <v/>
      </c>
      <c r="V85" s="252" t="str">
        <f t="shared" si="94"/>
        <v/>
      </c>
      <c r="W85" s="323"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324"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324"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324" t="str">
        <f>IFERROR(IF('Macro References'!$A$9,IF(AND(CJ85,CL85="Welded"),MIN(CQ85:CT85),IF(AND(CK85,CL85="Welded"),MIN(DB85:DE85),"")),""),"")</f>
        <v/>
      </c>
      <c r="AA85" s="255" t="str">
        <f>IFERROR(IF('Macro References'!$A$9,IF(AND(CJ85,CL85="Welded"),MIN(CU85:CW85),IF(AND(CK85,CL85="Welded"),MIN(DF85:DH85),"")),""),"")</f>
        <v/>
      </c>
      <c r="AB85" s="255" t="str">
        <f>IFERROR(IF('Macro References'!$A$9,IF(AND(CJ85,CL85="Welded",CN85="Fillet",CU85&gt;0),TRUE,IF(AND(CK85,CL85="Welded",CY85="Fillet",DF85&gt;0),TRUE,"")),""),"")</f>
        <v/>
      </c>
      <c r="AC85" s="255"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255"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32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248"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32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274" t="str">
        <f t="shared" si="95"/>
        <v/>
      </c>
      <c r="AI85" s="255" t="str">
        <f t="shared" si="96"/>
        <v/>
      </c>
      <c r="AJ85" s="255" t="str">
        <f t="shared" si="97"/>
        <v/>
      </c>
      <c r="AK85" s="255" t="str">
        <f t="shared" si="85"/>
        <v/>
      </c>
      <c r="AL85" s="248" t="str">
        <f t="shared" si="78"/>
        <v/>
      </c>
      <c r="AM85" s="255" t="str">
        <f>""</f>
        <v/>
      </c>
      <c r="AN85" s="255" t="str">
        <f t="shared" si="98"/>
        <v/>
      </c>
      <c r="AO85" s="248" t="str">
        <f t="shared" si="99"/>
        <v/>
      </c>
      <c r="AP85" s="275" t="str">
        <f t="shared" si="100"/>
        <v/>
      </c>
      <c r="AQ85" s="276" t="str">
        <f t="shared" si="53"/>
        <v/>
      </c>
      <c r="AR85" s="255" t="str">
        <f>IF(BR85="","",VLOOKUP(VLOOKUP(BR85,Reinforcements[],COLUMN(Reinforcements[[#Headers],[Material]])-1,FALSE),Materials[],2,FALSE)/$D$28)</f>
        <v/>
      </c>
      <c r="AS85" s="248" t="str">
        <f t="shared" si="54"/>
        <v/>
      </c>
      <c r="AT85" s="327" t="str">
        <f t="shared" si="101"/>
        <v/>
      </c>
      <c r="AU85" s="277">
        <f t="shared" si="116"/>
        <v>0</v>
      </c>
      <c r="AV85" s="278">
        <f t="shared" si="117"/>
        <v>0</v>
      </c>
      <c r="AW85" s="278" t="e">
        <f t="shared" si="102"/>
        <v>#N/A</v>
      </c>
      <c r="AX85" s="278" t="e">
        <f t="shared" si="103"/>
        <v>#N/A</v>
      </c>
      <c r="AY85" s="278" t="str">
        <f t="shared" si="104"/>
        <v/>
      </c>
      <c r="AZ85" s="278" t="e">
        <f t="shared" si="105"/>
        <v>#VALUE!</v>
      </c>
      <c r="BA85" s="295" t="str">
        <f t="shared" si="118"/>
        <v/>
      </c>
      <c r="BB85" s="297" t="str">
        <f t="shared" si="119"/>
        <v/>
      </c>
      <c r="BC85" s="298" t="str">
        <f t="shared" si="120"/>
        <v/>
      </c>
      <c r="BD85" s="298" t="str">
        <f t="shared" si="106"/>
        <v/>
      </c>
      <c r="BE85" s="295" t="str">
        <f t="shared" si="121"/>
        <v/>
      </c>
      <c r="BF85" s="299" t="e">
        <f t="shared" si="122"/>
        <v>#DIV/0!</v>
      </c>
      <c r="BG85" s="300" t="str">
        <f t="shared" si="107"/>
        <v/>
      </c>
      <c r="BH85" s="300" t="str">
        <f t="shared" si="108"/>
        <v/>
      </c>
      <c r="BI85" s="295" t="e">
        <f t="shared" si="123"/>
        <v>#DIV/0!</v>
      </c>
      <c r="BJ85" s="299" t="str">
        <f t="shared" si="124"/>
        <v/>
      </c>
      <c r="BK85" s="278" t="e">
        <f t="shared" si="125"/>
        <v>#DIV/0!</v>
      </c>
      <c r="BL85" s="49" t="str">
        <f t="shared" si="68"/>
        <v/>
      </c>
      <c r="BP85" s="25" t="e">
        <f t="shared" si="109"/>
        <v>#DIV/0!</v>
      </c>
      <c r="BQ85" s="303"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303" t="str">
        <f>IF(BQ85="","",VLOOKUP(BQ85,Input!$B$21:$Q$50,13,FALSE))</f>
        <v/>
      </c>
      <c r="BS85" s="248" t="e">
        <f>VLOOKUP(BR85,Reinforcements[],COLUMN(Reinforcements[[#Headers],[Type]])-1,FALSE)</f>
        <v>#N/A</v>
      </c>
      <c r="BT85" s="248" t="e">
        <f>IF(BS85="solid round",VLOOKUP(BR85,Reinforcements[],COLUMN(Reinforcements[[#Headers],[Diameter (in)]])-1,FALSE),VLOOKUP(BR85,Reinforcements[],COLUMN(Reinforcements[[#Headers],[B (in)]])-1,FALSE))</f>
        <v>#N/A</v>
      </c>
      <c r="BU85" s="248" t="e">
        <f>IF(BS85="solid round",VLOOKUP(BR85,Reinforcements[],COLUMN(Reinforcements[[#Headers],[Diameter (in)]])-1,FALSE),VLOOKUP(BR85,Reinforcements[],COLUMN(Reinforcements[[#Headers],[H (in)]])-1,FALSE))</f>
        <v>#N/A</v>
      </c>
      <c r="BV85" s="278" t="e">
        <f>IFERROR((IF(VLOOKUP(BQ85,Input!$B$21:$AL$50,19+C85,FALSE)="c",$D$20/COS(RADIANS(180/$D$8)),$D$20)+BU85/2)*SIN(RADIANS(D85))-IF(ISNUMBER(VLOOKUP(BQ85,Input!$B$21:$AL$50,19+C85,FALSE)),VLOOKUP(BQ85,Input!$B$21:$AL$50,19+C85,FALSE)*COS(RADIANS(D85)),0)-$D$35,"")*0+N85*1</f>
        <v>#VALUE!</v>
      </c>
      <c r="BW85" s="248" t="e">
        <f>VLOOKUP(BR85,Reinforcements[],COLUMN(Reinforcements[[#Headers],[Effective B (in)]])-1,FALSE)</f>
        <v>#N/A</v>
      </c>
      <c r="BX85" s="248" t="e">
        <f>VLOOKUP(BR85,Reinforcements[],COLUMN(Reinforcements[[#Headers],[Effective H (in)]])-1,FALSE)</f>
        <v>#N/A</v>
      </c>
      <c r="BY85" s="248" t="e">
        <f>VLOOKUP(BR85,Reinforcements[],COLUMN(Reinforcements[[#Headers],[Gross Area (in2)]])-1,FALSE)</f>
        <v>#N/A</v>
      </c>
      <c r="BZ85" s="255" t="s">
        <v>697</v>
      </c>
      <c r="CA85" s="248" t="e">
        <f>VLOOKUP(BR85,Reinforcements[],COLUMN(Reinforcements[[#Headers],[Pole Face to Centroid (in)]])-1,FALSE)</f>
        <v>#N/A</v>
      </c>
      <c r="CB85" s="248" t="e">
        <f>VLOOKUP(BR85,Reinforcements[],COLUMN(Reinforcements[[#Headers],[Ix]])-1,FALSE)</f>
        <v>#N/A</v>
      </c>
      <c r="CC85" s="248" t="e">
        <f>VLOOKUP(BR85,Reinforcements[],COLUMN(Reinforcements[[#Headers],[Iy]])-1,FALSE)</f>
        <v>#N/A</v>
      </c>
      <c r="CD85" s="248" t="e">
        <f>VLOOKUP(BR85,Reinforcements[],COLUMN(Reinforcements[[#Headers],[Lu (in)]])-1,FALSE)</f>
        <v>#N/A</v>
      </c>
      <c r="CE85" s="255" t="s">
        <v>697</v>
      </c>
      <c r="CF85" s="255" t="s">
        <v>697</v>
      </c>
      <c r="CG85" s="248" t="e">
        <f>VLOOKUP(VLOOKUP(BR85,Reinforcements[],COLUMN(Reinforcements[[#Headers],[Material]])-1,FALSE),Materials[],2,FALSE)</f>
        <v>#N/A</v>
      </c>
      <c r="CH85" s="248" t="e">
        <f>VLOOKUP(VLOOKUP(BR85,Reinforcements[],COLUMN(Reinforcements[[#Headers],[Material]])-1,FALSE),Materials[],3,FALSE)</f>
        <v>#N/A</v>
      </c>
      <c r="CI85" s="255" t="e">
        <f>VLOOKUP(BR85,Reinforcements[],COLUMN(Reinforcements[[#Headers],[Tension Only?]])-1,FALSE)</f>
        <v>#N/A</v>
      </c>
      <c r="CJ85" s="17" t="str">
        <f>IF(BQ85="","",AND(INDEX(Results!$G$5:$G$104,MATCH(VLOOKUP($BQ85,Input!$B$21:$J$50,2,FALSE)-0.001,Results!$G$5:$G$104,-1))=$D$4))</f>
        <v/>
      </c>
      <c r="CK85" s="17" t="str">
        <f>IF(BQ85="","",AND(INDEX('Macro References'!$BB$2:$BB$101,MATCH(VLOOKUP($BQ85,Input!$B$21:$J$50,6,FALSE)-0.001,'Macro References'!$BB$2:$BB$101,1))=$D$4))</f>
        <v/>
      </c>
      <c r="CL85" s="17" t="e">
        <f>IF(CJ85,VLOOKUP(BR85,Reinforcements[],COLUMN(Reinforcements[[#Headers],[Bottom End Connection Type]])-1,FALSE),IF(CK85,VLOOKUP(BR85,Reinforcements[],COLUMN(Reinforcements[[#Headers],[Top End Connection Type]])-1,FALSE),""))</f>
        <v>#VALUE!</v>
      </c>
      <c r="CM85" s="17" t="e">
        <f>IF(ISBLANK(VLOOKUP(BR85,Reinforcements[],COLUMN(Reinforcements[[#Headers],[Bottom Transverse Weld Length]])-1,FALSE)),"",(VLOOKUP(BR85,Reinforcements[],COLUMN(Reinforcements[[#Headers],[Bottom Transverse Weld Length]])-1,FALSE)))</f>
        <v>#N/A</v>
      </c>
      <c r="CN85" s="17" t="e">
        <f>IF(ISBLANK(VLOOKUP(BR85,Reinforcements[],COLUMN(Reinforcements[[#Headers],[Bottom Transverse (Horizontal) Weld]])-1,FALSE)),"",(VLOOKUP(BR85,Reinforcements[],COLUMN(Reinforcements[[#Headers],[Bottom Transverse (Horizontal) Weld]])-1,FALSE)))</f>
        <v>#N/A</v>
      </c>
      <c r="CO85" s="17" t="e">
        <f>IF(ISBLANK(VLOOKUP(BR85,Reinforcements[],COLUMN(Reinforcements[[#Headers],[Bottom Longitudinal Weld Length]])-1,FALSE)),"",(VLOOKUP(BR85,Reinforcements[],COLUMN(Reinforcements[[#Headers],[Bottom Longitudinal Weld Length]])-1,FALSE)))</f>
        <v>#N/A</v>
      </c>
      <c r="CP85" s="17" t="str">
        <f>IFERROR(VLOOKUP(BR85,Reinforcements[],COLUMN(Reinforcements[[#Headers],[Bottom Connected to Flange/Base Plate?]])-1,FALSE),"")</f>
        <v/>
      </c>
      <c r="CQ85" s="248" t="e">
        <f>IF(Rev="F",VLOOKUP(BR85,Reinforcements[],COLUMN(Reinforcements[[#Headers],[Rev. F Bottom Transverse Weld Strength]])-1,FALSE),VLOOKUP(BR85,Reinforcements[],COLUMN(Reinforcements[[#Headers],[Rev. G Bottom Transverse Weld Strength]])-1,FALSE))</f>
        <v>#N/A</v>
      </c>
      <c r="CR85" s="248"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248" t="str">
        <f>IF(CP85&lt;&gt;"Yes","",(VLOOKUP(BR85,Reinforcements[],COLUMN(Reinforcements[[#Headers],[Bottom Transverse Weld Groove Depth (in)]])-1,FALSE)+VLOOKUP(BR85,Reinforcements[],COLUMN(Reinforcements[[#Headers],[Bottom Transverse Weld Fillet Size (in)]])-1,FALSE))*CM85*IF(Rev="F",0.6,φ_t_y)*$D$14)</f>
        <v/>
      </c>
      <c r="CT85" s="248" t="e">
        <f>IF(CP85="Yes","",VLOOKUP(BR85,Reinforcements[],COLUMN(Reinforcements[[#Headers],[Bottom Transverse Weld Fillet Size (in)]])-1,FALSE)*CM85*MIN(IF(Rev="F",0.4,φ_shear_yield*0.6)*$D$6,IF(Rev="F",0.3,φ_shear_rupture*0.6)*$D$7))</f>
        <v>#N/A</v>
      </c>
      <c r="CU85" s="248" t="e">
        <f>IF(Rev="F",VLOOKUP(BR85,Reinforcements[],COLUMN(Reinforcements[[#Headers],[Rev. F Bottom Longitudinal Weld Strength]])-1,FALSE),VLOOKUP(BR85,Reinforcements[],COLUMN(Reinforcements[[#Headers],[Rev. G Bottom Longitudinal Weld Strength]])-1,FALSE))</f>
        <v>#N/A</v>
      </c>
      <c r="CV85" s="248" t="e">
        <f>2*VLOOKUP(BR85,Reinforcements[],COLUMN(Reinforcements[[#Headers],[Bottom Longitudinal Weld Fillet Size (in)]])-1,FALSE)*CO85*MIN(IF(Rev="F",0.4,φ_shear_yield*0.6)*CG85,IF(Rev="F",0.3,φ_shear_rupture*0.6)*CH85)</f>
        <v>#N/A</v>
      </c>
      <c r="CW85" s="248" t="e">
        <f>2*VLOOKUP(BR85,Reinforcements[],COLUMN(Reinforcements[[#Headers],[Bottom Longitudinal Weld Fillet Size (in)]])-1,FALSE)*CO85*MIN(IF(Rev="F",0.4,φ_shear_yield*0.6)*$D$6,IF(Rev="F",0.3,φ_shear_rupture*0.6)*$D$7)</f>
        <v>#N/A</v>
      </c>
      <c r="CX85" s="248" t="e">
        <f>IF(ISBLANK(VLOOKUP(BR85,Reinforcements[],COLUMN(Reinforcements[[#Headers],[Top Transverse Weld Length]])-1,FALSE)),"",(VLOOKUP(BR85,Reinforcements[],COLUMN(Reinforcements[[#Headers],[Top Transverse Weld Length]])-1,FALSE)))</f>
        <v>#N/A</v>
      </c>
      <c r="CY85" s="248" t="e">
        <f>IF(ISBLANK(VLOOKUP(BR85,Reinforcements[],COLUMN(Reinforcements[[#Headers],[Top Transverse (Horizontal) Weld]])-1,FALSE)),"",(VLOOKUP(BR85,Reinforcements[],COLUMN(Reinforcements[[#Headers],[Top Transverse (Horizontal) Weld]])-1,FALSE)))</f>
        <v>#N/A</v>
      </c>
      <c r="CZ85" s="248" t="e">
        <f>IF(ISBLANK(VLOOKUP(BR85,Reinforcements[],COLUMN(Reinforcements[[#Headers],[Top Longitudinal Weld Length]])-1,FALSE)),"",(VLOOKUP(BR85,Reinforcements[],COLUMN(Reinforcements[[#Headers],[Top Longitudinal Weld Length]])-1,FALSE)))</f>
        <v>#N/A</v>
      </c>
      <c r="DA85" s="248" t="str">
        <f>IFERROR(VLOOKUP(BR85,Reinforcements[],COLUMN(Reinforcements[[#Headers],[Top Connected to Flange/Base Plate?]])-1,FALSE),"")</f>
        <v/>
      </c>
      <c r="DB85" s="248" t="e">
        <f>IF(Rev="F",VLOOKUP(BR85,Reinforcements[],COLUMN(Reinforcements[[#Headers],[Rev. F Top Transverse Weld Strength]])-1,FALSE),VLOOKUP(BR85,Reinforcements[],COLUMN(Reinforcements[[#Headers],[Rev. G Top Transverse Weld Strength]])-1,FALSE))</f>
        <v>#N/A</v>
      </c>
      <c r="DC85" s="248"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248" t="str">
        <f>IF(DA85&lt;&gt;"Yes","",(VLOOKUP(BR85,Reinforcements[],COLUMN(Reinforcements[[#Headers],[Top Transverse Weld Groove Depth (in)]])-1,FALSE)+VLOOKUP(BR85,Reinforcements[],COLUMN(Reinforcements[[#Headers],[Top Transverse Weld Fillet Size (in)]])-1,FALSE))*CX85*IF(Rev="F",0.6,φ_t_y)*$D$14)</f>
        <v/>
      </c>
      <c r="DE85" s="248" t="e">
        <f>IF(DA85="Yes","",VLOOKUP(BR85,Reinforcements[],COLUMN(Reinforcements[[#Headers],[Top Transverse Weld Fillet Size (in)]])-1,FALSE)*CX85*MIN(IF(Rev="F",0.4,φ_shear_yield*0.6)*$D$6,IF(Rev="F",0.3,φ_shear_rupture*0.6)*$D$7))</f>
        <v>#N/A</v>
      </c>
      <c r="DF85" s="248" t="e">
        <f>IF(Rev="F",VLOOKUP(BR85,Reinforcements[],COLUMN(Reinforcements[[#Headers],[Rev. F Top Longitudinal Weld Strength]])-1,FALSE),VLOOKUP(BR85,Reinforcements[],COLUMN(Reinforcements[[#Headers],[Rev. G Top Longitudinal Weld Strength]])-1,FALSE))</f>
        <v>#N/A</v>
      </c>
      <c r="DG85" s="248" t="e">
        <f>2*VLOOKUP(BR85,Reinforcements[],COLUMN(Reinforcements[[#Headers],[Top Longitudinal Weld Fillet Size (in)]])-1,FALSE)*CZ85*MIN(IF(Rev="F",0.4,φ_shear_yield*0.6)*CG85,IF(Rev="F",0.3,φ_shear_rupture*0.6)*CH85)</f>
        <v>#N/A</v>
      </c>
      <c r="DH85" s="248" t="e">
        <f>2*VLOOKUP(BR85,Reinforcements[],COLUMN(Reinforcements[[#Headers],[Top Longitudinal Weld Fillet Size (in)]])-1,FALSE)*CZ85*MIN(IF(Rev="F",0.4,φ_shear_yield*0.6)*$D$6,IF(Rev="F",0.3,φ_shear_rupture*0.6)*$D$7)</f>
        <v>#N/A</v>
      </c>
      <c r="DI85" s="49" t="e">
        <f>IF(BS85="channel",VLOOKUP(Calculations!BR85,Reinforcements[],COLUMN(Reinforcements[[#Headers],['[Channel']Web Thickness (in)]])-1,FALSE),"")</f>
        <v>#N/A</v>
      </c>
      <c r="DJ85" s="49" t="b">
        <f t="shared" si="126"/>
        <v>0</v>
      </c>
      <c r="DK85" s="49" t="e">
        <f>IF(BS85="channel",Calculations!BU85-DI85,"")</f>
        <v>#N/A</v>
      </c>
      <c r="DL85" s="49" t="e">
        <f>IF(BS85="channel",(Calculations!BY85-Calculations!BT85*DI85)/(2*DK85))</f>
        <v>#N/A</v>
      </c>
      <c r="DM85" s="49" t="e">
        <f>IF(BS85="channel",(Calculations!BT85*(DI85^2)/2+2*DK85*DL85*(DI85+DK85/2))/Calculations!BY85,"")</f>
        <v>#N/A</v>
      </c>
    </row>
    <row r="86" spans="2:117" ht="15" x14ac:dyDescent="0.25">
      <c r="B86" s="49" t="str">
        <f t="shared" si="70"/>
        <v/>
      </c>
      <c r="C86" s="201">
        <v>8</v>
      </c>
      <c r="D86" s="255" t="str">
        <f>IF(BQ86="","",IF($D$8=0,IF(OR(VLOOKUP(BQ86,Input!$B$21:$AL$50,19+C86,FALSE)+$D$5=0,VLOOKUP(BQ86,Input!$B$21:$AL$50,19+C86,FALSE)+$D$5=180),VLOOKUP(BQ86,Input!$B$21:$AL$50,19+C86,FALSE)+$D$5+0.0001,VLOOKUP(BQ86,Input!$B$21:$AL$50,19+C86,FALSE)+$D$5),IF(VLOOKUP(BQ86,Input!$B$21:$AL$50,19+C86,FALSE)="c",VLOOKUP($C86,$C$40:$E$57,2,FALSE)+180/$D$8,VLOOKUP($C86,$C$40:$E$57,2,FALSE))))</f>
        <v/>
      </c>
      <c r="E86" s="17" t="str">
        <f t="shared" si="110"/>
        <v/>
      </c>
      <c r="F86" s="258" t="str">
        <f>IF(BR86="","",VLOOKUP(BR86,Reinforcements[],COLUMN(Reinforcements[[#Headers],[Gross Area (in2)]])-1,FALSE))</f>
        <v/>
      </c>
      <c r="G86" s="256" t="e">
        <f>(IF(VLOOKUP(BQ86,Input!$B$21:$AL$50,19+C86,FALSE)="c",$D$20/COS(RADIANS(180/$D$8)),$D$20)+CA86)*SIN(RADIANS(D86))-IF(AND(ISNUMBER(VLOOKUP(BQ86,Input!$B$21:$AL$50,19+C86,FALSE)),$D$8&lt;&gt;0),VLOOKUP(BQ86,Input!$B$21:$AL$50,19+C86,FALSE)*COS(RADIANS(D86)),0)</f>
        <v>#N/A</v>
      </c>
      <c r="H86" s="251" t="str">
        <f t="shared" si="111"/>
        <v/>
      </c>
      <c r="I86" s="251" t="e">
        <f t="shared" si="86"/>
        <v>#N/A</v>
      </c>
      <c r="J86" s="251" t="e">
        <f t="shared" si="112"/>
        <v>#N/A</v>
      </c>
      <c r="K86" s="251" t="e">
        <f t="shared" si="113"/>
        <v>#N/A</v>
      </c>
      <c r="L86" s="251" t="e">
        <f t="shared" si="114"/>
        <v>#N/A</v>
      </c>
      <c r="M86" s="252" t="str">
        <f t="shared" si="115"/>
        <v/>
      </c>
      <c r="N86" s="250" t="str">
        <f>IFERROR((IF(VLOOKUP(BQ86,Input!$B$21:$AL$50,19+C86,FALSE)="c",$D$20/COS(RADIANS(180/$D$8)),$D$20)+CA86)*SIN(RADIANS(D86))-IF(AND(ISNUMBER(VLOOKUP(BQ86,Input!$B$21:$AL$50,19+C86,FALSE)),$D$8&lt;&gt;0),VLOOKUP(BQ86,Input!$B$21:$AL$50,19+C86,FALSE)*COS(RADIANS(D86)),0)-$D$35,"")</f>
        <v/>
      </c>
      <c r="O86" s="251" t="str">
        <f t="shared" si="87"/>
        <v/>
      </c>
      <c r="P86" s="251" t="str">
        <f t="shared" si="88"/>
        <v/>
      </c>
      <c r="Q86" s="251" t="str">
        <f t="shared" si="89"/>
        <v/>
      </c>
      <c r="R86" s="252" t="str">
        <f t="shared" si="90"/>
        <v/>
      </c>
      <c r="S86" s="251" t="str">
        <f t="shared" si="91"/>
        <v/>
      </c>
      <c r="T86" s="251" t="str">
        <f t="shared" si="92"/>
        <v/>
      </c>
      <c r="U86" s="251" t="str">
        <f t="shared" si="93"/>
        <v/>
      </c>
      <c r="V86" s="252" t="str">
        <f t="shared" si="94"/>
        <v/>
      </c>
      <c r="W86" s="323"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324"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324"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324" t="str">
        <f>IFERROR(IF('Macro References'!$A$9,IF(AND(CJ86,CL86="Welded"),MIN(CQ86:CT86),IF(AND(CK86,CL86="Welded"),MIN(DB86:DE86),"")),""),"")</f>
        <v/>
      </c>
      <c r="AA86" s="255" t="str">
        <f>IFERROR(IF('Macro References'!$A$9,IF(AND(CJ86,CL86="Welded"),MIN(CU86:CW86),IF(AND(CK86,CL86="Welded"),MIN(DF86:DH86),"")),""),"")</f>
        <v/>
      </c>
      <c r="AB86" s="255" t="str">
        <f>IFERROR(IF('Macro References'!$A$9,IF(AND(CJ86,CL86="Welded",CN86="Fillet",CU86&gt;0),TRUE,IF(AND(CK86,CL86="Welded",CY86="Fillet",DF86&gt;0),TRUE,"")),""),"")</f>
        <v/>
      </c>
      <c r="AC86" s="255"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255"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32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248"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32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274" t="str">
        <f t="shared" si="95"/>
        <v/>
      </c>
      <c r="AI86" s="255" t="str">
        <f t="shared" si="96"/>
        <v/>
      </c>
      <c r="AJ86" s="255" t="str">
        <f t="shared" si="97"/>
        <v/>
      </c>
      <c r="AK86" s="255" t="str">
        <f t="shared" si="85"/>
        <v/>
      </c>
      <c r="AL86" s="248" t="str">
        <f t="shared" si="78"/>
        <v/>
      </c>
      <c r="AM86" s="255" t="str">
        <f>""</f>
        <v/>
      </c>
      <c r="AN86" s="255" t="str">
        <f t="shared" si="98"/>
        <v/>
      </c>
      <c r="AO86" s="248" t="str">
        <f t="shared" si="99"/>
        <v/>
      </c>
      <c r="AP86" s="275" t="str">
        <f t="shared" si="100"/>
        <v/>
      </c>
      <c r="AQ86" s="276" t="str">
        <f t="shared" si="53"/>
        <v/>
      </c>
      <c r="AR86" s="255" t="str">
        <f>IF(BR86="","",VLOOKUP(VLOOKUP(BR86,Reinforcements[],COLUMN(Reinforcements[[#Headers],[Material]])-1,FALSE),Materials[],2,FALSE)/$D$28)</f>
        <v/>
      </c>
      <c r="AS86" s="248" t="str">
        <f t="shared" si="54"/>
        <v/>
      </c>
      <c r="AT86" s="327" t="str">
        <f t="shared" si="101"/>
        <v/>
      </c>
      <c r="AU86" s="277">
        <f t="shared" si="116"/>
        <v>0</v>
      </c>
      <c r="AV86" s="278">
        <f t="shared" si="117"/>
        <v>0</v>
      </c>
      <c r="AW86" s="278" t="e">
        <f t="shared" si="102"/>
        <v>#N/A</v>
      </c>
      <c r="AX86" s="278" t="e">
        <f t="shared" si="103"/>
        <v>#N/A</v>
      </c>
      <c r="AY86" s="278" t="str">
        <f t="shared" si="104"/>
        <v/>
      </c>
      <c r="AZ86" s="278" t="e">
        <f t="shared" si="105"/>
        <v>#VALUE!</v>
      </c>
      <c r="BA86" s="295" t="str">
        <f t="shared" si="118"/>
        <v/>
      </c>
      <c r="BB86" s="297" t="str">
        <f t="shared" si="119"/>
        <v/>
      </c>
      <c r="BC86" s="298" t="str">
        <f t="shared" si="120"/>
        <v/>
      </c>
      <c r="BD86" s="298" t="str">
        <f t="shared" si="106"/>
        <v/>
      </c>
      <c r="BE86" s="295" t="str">
        <f t="shared" si="121"/>
        <v/>
      </c>
      <c r="BF86" s="299" t="e">
        <f t="shared" si="122"/>
        <v>#DIV/0!</v>
      </c>
      <c r="BG86" s="300" t="str">
        <f t="shared" si="107"/>
        <v/>
      </c>
      <c r="BH86" s="300" t="str">
        <f t="shared" si="108"/>
        <v/>
      </c>
      <c r="BI86" s="295" t="e">
        <f t="shared" si="123"/>
        <v>#DIV/0!</v>
      </c>
      <c r="BJ86" s="299" t="str">
        <f t="shared" si="124"/>
        <v/>
      </c>
      <c r="BK86" s="278" t="e">
        <f t="shared" si="125"/>
        <v>#DIV/0!</v>
      </c>
      <c r="BL86" s="49" t="str">
        <f t="shared" si="68"/>
        <v/>
      </c>
      <c r="BP86" s="25" t="e">
        <f t="shared" si="109"/>
        <v>#DIV/0!</v>
      </c>
      <c r="BQ86" s="303"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303" t="str">
        <f>IF(BQ86="","",VLOOKUP(BQ86,Input!$B$21:$Q$50,13,FALSE))</f>
        <v/>
      </c>
      <c r="BS86" s="248" t="e">
        <f>VLOOKUP(BR86,Reinforcements[],COLUMN(Reinforcements[[#Headers],[Type]])-1,FALSE)</f>
        <v>#N/A</v>
      </c>
      <c r="BT86" s="248" t="e">
        <f>IF(BS86="solid round",VLOOKUP(BR86,Reinforcements[],COLUMN(Reinforcements[[#Headers],[Diameter (in)]])-1,FALSE),VLOOKUP(BR86,Reinforcements[],COLUMN(Reinforcements[[#Headers],[B (in)]])-1,FALSE))</f>
        <v>#N/A</v>
      </c>
      <c r="BU86" s="248" t="e">
        <f>IF(BS86="solid round",VLOOKUP(BR86,Reinforcements[],COLUMN(Reinforcements[[#Headers],[Diameter (in)]])-1,FALSE),VLOOKUP(BR86,Reinforcements[],COLUMN(Reinforcements[[#Headers],[H (in)]])-1,FALSE))</f>
        <v>#N/A</v>
      </c>
      <c r="BV86" s="278" t="e">
        <f>IFERROR((IF(VLOOKUP(BQ86,Input!$B$21:$AL$50,19+C86,FALSE)="c",$D$20/COS(RADIANS(180/$D$8)),$D$20)+BU86/2)*SIN(RADIANS(D86))-IF(ISNUMBER(VLOOKUP(BQ86,Input!$B$21:$AL$50,19+C86,FALSE)),VLOOKUP(BQ86,Input!$B$21:$AL$50,19+C86,FALSE)*COS(RADIANS(D86)),0)-$D$35,"")*0+N86*1</f>
        <v>#VALUE!</v>
      </c>
      <c r="BW86" s="248" t="e">
        <f>VLOOKUP(BR86,Reinforcements[],COLUMN(Reinforcements[[#Headers],[Effective B (in)]])-1,FALSE)</f>
        <v>#N/A</v>
      </c>
      <c r="BX86" s="248" t="e">
        <f>VLOOKUP(BR86,Reinforcements[],COLUMN(Reinforcements[[#Headers],[Effective H (in)]])-1,FALSE)</f>
        <v>#N/A</v>
      </c>
      <c r="BY86" s="248" t="e">
        <f>VLOOKUP(BR86,Reinforcements[],COLUMN(Reinforcements[[#Headers],[Gross Area (in2)]])-1,FALSE)</f>
        <v>#N/A</v>
      </c>
      <c r="BZ86" s="255" t="s">
        <v>697</v>
      </c>
      <c r="CA86" s="248" t="e">
        <f>VLOOKUP(BR86,Reinforcements[],COLUMN(Reinforcements[[#Headers],[Pole Face to Centroid (in)]])-1,FALSE)</f>
        <v>#N/A</v>
      </c>
      <c r="CB86" s="248" t="e">
        <f>VLOOKUP(BR86,Reinforcements[],COLUMN(Reinforcements[[#Headers],[Ix]])-1,FALSE)</f>
        <v>#N/A</v>
      </c>
      <c r="CC86" s="248" t="e">
        <f>VLOOKUP(BR86,Reinforcements[],COLUMN(Reinforcements[[#Headers],[Iy]])-1,FALSE)</f>
        <v>#N/A</v>
      </c>
      <c r="CD86" s="248" t="e">
        <f>VLOOKUP(BR86,Reinforcements[],COLUMN(Reinforcements[[#Headers],[Lu (in)]])-1,FALSE)</f>
        <v>#N/A</v>
      </c>
      <c r="CE86" s="255" t="s">
        <v>697</v>
      </c>
      <c r="CF86" s="255" t="s">
        <v>697</v>
      </c>
      <c r="CG86" s="248" t="e">
        <f>VLOOKUP(VLOOKUP(BR86,Reinforcements[],COLUMN(Reinforcements[[#Headers],[Material]])-1,FALSE),Materials[],2,FALSE)</f>
        <v>#N/A</v>
      </c>
      <c r="CH86" s="248" t="e">
        <f>VLOOKUP(VLOOKUP(BR86,Reinforcements[],COLUMN(Reinforcements[[#Headers],[Material]])-1,FALSE),Materials[],3,FALSE)</f>
        <v>#N/A</v>
      </c>
      <c r="CI86" s="255" t="e">
        <f>VLOOKUP(BR86,Reinforcements[],COLUMN(Reinforcements[[#Headers],[Tension Only?]])-1,FALSE)</f>
        <v>#N/A</v>
      </c>
      <c r="CJ86" s="17" t="str">
        <f>IF(BQ86="","",AND(INDEX(Results!$G$5:$G$104,MATCH(VLOOKUP($BQ86,Input!$B$21:$J$50,2,FALSE)-0.001,Results!$G$5:$G$104,-1))=$D$4))</f>
        <v/>
      </c>
      <c r="CK86" s="17" t="str">
        <f>IF(BQ86="","",AND(INDEX('Macro References'!$BB$2:$BB$101,MATCH(VLOOKUP($BQ86,Input!$B$21:$J$50,6,FALSE)-0.001,'Macro References'!$BB$2:$BB$101,1))=$D$4))</f>
        <v/>
      </c>
      <c r="CL86" s="17" t="e">
        <f>IF(CJ86,VLOOKUP(BR86,Reinforcements[],COLUMN(Reinforcements[[#Headers],[Bottom End Connection Type]])-1,FALSE),IF(CK86,VLOOKUP(BR86,Reinforcements[],COLUMN(Reinforcements[[#Headers],[Top End Connection Type]])-1,FALSE),""))</f>
        <v>#VALUE!</v>
      </c>
      <c r="CM86" s="17" t="e">
        <f>IF(ISBLANK(VLOOKUP(BR86,Reinforcements[],COLUMN(Reinforcements[[#Headers],[Bottom Transverse Weld Length]])-1,FALSE)),"",(VLOOKUP(BR86,Reinforcements[],COLUMN(Reinforcements[[#Headers],[Bottom Transverse Weld Length]])-1,FALSE)))</f>
        <v>#N/A</v>
      </c>
      <c r="CN86" s="17" t="e">
        <f>IF(ISBLANK(VLOOKUP(BR86,Reinforcements[],COLUMN(Reinforcements[[#Headers],[Bottom Transverse (Horizontal) Weld]])-1,FALSE)),"",(VLOOKUP(BR86,Reinforcements[],COLUMN(Reinforcements[[#Headers],[Bottom Transverse (Horizontal) Weld]])-1,FALSE)))</f>
        <v>#N/A</v>
      </c>
      <c r="CO86" s="17" t="e">
        <f>IF(ISBLANK(VLOOKUP(BR86,Reinforcements[],COLUMN(Reinforcements[[#Headers],[Bottom Longitudinal Weld Length]])-1,FALSE)),"",(VLOOKUP(BR86,Reinforcements[],COLUMN(Reinforcements[[#Headers],[Bottom Longitudinal Weld Length]])-1,FALSE)))</f>
        <v>#N/A</v>
      </c>
      <c r="CP86" s="17" t="str">
        <f>IFERROR(VLOOKUP(BR86,Reinforcements[],COLUMN(Reinforcements[[#Headers],[Bottom Connected to Flange/Base Plate?]])-1,FALSE),"")</f>
        <v/>
      </c>
      <c r="CQ86" s="248" t="e">
        <f>IF(Rev="F",VLOOKUP(BR86,Reinforcements[],COLUMN(Reinforcements[[#Headers],[Rev. F Bottom Transverse Weld Strength]])-1,FALSE),VLOOKUP(BR86,Reinforcements[],COLUMN(Reinforcements[[#Headers],[Rev. G Bottom Transverse Weld Strength]])-1,FALSE))</f>
        <v>#N/A</v>
      </c>
      <c r="CR86" s="248"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248" t="str">
        <f>IF(CP86&lt;&gt;"Yes","",(VLOOKUP(BR86,Reinforcements[],COLUMN(Reinforcements[[#Headers],[Bottom Transverse Weld Groove Depth (in)]])-1,FALSE)+VLOOKUP(BR86,Reinforcements[],COLUMN(Reinforcements[[#Headers],[Bottom Transverse Weld Fillet Size (in)]])-1,FALSE))*CM86*IF(Rev="F",0.6,φ_t_y)*$D$14)</f>
        <v/>
      </c>
      <c r="CT86" s="248" t="e">
        <f>IF(CP86="Yes","",VLOOKUP(BR86,Reinforcements[],COLUMN(Reinforcements[[#Headers],[Bottom Transverse Weld Fillet Size (in)]])-1,FALSE)*CM86*MIN(IF(Rev="F",0.4,φ_shear_yield*0.6)*$D$6,IF(Rev="F",0.3,φ_shear_rupture*0.6)*$D$7))</f>
        <v>#N/A</v>
      </c>
      <c r="CU86" s="248" t="e">
        <f>IF(Rev="F",VLOOKUP(BR86,Reinforcements[],COLUMN(Reinforcements[[#Headers],[Rev. F Bottom Longitudinal Weld Strength]])-1,FALSE),VLOOKUP(BR86,Reinforcements[],COLUMN(Reinforcements[[#Headers],[Rev. G Bottom Longitudinal Weld Strength]])-1,FALSE))</f>
        <v>#N/A</v>
      </c>
      <c r="CV86" s="248" t="e">
        <f>2*VLOOKUP(BR86,Reinforcements[],COLUMN(Reinforcements[[#Headers],[Bottom Longitudinal Weld Fillet Size (in)]])-1,FALSE)*CO86*MIN(IF(Rev="F",0.4,φ_shear_yield*0.6)*CG86,IF(Rev="F",0.3,φ_shear_rupture*0.6)*CH86)</f>
        <v>#N/A</v>
      </c>
      <c r="CW86" s="248" t="e">
        <f>2*VLOOKUP(BR86,Reinforcements[],COLUMN(Reinforcements[[#Headers],[Bottom Longitudinal Weld Fillet Size (in)]])-1,FALSE)*CO86*MIN(IF(Rev="F",0.4,φ_shear_yield*0.6)*$D$6,IF(Rev="F",0.3,φ_shear_rupture*0.6)*$D$7)</f>
        <v>#N/A</v>
      </c>
      <c r="CX86" s="248" t="e">
        <f>IF(ISBLANK(VLOOKUP(BR86,Reinforcements[],COLUMN(Reinforcements[[#Headers],[Top Transverse Weld Length]])-1,FALSE)),"",(VLOOKUP(BR86,Reinforcements[],COLUMN(Reinforcements[[#Headers],[Top Transverse Weld Length]])-1,FALSE)))</f>
        <v>#N/A</v>
      </c>
      <c r="CY86" s="248" t="e">
        <f>IF(ISBLANK(VLOOKUP(BR86,Reinforcements[],COLUMN(Reinforcements[[#Headers],[Top Transverse (Horizontal) Weld]])-1,FALSE)),"",(VLOOKUP(BR86,Reinforcements[],COLUMN(Reinforcements[[#Headers],[Top Transverse (Horizontal) Weld]])-1,FALSE)))</f>
        <v>#N/A</v>
      </c>
      <c r="CZ86" s="248" t="e">
        <f>IF(ISBLANK(VLOOKUP(BR86,Reinforcements[],COLUMN(Reinforcements[[#Headers],[Top Longitudinal Weld Length]])-1,FALSE)),"",(VLOOKUP(BR86,Reinforcements[],COLUMN(Reinforcements[[#Headers],[Top Longitudinal Weld Length]])-1,FALSE)))</f>
        <v>#N/A</v>
      </c>
      <c r="DA86" s="248" t="str">
        <f>IFERROR(VLOOKUP(BR86,Reinforcements[],COLUMN(Reinforcements[[#Headers],[Top Connected to Flange/Base Plate?]])-1,FALSE),"")</f>
        <v/>
      </c>
      <c r="DB86" s="248" t="e">
        <f>IF(Rev="F",VLOOKUP(BR86,Reinforcements[],COLUMN(Reinforcements[[#Headers],[Rev. F Top Transverse Weld Strength]])-1,FALSE),VLOOKUP(BR86,Reinforcements[],COLUMN(Reinforcements[[#Headers],[Rev. G Top Transverse Weld Strength]])-1,FALSE))</f>
        <v>#N/A</v>
      </c>
      <c r="DC86" s="248"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248" t="str">
        <f>IF(DA86&lt;&gt;"Yes","",(VLOOKUP(BR86,Reinforcements[],COLUMN(Reinforcements[[#Headers],[Top Transverse Weld Groove Depth (in)]])-1,FALSE)+VLOOKUP(BR86,Reinforcements[],COLUMN(Reinforcements[[#Headers],[Top Transverse Weld Fillet Size (in)]])-1,FALSE))*CX86*IF(Rev="F",0.6,φ_t_y)*$D$14)</f>
        <v/>
      </c>
      <c r="DE86" s="248" t="e">
        <f>IF(DA86="Yes","",VLOOKUP(BR86,Reinforcements[],COLUMN(Reinforcements[[#Headers],[Top Transverse Weld Fillet Size (in)]])-1,FALSE)*CX86*MIN(IF(Rev="F",0.4,φ_shear_yield*0.6)*$D$6,IF(Rev="F",0.3,φ_shear_rupture*0.6)*$D$7))</f>
        <v>#N/A</v>
      </c>
      <c r="DF86" s="248" t="e">
        <f>IF(Rev="F",VLOOKUP(BR86,Reinforcements[],COLUMN(Reinforcements[[#Headers],[Rev. F Top Longitudinal Weld Strength]])-1,FALSE),VLOOKUP(BR86,Reinforcements[],COLUMN(Reinforcements[[#Headers],[Rev. G Top Longitudinal Weld Strength]])-1,FALSE))</f>
        <v>#N/A</v>
      </c>
      <c r="DG86" s="248" t="e">
        <f>2*VLOOKUP(BR86,Reinforcements[],COLUMN(Reinforcements[[#Headers],[Top Longitudinal Weld Fillet Size (in)]])-1,FALSE)*CZ86*MIN(IF(Rev="F",0.4,φ_shear_yield*0.6)*CG86,IF(Rev="F",0.3,φ_shear_rupture*0.6)*CH86)</f>
        <v>#N/A</v>
      </c>
      <c r="DH86" s="248" t="e">
        <f>2*VLOOKUP(BR86,Reinforcements[],COLUMN(Reinforcements[[#Headers],[Top Longitudinal Weld Fillet Size (in)]])-1,FALSE)*CZ86*MIN(IF(Rev="F",0.4,φ_shear_yield*0.6)*$D$6,IF(Rev="F",0.3,φ_shear_rupture*0.6)*$D$7)</f>
        <v>#N/A</v>
      </c>
      <c r="DI86" s="49" t="e">
        <f>IF(BS86="channel",VLOOKUP(Calculations!BR86,Reinforcements[],COLUMN(Reinforcements[[#Headers],['[Channel']Web Thickness (in)]])-1,FALSE),"")</f>
        <v>#N/A</v>
      </c>
      <c r="DJ86" s="49" t="b">
        <f t="shared" si="126"/>
        <v>0</v>
      </c>
      <c r="DK86" s="49" t="e">
        <f>IF(BS86="channel",Calculations!BU86-DI86,"")</f>
        <v>#N/A</v>
      </c>
      <c r="DL86" s="49" t="e">
        <f>IF(BS86="channel",(Calculations!BY86-Calculations!BT86*DI86)/(2*DK86))</f>
        <v>#N/A</v>
      </c>
      <c r="DM86" s="49" t="e">
        <f>IF(BS86="channel",(Calculations!BT86*(DI86^2)/2+2*DK86*DL86*(DI86+DK86/2))/Calculations!BY86,"")</f>
        <v>#N/A</v>
      </c>
    </row>
    <row r="87" spans="2:117" ht="15" x14ac:dyDescent="0.25">
      <c r="B87" s="49" t="str">
        <f t="shared" si="70"/>
        <v/>
      </c>
      <c r="C87" s="201">
        <v>9</v>
      </c>
      <c r="D87" s="255" t="str">
        <f>IF(BQ87="","",IF($D$8=0,IF(OR(VLOOKUP(BQ87,Input!$B$21:$AL$50,19+C87,FALSE)+$D$5=0,VLOOKUP(BQ87,Input!$B$21:$AL$50,19+C87,FALSE)+$D$5=180),VLOOKUP(BQ87,Input!$B$21:$AL$50,19+C87,FALSE)+$D$5+0.0001,VLOOKUP(BQ87,Input!$B$21:$AL$50,19+C87,FALSE)+$D$5),IF(VLOOKUP(BQ87,Input!$B$21:$AL$50,19+C87,FALSE)="c",VLOOKUP($C87,$C$40:$E$57,2,FALSE)+180/$D$8,VLOOKUP($C87,$C$40:$E$57,2,FALSE))))</f>
        <v/>
      </c>
      <c r="E87" s="17" t="str">
        <f t="shared" si="110"/>
        <v/>
      </c>
      <c r="F87" s="258" t="str">
        <f>IF(BR87="","",VLOOKUP(BR87,Reinforcements[],COLUMN(Reinforcements[[#Headers],[Gross Area (in2)]])-1,FALSE))</f>
        <v/>
      </c>
      <c r="G87" s="256" t="e">
        <f>(IF(VLOOKUP(BQ87,Input!$B$21:$AL$50,19+C87,FALSE)="c",$D$20/COS(RADIANS(180/$D$8)),$D$20)+CA87)*SIN(RADIANS(D87))-IF(AND(ISNUMBER(VLOOKUP(BQ87,Input!$B$21:$AL$50,19+C87,FALSE)),$D$8&lt;&gt;0),VLOOKUP(BQ87,Input!$B$21:$AL$50,19+C87,FALSE)*COS(RADIANS(D87)),0)</f>
        <v>#N/A</v>
      </c>
      <c r="H87" s="251" t="str">
        <f t="shared" si="111"/>
        <v/>
      </c>
      <c r="I87" s="251" t="e">
        <f t="shared" si="86"/>
        <v>#N/A</v>
      </c>
      <c r="J87" s="251" t="e">
        <f t="shared" si="112"/>
        <v>#N/A</v>
      </c>
      <c r="K87" s="251" t="e">
        <f t="shared" si="113"/>
        <v>#N/A</v>
      </c>
      <c r="L87" s="251" t="e">
        <f t="shared" si="114"/>
        <v>#N/A</v>
      </c>
      <c r="M87" s="252" t="str">
        <f t="shared" si="115"/>
        <v/>
      </c>
      <c r="N87" s="250" t="str">
        <f>IFERROR((IF(VLOOKUP(BQ87,Input!$B$21:$AL$50,19+C87,FALSE)="c",$D$20/COS(RADIANS(180/$D$8)),$D$20)+CA87)*SIN(RADIANS(D87))-IF(AND(ISNUMBER(VLOOKUP(BQ87,Input!$B$21:$AL$50,19+C87,FALSE)),$D$8&lt;&gt;0),VLOOKUP(BQ87,Input!$B$21:$AL$50,19+C87,FALSE)*COS(RADIANS(D87)),0)-$D$35,"")</f>
        <v/>
      </c>
      <c r="O87" s="251" t="str">
        <f t="shared" si="87"/>
        <v/>
      </c>
      <c r="P87" s="251" t="str">
        <f t="shared" si="88"/>
        <v/>
      </c>
      <c r="Q87" s="251" t="str">
        <f t="shared" si="89"/>
        <v/>
      </c>
      <c r="R87" s="252" t="str">
        <f t="shared" si="90"/>
        <v/>
      </c>
      <c r="S87" s="251" t="str">
        <f t="shared" si="91"/>
        <v/>
      </c>
      <c r="T87" s="251" t="str">
        <f t="shared" si="92"/>
        <v/>
      </c>
      <c r="U87" s="251" t="str">
        <f t="shared" si="93"/>
        <v/>
      </c>
      <c r="V87" s="252" t="str">
        <f t="shared" si="94"/>
        <v/>
      </c>
      <c r="W87" s="323"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324"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324"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324" t="str">
        <f>IFERROR(IF('Macro References'!$A$9,IF(AND(CJ87,CL87="Welded"),MIN(CQ87:CT87),IF(AND(CK87,CL87="Welded"),MIN(DB87:DE87),"")),""),"")</f>
        <v/>
      </c>
      <c r="AA87" s="255" t="str">
        <f>IFERROR(IF('Macro References'!$A$9,IF(AND(CJ87,CL87="Welded"),MIN(CU87:CW87),IF(AND(CK87,CL87="Welded"),MIN(DF87:DH87),"")),""),"")</f>
        <v/>
      </c>
      <c r="AB87" s="255" t="str">
        <f>IFERROR(IF('Macro References'!$A$9,IF(AND(CJ87,CL87="Welded",CN87="Fillet",CU87&gt;0),TRUE,IF(AND(CK87,CL87="Welded",CY87="Fillet",DF87&gt;0),TRUE,"")),""),"")</f>
        <v/>
      </c>
      <c r="AC87" s="255"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255"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32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248"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32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274" t="str">
        <f t="shared" si="95"/>
        <v/>
      </c>
      <c r="AI87" s="255" t="str">
        <f t="shared" si="96"/>
        <v/>
      </c>
      <c r="AJ87" s="255" t="str">
        <f t="shared" si="97"/>
        <v/>
      </c>
      <c r="AK87" s="255" t="str">
        <f t="shared" si="85"/>
        <v/>
      </c>
      <c r="AL87" s="248" t="str">
        <f t="shared" si="78"/>
        <v/>
      </c>
      <c r="AM87" s="255" t="str">
        <f>""</f>
        <v/>
      </c>
      <c r="AN87" s="255" t="str">
        <f t="shared" si="98"/>
        <v/>
      </c>
      <c r="AO87" s="248" t="str">
        <f t="shared" si="99"/>
        <v/>
      </c>
      <c r="AP87" s="275" t="str">
        <f t="shared" si="100"/>
        <v/>
      </c>
      <c r="AQ87" s="276" t="str">
        <f t="shared" si="53"/>
        <v/>
      </c>
      <c r="AR87" s="255" t="str">
        <f>IF(BR87="","",VLOOKUP(VLOOKUP(BR87,Reinforcements[],COLUMN(Reinforcements[[#Headers],[Material]])-1,FALSE),Materials[],2,FALSE)/$D$28)</f>
        <v/>
      </c>
      <c r="AS87" s="248" t="str">
        <f t="shared" si="54"/>
        <v/>
      </c>
      <c r="AT87" s="327" t="str">
        <f t="shared" si="101"/>
        <v/>
      </c>
      <c r="AU87" s="277">
        <f t="shared" si="116"/>
        <v>0</v>
      </c>
      <c r="AV87" s="278">
        <f t="shared" si="117"/>
        <v>0</v>
      </c>
      <c r="AW87" s="278" t="e">
        <f t="shared" si="102"/>
        <v>#N/A</v>
      </c>
      <c r="AX87" s="278" t="e">
        <f t="shared" si="103"/>
        <v>#N/A</v>
      </c>
      <c r="AY87" s="278" t="str">
        <f t="shared" si="104"/>
        <v/>
      </c>
      <c r="AZ87" s="278" t="e">
        <f t="shared" si="105"/>
        <v>#VALUE!</v>
      </c>
      <c r="BA87" s="295" t="str">
        <f t="shared" si="118"/>
        <v/>
      </c>
      <c r="BB87" s="297" t="str">
        <f t="shared" si="119"/>
        <v/>
      </c>
      <c r="BC87" s="298" t="str">
        <f t="shared" si="120"/>
        <v/>
      </c>
      <c r="BD87" s="298" t="str">
        <f t="shared" si="106"/>
        <v/>
      </c>
      <c r="BE87" s="295" t="str">
        <f t="shared" si="121"/>
        <v/>
      </c>
      <c r="BF87" s="299" t="e">
        <f t="shared" si="122"/>
        <v>#DIV/0!</v>
      </c>
      <c r="BG87" s="300" t="str">
        <f t="shared" si="107"/>
        <v/>
      </c>
      <c r="BH87" s="300" t="str">
        <f t="shared" si="108"/>
        <v/>
      </c>
      <c r="BI87" s="295" t="e">
        <f t="shared" si="123"/>
        <v>#DIV/0!</v>
      </c>
      <c r="BJ87" s="299" t="str">
        <f t="shared" si="124"/>
        <v/>
      </c>
      <c r="BK87" s="278" t="e">
        <f t="shared" si="125"/>
        <v>#DIV/0!</v>
      </c>
      <c r="BL87" s="49" t="str">
        <f t="shared" si="68"/>
        <v/>
      </c>
      <c r="BP87" s="25" t="e">
        <f t="shared" si="109"/>
        <v>#DIV/0!</v>
      </c>
      <c r="BQ87" s="303"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303" t="str">
        <f>IF(BQ87="","",VLOOKUP(BQ87,Input!$B$21:$Q$50,13,FALSE))</f>
        <v/>
      </c>
      <c r="BS87" s="248" t="e">
        <f>VLOOKUP(BR87,Reinforcements[],COLUMN(Reinforcements[[#Headers],[Type]])-1,FALSE)</f>
        <v>#N/A</v>
      </c>
      <c r="BT87" s="248" t="e">
        <f>IF(BS87="solid round",VLOOKUP(BR87,Reinforcements[],COLUMN(Reinforcements[[#Headers],[Diameter (in)]])-1,FALSE),VLOOKUP(BR87,Reinforcements[],COLUMN(Reinforcements[[#Headers],[B (in)]])-1,FALSE))</f>
        <v>#N/A</v>
      </c>
      <c r="BU87" s="248" t="e">
        <f>IF(BS87="solid round",VLOOKUP(BR87,Reinforcements[],COLUMN(Reinforcements[[#Headers],[Diameter (in)]])-1,FALSE),VLOOKUP(BR87,Reinforcements[],COLUMN(Reinforcements[[#Headers],[H (in)]])-1,FALSE))</f>
        <v>#N/A</v>
      </c>
      <c r="BV87" s="278" t="e">
        <f>IFERROR((IF(VLOOKUP(BQ87,Input!$B$21:$AL$50,19+C87,FALSE)="c",$D$20/COS(RADIANS(180/$D$8)),$D$20)+BU87/2)*SIN(RADIANS(D87))-IF(ISNUMBER(VLOOKUP(BQ87,Input!$B$21:$AL$50,19+C87,FALSE)),VLOOKUP(BQ87,Input!$B$21:$AL$50,19+C87,FALSE)*COS(RADIANS(D87)),0)-$D$35,"")*0+N87*1</f>
        <v>#VALUE!</v>
      </c>
      <c r="BW87" s="248" t="e">
        <f>VLOOKUP(BR87,Reinforcements[],COLUMN(Reinforcements[[#Headers],[Effective B (in)]])-1,FALSE)</f>
        <v>#N/A</v>
      </c>
      <c r="BX87" s="248" t="e">
        <f>VLOOKUP(BR87,Reinforcements[],COLUMN(Reinforcements[[#Headers],[Effective H (in)]])-1,FALSE)</f>
        <v>#N/A</v>
      </c>
      <c r="BY87" s="248" t="e">
        <f>VLOOKUP(BR87,Reinforcements[],COLUMN(Reinforcements[[#Headers],[Gross Area (in2)]])-1,FALSE)</f>
        <v>#N/A</v>
      </c>
      <c r="BZ87" s="255" t="s">
        <v>697</v>
      </c>
      <c r="CA87" s="248" t="e">
        <f>VLOOKUP(BR87,Reinforcements[],COLUMN(Reinforcements[[#Headers],[Pole Face to Centroid (in)]])-1,FALSE)</f>
        <v>#N/A</v>
      </c>
      <c r="CB87" s="248" t="e">
        <f>VLOOKUP(BR87,Reinforcements[],COLUMN(Reinforcements[[#Headers],[Ix]])-1,FALSE)</f>
        <v>#N/A</v>
      </c>
      <c r="CC87" s="248" t="e">
        <f>VLOOKUP(BR87,Reinforcements[],COLUMN(Reinforcements[[#Headers],[Iy]])-1,FALSE)</f>
        <v>#N/A</v>
      </c>
      <c r="CD87" s="248" t="e">
        <f>VLOOKUP(BR87,Reinforcements[],COLUMN(Reinforcements[[#Headers],[Lu (in)]])-1,FALSE)</f>
        <v>#N/A</v>
      </c>
      <c r="CE87" s="255" t="s">
        <v>697</v>
      </c>
      <c r="CF87" s="255" t="s">
        <v>697</v>
      </c>
      <c r="CG87" s="248" t="e">
        <f>VLOOKUP(VLOOKUP(BR87,Reinforcements[],COLUMN(Reinforcements[[#Headers],[Material]])-1,FALSE),Materials[],2,FALSE)</f>
        <v>#N/A</v>
      </c>
      <c r="CH87" s="248" t="e">
        <f>VLOOKUP(VLOOKUP(BR87,Reinforcements[],COLUMN(Reinforcements[[#Headers],[Material]])-1,FALSE),Materials[],3,FALSE)</f>
        <v>#N/A</v>
      </c>
      <c r="CI87" s="255" t="e">
        <f>VLOOKUP(BR87,Reinforcements[],COLUMN(Reinforcements[[#Headers],[Tension Only?]])-1,FALSE)</f>
        <v>#N/A</v>
      </c>
      <c r="CJ87" s="17" t="str">
        <f>IF(BQ87="","",AND(INDEX(Results!$G$5:$G$104,MATCH(VLOOKUP($BQ87,Input!$B$21:$J$50,2,FALSE)-0.001,Results!$G$5:$G$104,-1))=$D$4))</f>
        <v/>
      </c>
      <c r="CK87" s="17" t="str">
        <f>IF(BQ87="","",AND(INDEX('Macro References'!$BB$2:$BB$101,MATCH(VLOOKUP($BQ87,Input!$B$21:$J$50,6,FALSE)-0.001,'Macro References'!$BB$2:$BB$101,1))=$D$4))</f>
        <v/>
      </c>
      <c r="CL87" s="17" t="e">
        <f>IF(CJ87,VLOOKUP(BR87,Reinforcements[],COLUMN(Reinforcements[[#Headers],[Bottom End Connection Type]])-1,FALSE),IF(CK87,VLOOKUP(BR87,Reinforcements[],COLUMN(Reinforcements[[#Headers],[Top End Connection Type]])-1,FALSE),""))</f>
        <v>#VALUE!</v>
      </c>
      <c r="CM87" s="17" t="e">
        <f>IF(ISBLANK(VLOOKUP(BR87,Reinforcements[],COLUMN(Reinforcements[[#Headers],[Bottom Transverse Weld Length]])-1,FALSE)),"",(VLOOKUP(BR87,Reinforcements[],COLUMN(Reinforcements[[#Headers],[Bottom Transverse Weld Length]])-1,FALSE)))</f>
        <v>#N/A</v>
      </c>
      <c r="CN87" s="17" t="e">
        <f>IF(ISBLANK(VLOOKUP(BR87,Reinforcements[],COLUMN(Reinforcements[[#Headers],[Bottom Transverse (Horizontal) Weld]])-1,FALSE)),"",(VLOOKUP(BR87,Reinforcements[],COLUMN(Reinforcements[[#Headers],[Bottom Transverse (Horizontal) Weld]])-1,FALSE)))</f>
        <v>#N/A</v>
      </c>
      <c r="CO87" s="17" t="e">
        <f>IF(ISBLANK(VLOOKUP(BR87,Reinforcements[],COLUMN(Reinforcements[[#Headers],[Bottom Longitudinal Weld Length]])-1,FALSE)),"",(VLOOKUP(BR87,Reinforcements[],COLUMN(Reinforcements[[#Headers],[Bottom Longitudinal Weld Length]])-1,FALSE)))</f>
        <v>#N/A</v>
      </c>
      <c r="CP87" s="17" t="str">
        <f>IFERROR(VLOOKUP(BR87,Reinforcements[],COLUMN(Reinforcements[[#Headers],[Bottom Connected to Flange/Base Plate?]])-1,FALSE),"")</f>
        <v/>
      </c>
      <c r="CQ87" s="248" t="e">
        <f>IF(Rev="F",VLOOKUP(BR87,Reinforcements[],COLUMN(Reinforcements[[#Headers],[Rev. F Bottom Transverse Weld Strength]])-1,FALSE),VLOOKUP(BR87,Reinforcements[],COLUMN(Reinforcements[[#Headers],[Rev. G Bottom Transverse Weld Strength]])-1,FALSE))</f>
        <v>#N/A</v>
      </c>
      <c r="CR87" s="248"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248" t="str">
        <f>IF(CP87&lt;&gt;"Yes","",(VLOOKUP(BR87,Reinforcements[],COLUMN(Reinforcements[[#Headers],[Bottom Transverse Weld Groove Depth (in)]])-1,FALSE)+VLOOKUP(BR87,Reinforcements[],COLUMN(Reinforcements[[#Headers],[Bottom Transverse Weld Fillet Size (in)]])-1,FALSE))*CM87*IF(Rev="F",0.6,φ_t_y)*$D$14)</f>
        <v/>
      </c>
      <c r="CT87" s="248" t="e">
        <f>IF(CP87="Yes","",VLOOKUP(BR87,Reinforcements[],COLUMN(Reinforcements[[#Headers],[Bottom Transverse Weld Fillet Size (in)]])-1,FALSE)*CM87*MIN(IF(Rev="F",0.4,φ_shear_yield*0.6)*$D$6,IF(Rev="F",0.3,φ_shear_rupture*0.6)*$D$7))</f>
        <v>#N/A</v>
      </c>
      <c r="CU87" s="248" t="e">
        <f>IF(Rev="F",VLOOKUP(BR87,Reinforcements[],COLUMN(Reinforcements[[#Headers],[Rev. F Bottom Longitudinal Weld Strength]])-1,FALSE),VLOOKUP(BR87,Reinforcements[],COLUMN(Reinforcements[[#Headers],[Rev. G Bottom Longitudinal Weld Strength]])-1,FALSE))</f>
        <v>#N/A</v>
      </c>
      <c r="CV87" s="248" t="e">
        <f>2*VLOOKUP(BR87,Reinforcements[],COLUMN(Reinforcements[[#Headers],[Bottom Longitudinal Weld Fillet Size (in)]])-1,FALSE)*CO87*MIN(IF(Rev="F",0.4,φ_shear_yield*0.6)*CG87,IF(Rev="F",0.3,φ_shear_rupture*0.6)*CH87)</f>
        <v>#N/A</v>
      </c>
      <c r="CW87" s="248" t="e">
        <f>2*VLOOKUP(BR87,Reinforcements[],COLUMN(Reinforcements[[#Headers],[Bottom Longitudinal Weld Fillet Size (in)]])-1,FALSE)*CO87*MIN(IF(Rev="F",0.4,φ_shear_yield*0.6)*$D$6,IF(Rev="F",0.3,φ_shear_rupture*0.6)*$D$7)</f>
        <v>#N/A</v>
      </c>
      <c r="CX87" s="248" t="e">
        <f>IF(ISBLANK(VLOOKUP(BR87,Reinforcements[],COLUMN(Reinforcements[[#Headers],[Top Transverse Weld Length]])-1,FALSE)),"",(VLOOKUP(BR87,Reinforcements[],COLUMN(Reinforcements[[#Headers],[Top Transverse Weld Length]])-1,FALSE)))</f>
        <v>#N/A</v>
      </c>
      <c r="CY87" s="248" t="e">
        <f>IF(ISBLANK(VLOOKUP(BR87,Reinforcements[],COLUMN(Reinforcements[[#Headers],[Top Transverse (Horizontal) Weld]])-1,FALSE)),"",(VLOOKUP(BR87,Reinforcements[],COLUMN(Reinforcements[[#Headers],[Top Transverse (Horizontal) Weld]])-1,FALSE)))</f>
        <v>#N/A</v>
      </c>
      <c r="CZ87" s="248" t="e">
        <f>IF(ISBLANK(VLOOKUP(BR87,Reinforcements[],COLUMN(Reinforcements[[#Headers],[Top Longitudinal Weld Length]])-1,FALSE)),"",(VLOOKUP(BR87,Reinforcements[],COLUMN(Reinforcements[[#Headers],[Top Longitudinal Weld Length]])-1,FALSE)))</f>
        <v>#N/A</v>
      </c>
      <c r="DA87" s="248" t="str">
        <f>IFERROR(VLOOKUP(BR87,Reinforcements[],COLUMN(Reinforcements[[#Headers],[Top Connected to Flange/Base Plate?]])-1,FALSE),"")</f>
        <v/>
      </c>
      <c r="DB87" s="248" t="e">
        <f>IF(Rev="F",VLOOKUP(BR87,Reinforcements[],COLUMN(Reinforcements[[#Headers],[Rev. F Top Transverse Weld Strength]])-1,FALSE),VLOOKUP(BR87,Reinforcements[],COLUMN(Reinforcements[[#Headers],[Rev. G Top Transverse Weld Strength]])-1,FALSE))</f>
        <v>#N/A</v>
      </c>
      <c r="DC87" s="248"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248" t="str">
        <f>IF(DA87&lt;&gt;"Yes","",(VLOOKUP(BR87,Reinforcements[],COLUMN(Reinforcements[[#Headers],[Top Transverse Weld Groove Depth (in)]])-1,FALSE)+VLOOKUP(BR87,Reinforcements[],COLUMN(Reinforcements[[#Headers],[Top Transverse Weld Fillet Size (in)]])-1,FALSE))*CX87*IF(Rev="F",0.6,φ_t_y)*$D$14)</f>
        <v/>
      </c>
      <c r="DE87" s="248" t="e">
        <f>IF(DA87="Yes","",VLOOKUP(BR87,Reinforcements[],COLUMN(Reinforcements[[#Headers],[Top Transverse Weld Fillet Size (in)]])-1,FALSE)*CX87*MIN(IF(Rev="F",0.4,φ_shear_yield*0.6)*$D$6,IF(Rev="F",0.3,φ_shear_rupture*0.6)*$D$7))</f>
        <v>#N/A</v>
      </c>
      <c r="DF87" s="248" t="e">
        <f>IF(Rev="F",VLOOKUP(BR87,Reinforcements[],COLUMN(Reinforcements[[#Headers],[Rev. F Top Longitudinal Weld Strength]])-1,FALSE),VLOOKUP(BR87,Reinforcements[],COLUMN(Reinforcements[[#Headers],[Rev. G Top Longitudinal Weld Strength]])-1,FALSE))</f>
        <v>#N/A</v>
      </c>
      <c r="DG87" s="248" t="e">
        <f>2*VLOOKUP(BR87,Reinforcements[],COLUMN(Reinforcements[[#Headers],[Top Longitudinal Weld Fillet Size (in)]])-1,FALSE)*CZ87*MIN(IF(Rev="F",0.4,φ_shear_yield*0.6)*CG87,IF(Rev="F",0.3,φ_shear_rupture*0.6)*CH87)</f>
        <v>#N/A</v>
      </c>
      <c r="DH87" s="248" t="e">
        <f>2*VLOOKUP(BR87,Reinforcements[],COLUMN(Reinforcements[[#Headers],[Top Longitudinal Weld Fillet Size (in)]])-1,FALSE)*CZ87*MIN(IF(Rev="F",0.4,φ_shear_yield*0.6)*$D$6,IF(Rev="F",0.3,φ_shear_rupture*0.6)*$D$7)</f>
        <v>#N/A</v>
      </c>
      <c r="DI87" s="49" t="e">
        <f>IF(BS87="channel",VLOOKUP(Calculations!BR87,Reinforcements[],COLUMN(Reinforcements[[#Headers],['[Channel']Web Thickness (in)]])-1,FALSE),"")</f>
        <v>#N/A</v>
      </c>
      <c r="DJ87" s="49" t="b">
        <f t="shared" si="126"/>
        <v>0</v>
      </c>
      <c r="DK87" s="49" t="e">
        <f>IF(BS87="channel",Calculations!BU87-DI87,"")</f>
        <v>#N/A</v>
      </c>
      <c r="DL87" s="49" t="e">
        <f>IF(BS87="channel",(Calculations!BY87-Calculations!BT87*DI87)/(2*DK87))</f>
        <v>#N/A</v>
      </c>
      <c r="DM87" s="49" t="e">
        <f>IF(BS87="channel",(Calculations!BT87*(DI87^2)/2+2*DK87*DL87*(DI87+DK87/2))/Calculations!BY87,"")</f>
        <v>#N/A</v>
      </c>
    </row>
    <row r="88" spans="2:117" ht="15" x14ac:dyDescent="0.25">
      <c r="B88" s="49" t="str">
        <f t="shared" si="70"/>
        <v/>
      </c>
      <c r="C88" s="201">
        <v>10</v>
      </c>
      <c r="D88" s="255" t="str">
        <f>IF(BQ88="","",IF($D$8=0,IF(OR(VLOOKUP(BQ88,Input!$B$21:$AL$50,19+C88,FALSE)+$D$5=0,VLOOKUP(BQ88,Input!$B$21:$AL$50,19+C88,FALSE)+$D$5=180),VLOOKUP(BQ88,Input!$B$21:$AL$50,19+C88,FALSE)+$D$5+0.0001,VLOOKUP(BQ88,Input!$B$21:$AL$50,19+C88,FALSE)+$D$5),IF(VLOOKUP(BQ88,Input!$B$21:$AL$50,19+C88,FALSE)="c",VLOOKUP($C88,$C$40:$E$57,2,FALSE)+180/$D$8,VLOOKUP($C88,$C$40:$E$57,2,FALSE))))</f>
        <v/>
      </c>
      <c r="E88" s="17" t="str">
        <f t="shared" si="110"/>
        <v/>
      </c>
      <c r="F88" s="258" t="str">
        <f>IF(BR88="","",VLOOKUP(BR88,Reinforcements[],COLUMN(Reinforcements[[#Headers],[Gross Area (in2)]])-1,FALSE))</f>
        <v/>
      </c>
      <c r="G88" s="256" t="e">
        <f>(IF(VLOOKUP(BQ88,Input!$B$21:$AL$50,19+C88,FALSE)="c",$D$20/COS(RADIANS(180/$D$8)),$D$20)+CA88)*SIN(RADIANS(D88))-IF(AND(ISNUMBER(VLOOKUP(BQ88,Input!$B$21:$AL$50,19+C88,FALSE)),$D$8&lt;&gt;0),VLOOKUP(BQ88,Input!$B$21:$AL$50,19+C88,FALSE)*COS(RADIANS(D88)),0)</f>
        <v>#N/A</v>
      </c>
      <c r="H88" s="251" t="str">
        <f t="shared" si="111"/>
        <v/>
      </c>
      <c r="I88" s="251" t="e">
        <f t="shared" si="86"/>
        <v>#N/A</v>
      </c>
      <c r="J88" s="251" t="e">
        <f t="shared" si="112"/>
        <v>#N/A</v>
      </c>
      <c r="K88" s="251" t="e">
        <f t="shared" si="113"/>
        <v>#N/A</v>
      </c>
      <c r="L88" s="251" t="e">
        <f t="shared" si="114"/>
        <v>#N/A</v>
      </c>
      <c r="M88" s="252" t="str">
        <f>IFERROR((L88+F88*I88^2)*IF(CI88="Yes",BP88,1),"")</f>
        <v/>
      </c>
      <c r="N88" s="250" t="str">
        <f>IFERROR((IF(VLOOKUP(BQ88,Input!$B$21:$AL$50,19+C88,FALSE)="c",$D$20/COS(RADIANS(180/$D$8)),$D$20)+CA88)*SIN(RADIANS(D88))-IF(AND(ISNUMBER(VLOOKUP(BQ88,Input!$B$21:$AL$50,19+C88,FALSE)),$D$8&lt;&gt;0),VLOOKUP(BQ88,Input!$B$21:$AL$50,19+C88,FALSE)*COS(RADIANS(D88)),0)-$D$35,"")</f>
        <v/>
      </c>
      <c r="O88" s="251" t="str">
        <f t="shared" si="87"/>
        <v/>
      </c>
      <c r="P88" s="251" t="str">
        <f t="shared" si="88"/>
        <v/>
      </c>
      <c r="Q88" s="251" t="str">
        <f t="shared" si="89"/>
        <v/>
      </c>
      <c r="R88" s="252" t="str">
        <f t="shared" si="90"/>
        <v/>
      </c>
      <c r="S88" s="251" t="str">
        <f t="shared" si="91"/>
        <v/>
      </c>
      <c r="T88" s="251" t="str">
        <f t="shared" si="92"/>
        <v/>
      </c>
      <c r="U88" s="251" t="str">
        <f t="shared" si="93"/>
        <v/>
      </c>
      <c r="V88" s="252" t="str">
        <f t="shared" si="94"/>
        <v/>
      </c>
      <c r="W88" s="323"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324"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324"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324" t="str">
        <f>IFERROR(IF('Macro References'!$A$9,IF(AND(CJ88,CL88="Welded"),MIN(CQ88:CT88),IF(AND(CK88,CL88="Welded"),MIN(DB88:DE88),"")),""),"")</f>
        <v/>
      </c>
      <c r="AA88" s="255" t="str">
        <f>IFERROR(IF('Macro References'!$A$9,IF(AND(CJ88,CL88="Welded"),MIN(CU88:CW88),IF(AND(CK88,CL88="Welded"),MIN(DF88:DH88),"")),""),"")</f>
        <v/>
      </c>
      <c r="AB88" s="255" t="str">
        <f>IFERROR(IF('Macro References'!$A$9,IF(AND(CJ88,CL88="Welded",CN88="Fillet",CU88&gt;0),TRUE,IF(AND(CK88,CL88="Welded",CY88="Fillet",DF88&gt;0),TRUE,"")),""),"")</f>
        <v/>
      </c>
      <c r="AC88" s="255"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255"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32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248"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32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274" t="str">
        <f t="shared" si="95"/>
        <v/>
      </c>
      <c r="AI88" s="255" t="str">
        <f t="shared" si="96"/>
        <v/>
      </c>
      <c r="AJ88" s="255" t="str">
        <f t="shared" si="97"/>
        <v/>
      </c>
      <c r="AK88" s="255" t="str">
        <f t="shared" si="85"/>
        <v/>
      </c>
      <c r="AL88" s="248" t="str">
        <f t="shared" si="78"/>
        <v/>
      </c>
      <c r="AM88" s="255" t="str">
        <f>""</f>
        <v/>
      </c>
      <c r="AN88" s="255" t="str">
        <f t="shared" si="98"/>
        <v/>
      </c>
      <c r="AO88" s="248" t="str">
        <f t="shared" si="99"/>
        <v/>
      </c>
      <c r="AP88" s="275" t="str">
        <f t="shared" si="100"/>
        <v/>
      </c>
      <c r="AQ88" s="276" t="str">
        <f t="shared" si="53"/>
        <v/>
      </c>
      <c r="AR88" s="255" t="str">
        <f>IF(BR88="","",VLOOKUP(VLOOKUP(BR88,Reinforcements[],COLUMN(Reinforcements[[#Headers],[Material]])-1,FALSE),Materials[],2,FALSE)/$D$28)</f>
        <v/>
      </c>
      <c r="AS88" s="248" t="str">
        <f t="shared" si="54"/>
        <v/>
      </c>
      <c r="AT88" s="327" t="str">
        <f t="shared" si="101"/>
        <v/>
      </c>
      <c r="AU88" s="277">
        <f t="shared" si="116"/>
        <v>0</v>
      </c>
      <c r="AV88" s="278">
        <f t="shared" si="117"/>
        <v>0</v>
      </c>
      <c r="AW88" s="278" t="e">
        <f t="shared" si="102"/>
        <v>#N/A</v>
      </c>
      <c r="AX88" s="278" t="e">
        <f t="shared" si="103"/>
        <v>#N/A</v>
      </c>
      <c r="AY88" s="278" t="str">
        <f t="shared" si="104"/>
        <v/>
      </c>
      <c r="AZ88" s="278" t="e">
        <f t="shared" si="105"/>
        <v>#VALUE!</v>
      </c>
      <c r="BA88" s="295" t="str">
        <f t="shared" si="118"/>
        <v/>
      </c>
      <c r="BB88" s="297" t="str">
        <f t="shared" si="119"/>
        <v/>
      </c>
      <c r="BC88" s="298" t="str">
        <f t="shared" si="120"/>
        <v/>
      </c>
      <c r="BD88" s="298" t="str">
        <f t="shared" si="106"/>
        <v/>
      </c>
      <c r="BE88" s="295" t="str">
        <f t="shared" si="121"/>
        <v/>
      </c>
      <c r="BF88" s="299" t="e">
        <f t="shared" si="122"/>
        <v>#DIV/0!</v>
      </c>
      <c r="BG88" s="300" t="str">
        <f t="shared" si="107"/>
        <v/>
      </c>
      <c r="BH88" s="300" t="str">
        <f t="shared" si="108"/>
        <v/>
      </c>
      <c r="BI88" s="295" t="e">
        <f t="shared" si="123"/>
        <v>#DIV/0!</v>
      </c>
      <c r="BJ88" s="299" t="str">
        <f t="shared" si="124"/>
        <v/>
      </c>
      <c r="BK88" s="278" t="e">
        <f t="shared" si="125"/>
        <v>#DIV/0!</v>
      </c>
      <c r="BL88" s="49" t="str">
        <f t="shared" si="68"/>
        <v/>
      </c>
      <c r="BP88" s="25" t="e">
        <f t="shared" si="109"/>
        <v>#DIV/0!</v>
      </c>
      <c r="BQ88" s="303"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303" t="str">
        <f>IF(BQ88="","",VLOOKUP(BQ88,Input!$B$21:$Q$50,13,FALSE))</f>
        <v/>
      </c>
      <c r="BS88" s="248" t="e">
        <f>VLOOKUP(BR88,Reinforcements[],COLUMN(Reinforcements[[#Headers],[Type]])-1,FALSE)</f>
        <v>#N/A</v>
      </c>
      <c r="BT88" s="248" t="e">
        <f>IF(BS88="solid round",VLOOKUP(BR88,Reinforcements[],COLUMN(Reinforcements[[#Headers],[Diameter (in)]])-1,FALSE),VLOOKUP(BR88,Reinforcements[],COLUMN(Reinforcements[[#Headers],[B (in)]])-1,FALSE))</f>
        <v>#N/A</v>
      </c>
      <c r="BU88" s="248" t="e">
        <f>IF(BS88="solid round",VLOOKUP(BR88,Reinforcements[],COLUMN(Reinforcements[[#Headers],[Diameter (in)]])-1,FALSE),VLOOKUP(BR88,Reinforcements[],COLUMN(Reinforcements[[#Headers],[H (in)]])-1,FALSE))</f>
        <v>#N/A</v>
      </c>
      <c r="BV88" s="278" t="e">
        <f>IFERROR((IF(VLOOKUP(BQ88,Input!$B$21:$AL$50,19+C88,FALSE)="c",$D$20/COS(RADIANS(180/$D$8)),$D$20)+BU88/2)*SIN(RADIANS(D88))-IF(ISNUMBER(VLOOKUP(BQ88,Input!$B$21:$AL$50,19+C88,FALSE)),VLOOKUP(BQ88,Input!$B$21:$AL$50,19+C88,FALSE)*COS(RADIANS(D88)),0)-$D$35,"")*0+N88*1</f>
        <v>#VALUE!</v>
      </c>
      <c r="BW88" s="248" t="e">
        <f>VLOOKUP(BR88,Reinforcements[],COLUMN(Reinforcements[[#Headers],[Effective B (in)]])-1,FALSE)</f>
        <v>#N/A</v>
      </c>
      <c r="BX88" s="248" t="e">
        <f>VLOOKUP(BR88,Reinforcements[],COLUMN(Reinforcements[[#Headers],[Effective H (in)]])-1,FALSE)</f>
        <v>#N/A</v>
      </c>
      <c r="BY88" s="248" t="e">
        <f>VLOOKUP(BR88,Reinforcements[],COLUMN(Reinforcements[[#Headers],[Gross Area (in2)]])-1,FALSE)</f>
        <v>#N/A</v>
      </c>
      <c r="BZ88" s="255" t="s">
        <v>697</v>
      </c>
      <c r="CA88" s="248" t="e">
        <f>VLOOKUP(BR88,Reinforcements[],COLUMN(Reinforcements[[#Headers],[Pole Face to Centroid (in)]])-1,FALSE)</f>
        <v>#N/A</v>
      </c>
      <c r="CB88" s="248" t="e">
        <f>VLOOKUP(BR88,Reinforcements[],COLUMN(Reinforcements[[#Headers],[Ix]])-1,FALSE)</f>
        <v>#N/A</v>
      </c>
      <c r="CC88" s="248" t="e">
        <f>VLOOKUP(BR88,Reinforcements[],COLUMN(Reinforcements[[#Headers],[Iy]])-1,FALSE)</f>
        <v>#N/A</v>
      </c>
      <c r="CD88" s="248" t="e">
        <f>VLOOKUP(BR88,Reinforcements[],COLUMN(Reinforcements[[#Headers],[Lu (in)]])-1,FALSE)</f>
        <v>#N/A</v>
      </c>
      <c r="CE88" s="255" t="s">
        <v>697</v>
      </c>
      <c r="CF88" s="255" t="s">
        <v>697</v>
      </c>
      <c r="CG88" s="248" t="e">
        <f>VLOOKUP(VLOOKUP(BR88,Reinforcements[],COLUMN(Reinforcements[[#Headers],[Material]])-1,FALSE),Materials[],2,FALSE)</f>
        <v>#N/A</v>
      </c>
      <c r="CH88" s="248" t="e">
        <f>VLOOKUP(VLOOKUP(BR88,Reinforcements[],COLUMN(Reinforcements[[#Headers],[Material]])-1,FALSE),Materials[],3,FALSE)</f>
        <v>#N/A</v>
      </c>
      <c r="CI88" s="255" t="e">
        <f>VLOOKUP(BR88,Reinforcements[],COLUMN(Reinforcements[[#Headers],[Tension Only?]])-1,FALSE)</f>
        <v>#N/A</v>
      </c>
      <c r="CJ88" s="17" t="str">
        <f>IF(BQ88="","",AND(INDEX(Results!$G$5:$G$104,MATCH(VLOOKUP($BQ88,Input!$B$21:$J$50,2,FALSE)-0.001,Results!$G$5:$G$104,-1))=$D$4))</f>
        <v/>
      </c>
      <c r="CK88" s="17" t="str">
        <f>IF(BQ88="","",AND(INDEX('Macro References'!$BB$2:$BB$101,MATCH(VLOOKUP($BQ88,Input!$B$21:$J$50,6,FALSE)-0.001,'Macro References'!$BB$2:$BB$101,1))=$D$4))</f>
        <v/>
      </c>
      <c r="CL88" s="17" t="e">
        <f>IF(CJ88,VLOOKUP(BR88,Reinforcements[],COLUMN(Reinforcements[[#Headers],[Bottom End Connection Type]])-1,FALSE),IF(CK88,VLOOKUP(BR88,Reinforcements[],COLUMN(Reinforcements[[#Headers],[Top End Connection Type]])-1,FALSE),""))</f>
        <v>#VALUE!</v>
      </c>
      <c r="CM88" s="17" t="e">
        <f>IF(ISBLANK(VLOOKUP(BR88,Reinforcements[],COLUMN(Reinforcements[[#Headers],[Bottom Transverse Weld Length]])-1,FALSE)),"",(VLOOKUP(BR88,Reinforcements[],COLUMN(Reinforcements[[#Headers],[Bottom Transverse Weld Length]])-1,FALSE)))</f>
        <v>#N/A</v>
      </c>
      <c r="CN88" s="17" t="e">
        <f>IF(ISBLANK(VLOOKUP(BR88,Reinforcements[],COLUMN(Reinforcements[[#Headers],[Bottom Transverse (Horizontal) Weld]])-1,FALSE)),"",(VLOOKUP(BR88,Reinforcements[],COLUMN(Reinforcements[[#Headers],[Bottom Transverse (Horizontal) Weld]])-1,FALSE)))</f>
        <v>#N/A</v>
      </c>
      <c r="CO88" s="17" t="e">
        <f>IF(ISBLANK(VLOOKUP(BR88,Reinforcements[],COLUMN(Reinforcements[[#Headers],[Bottom Longitudinal Weld Length]])-1,FALSE)),"",(VLOOKUP(BR88,Reinforcements[],COLUMN(Reinforcements[[#Headers],[Bottom Longitudinal Weld Length]])-1,FALSE)))</f>
        <v>#N/A</v>
      </c>
      <c r="CP88" s="17" t="str">
        <f>IFERROR(VLOOKUP(BR88,Reinforcements[],COLUMN(Reinforcements[[#Headers],[Bottom Connected to Flange/Base Plate?]])-1,FALSE),"")</f>
        <v/>
      </c>
      <c r="CQ88" s="248" t="e">
        <f>IF(Rev="F",VLOOKUP(BR88,Reinforcements[],COLUMN(Reinforcements[[#Headers],[Rev. F Bottom Transverse Weld Strength]])-1,FALSE),VLOOKUP(BR88,Reinforcements[],COLUMN(Reinforcements[[#Headers],[Rev. G Bottom Transverse Weld Strength]])-1,FALSE))</f>
        <v>#N/A</v>
      </c>
      <c r="CR88" s="248"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248" t="str">
        <f>IF(CP88&lt;&gt;"Yes","",(VLOOKUP(BR88,Reinforcements[],COLUMN(Reinforcements[[#Headers],[Bottom Transverse Weld Groove Depth (in)]])-1,FALSE)+VLOOKUP(BR88,Reinforcements[],COLUMN(Reinforcements[[#Headers],[Bottom Transverse Weld Fillet Size (in)]])-1,FALSE))*CM88*IF(Rev="F",0.6,φ_t_y)*$D$14)</f>
        <v/>
      </c>
      <c r="CT88" s="248" t="e">
        <f>IF(CP88="Yes","",VLOOKUP(BR88,Reinforcements[],COLUMN(Reinforcements[[#Headers],[Bottom Transverse Weld Fillet Size (in)]])-1,FALSE)*CM88*MIN(IF(Rev="F",0.4,φ_shear_yield*0.6)*$D$6,IF(Rev="F",0.3,φ_shear_rupture*0.6)*$D$7))</f>
        <v>#N/A</v>
      </c>
      <c r="CU88" s="248" t="e">
        <f>IF(Rev="F",VLOOKUP(BR88,Reinforcements[],COLUMN(Reinforcements[[#Headers],[Rev. F Bottom Longitudinal Weld Strength]])-1,FALSE),VLOOKUP(BR88,Reinforcements[],COLUMN(Reinforcements[[#Headers],[Rev. G Bottom Longitudinal Weld Strength]])-1,FALSE))</f>
        <v>#N/A</v>
      </c>
      <c r="CV88" s="248" t="e">
        <f>2*VLOOKUP(BR88,Reinforcements[],COLUMN(Reinforcements[[#Headers],[Bottom Longitudinal Weld Fillet Size (in)]])-1,FALSE)*CO88*MIN(IF(Rev="F",0.4,φ_shear_yield*0.6)*CG88,IF(Rev="F",0.3,φ_shear_rupture*0.6)*CH88)</f>
        <v>#N/A</v>
      </c>
      <c r="CW88" s="248" t="e">
        <f>2*VLOOKUP(BR88,Reinforcements[],COLUMN(Reinforcements[[#Headers],[Bottom Longitudinal Weld Fillet Size (in)]])-1,FALSE)*CO88*MIN(IF(Rev="F",0.4,φ_shear_yield*0.6)*$D$6,IF(Rev="F",0.3,φ_shear_rupture*0.6)*$D$7)</f>
        <v>#N/A</v>
      </c>
      <c r="CX88" s="248" t="e">
        <f>IF(ISBLANK(VLOOKUP(BR88,Reinforcements[],COLUMN(Reinforcements[[#Headers],[Top Transverse Weld Length]])-1,FALSE)),"",(VLOOKUP(BR88,Reinforcements[],COLUMN(Reinforcements[[#Headers],[Top Transverse Weld Length]])-1,FALSE)))</f>
        <v>#N/A</v>
      </c>
      <c r="CY88" s="248" t="e">
        <f>IF(ISBLANK(VLOOKUP(BR88,Reinforcements[],COLUMN(Reinforcements[[#Headers],[Top Transverse (Horizontal) Weld]])-1,FALSE)),"",(VLOOKUP(BR88,Reinforcements[],COLUMN(Reinforcements[[#Headers],[Top Transverse (Horizontal) Weld]])-1,FALSE)))</f>
        <v>#N/A</v>
      </c>
      <c r="CZ88" s="248" t="e">
        <f>IF(ISBLANK(VLOOKUP(BR88,Reinforcements[],COLUMN(Reinforcements[[#Headers],[Top Longitudinal Weld Length]])-1,FALSE)),"",(VLOOKUP(BR88,Reinforcements[],COLUMN(Reinforcements[[#Headers],[Top Longitudinal Weld Length]])-1,FALSE)))</f>
        <v>#N/A</v>
      </c>
      <c r="DA88" s="248" t="str">
        <f>IFERROR(VLOOKUP(BR88,Reinforcements[],COLUMN(Reinforcements[[#Headers],[Top Connected to Flange/Base Plate?]])-1,FALSE),"")</f>
        <v/>
      </c>
      <c r="DB88" s="248" t="e">
        <f>IF(Rev="F",VLOOKUP(BR88,Reinforcements[],COLUMN(Reinforcements[[#Headers],[Rev. F Top Transverse Weld Strength]])-1,FALSE),VLOOKUP(BR88,Reinforcements[],COLUMN(Reinforcements[[#Headers],[Rev. G Top Transverse Weld Strength]])-1,FALSE))</f>
        <v>#N/A</v>
      </c>
      <c r="DC88" s="248"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248" t="str">
        <f>IF(DA88&lt;&gt;"Yes","",(VLOOKUP(BR88,Reinforcements[],COLUMN(Reinforcements[[#Headers],[Top Transverse Weld Groove Depth (in)]])-1,FALSE)+VLOOKUP(BR88,Reinforcements[],COLUMN(Reinforcements[[#Headers],[Top Transverse Weld Fillet Size (in)]])-1,FALSE))*CX88*IF(Rev="F",0.6,φ_t_y)*$D$14)</f>
        <v/>
      </c>
      <c r="DE88" s="248" t="e">
        <f>IF(DA88="Yes","",VLOOKUP(BR88,Reinforcements[],COLUMN(Reinforcements[[#Headers],[Top Transverse Weld Fillet Size (in)]])-1,FALSE)*CX88*MIN(IF(Rev="F",0.4,φ_shear_yield*0.6)*$D$6,IF(Rev="F",0.3,φ_shear_rupture*0.6)*$D$7))</f>
        <v>#N/A</v>
      </c>
      <c r="DF88" s="248" t="e">
        <f>IF(Rev="F",VLOOKUP(BR88,Reinforcements[],COLUMN(Reinforcements[[#Headers],[Rev. F Top Longitudinal Weld Strength]])-1,FALSE),VLOOKUP(BR88,Reinforcements[],COLUMN(Reinforcements[[#Headers],[Rev. G Top Longitudinal Weld Strength]])-1,FALSE))</f>
        <v>#N/A</v>
      </c>
      <c r="DG88" s="248" t="e">
        <f>2*VLOOKUP(BR88,Reinforcements[],COLUMN(Reinforcements[[#Headers],[Top Longitudinal Weld Fillet Size (in)]])-1,FALSE)*CZ88*MIN(IF(Rev="F",0.4,φ_shear_yield*0.6)*CG88,IF(Rev="F",0.3,φ_shear_rupture*0.6)*CH88)</f>
        <v>#N/A</v>
      </c>
      <c r="DH88" s="248" t="e">
        <f>2*VLOOKUP(BR88,Reinforcements[],COLUMN(Reinforcements[[#Headers],[Top Longitudinal Weld Fillet Size (in)]])-1,FALSE)*CZ88*MIN(IF(Rev="F",0.4,φ_shear_yield*0.6)*$D$6,IF(Rev="F",0.3,φ_shear_rupture*0.6)*$D$7)</f>
        <v>#N/A</v>
      </c>
      <c r="DI88" s="49" t="e">
        <f>IF(BS88="channel",VLOOKUP(Calculations!BR88,Reinforcements[],COLUMN(Reinforcements[[#Headers],['[Channel']Web Thickness (in)]])-1,FALSE),"")</f>
        <v>#N/A</v>
      </c>
      <c r="DJ88" s="49" t="b">
        <f t="shared" si="126"/>
        <v>0</v>
      </c>
      <c r="DK88" s="49" t="e">
        <f>IF(BS88="channel",Calculations!BU88-DI88,"")</f>
        <v>#N/A</v>
      </c>
      <c r="DL88" s="49" t="e">
        <f>IF(BS88="channel",(Calculations!BY88-Calculations!BT88*DI88)/(2*DK88))</f>
        <v>#N/A</v>
      </c>
      <c r="DM88" s="49" t="e">
        <f>IF(BS88="channel",(Calculations!BT88*(DI88^2)/2+2*DK88*DL88*(DI88+DK88/2))/Calculations!BY88,"")</f>
        <v>#N/A</v>
      </c>
    </row>
    <row r="89" spans="2:117" ht="15" x14ac:dyDescent="0.25">
      <c r="B89" s="49" t="str">
        <f t="shared" si="70"/>
        <v/>
      </c>
      <c r="C89" s="201">
        <v>11</v>
      </c>
      <c r="D89" s="255" t="str">
        <f>IF(BQ89="","",IF($D$8=0,IF(OR(VLOOKUP(BQ89,Input!$B$21:$AL$50,19+C89,FALSE)+$D$5=0,VLOOKUP(BQ89,Input!$B$21:$AL$50,19+C89,FALSE)+$D$5=180),VLOOKUP(BQ89,Input!$B$21:$AL$50,19+C89,FALSE)+$D$5+0.0001,VLOOKUP(BQ89,Input!$B$21:$AL$50,19+C89,FALSE)+$D$5),IF(VLOOKUP(BQ89,Input!$B$21:$AL$50,19+C89,FALSE)="c",VLOOKUP($C89,$C$40:$E$57,2,FALSE)+180/$D$8,VLOOKUP($C89,$C$40:$E$57,2,FALSE))))</f>
        <v/>
      </c>
      <c r="E89" s="17" t="str">
        <f t="shared" si="110"/>
        <v/>
      </c>
      <c r="F89" s="258" t="str">
        <f>IF(BR89="","",VLOOKUP(BR89,Reinforcements[],COLUMN(Reinforcements[[#Headers],[Gross Area (in2)]])-1,FALSE))</f>
        <v/>
      </c>
      <c r="G89" s="256" t="e">
        <f>(IF(VLOOKUP(BQ89,Input!$B$21:$AL$50,19+C89,FALSE)="c",$D$20/COS(RADIANS(180/$D$8)),$D$20)+CA89)*SIN(RADIANS(D89))-IF(AND(ISNUMBER(VLOOKUP(BQ89,Input!$B$21:$AL$50,19+C89,FALSE)),$D$8&lt;&gt;0),VLOOKUP(BQ89,Input!$B$21:$AL$50,19+C89,FALSE)*COS(RADIANS(D89)),0)</f>
        <v>#N/A</v>
      </c>
      <c r="H89" s="251" t="str">
        <f t="shared" si="111"/>
        <v/>
      </c>
      <c r="I89" s="251" t="e">
        <f t="shared" si="86"/>
        <v>#N/A</v>
      </c>
      <c r="J89" s="251" t="e">
        <f t="shared" si="112"/>
        <v>#N/A</v>
      </c>
      <c r="K89" s="251" t="e">
        <f t="shared" si="113"/>
        <v>#N/A</v>
      </c>
      <c r="L89" s="251" t="e">
        <f t="shared" si="114"/>
        <v>#N/A</v>
      </c>
      <c r="M89" s="252" t="str">
        <f t="shared" si="115"/>
        <v/>
      </c>
      <c r="N89" s="250" t="str">
        <f>IFERROR((IF(VLOOKUP(BQ89,Input!$B$21:$AL$50,19+C89,FALSE)="c",$D$20/COS(RADIANS(180/$D$8)),$D$20)+CA89)*SIN(RADIANS(D89))-IF(AND(ISNUMBER(VLOOKUP(BQ89,Input!$B$21:$AL$50,19+C89,FALSE)),$D$8&lt;&gt;0),VLOOKUP(BQ89,Input!$B$21:$AL$50,19+C89,FALSE)*COS(RADIANS(D89)),0)-$D$35,"")</f>
        <v/>
      </c>
      <c r="O89" s="251" t="str">
        <f t="shared" si="87"/>
        <v/>
      </c>
      <c r="P89" s="251" t="str">
        <f t="shared" si="88"/>
        <v/>
      </c>
      <c r="Q89" s="251" t="str">
        <f t="shared" si="89"/>
        <v/>
      </c>
      <c r="R89" s="252" t="str">
        <f t="shared" si="90"/>
        <v/>
      </c>
      <c r="S89" s="251" t="str">
        <f t="shared" si="91"/>
        <v/>
      </c>
      <c r="T89" s="251" t="str">
        <f t="shared" si="92"/>
        <v/>
      </c>
      <c r="U89" s="251" t="str">
        <f t="shared" si="93"/>
        <v/>
      </c>
      <c r="V89" s="252" t="str">
        <f t="shared" si="94"/>
        <v/>
      </c>
      <c r="W89" s="323"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324"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324"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324" t="str">
        <f>IFERROR(IF('Macro References'!$A$9,IF(AND(CJ89,CL89="Welded"),MIN(CQ89:CT89),IF(AND(CK89,CL89="Welded"),MIN(DB89:DE89),"")),""),"")</f>
        <v/>
      </c>
      <c r="AA89" s="255" t="str">
        <f>IFERROR(IF('Macro References'!$A$9,IF(AND(CJ89,CL89="Welded"),MIN(CU89:CW89),IF(AND(CK89,CL89="Welded"),MIN(DF89:DH89),"")),""),"")</f>
        <v/>
      </c>
      <c r="AB89" s="255" t="str">
        <f>IFERROR(IF('Macro References'!$A$9,IF(AND(CJ89,CL89="Welded",CN89="Fillet",CU89&gt;0),TRUE,IF(AND(CK89,CL89="Welded",CY89="Fillet",DF89&gt;0),TRUE,"")),""),"")</f>
        <v/>
      </c>
      <c r="AC89" s="255"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255"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32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248"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32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274" t="str">
        <f t="shared" si="95"/>
        <v/>
      </c>
      <c r="AI89" s="255" t="str">
        <f t="shared" si="96"/>
        <v/>
      </c>
      <c r="AJ89" s="255" t="str">
        <f t="shared" si="97"/>
        <v/>
      </c>
      <c r="AK89" s="255" t="str">
        <f t="shared" si="85"/>
        <v/>
      </c>
      <c r="AL89" s="248" t="str">
        <f t="shared" si="78"/>
        <v/>
      </c>
      <c r="AM89" s="255" t="str">
        <f>""</f>
        <v/>
      </c>
      <c r="AN89" s="255" t="str">
        <f t="shared" si="98"/>
        <v/>
      </c>
      <c r="AO89" s="248" t="str">
        <f t="shared" si="99"/>
        <v/>
      </c>
      <c r="AP89" s="275" t="str">
        <f t="shared" si="100"/>
        <v/>
      </c>
      <c r="AQ89" s="276" t="str">
        <f t="shared" si="53"/>
        <v/>
      </c>
      <c r="AR89" s="255" t="str">
        <f>IF(BR89="","",VLOOKUP(VLOOKUP(BR89,Reinforcements[],COLUMN(Reinforcements[[#Headers],[Material]])-1,FALSE),Materials[],2,FALSE)/$D$28)</f>
        <v/>
      </c>
      <c r="AS89" s="248" t="str">
        <f t="shared" si="54"/>
        <v/>
      </c>
      <c r="AT89" s="327" t="str">
        <f t="shared" si="101"/>
        <v/>
      </c>
      <c r="AU89" s="277">
        <f t="shared" si="116"/>
        <v>0</v>
      </c>
      <c r="AV89" s="278">
        <f t="shared" si="117"/>
        <v>0</v>
      </c>
      <c r="AW89" s="278" t="e">
        <f t="shared" si="102"/>
        <v>#N/A</v>
      </c>
      <c r="AX89" s="278" t="e">
        <f t="shared" si="103"/>
        <v>#N/A</v>
      </c>
      <c r="AY89" s="278" t="str">
        <f t="shared" si="104"/>
        <v/>
      </c>
      <c r="AZ89" s="278" t="e">
        <f t="shared" si="105"/>
        <v>#VALUE!</v>
      </c>
      <c r="BA89" s="295" t="str">
        <f t="shared" si="118"/>
        <v/>
      </c>
      <c r="BB89" s="297" t="str">
        <f t="shared" si="119"/>
        <v/>
      </c>
      <c r="BC89" s="298" t="str">
        <f t="shared" si="120"/>
        <v/>
      </c>
      <c r="BD89" s="298" t="str">
        <f t="shared" si="106"/>
        <v/>
      </c>
      <c r="BE89" s="295" t="str">
        <f t="shared" si="121"/>
        <v/>
      </c>
      <c r="BF89" s="299" t="e">
        <f t="shared" si="122"/>
        <v>#DIV/0!</v>
      </c>
      <c r="BG89" s="300" t="str">
        <f t="shared" si="107"/>
        <v/>
      </c>
      <c r="BH89" s="300" t="str">
        <f t="shared" si="108"/>
        <v/>
      </c>
      <c r="BI89" s="295" t="e">
        <f t="shared" si="123"/>
        <v>#DIV/0!</v>
      </c>
      <c r="BJ89" s="299" t="str">
        <f t="shared" si="124"/>
        <v/>
      </c>
      <c r="BK89" s="278" t="e">
        <f t="shared" si="125"/>
        <v>#DIV/0!</v>
      </c>
      <c r="BL89" s="49" t="str">
        <f t="shared" si="68"/>
        <v/>
      </c>
      <c r="BP89" s="25" t="e">
        <f t="shared" si="109"/>
        <v>#DIV/0!</v>
      </c>
      <c r="BQ89" s="303"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303" t="str">
        <f>IF(BQ89="","",VLOOKUP(BQ89,Input!$B$21:$Q$50,13,FALSE))</f>
        <v/>
      </c>
      <c r="BS89" s="248" t="e">
        <f>VLOOKUP(BR89,Reinforcements[],COLUMN(Reinforcements[[#Headers],[Type]])-1,FALSE)</f>
        <v>#N/A</v>
      </c>
      <c r="BT89" s="248" t="e">
        <f>IF(BS89="solid round",VLOOKUP(BR89,Reinforcements[],COLUMN(Reinforcements[[#Headers],[Diameter (in)]])-1,FALSE),VLOOKUP(BR89,Reinforcements[],COLUMN(Reinforcements[[#Headers],[B (in)]])-1,FALSE))</f>
        <v>#N/A</v>
      </c>
      <c r="BU89" s="248" t="e">
        <f>IF(BS89="solid round",VLOOKUP(BR89,Reinforcements[],COLUMN(Reinforcements[[#Headers],[Diameter (in)]])-1,FALSE),VLOOKUP(BR89,Reinforcements[],COLUMN(Reinforcements[[#Headers],[H (in)]])-1,FALSE))</f>
        <v>#N/A</v>
      </c>
      <c r="BV89" s="278" t="e">
        <f>IFERROR((IF(VLOOKUP(BQ89,Input!$B$21:$AL$50,19+C89,FALSE)="c",$D$20/COS(RADIANS(180/$D$8)),$D$20)+BU89/2)*SIN(RADIANS(D89))-IF(ISNUMBER(VLOOKUP(BQ89,Input!$B$21:$AL$50,19+C89,FALSE)),VLOOKUP(BQ89,Input!$B$21:$AL$50,19+C89,FALSE)*COS(RADIANS(D89)),0)-$D$35,"")*0+N89*1</f>
        <v>#VALUE!</v>
      </c>
      <c r="BW89" s="248" t="e">
        <f>VLOOKUP(BR89,Reinforcements[],COLUMN(Reinforcements[[#Headers],[Effective B (in)]])-1,FALSE)</f>
        <v>#N/A</v>
      </c>
      <c r="BX89" s="248" t="e">
        <f>VLOOKUP(BR89,Reinforcements[],COLUMN(Reinforcements[[#Headers],[Effective H (in)]])-1,FALSE)</f>
        <v>#N/A</v>
      </c>
      <c r="BY89" s="248" t="e">
        <f>VLOOKUP(BR89,Reinforcements[],COLUMN(Reinforcements[[#Headers],[Gross Area (in2)]])-1,FALSE)</f>
        <v>#N/A</v>
      </c>
      <c r="BZ89" s="255" t="s">
        <v>697</v>
      </c>
      <c r="CA89" s="248" t="e">
        <f>VLOOKUP(BR89,Reinforcements[],COLUMN(Reinforcements[[#Headers],[Pole Face to Centroid (in)]])-1,FALSE)</f>
        <v>#N/A</v>
      </c>
      <c r="CB89" s="248" t="e">
        <f>VLOOKUP(BR89,Reinforcements[],COLUMN(Reinforcements[[#Headers],[Ix]])-1,FALSE)</f>
        <v>#N/A</v>
      </c>
      <c r="CC89" s="248" t="e">
        <f>VLOOKUP(BR89,Reinforcements[],COLUMN(Reinforcements[[#Headers],[Iy]])-1,FALSE)</f>
        <v>#N/A</v>
      </c>
      <c r="CD89" s="248" t="e">
        <f>VLOOKUP(BR89,Reinforcements[],COLUMN(Reinforcements[[#Headers],[Lu (in)]])-1,FALSE)</f>
        <v>#N/A</v>
      </c>
      <c r="CE89" s="255" t="s">
        <v>697</v>
      </c>
      <c r="CF89" s="255" t="s">
        <v>697</v>
      </c>
      <c r="CG89" s="248" t="e">
        <f>VLOOKUP(VLOOKUP(BR89,Reinforcements[],COLUMN(Reinforcements[[#Headers],[Material]])-1,FALSE),Materials[],2,FALSE)</f>
        <v>#N/A</v>
      </c>
      <c r="CH89" s="248" t="e">
        <f>VLOOKUP(VLOOKUP(BR89,Reinforcements[],COLUMN(Reinforcements[[#Headers],[Material]])-1,FALSE),Materials[],3,FALSE)</f>
        <v>#N/A</v>
      </c>
      <c r="CI89" s="255" t="e">
        <f>VLOOKUP(BR89,Reinforcements[],COLUMN(Reinforcements[[#Headers],[Tension Only?]])-1,FALSE)</f>
        <v>#N/A</v>
      </c>
      <c r="CJ89" s="17" t="str">
        <f>IF(BQ89="","",AND(INDEX(Results!$G$5:$G$104,MATCH(VLOOKUP($BQ89,Input!$B$21:$J$50,2,FALSE)-0.001,Results!$G$5:$G$104,-1))=$D$4))</f>
        <v/>
      </c>
      <c r="CK89" s="17" t="str">
        <f>IF(BQ89="","",AND(INDEX('Macro References'!$BB$2:$BB$101,MATCH(VLOOKUP($BQ89,Input!$B$21:$J$50,6,FALSE)-0.001,'Macro References'!$BB$2:$BB$101,1))=$D$4))</f>
        <v/>
      </c>
      <c r="CL89" s="17" t="e">
        <f>IF(CJ89,VLOOKUP(BR89,Reinforcements[],COLUMN(Reinforcements[[#Headers],[Bottom End Connection Type]])-1,FALSE),IF(CK89,VLOOKUP(BR89,Reinforcements[],COLUMN(Reinforcements[[#Headers],[Top End Connection Type]])-1,FALSE),""))</f>
        <v>#VALUE!</v>
      </c>
      <c r="CM89" s="17" t="e">
        <f>IF(ISBLANK(VLOOKUP(BR89,Reinforcements[],COLUMN(Reinforcements[[#Headers],[Bottom Transverse Weld Length]])-1,FALSE)),"",(VLOOKUP(BR89,Reinforcements[],COLUMN(Reinforcements[[#Headers],[Bottom Transverse Weld Length]])-1,FALSE)))</f>
        <v>#N/A</v>
      </c>
      <c r="CN89" s="17" t="e">
        <f>IF(ISBLANK(VLOOKUP(BR89,Reinforcements[],COLUMN(Reinforcements[[#Headers],[Bottom Transverse (Horizontal) Weld]])-1,FALSE)),"",(VLOOKUP(BR89,Reinforcements[],COLUMN(Reinforcements[[#Headers],[Bottom Transverse (Horizontal) Weld]])-1,FALSE)))</f>
        <v>#N/A</v>
      </c>
      <c r="CO89" s="17" t="e">
        <f>IF(ISBLANK(VLOOKUP(BR89,Reinforcements[],COLUMN(Reinforcements[[#Headers],[Bottom Longitudinal Weld Length]])-1,FALSE)),"",(VLOOKUP(BR89,Reinforcements[],COLUMN(Reinforcements[[#Headers],[Bottom Longitudinal Weld Length]])-1,FALSE)))</f>
        <v>#N/A</v>
      </c>
      <c r="CP89" s="17" t="str">
        <f>IFERROR(VLOOKUP(BR89,Reinforcements[],COLUMN(Reinforcements[[#Headers],[Bottom Connected to Flange/Base Plate?]])-1,FALSE),"")</f>
        <v/>
      </c>
      <c r="CQ89" s="248" t="e">
        <f>IF(Rev="F",VLOOKUP(BR89,Reinforcements[],COLUMN(Reinforcements[[#Headers],[Rev. F Bottom Transverse Weld Strength]])-1,FALSE),VLOOKUP(BR89,Reinforcements[],COLUMN(Reinforcements[[#Headers],[Rev. G Bottom Transverse Weld Strength]])-1,FALSE))</f>
        <v>#N/A</v>
      </c>
      <c r="CR89" s="248"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248" t="str">
        <f>IF(CP89&lt;&gt;"Yes","",(VLOOKUP(BR89,Reinforcements[],COLUMN(Reinforcements[[#Headers],[Bottom Transverse Weld Groove Depth (in)]])-1,FALSE)+VLOOKUP(BR89,Reinforcements[],COLUMN(Reinforcements[[#Headers],[Bottom Transverse Weld Fillet Size (in)]])-1,FALSE))*CM89*IF(Rev="F",0.6,φ_t_y)*$D$14)</f>
        <v/>
      </c>
      <c r="CT89" s="248" t="e">
        <f>IF(CP89="Yes","",VLOOKUP(BR89,Reinforcements[],COLUMN(Reinforcements[[#Headers],[Bottom Transverse Weld Fillet Size (in)]])-1,FALSE)*CM89*MIN(IF(Rev="F",0.4,φ_shear_yield*0.6)*$D$6,IF(Rev="F",0.3,φ_shear_rupture*0.6)*$D$7))</f>
        <v>#N/A</v>
      </c>
      <c r="CU89" s="248" t="e">
        <f>IF(Rev="F",VLOOKUP(BR89,Reinforcements[],COLUMN(Reinforcements[[#Headers],[Rev. F Bottom Longitudinal Weld Strength]])-1,FALSE),VLOOKUP(BR89,Reinforcements[],COLUMN(Reinforcements[[#Headers],[Rev. G Bottom Longitudinal Weld Strength]])-1,FALSE))</f>
        <v>#N/A</v>
      </c>
      <c r="CV89" s="248" t="e">
        <f>2*VLOOKUP(BR89,Reinforcements[],COLUMN(Reinforcements[[#Headers],[Bottom Longitudinal Weld Fillet Size (in)]])-1,FALSE)*CO89*MIN(IF(Rev="F",0.4,φ_shear_yield*0.6)*CG89,IF(Rev="F",0.3,φ_shear_rupture*0.6)*CH89)</f>
        <v>#N/A</v>
      </c>
      <c r="CW89" s="248" t="e">
        <f>2*VLOOKUP(BR89,Reinforcements[],COLUMN(Reinforcements[[#Headers],[Bottom Longitudinal Weld Fillet Size (in)]])-1,FALSE)*CO89*MIN(IF(Rev="F",0.4,φ_shear_yield*0.6)*$D$6,IF(Rev="F",0.3,φ_shear_rupture*0.6)*$D$7)</f>
        <v>#N/A</v>
      </c>
      <c r="CX89" s="248" t="e">
        <f>IF(ISBLANK(VLOOKUP(BR89,Reinforcements[],COLUMN(Reinforcements[[#Headers],[Top Transverse Weld Length]])-1,FALSE)),"",(VLOOKUP(BR89,Reinforcements[],COLUMN(Reinforcements[[#Headers],[Top Transverse Weld Length]])-1,FALSE)))</f>
        <v>#N/A</v>
      </c>
      <c r="CY89" s="248" t="e">
        <f>IF(ISBLANK(VLOOKUP(BR89,Reinforcements[],COLUMN(Reinforcements[[#Headers],[Top Transverse (Horizontal) Weld]])-1,FALSE)),"",(VLOOKUP(BR89,Reinforcements[],COLUMN(Reinforcements[[#Headers],[Top Transverse (Horizontal) Weld]])-1,FALSE)))</f>
        <v>#N/A</v>
      </c>
      <c r="CZ89" s="248" t="e">
        <f>IF(ISBLANK(VLOOKUP(BR89,Reinforcements[],COLUMN(Reinforcements[[#Headers],[Top Longitudinal Weld Length]])-1,FALSE)),"",(VLOOKUP(BR89,Reinforcements[],COLUMN(Reinforcements[[#Headers],[Top Longitudinal Weld Length]])-1,FALSE)))</f>
        <v>#N/A</v>
      </c>
      <c r="DA89" s="248" t="str">
        <f>IFERROR(VLOOKUP(BR89,Reinforcements[],COLUMN(Reinforcements[[#Headers],[Top Connected to Flange/Base Plate?]])-1,FALSE),"")</f>
        <v/>
      </c>
      <c r="DB89" s="248" t="e">
        <f>IF(Rev="F",VLOOKUP(BR89,Reinforcements[],COLUMN(Reinforcements[[#Headers],[Rev. F Top Transverse Weld Strength]])-1,FALSE),VLOOKUP(BR89,Reinforcements[],COLUMN(Reinforcements[[#Headers],[Rev. G Top Transverse Weld Strength]])-1,FALSE))</f>
        <v>#N/A</v>
      </c>
      <c r="DC89" s="248"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248" t="str">
        <f>IF(DA89&lt;&gt;"Yes","",(VLOOKUP(BR89,Reinforcements[],COLUMN(Reinforcements[[#Headers],[Top Transverse Weld Groove Depth (in)]])-1,FALSE)+VLOOKUP(BR89,Reinforcements[],COLUMN(Reinforcements[[#Headers],[Top Transverse Weld Fillet Size (in)]])-1,FALSE))*CX89*IF(Rev="F",0.6,φ_t_y)*$D$14)</f>
        <v/>
      </c>
      <c r="DE89" s="248" t="e">
        <f>IF(DA89="Yes","",VLOOKUP(BR89,Reinforcements[],COLUMN(Reinforcements[[#Headers],[Top Transverse Weld Fillet Size (in)]])-1,FALSE)*CX89*MIN(IF(Rev="F",0.4,φ_shear_yield*0.6)*$D$6,IF(Rev="F",0.3,φ_shear_rupture*0.6)*$D$7))</f>
        <v>#N/A</v>
      </c>
      <c r="DF89" s="248" t="e">
        <f>IF(Rev="F",VLOOKUP(BR89,Reinforcements[],COLUMN(Reinforcements[[#Headers],[Rev. F Top Longitudinal Weld Strength]])-1,FALSE),VLOOKUP(BR89,Reinforcements[],COLUMN(Reinforcements[[#Headers],[Rev. G Top Longitudinal Weld Strength]])-1,FALSE))</f>
        <v>#N/A</v>
      </c>
      <c r="DG89" s="248" t="e">
        <f>2*VLOOKUP(BR89,Reinforcements[],COLUMN(Reinforcements[[#Headers],[Top Longitudinal Weld Fillet Size (in)]])-1,FALSE)*CZ89*MIN(IF(Rev="F",0.4,φ_shear_yield*0.6)*CG89,IF(Rev="F",0.3,φ_shear_rupture*0.6)*CH89)</f>
        <v>#N/A</v>
      </c>
      <c r="DH89" s="248" t="e">
        <f>2*VLOOKUP(BR89,Reinforcements[],COLUMN(Reinforcements[[#Headers],[Top Longitudinal Weld Fillet Size (in)]])-1,FALSE)*CZ89*MIN(IF(Rev="F",0.4,φ_shear_yield*0.6)*$D$6,IF(Rev="F",0.3,φ_shear_rupture*0.6)*$D$7)</f>
        <v>#N/A</v>
      </c>
      <c r="DI89" s="49" t="e">
        <f>IF(BS89="channel",VLOOKUP(Calculations!BR89,Reinforcements[],COLUMN(Reinforcements[[#Headers],['[Channel']Web Thickness (in)]])-1,FALSE),"")</f>
        <v>#N/A</v>
      </c>
      <c r="DJ89" s="49" t="b">
        <f t="shared" si="126"/>
        <v>0</v>
      </c>
      <c r="DK89" s="49" t="e">
        <f>IF(BS89="channel",Calculations!BU89-DI89,"")</f>
        <v>#N/A</v>
      </c>
      <c r="DL89" s="49" t="e">
        <f>IF(BS89="channel",(Calculations!BY89-Calculations!BT89*DI89)/(2*DK89))</f>
        <v>#N/A</v>
      </c>
      <c r="DM89" s="49" t="e">
        <f>IF(BS89="channel",(Calculations!BT89*(DI89^2)/2+2*DK89*DL89*(DI89+DK89/2))/Calculations!BY89,"")</f>
        <v>#N/A</v>
      </c>
    </row>
    <row r="90" spans="2:117" ht="15" x14ac:dyDescent="0.25">
      <c r="B90" s="49" t="str">
        <f t="shared" si="70"/>
        <v/>
      </c>
      <c r="C90" s="201">
        <v>12</v>
      </c>
      <c r="D90" s="255" t="str">
        <f>IF(BQ90="","",IF($D$8=0,IF(OR(VLOOKUP(BQ90,Input!$B$21:$AL$50,19+C90,FALSE)+$D$5=0,VLOOKUP(BQ90,Input!$B$21:$AL$50,19+C90,FALSE)+$D$5=180),VLOOKUP(BQ90,Input!$B$21:$AL$50,19+C90,FALSE)+$D$5+0.0001,VLOOKUP(BQ90,Input!$B$21:$AL$50,19+C90,FALSE)+$D$5),IF(VLOOKUP(BQ90,Input!$B$21:$AL$50,19+C90,FALSE)="c",VLOOKUP($C90,$C$40:$E$57,2,FALSE)+180/$D$8,VLOOKUP($C90,$C$40:$E$57,2,FALSE))))</f>
        <v/>
      </c>
      <c r="E90" s="17" t="str">
        <f t="shared" si="110"/>
        <v/>
      </c>
      <c r="F90" s="258" t="str">
        <f>IF(BR90="","",VLOOKUP(BR90,Reinforcements[],COLUMN(Reinforcements[[#Headers],[Gross Area (in2)]])-1,FALSE))</f>
        <v/>
      </c>
      <c r="G90" s="256" t="e">
        <f>(IF(VLOOKUP(BQ90,Input!$B$21:$AL$50,19+C90,FALSE)="c",$D$20/COS(RADIANS(180/$D$8)),$D$20)+CA90)*SIN(RADIANS(D90))-IF(AND(ISNUMBER(VLOOKUP(BQ90,Input!$B$21:$AL$50,19+C90,FALSE)),$D$8&lt;&gt;0),VLOOKUP(BQ90,Input!$B$21:$AL$50,19+C90,FALSE)*COS(RADIANS(D90)),0)</f>
        <v>#N/A</v>
      </c>
      <c r="H90" s="251" t="str">
        <f t="shared" si="111"/>
        <v/>
      </c>
      <c r="I90" s="251" t="e">
        <f t="shared" si="86"/>
        <v>#N/A</v>
      </c>
      <c r="J90" s="251" t="e">
        <f t="shared" si="112"/>
        <v>#N/A</v>
      </c>
      <c r="K90" s="251" t="e">
        <f t="shared" si="113"/>
        <v>#N/A</v>
      </c>
      <c r="L90" s="251" t="e">
        <f t="shared" si="114"/>
        <v>#N/A</v>
      </c>
      <c r="M90" s="252" t="str">
        <f t="shared" si="115"/>
        <v/>
      </c>
      <c r="N90" s="250" t="str">
        <f>IFERROR((IF(VLOOKUP(BQ90,Input!$B$21:$AL$50,19+C90,FALSE)="c",$D$20/COS(RADIANS(180/$D$8)),$D$20)+CA90)*SIN(RADIANS(D90))-IF(AND(ISNUMBER(VLOOKUP(BQ90,Input!$B$21:$AL$50,19+C90,FALSE)),$D$8&lt;&gt;0),VLOOKUP(BQ90,Input!$B$21:$AL$50,19+C90,FALSE)*COS(RADIANS(D90)),0)-$D$35,"")</f>
        <v/>
      </c>
      <c r="O90" s="251" t="str">
        <f t="shared" si="87"/>
        <v/>
      </c>
      <c r="P90" s="251" t="str">
        <f t="shared" si="88"/>
        <v/>
      </c>
      <c r="Q90" s="251" t="str">
        <f t="shared" si="89"/>
        <v/>
      </c>
      <c r="R90" s="252" t="str">
        <f t="shared" si="90"/>
        <v/>
      </c>
      <c r="S90" s="251" t="str">
        <f t="shared" si="91"/>
        <v/>
      </c>
      <c r="T90" s="251" t="str">
        <f t="shared" si="92"/>
        <v/>
      </c>
      <c r="U90" s="251" t="str">
        <f t="shared" si="93"/>
        <v/>
      </c>
      <c r="V90" s="252" t="str">
        <f t="shared" si="94"/>
        <v/>
      </c>
      <c r="W90" s="323"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324"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324"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324" t="str">
        <f>IFERROR(IF('Macro References'!$A$9,IF(AND(CJ90,CL90="Welded"),MIN(CQ90:CT90),IF(AND(CK90,CL90="Welded"),MIN(DB90:DE90),"")),""),"")</f>
        <v/>
      </c>
      <c r="AA90" s="255" t="str">
        <f>IFERROR(IF('Macro References'!$A$9,IF(AND(CJ90,CL90="Welded"),MIN(CU90:CW90),IF(AND(CK90,CL90="Welded"),MIN(DF90:DH90),"")),""),"")</f>
        <v/>
      </c>
      <c r="AB90" s="255" t="str">
        <f>IFERROR(IF('Macro References'!$A$9,IF(AND(CJ90,CL90="Welded",CN90="Fillet",CU90&gt;0),TRUE,IF(AND(CK90,CL90="Welded",CY90="Fillet",DF90&gt;0),TRUE,"")),""),"")</f>
        <v/>
      </c>
      <c r="AC90" s="255"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255"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32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248"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32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274" t="str">
        <f t="shared" si="95"/>
        <v/>
      </c>
      <c r="AI90" s="255" t="str">
        <f t="shared" si="96"/>
        <v/>
      </c>
      <c r="AJ90" s="255" t="str">
        <f t="shared" si="97"/>
        <v/>
      </c>
      <c r="AK90" s="255" t="str">
        <f t="shared" si="85"/>
        <v/>
      </c>
      <c r="AL90" s="248" t="str">
        <f t="shared" si="78"/>
        <v/>
      </c>
      <c r="AM90" s="255" t="str">
        <f>""</f>
        <v/>
      </c>
      <c r="AN90" s="255" t="str">
        <f t="shared" si="98"/>
        <v/>
      </c>
      <c r="AO90" s="248" t="str">
        <f t="shared" si="99"/>
        <v/>
      </c>
      <c r="AP90" s="275" t="str">
        <f t="shared" si="100"/>
        <v/>
      </c>
      <c r="AQ90" s="276" t="str">
        <f t="shared" si="53"/>
        <v/>
      </c>
      <c r="AR90" s="255" t="str">
        <f>IF(BR90="","",VLOOKUP(VLOOKUP(BR90,Reinforcements[],COLUMN(Reinforcements[[#Headers],[Material]])-1,FALSE),Materials[],2,FALSE)/$D$28)</f>
        <v/>
      </c>
      <c r="AS90" s="248" t="str">
        <f t="shared" si="54"/>
        <v/>
      </c>
      <c r="AT90" s="327" t="str">
        <f t="shared" si="101"/>
        <v/>
      </c>
      <c r="AU90" s="277">
        <f t="shared" si="116"/>
        <v>0</v>
      </c>
      <c r="AV90" s="278">
        <f t="shared" si="117"/>
        <v>0</v>
      </c>
      <c r="AW90" s="278" t="e">
        <f t="shared" si="102"/>
        <v>#N/A</v>
      </c>
      <c r="AX90" s="278" t="e">
        <f t="shared" si="103"/>
        <v>#N/A</v>
      </c>
      <c r="AY90" s="278" t="str">
        <f t="shared" si="104"/>
        <v/>
      </c>
      <c r="AZ90" s="278" t="e">
        <f t="shared" si="105"/>
        <v>#VALUE!</v>
      </c>
      <c r="BA90" s="295" t="str">
        <f t="shared" si="118"/>
        <v/>
      </c>
      <c r="BB90" s="297" t="str">
        <f t="shared" si="119"/>
        <v/>
      </c>
      <c r="BC90" s="298" t="str">
        <f t="shared" si="120"/>
        <v/>
      </c>
      <c r="BD90" s="298" t="str">
        <f t="shared" si="106"/>
        <v/>
      </c>
      <c r="BE90" s="295" t="str">
        <f t="shared" si="121"/>
        <v/>
      </c>
      <c r="BF90" s="299" t="e">
        <f t="shared" si="122"/>
        <v>#DIV/0!</v>
      </c>
      <c r="BG90" s="300" t="str">
        <f t="shared" si="107"/>
        <v/>
      </c>
      <c r="BH90" s="300" t="str">
        <f t="shared" si="108"/>
        <v/>
      </c>
      <c r="BI90" s="295" t="e">
        <f t="shared" si="123"/>
        <v>#DIV/0!</v>
      </c>
      <c r="BJ90" s="299" t="str">
        <f t="shared" si="124"/>
        <v/>
      </c>
      <c r="BK90" s="278" t="e">
        <f t="shared" si="125"/>
        <v>#DIV/0!</v>
      </c>
      <c r="BL90" s="49" t="str">
        <f t="shared" si="68"/>
        <v/>
      </c>
      <c r="BP90" s="25" t="e">
        <f t="shared" si="109"/>
        <v>#DIV/0!</v>
      </c>
      <c r="BQ90" s="303"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303" t="str">
        <f>IF(BQ90="","",VLOOKUP(BQ90,Input!$B$21:$Q$50,13,FALSE))</f>
        <v/>
      </c>
      <c r="BS90" s="248" t="e">
        <f>VLOOKUP(BR90,Reinforcements[],COLUMN(Reinforcements[[#Headers],[Type]])-1,FALSE)</f>
        <v>#N/A</v>
      </c>
      <c r="BT90" s="248" t="e">
        <f>IF(BS90="solid round",VLOOKUP(BR90,Reinforcements[],COLUMN(Reinforcements[[#Headers],[Diameter (in)]])-1,FALSE),VLOOKUP(BR90,Reinforcements[],COLUMN(Reinforcements[[#Headers],[B (in)]])-1,FALSE))</f>
        <v>#N/A</v>
      </c>
      <c r="BU90" s="248" t="e">
        <f>IF(BS90="solid round",VLOOKUP(BR90,Reinforcements[],COLUMN(Reinforcements[[#Headers],[Diameter (in)]])-1,FALSE),VLOOKUP(BR90,Reinforcements[],COLUMN(Reinforcements[[#Headers],[H (in)]])-1,FALSE))</f>
        <v>#N/A</v>
      </c>
      <c r="BV90" s="278" t="e">
        <f>IFERROR((IF(VLOOKUP(BQ90,Input!$B$21:$AL$50,19+C90,FALSE)="c",$D$20/COS(RADIANS(180/$D$8)),$D$20)+BU90/2)*SIN(RADIANS(D90))-IF(ISNUMBER(VLOOKUP(BQ90,Input!$B$21:$AL$50,19+C90,FALSE)),VLOOKUP(BQ90,Input!$B$21:$AL$50,19+C90,FALSE)*COS(RADIANS(D90)),0)-$D$35,"")*0+N90*1</f>
        <v>#VALUE!</v>
      </c>
      <c r="BW90" s="248" t="e">
        <f>VLOOKUP(BR90,Reinforcements[],COLUMN(Reinforcements[[#Headers],[Effective B (in)]])-1,FALSE)</f>
        <v>#N/A</v>
      </c>
      <c r="BX90" s="248" t="e">
        <f>VLOOKUP(BR90,Reinforcements[],COLUMN(Reinforcements[[#Headers],[Effective H (in)]])-1,FALSE)</f>
        <v>#N/A</v>
      </c>
      <c r="BY90" s="248" t="e">
        <f>VLOOKUP(BR90,Reinforcements[],COLUMN(Reinforcements[[#Headers],[Gross Area (in2)]])-1,FALSE)</f>
        <v>#N/A</v>
      </c>
      <c r="BZ90" s="255" t="s">
        <v>697</v>
      </c>
      <c r="CA90" s="248" t="e">
        <f>VLOOKUP(BR90,Reinforcements[],COLUMN(Reinforcements[[#Headers],[Pole Face to Centroid (in)]])-1,FALSE)</f>
        <v>#N/A</v>
      </c>
      <c r="CB90" s="248" t="e">
        <f>VLOOKUP(BR90,Reinforcements[],COLUMN(Reinforcements[[#Headers],[Ix]])-1,FALSE)</f>
        <v>#N/A</v>
      </c>
      <c r="CC90" s="248" t="e">
        <f>VLOOKUP(BR90,Reinforcements[],COLUMN(Reinforcements[[#Headers],[Iy]])-1,FALSE)</f>
        <v>#N/A</v>
      </c>
      <c r="CD90" s="248" t="e">
        <f>VLOOKUP(BR90,Reinforcements[],COLUMN(Reinforcements[[#Headers],[Lu (in)]])-1,FALSE)</f>
        <v>#N/A</v>
      </c>
      <c r="CE90" s="255" t="s">
        <v>697</v>
      </c>
      <c r="CF90" s="255" t="s">
        <v>697</v>
      </c>
      <c r="CG90" s="248" t="e">
        <f>VLOOKUP(VLOOKUP(BR90,Reinforcements[],COLUMN(Reinforcements[[#Headers],[Material]])-1,FALSE),Materials[],2,FALSE)</f>
        <v>#N/A</v>
      </c>
      <c r="CH90" s="248" t="e">
        <f>VLOOKUP(VLOOKUP(BR90,Reinforcements[],COLUMN(Reinforcements[[#Headers],[Material]])-1,FALSE),Materials[],3,FALSE)</f>
        <v>#N/A</v>
      </c>
      <c r="CI90" s="255" t="e">
        <f>VLOOKUP(BR90,Reinforcements[],COLUMN(Reinforcements[[#Headers],[Tension Only?]])-1,FALSE)</f>
        <v>#N/A</v>
      </c>
      <c r="CJ90" s="17" t="str">
        <f>IF(BQ90="","",AND(INDEX(Results!$G$5:$G$104,MATCH(VLOOKUP($BQ90,Input!$B$21:$J$50,2,FALSE)-0.001,Results!$G$5:$G$104,-1))=$D$4))</f>
        <v/>
      </c>
      <c r="CK90" s="17" t="str">
        <f>IF(BQ90="","",AND(INDEX('Macro References'!$BB$2:$BB$101,MATCH(VLOOKUP($BQ90,Input!$B$21:$J$50,6,FALSE)-0.001,'Macro References'!$BB$2:$BB$101,1))=$D$4))</f>
        <v/>
      </c>
      <c r="CL90" s="17" t="e">
        <f>IF(CJ90,VLOOKUP(BR90,Reinforcements[],COLUMN(Reinforcements[[#Headers],[Bottom End Connection Type]])-1,FALSE),IF(CK90,VLOOKUP(BR90,Reinforcements[],COLUMN(Reinforcements[[#Headers],[Top End Connection Type]])-1,FALSE),""))</f>
        <v>#VALUE!</v>
      </c>
      <c r="CM90" s="17" t="e">
        <f>IF(ISBLANK(VLOOKUP(BR90,Reinforcements[],COLUMN(Reinforcements[[#Headers],[Bottom Transverse Weld Length]])-1,FALSE)),"",(VLOOKUP(BR90,Reinforcements[],COLUMN(Reinforcements[[#Headers],[Bottom Transverse Weld Length]])-1,FALSE)))</f>
        <v>#N/A</v>
      </c>
      <c r="CN90" s="17" t="e">
        <f>IF(ISBLANK(VLOOKUP(BR90,Reinforcements[],COLUMN(Reinforcements[[#Headers],[Bottom Transverse (Horizontal) Weld]])-1,FALSE)),"",(VLOOKUP(BR90,Reinforcements[],COLUMN(Reinforcements[[#Headers],[Bottom Transverse (Horizontal) Weld]])-1,FALSE)))</f>
        <v>#N/A</v>
      </c>
      <c r="CO90" s="17" t="e">
        <f>IF(ISBLANK(VLOOKUP(BR90,Reinforcements[],COLUMN(Reinforcements[[#Headers],[Bottom Longitudinal Weld Length]])-1,FALSE)),"",(VLOOKUP(BR90,Reinforcements[],COLUMN(Reinforcements[[#Headers],[Bottom Longitudinal Weld Length]])-1,FALSE)))</f>
        <v>#N/A</v>
      </c>
      <c r="CP90" s="17" t="str">
        <f>IFERROR(VLOOKUP(BR90,Reinforcements[],COLUMN(Reinforcements[[#Headers],[Bottom Connected to Flange/Base Plate?]])-1,FALSE),"")</f>
        <v/>
      </c>
      <c r="CQ90" s="248" t="e">
        <f>IF(Rev="F",VLOOKUP(BR90,Reinforcements[],COLUMN(Reinforcements[[#Headers],[Rev. F Bottom Transverse Weld Strength]])-1,FALSE),VLOOKUP(BR90,Reinforcements[],COLUMN(Reinforcements[[#Headers],[Rev. G Bottom Transverse Weld Strength]])-1,FALSE))</f>
        <v>#N/A</v>
      </c>
      <c r="CR90" s="248"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248" t="str">
        <f>IF(CP90&lt;&gt;"Yes","",(VLOOKUP(BR90,Reinforcements[],COLUMN(Reinforcements[[#Headers],[Bottom Transverse Weld Groove Depth (in)]])-1,FALSE)+VLOOKUP(BR90,Reinforcements[],COLUMN(Reinforcements[[#Headers],[Bottom Transverse Weld Fillet Size (in)]])-1,FALSE))*CM90*IF(Rev="F",0.6,φ_t_y)*$D$14)</f>
        <v/>
      </c>
      <c r="CT90" s="248" t="e">
        <f>IF(CP90="Yes","",VLOOKUP(BR90,Reinforcements[],COLUMN(Reinforcements[[#Headers],[Bottom Transverse Weld Fillet Size (in)]])-1,FALSE)*CM90*MIN(IF(Rev="F",0.4,φ_shear_yield*0.6)*$D$6,IF(Rev="F",0.3,φ_shear_rupture*0.6)*$D$7))</f>
        <v>#N/A</v>
      </c>
      <c r="CU90" s="248" t="e">
        <f>IF(Rev="F",VLOOKUP(BR90,Reinforcements[],COLUMN(Reinforcements[[#Headers],[Rev. F Bottom Longitudinal Weld Strength]])-1,FALSE),VLOOKUP(BR90,Reinforcements[],COLUMN(Reinforcements[[#Headers],[Rev. G Bottom Longitudinal Weld Strength]])-1,FALSE))</f>
        <v>#N/A</v>
      </c>
      <c r="CV90" s="248" t="e">
        <f>2*VLOOKUP(BR90,Reinforcements[],COLUMN(Reinforcements[[#Headers],[Bottom Longitudinal Weld Fillet Size (in)]])-1,FALSE)*CO90*MIN(IF(Rev="F",0.4,φ_shear_yield*0.6)*CG90,IF(Rev="F",0.3,φ_shear_rupture*0.6)*CH90)</f>
        <v>#N/A</v>
      </c>
      <c r="CW90" s="248" t="e">
        <f>2*VLOOKUP(BR90,Reinforcements[],COLUMN(Reinforcements[[#Headers],[Bottom Longitudinal Weld Fillet Size (in)]])-1,FALSE)*CO90*MIN(IF(Rev="F",0.4,φ_shear_yield*0.6)*$D$6,IF(Rev="F",0.3,φ_shear_rupture*0.6)*$D$7)</f>
        <v>#N/A</v>
      </c>
      <c r="CX90" s="248" t="e">
        <f>IF(ISBLANK(VLOOKUP(BR90,Reinforcements[],COLUMN(Reinforcements[[#Headers],[Top Transverse Weld Length]])-1,FALSE)),"",(VLOOKUP(BR90,Reinforcements[],COLUMN(Reinforcements[[#Headers],[Top Transverse Weld Length]])-1,FALSE)))</f>
        <v>#N/A</v>
      </c>
      <c r="CY90" s="248" t="e">
        <f>IF(ISBLANK(VLOOKUP(BR90,Reinforcements[],COLUMN(Reinforcements[[#Headers],[Top Transverse (Horizontal) Weld]])-1,FALSE)),"",(VLOOKUP(BR90,Reinforcements[],COLUMN(Reinforcements[[#Headers],[Top Transverse (Horizontal) Weld]])-1,FALSE)))</f>
        <v>#N/A</v>
      </c>
      <c r="CZ90" s="248" t="e">
        <f>IF(ISBLANK(VLOOKUP(BR90,Reinforcements[],COLUMN(Reinforcements[[#Headers],[Top Longitudinal Weld Length]])-1,FALSE)),"",(VLOOKUP(BR90,Reinforcements[],COLUMN(Reinforcements[[#Headers],[Top Longitudinal Weld Length]])-1,FALSE)))</f>
        <v>#N/A</v>
      </c>
      <c r="DA90" s="248" t="str">
        <f>IFERROR(VLOOKUP(BR90,Reinforcements[],COLUMN(Reinforcements[[#Headers],[Top Connected to Flange/Base Plate?]])-1,FALSE),"")</f>
        <v/>
      </c>
      <c r="DB90" s="248" t="e">
        <f>IF(Rev="F",VLOOKUP(BR90,Reinforcements[],COLUMN(Reinforcements[[#Headers],[Rev. F Top Transverse Weld Strength]])-1,FALSE),VLOOKUP(BR90,Reinforcements[],COLUMN(Reinforcements[[#Headers],[Rev. G Top Transverse Weld Strength]])-1,FALSE))</f>
        <v>#N/A</v>
      </c>
      <c r="DC90" s="248"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248" t="str">
        <f>IF(DA90&lt;&gt;"Yes","",(VLOOKUP(BR90,Reinforcements[],COLUMN(Reinforcements[[#Headers],[Top Transverse Weld Groove Depth (in)]])-1,FALSE)+VLOOKUP(BR90,Reinforcements[],COLUMN(Reinforcements[[#Headers],[Top Transverse Weld Fillet Size (in)]])-1,FALSE))*CX90*IF(Rev="F",0.6,φ_t_y)*$D$14)</f>
        <v/>
      </c>
      <c r="DE90" s="248" t="e">
        <f>IF(DA90="Yes","",VLOOKUP(BR90,Reinforcements[],COLUMN(Reinforcements[[#Headers],[Top Transverse Weld Fillet Size (in)]])-1,FALSE)*CX90*MIN(IF(Rev="F",0.4,φ_shear_yield*0.6)*$D$6,IF(Rev="F",0.3,φ_shear_rupture*0.6)*$D$7))</f>
        <v>#N/A</v>
      </c>
      <c r="DF90" s="248" t="e">
        <f>IF(Rev="F",VLOOKUP(BR90,Reinforcements[],COLUMN(Reinforcements[[#Headers],[Rev. F Top Longitudinal Weld Strength]])-1,FALSE),VLOOKUP(BR90,Reinforcements[],COLUMN(Reinforcements[[#Headers],[Rev. G Top Longitudinal Weld Strength]])-1,FALSE))</f>
        <v>#N/A</v>
      </c>
      <c r="DG90" s="248" t="e">
        <f>2*VLOOKUP(BR90,Reinforcements[],COLUMN(Reinforcements[[#Headers],[Top Longitudinal Weld Fillet Size (in)]])-1,FALSE)*CZ90*MIN(IF(Rev="F",0.4,φ_shear_yield*0.6)*CG90,IF(Rev="F",0.3,φ_shear_rupture*0.6)*CH90)</f>
        <v>#N/A</v>
      </c>
      <c r="DH90" s="248" t="e">
        <f>2*VLOOKUP(BR90,Reinforcements[],COLUMN(Reinforcements[[#Headers],[Top Longitudinal Weld Fillet Size (in)]])-1,FALSE)*CZ90*MIN(IF(Rev="F",0.4,φ_shear_yield*0.6)*$D$6,IF(Rev="F",0.3,φ_shear_rupture*0.6)*$D$7)</f>
        <v>#N/A</v>
      </c>
      <c r="DI90" s="49" t="e">
        <f>IF(BS90="channel",VLOOKUP(Calculations!BR90,Reinforcements[],COLUMN(Reinforcements[[#Headers],['[Channel']Web Thickness (in)]])-1,FALSE),"")</f>
        <v>#N/A</v>
      </c>
      <c r="DJ90" s="49" t="b">
        <f t="shared" si="126"/>
        <v>0</v>
      </c>
      <c r="DK90" s="49" t="e">
        <f>IF(BS90="channel",Calculations!BU90-DI90,"")</f>
        <v>#N/A</v>
      </c>
      <c r="DL90" s="49" t="e">
        <f>IF(BS90="channel",(Calculations!BY90-Calculations!BT90*DI90)/(2*DK90))</f>
        <v>#N/A</v>
      </c>
      <c r="DM90" s="49" t="e">
        <f>IF(BS90="channel",(Calculations!BT90*(DI90^2)/2+2*DK90*DL90*(DI90+DK90/2))/Calculations!BY90,"")</f>
        <v>#N/A</v>
      </c>
    </row>
    <row r="91" spans="2:117" ht="15" x14ac:dyDescent="0.25">
      <c r="B91" s="49" t="str">
        <f t="shared" si="70"/>
        <v/>
      </c>
      <c r="C91" s="201">
        <v>13</v>
      </c>
      <c r="D91" s="255" t="str">
        <f>IF(BQ91="","",IF($D$8=0,IF(OR(VLOOKUP(BQ91,Input!$B$21:$AL$50,19+C91,FALSE)+$D$5=0,VLOOKUP(BQ91,Input!$B$21:$AL$50,19+C91,FALSE)+$D$5=180),VLOOKUP(BQ91,Input!$B$21:$AL$50,19+C91,FALSE)+$D$5+0.0001,VLOOKUP(BQ91,Input!$B$21:$AL$50,19+C91,FALSE)+$D$5),IF(VLOOKUP(BQ91,Input!$B$21:$AL$50,19+C91,FALSE)="c",VLOOKUP($C91,$C$40:$E$57,2,FALSE)+180/$D$8,VLOOKUP($C91,$C$40:$E$57,2,FALSE))))</f>
        <v/>
      </c>
      <c r="E91" s="17" t="str">
        <f t="shared" si="110"/>
        <v/>
      </c>
      <c r="F91" s="258" t="str">
        <f>IF(BR91="","",VLOOKUP(BR91,Reinforcements[],COLUMN(Reinforcements[[#Headers],[Gross Area (in2)]])-1,FALSE))</f>
        <v/>
      </c>
      <c r="G91" s="256" t="e">
        <f>(IF(VLOOKUP(BQ91,Input!$B$21:$AL$50,19+C91,FALSE)="c",$D$20/COS(RADIANS(180/$D$8)),$D$20)+CA91)*SIN(RADIANS(D91))-IF(AND(ISNUMBER(VLOOKUP(BQ91,Input!$B$21:$AL$50,19+C91,FALSE)),$D$8&lt;&gt;0),VLOOKUP(BQ91,Input!$B$21:$AL$50,19+C91,FALSE)*COS(RADIANS(D91)),0)</f>
        <v>#N/A</v>
      </c>
      <c r="H91" s="251" t="str">
        <f t="shared" si="111"/>
        <v/>
      </c>
      <c r="I91" s="251" t="e">
        <f t="shared" si="86"/>
        <v>#N/A</v>
      </c>
      <c r="J91" s="251" t="e">
        <f t="shared" si="112"/>
        <v>#N/A</v>
      </c>
      <c r="K91" s="251" t="e">
        <f t="shared" si="113"/>
        <v>#N/A</v>
      </c>
      <c r="L91" s="251" t="e">
        <f t="shared" si="114"/>
        <v>#N/A</v>
      </c>
      <c r="M91" s="252" t="str">
        <f t="shared" si="115"/>
        <v/>
      </c>
      <c r="N91" s="250" t="str">
        <f>IFERROR((IF(VLOOKUP(BQ91,Input!$B$21:$AL$50,19+C91,FALSE)="c",$D$20/COS(RADIANS(180/$D$8)),$D$20)+CA91)*SIN(RADIANS(D91))-IF(AND(ISNUMBER(VLOOKUP(BQ91,Input!$B$21:$AL$50,19+C91,FALSE)),$D$8&lt;&gt;0),VLOOKUP(BQ91,Input!$B$21:$AL$50,19+C91,FALSE)*COS(RADIANS(D91)),0)-$D$35,"")</f>
        <v/>
      </c>
      <c r="O91" s="251" t="str">
        <f t="shared" si="87"/>
        <v/>
      </c>
      <c r="P91" s="251" t="str">
        <f t="shared" si="88"/>
        <v/>
      </c>
      <c r="Q91" s="251" t="str">
        <f t="shared" si="89"/>
        <v/>
      </c>
      <c r="R91" s="252" t="str">
        <f t="shared" si="90"/>
        <v/>
      </c>
      <c r="S91" s="251" t="str">
        <f t="shared" si="91"/>
        <v/>
      </c>
      <c r="T91" s="251" t="str">
        <f t="shared" si="92"/>
        <v/>
      </c>
      <c r="U91" s="251" t="str">
        <f t="shared" si="93"/>
        <v/>
      </c>
      <c r="V91" s="252" t="str">
        <f t="shared" si="94"/>
        <v/>
      </c>
      <c r="W91" s="323"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324"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324"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324" t="str">
        <f>IFERROR(IF('Macro References'!$A$9,IF(AND(CJ91,CL91="Welded"),MIN(CQ91:CT91),IF(AND(CK91,CL91="Welded"),MIN(DB91:DE91),"")),""),"")</f>
        <v/>
      </c>
      <c r="AA91" s="255" t="str">
        <f>IFERROR(IF('Macro References'!$A$9,IF(AND(CJ91,CL91="Welded"),MIN(CU91:CW91),IF(AND(CK91,CL91="Welded"),MIN(DF91:DH91),"")),""),"")</f>
        <v/>
      </c>
      <c r="AB91" s="255" t="str">
        <f>IFERROR(IF('Macro References'!$A$9,IF(AND(CJ91,CL91="Welded",CN91="Fillet",CU91&gt;0),TRUE,IF(AND(CK91,CL91="Welded",CY91="Fillet",DF91&gt;0),TRUE,"")),""),"")</f>
        <v/>
      </c>
      <c r="AC91" s="255"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255"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32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248"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32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274" t="str">
        <f t="shared" si="95"/>
        <v/>
      </c>
      <c r="AI91" s="255" t="str">
        <f t="shared" si="96"/>
        <v/>
      </c>
      <c r="AJ91" s="255" t="str">
        <f t="shared" si="97"/>
        <v/>
      </c>
      <c r="AK91" s="255" t="str">
        <f t="shared" si="85"/>
        <v/>
      </c>
      <c r="AL91" s="248" t="str">
        <f t="shared" si="78"/>
        <v/>
      </c>
      <c r="AM91" s="255" t="str">
        <f>""</f>
        <v/>
      </c>
      <c r="AN91" s="255" t="str">
        <f t="shared" si="98"/>
        <v/>
      </c>
      <c r="AO91" s="248" t="str">
        <f t="shared" si="99"/>
        <v/>
      </c>
      <c r="AP91" s="275" t="str">
        <f t="shared" si="100"/>
        <v/>
      </c>
      <c r="AQ91" s="276" t="str">
        <f t="shared" si="53"/>
        <v/>
      </c>
      <c r="AR91" s="255" t="str">
        <f>IF(BR91="","",VLOOKUP(VLOOKUP(BR91,Reinforcements[],COLUMN(Reinforcements[[#Headers],[Material]])-1,FALSE),Materials[],2,FALSE)/$D$28)</f>
        <v/>
      </c>
      <c r="AS91" s="248" t="str">
        <f t="shared" si="54"/>
        <v/>
      </c>
      <c r="AT91" s="327" t="str">
        <f t="shared" si="101"/>
        <v/>
      </c>
      <c r="AU91" s="277">
        <f t="shared" si="116"/>
        <v>0</v>
      </c>
      <c r="AV91" s="278">
        <f t="shared" si="117"/>
        <v>0</v>
      </c>
      <c r="AW91" s="278" t="e">
        <f t="shared" si="102"/>
        <v>#N/A</v>
      </c>
      <c r="AX91" s="278" t="e">
        <f t="shared" si="103"/>
        <v>#N/A</v>
      </c>
      <c r="AY91" s="278" t="str">
        <f t="shared" si="104"/>
        <v/>
      </c>
      <c r="AZ91" s="278" t="e">
        <f t="shared" si="105"/>
        <v>#VALUE!</v>
      </c>
      <c r="BA91" s="295" t="str">
        <f t="shared" si="118"/>
        <v/>
      </c>
      <c r="BB91" s="297" t="str">
        <f t="shared" si="119"/>
        <v/>
      </c>
      <c r="BC91" s="298" t="str">
        <f t="shared" si="120"/>
        <v/>
      </c>
      <c r="BD91" s="298" t="str">
        <f t="shared" si="106"/>
        <v/>
      </c>
      <c r="BE91" s="295" t="str">
        <f t="shared" si="121"/>
        <v/>
      </c>
      <c r="BF91" s="299" t="e">
        <f t="shared" si="122"/>
        <v>#DIV/0!</v>
      </c>
      <c r="BG91" s="300" t="str">
        <f t="shared" si="107"/>
        <v/>
      </c>
      <c r="BH91" s="300" t="str">
        <f t="shared" si="108"/>
        <v/>
      </c>
      <c r="BI91" s="295" t="e">
        <f t="shared" si="123"/>
        <v>#DIV/0!</v>
      </c>
      <c r="BJ91" s="299" t="str">
        <f t="shared" si="124"/>
        <v/>
      </c>
      <c r="BK91" s="278" t="e">
        <f t="shared" si="125"/>
        <v>#DIV/0!</v>
      </c>
      <c r="BL91" s="49" t="str">
        <f t="shared" si="68"/>
        <v/>
      </c>
      <c r="BP91" s="25" t="e">
        <f t="shared" si="109"/>
        <v>#DIV/0!</v>
      </c>
      <c r="BQ91" s="303"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303" t="str">
        <f>IF(BQ91="","",VLOOKUP(BQ91,Input!$B$21:$Q$50,13,FALSE))</f>
        <v/>
      </c>
      <c r="BS91" s="248" t="e">
        <f>VLOOKUP(BR91,Reinforcements[],COLUMN(Reinforcements[[#Headers],[Type]])-1,FALSE)</f>
        <v>#N/A</v>
      </c>
      <c r="BT91" s="248" t="e">
        <f>IF(BS91="solid round",VLOOKUP(BR91,Reinforcements[],COLUMN(Reinforcements[[#Headers],[Diameter (in)]])-1,FALSE),VLOOKUP(BR91,Reinforcements[],COLUMN(Reinforcements[[#Headers],[B (in)]])-1,FALSE))</f>
        <v>#N/A</v>
      </c>
      <c r="BU91" s="248" t="e">
        <f>IF(BS91="solid round",VLOOKUP(BR91,Reinforcements[],COLUMN(Reinforcements[[#Headers],[Diameter (in)]])-1,FALSE),VLOOKUP(BR91,Reinforcements[],COLUMN(Reinforcements[[#Headers],[H (in)]])-1,FALSE))</f>
        <v>#N/A</v>
      </c>
      <c r="BV91" s="278" t="e">
        <f>IFERROR((IF(VLOOKUP(BQ91,Input!$B$21:$AL$50,19+C91,FALSE)="c",$D$20/COS(RADIANS(180/$D$8)),$D$20)+BU91/2)*SIN(RADIANS(D91))-IF(ISNUMBER(VLOOKUP(BQ91,Input!$B$21:$AL$50,19+C91,FALSE)),VLOOKUP(BQ91,Input!$B$21:$AL$50,19+C91,FALSE)*COS(RADIANS(D91)),0)-$D$35,"")*0+N91*1</f>
        <v>#VALUE!</v>
      </c>
      <c r="BW91" s="248" t="e">
        <f>VLOOKUP(BR91,Reinforcements[],COLUMN(Reinforcements[[#Headers],[Effective B (in)]])-1,FALSE)</f>
        <v>#N/A</v>
      </c>
      <c r="BX91" s="248" t="e">
        <f>VLOOKUP(BR91,Reinforcements[],COLUMN(Reinforcements[[#Headers],[Effective H (in)]])-1,FALSE)</f>
        <v>#N/A</v>
      </c>
      <c r="BY91" s="248" t="e">
        <f>VLOOKUP(BR91,Reinforcements[],COLUMN(Reinforcements[[#Headers],[Gross Area (in2)]])-1,FALSE)</f>
        <v>#N/A</v>
      </c>
      <c r="BZ91" s="255" t="s">
        <v>697</v>
      </c>
      <c r="CA91" s="248" t="e">
        <f>VLOOKUP(BR91,Reinforcements[],COLUMN(Reinforcements[[#Headers],[Pole Face to Centroid (in)]])-1,FALSE)</f>
        <v>#N/A</v>
      </c>
      <c r="CB91" s="248" t="e">
        <f>VLOOKUP(BR91,Reinforcements[],COLUMN(Reinforcements[[#Headers],[Ix]])-1,FALSE)</f>
        <v>#N/A</v>
      </c>
      <c r="CC91" s="248" t="e">
        <f>VLOOKUP(BR91,Reinforcements[],COLUMN(Reinforcements[[#Headers],[Iy]])-1,FALSE)</f>
        <v>#N/A</v>
      </c>
      <c r="CD91" s="248" t="e">
        <f>VLOOKUP(BR91,Reinforcements[],COLUMN(Reinforcements[[#Headers],[Lu (in)]])-1,FALSE)</f>
        <v>#N/A</v>
      </c>
      <c r="CE91" s="255" t="s">
        <v>697</v>
      </c>
      <c r="CF91" s="255" t="s">
        <v>697</v>
      </c>
      <c r="CG91" s="248" t="e">
        <f>VLOOKUP(VLOOKUP(BR91,Reinforcements[],COLUMN(Reinforcements[[#Headers],[Material]])-1,FALSE),Materials[],2,FALSE)</f>
        <v>#N/A</v>
      </c>
      <c r="CH91" s="248" t="e">
        <f>VLOOKUP(VLOOKUP(BR91,Reinforcements[],COLUMN(Reinforcements[[#Headers],[Material]])-1,FALSE),Materials[],3,FALSE)</f>
        <v>#N/A</v>
      </c>
      <c r="CI91" s="255" t="e">
        <f>VLOOKUP(BR91,Reinforcements[],COLUMN(Reinforcements[[#Headers],[Tension Only?]])-1,FALSE)</f>
        <v>#N/A</v>
      </c>
      <c r="CJ91" s="17" t="str">
        <f>IF(BQ91="","",AND(INDEX(Results!$G$5:$G$104,MATCH(VLOOKUP($BQ91,Input!$B$21:$J$50,2,FALSE)-0.001,Results!$G$5:$G$104,-1))=$D$4))</f>
        <v/>
      </c>
      <c r="CK91" s="17" t="str">
        <f>IF(BQ91="","",AND(INDEX('Macro References'!$BB$2:$BB$101,MATCH(VLOOKUP($BQ91,Input!$B$21:$J$50,6,FALSE)-0.001,'Macro References'!$BB$2:$BB$101,1))=$D$4))</f>
        <v/>
      </c>
      <c r="CL91" s="17" t="e">
        <f>IF(CJ91,VLOOKUP(BR91,Reinforcements[],COLUMN(Reinforcements[[#Headers],[Bottom End Connection Type]])-1,FALSE),IF(CK91,VLOOKUP(BR91,Reinforcements[],COLUMN(Reinforcements[[#Headers],[Top End Connection Type]])-1,FALSE),""))</f>
        <v>#VALUE!</v>
      </c>
      <c r="CM91" s="17" t="e">
        <f>IF(ISBLANK(VLOOKUP(BR91,Reinforcements[],COLUMN(Reinforcements[[#Headers],[Bottom Transverse Weld Length]])-1,FALSE)),"",(VLOOKUP(BR91,Reinforcements[],COLUMN(Reinforcements[[#Headers],[Bottom Transverse Weld Length]])-1,FALSE)))</f>
        <v>#N/A</v>
      </c>
      <c r="CN91" s="17" t="e">
        <f>IF(ISBLANK(VLOOKUP(BR91,Reinforcements[],COLUMN(Reinforcements[[#Headers],[Bottom Transverse (Horizontal) Weld]])-1,FALSE)),"",(VLOOKUP(BR91,Reinforcements[],COLUMN(Reinforcements[[#Headers],[Bottom Transverse (Horizontal) Weld]])-1,FALSE)))</f>
        <v>#N/A</v>
      </c>
      <c r="CO91" s="17" t="e">
        <f>IF(ISBLANK(VLOOKUP(BR91,Reinforcements[],COLUMN(Reinforcements[[#Headers],[Bottom Longitudinal Weld Length]])-1,FALSE)),"",(VLOOKUP(BR91,Reinforcements[],COLUMN(Reinforcements[[#Headers],[Bottom Longitudinal Weld Length]])-1,FALSE)))</f>
        <v>#N/A</v>
      </c>
      <c r="CP91" s="17" t="str">
        <f>IFERROR(VLOOKUP(BR91,Reinforcements[],COLUMN(Reinforcements[[#Headers],[Bottom Connected to Flange/Base Plate?]])-1,FALSE),"")</f>
        <v/>
      </c>
      <c r="CQ91" s="248" t="e">
        <f>IF(Rev="F",VLOOKUP(BR91,Reinforcements[],COLUMN(Reinforcements[[#Headers],[Rev. F Bottom Transverse Weld Strength]])-1,FALSE),VLOOKUP(BR91,Reinforcements[],COLUMN(Reinforcements[[#Headers],[Rev. G Bottom Transverse Weld Strength]])-1,FALSE))</f>
        <v>#N/A</v>
      </c>
      <c r="CR91" s="248"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248" t="str">
        <f>IF(CP91&lt;&gt;"Yes","",(VLOOKUP(BR91,Reinforcements[],COLUMN(Reinforcements[[#Headers],[Bottom Transverse Weld Groove Depth (in)]])-1,FALSE)+VLOOKUP(BR91,Reinforcements[],COLUMN(Reinforcements[[#Headers],[Bottom Transverse Weld Fillet Size (in)]])-1,FALSE))*CM91*IF(Rev="F",0.6,φ_t_y)*$D$14)</f>
        <v/>
      </c>
      <c r="CT91" s="248" t="e">
        <f>IF(CP91="Yes","",VLOOKUP(BR91,Reinforcements[],COLUMN(Reinforcements[[#Headers],[Bottom Transverse Weld Fillet Size (in)]])-1,FALSE)*CM91*MIN(IF(Rev="F",0.4,φ_shear_yield*0.6)*$D$6,IF(Rev="F",0.3,φ_shear_rupture*0.6)*$D$7))</f>
        <v>#N/A</v>
      </c>
      <c r="CU91" s="248" t="e">
        <f>IF(Rev="F",VLOOKUP(BR91,Reinforcements[],COLUMN(Reinforcements[[#Headers],[Rev. F Bottom Longitudinal Weld Strength]])-1,FALSE),VLOOKUP(BR91,Reinforcements[],COLUMN(Reinforcements[[#Headers],[Rev. G Bottom Longitudinal Weld Strength]])-1,FALSE))</f>
        <v>#N/A</v>
      </c>
      <c r="CV91" s="248" t="e">
        <f>2*VLOOKUP(BR91,Reinforcements[],COLUMN(Reinforcements[[#Headers],[Bottom Longitudinal Weld Fillet Size (in)]])-1,FALSE)*CO91*MIN(IF(Rev="F",0.4,φ_shear_yield*0.6)*CG91,IF(Rev="F",0.3,φ_shear_rupture*0.6)*CH91)</f>
        <v>#N/A</v>
      </c>
      <c r="CW91" s="248" t="e">
        <f>2*VLOOKUP(BR91,Reinforcements[],COLUMN(Reinforcements[[#Headers],[Bottom Longitudinal Weld Fillet Size (in)]])-1,FALSE)*CO91*MIN(IF(Rev="F",0.4,φ_shear_yield*0.6)*$D$6,IF(Rev="F",0.3,φ_shear_rupture*0.6)*$D$7)</f>
        <v>#N/A</v>
      </c>
      <c r="CX91" s="248" t="e">
        <f>IF(ISBLANK(VLOOKUP(BR91,Reinforcements[],COLUMN(Reinforcements[[#Headers],[Top Transverse Weld Length]])-1,FALSE)),"",(VLOOKUP(BR91,Reinforcements[],COLUMN(Reinforcements[[#Headers],[Top Transverse Weld Length]])-1,FALSE)))</f>
        <v>#N/A</v>
      </c>
      <c r="CY91" s="248" t="e">
        <f>IF(ISBLANK(VLOOKUP(BR91,Reinforcements[],COLUMN(Reinforcements[[#Headers],[Top Transverse (Horizontal) Weld]])-1,FALSE)),"",(VLOOKUP(BR91,Reinforcements[],COLUMN(Reinforcements[[#Headers],[Top Transverse (Horizontal) Weld]])-1,FALSE)))</f>
        <v>#N/A</v>
      </c>
      <c r="CZ91" s="248" t="e">
        <f>IF(ISBLANK(VLOOKUP(BR91,Reinforcements[],COLUMN(Reinforcements[[#Headers],[Top Longitudinal Weld Length]])-1,FALSE)),"",(VLOOKUP(BR91,Reinforcements[],COLUMN(Reinforcements[[#Headers],[Top Longitudinal Weld Length]])-1,FALSE)))</f>
        <v>#N/A</v>
      </c>
      <c r="DA91" s="248" t="str">
        <f>IFERROR(VLOOKUP(BR91,Reinforcements[],COLUMN(Reinforcements[[#Headers],[Top Connected to Flange/Base Plate?]])-1,FALSE),"")</f>
        <v/>
      </c>
      <c r="DB91" s="248" t="e">
        <f>IF(Rev="F",VLOOKUP(BR91,Reinforcements[],COLUMN(Reinforcements[[#Headers],[Rev. F Top Transverse Weld Strength]])-1,FALSE),VLOOKUP(BR91,Reinforcements[],COLUMN(Reinforcements[[#Headers],[Rev. G Top Transverse Weld Strength]])-1,FALSE))</f>
        <v>#N/A</v>
      </c>
      <c r="DC91" s="248"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248" t="str">
        <f>IF(DA91&lt;&gt;"Yes","",(VLOOKUP(BR91,Reinforcements[],COLUMN(Reinforcements[[#Headers],[Top Transverse Weld Groove Depth (in)]])-1,FALSE)+VLOOKUP(BR91,Reinforcements[],COLUMN(Reinforcements[[#Headers],[Top Transverse Weld Fillet Size (in)]])-1,FALSE))*CX91*IF(Rev="F",0.6,φ_t_y)*$D$14)</f>
        <v/>
      </c>
      <c r="DE91" s="248" t="e">
        <f>IF(DA91="Yes","",VLOOKUP(BR91,Reinforcements[],COLUMN(Reinforcements[[#Headers],[Top Transverse Weld Fillet Size (in)]])-1,FALSE)*CX91*MIN(IF(Rev="F",0.4,φ_shear_yield*0.6)*$D$6,IF(Rev="F",0.3,φ_shear_rupture*0.6)*$D$7))</f>
        <v>#N/A</v>
      </c>
      <c r="DF91" s="248" t="e">
        <f>IF(Rev="F",VLOOKUP(BR91,Reinforcements[],COLUMN(Reinforcements[[#Headers],[Rev. F Top Longitudinal Weld Strength]])-1,FALSE),VLOOKUP(BR91,Reinforcements[],COLUMN(Reinforcements[[#Headers],[Rev. G Top Longitudinal Weld Strength]])-1,FALSE))</f>
        <v>#N/A</v>
      </c>
      <c r="DG91" s="248" t="e">
        <f>2*VLOOKUP(BR91,Reinforcements[],COLUMN(Reinforcements[[#Headers],[Top Longitudinal Weld Fillet Size (in)]])-1,FALSE)*CZ91*MIN(IF(Rev="F",0.4,φ_shear_yield*0.6)*CG91,IF(Rev="F",0.3,φ_shear_rupture*0.6)*CH91)</f>
        <v>#N/A</v>
      </c>
      <c r="DH91" s="248" t="e">
        <f>2*VLOOKUP(BR91,Reinforcements[],COLUMN(Reinforcements[[#Headers],[Top Longitudinal Weld Fillet Size (in)]])-1,FALSE)*CZ91*MIN(IF(Rev="F",0.4,φ_shear_yield*0.6)*$D$6,IF(Rev="F",0.3,φ_shear_rupture*0.6)*$D$7)</f>
        <v>#N/A</v>
      </c>
      <c r="DI91" s="49" t="e">
        <f>IF(BS91="channel",VLOOKUP(Calculations!BR91,Reinforcements[],COLUMN(Reinforcements[[#Headers],['[Channel']Web Thickness (in)]])-1,FALSE),"")</f>
        <v>#N/A</v>
      </c>
      <c r="DJ91" s="49" t="b">
        <f t="shared" si="126"/>
        <v>0</v>
      </c>
      <c r="DK91" s="49" t="e">
        <f>IF(BS91="channel",Calculations!BU91-DI91,"")</f>
        <v>#N/A</v>
      </c>
      <c r="DL91" s="49" t="e">
        <f>IF(BS91="channel",(Calculations!BY91-Calculations!BT91*DI91)/(2*DK91))</f>
        <v>#N/A</v>
      </c>
      <c r="DM91" s="49" t="e">
        <f>IF(BS91="channel",(Calculations!BT91*(DI91^2)/2+2*DK91*DL91*(DI91+DK91/2))/Calculations!BY91,"")</f>
        <v>#N/A</v>
      </c>
    </row>
    <row r="92" spans="2:117" ht="15" x14ac:dyDescent="0.25">
      <c r="B92" s="49" t="str">
        <f t="shared" si="70"/>
        <v/>
      </c>
      <c r="C92" s="201">
        <v>14</v>
      </c>
      <c r="D92" s="255" t="str">
        <f>IF(BQ92="","",IF($D$8=0,IF(OR(VLOOKUP(BQ92,Input!$B$21:$AL$50,19+C92,FALSE)+$D$5=0,VLOOKUP(BQ92,Input!$B$21:$AL$50,19+C92,FALSE)+$D$5=180),VLOOKUP(BQ92,Input!$B$21:$AL$50,19+C92,FALSE)+$D$5+0.0001,VLOOKUP(BQ92,Input!$B$21:$AL$50,19+C92,FALSE)+$D$5),IF(VLOOKUP(BQ92,Input!$B$21:$AL$50,19+C92,FALSE)="c",VLOOKUP($C92,$C$40:$E$57,2,FALSE)+180/$D$8,VLOOKUP($C92,$C$40:$E$57,2,FALSE))))</f>
        <v/>
      </c>
      <c r="E92" s="17" t="str">
        <f t="shared" si="110"/>
        <v/>
      </c>
      <c r="F92" s="258" t="str">
        <f>IF(BR92="","",VLOOKUP(BR92,Reinforcements[],COLUMN(Reinforcements[[#Headers],[Gross Area (in2)]])-1,FALSE))</f>
        <v/>
      </c>
      <c r="G92" s="256" t="e">
        <f>(IF(VLOOKUP(BQ92,Input!$B$21:$AL$50,19+C92,FALSE)="c",$D$20/COS(RADIANS(180/$D$8)),$D$20)+CA92)*SIN(RADIANS(D92))-IF(AND(ISNUMBER(VLOOKUP(BQ92,Input!$B$21:$AL$50,19+C92,FALSE)),$D$8&lt;&gt;0),VLOOKUP(BQ92,Input!$B$21:$AL$50,19+C92,FALSE)*COS(RADIANS(D92)),0)</f>
        <v>#N/A</v>
      </c>
      <c r="H92" s="251" t="str">
        <f t="shared" si="111"/>
        <v/>
      </c>
      <c r="I92" s="251" t="e">
        <f t="shared" si="86"/>
        <v>#N/A</v>
      </c>
      <c r="J92" s="251" t="e">
        <f t="shared" si="112"/>
        <v>#N/A</v>
      </c>
      <c r="K92" s="251" t="e">
        <f t="shared" si="113"/>
        <v>#N/A</v>
      </c>
      <c r="L92" s="251" t="e">
        <f t="shared" si="114"/>
        <v>#N/A</v>
      </c>
      <c r="M92" s="252" t="str">
        <f t="shared" si="115"/>
        <v/>
      </c>
      <c r="N92" s="250" t="str">
        <f>IFERROR((IF(VLOOKUP(BQ92,Input!$B$21:$AL$50,19+C92,FALSE)="c",$D$20/COS(RADIANS(180/$D$8)),$D$20)+CA92)*SIN(RADIANS(D92))-IF(AND(ISNUMBER(VLOOKUP(BQ92,Input!$B$21:$AL$50,19+C92,FALSE)),$D$8&lt;&gt;0),VLOOKUP(BQ92,Input!$B$21:$AL$50,19+C92,FALSE)*COS(RADIANS(D92)),0)-$D$35,"")</f>
        <v/>
      </c>
      <c r="O92" s="251" t="str">
        <f t="shared" si="87"/>
        <v/>
      </c>
      <c r="P92" s="251" t="str">
        <f t="shared" si="88"/>
        <v/>
      </c>
      <c r="Q92" s="251" t="str">
        <f t="shared" si="89"/>
        <v/>
      </c>
      <c r="R92" s="252" t="str">
        <f t="shared" si="90"/>
        <v/>
      </c>
      <c r="S92" s="251" t="str">
        <f t="shared" si="91"/>
        <v/>
      </c>
      <c r="T92" s="251" t="str">
        <f t="shared" si="92"/>
        <v/>
      </c>
      <c r="U92" s="251" t="str">
        <f t="shared" si="93"/>
        <v/>
      </c>
      <c r="V92" s="252" t="str">
        <f t="shared" si="94"/>
        <v/>
      </c>
      <c r="W92" s="323"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324"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324"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324" t="str">
        <f>IFERROR(IF('Macro References'!$A$9,IF(AND(CJ92,CL92="Welded"),MIN(CQ92:CT92),IF(AND(CK92,CL92="Welded"),MIN(DB92:DE92),"")),""),"")</f>
        <v/>
      </c>
      <c r="AA92" s="255" t="str">
        <f>IFERROR(IF('Macro References'!$A$9,IF(AND(CJ92,CL92="Welded"),MIN(CU92:CW92),IF(AND(CK92,CL92="Welded"),MIN(DF92:DH92),"")),""),"")</f>
        <v/>
      </c>
      <c r="AB92" s="255" t="str">
        <f>IFERROR(IF('Macro References'!$A$9,IF(AND(CJ92,CL92="Welded",CN92="Fillet",CU92&gt;0),TRUE,IF(AND(CK92,CL92="Welded",CY92="Fillet",DF92&gt;0),TRUE,"")),""),"")</f>
        <v/>
      </c>
      <c r="AC92" s="255"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255"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32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248"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32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274" t="str">
        <f t="shared" si="95"/>
        <v/>
      </c>
      <c r="AI92" s="255" t="str">
        <f t="shared" si="96"/>
        <v/>
      </c>
      <c r="AJ92" s="255" t="str">
        <f t="shared" si="97"/>
        <v/>
      </c>
      <c r="AK92" s="255" t="str">
        <f t="shared" si="85"/>
        <v/>
      </c>
      <c r="AL92" s="248" t="str">
        <f t="shared" si="78"/>
        <v/>
      </c>
      <c r="AM92" s="255" t="str">
        <f>""</f>
        <v/>
      </c>
      <c r="AN92" s="255" t="str">
        <f t="shared" si="98"/>
        <v/>
      </c>
      <c r="AO92" s="248" t="str">
        <f t="shared" si="99"/>
        <v/>
      </c>
      <c r="AP92" s="275" t="str">
        <f t="shared" si="100"/>
        <v/>
      </c>
      <c r="AQ92" s="276" t="str">
        <f t="shared" si="53"/>
        <v/>
      </c>
      <c r="AR92" s="255" t="str">
        <f>IF(BR92="","",VLOOKUP(VLOOKUP(BR92,Reinforcements[],COLUMN(Reinforcements[[#Headers],[Material]])-1,FALSE),Materials[],2,FALSE)/$D$28)</f>
        <v/>
      </c>
      <c r="AS92" s="248" t="str">
        <f t="shared" si="54"/>
        <v/>
      </c>
      <c r="AT92" s="327" t="str">
        <f t="shared" si="101"/>
        <v/>
      </c>
      <c r="AU92" s="277">
        <f t="shared" si="116"/>
        <v>0</v>
      </c>
      <c r="AV92" s="278">
        <f t="shared" si="117"/>
        <v>0</v>
      </c>
      <c r="AW92" s="278" t="e">
        <f t="shared" si="102"/>
        <v>#N/A</v>
      </c>
      <c r="AX92" s="278" t="e">
        <f t="shared" si="103"/>
        <v>#N/A</v>
      </c>
      <c r="AY92" s="278" t="str">
        <f t="shared" si="104"/>
        <v/>
      </c>
      <c r="AZ92" s="278" t="e">
        <f t="shared" si="105"/>
        <v>#VALUE!</v>
      </c>
      <c r="BA92" s="295" t="str">
        <f t="shared" si="118"/>
        <v/>
      </c>
      <c r="BB92" s="297" t="str">
        <f t="shared" si="119"/>
        <v/>
      </c>
      <c r="BC92" s="298" t="str">
        <f t="shared" si="120"/>
        <v/>
      </c>
      <c r="BD92" s="298" t="str">
        <f t="shared" si="106"/>
        <v/>
      </c>
      <c r="BE92" s="295" t="str">
        <f t="shared" si="121"/>
        <v/>
      </c>
      <c r="BF92" s="299" t="e">
        <f t="shared" si="122"/>
        <v>#DIV/0!</v>
      </c>
      <c r="BG92" s="300" t="str">
        <f t="shared" si="107"/>
        <v/>
      </c>
      <c r="BH92" s="300" t="str">
        <f t="shared" si="108"/>
        <v/>
      </c>
      <c r="BI92" s="295" t="e">
        <f t="shared" si="123"/>
        <v>#DIV/0!</v>
      </c>
      <c r="BJ92" s="299" t="str">
        <f t="shared" si="124"/>
        <v/>
      </c>
      <c r="BK92" s="278" t="e">
        <f t="shared" si="125"/>
        <v>#DIV/0!</v>
      </c>
      <c r="BL92" s="49" t="str">
        <f t="shared" si="68"/>
        <v/>
      </c>
      <c r="BP92" s="25" t="e">
        <f t="shared" si="109"/>
        <v>#DIV/0!</v>
      </c>
      <c r="BQ92" s="303"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303" t="str">
        <f>IF(BQ92="","",VLOOKUP(BQ92,Input!$B$21:$Q$50,13,FALSE))</f>
        <v/>
      </c>
      <c r="BS92" s="248" t="e">
        <f>VLOOKUP(BR92,Reinforcements[],COLUMN(Reinforcements[[#Headers],[Type]])-1,FALSE)</f>
        <v>#N/A</v>
      </c>
      <c r="BT92" s="248" t="e">
        <f>IF(BS92="solid round",VLOOKUP(BR92,Reinforcements[],COLUMN(Reinforcements[[#Headers],[Diameter (in)]])-1,FALSE),VLOOKUP(BR92,Reinforcements[],COLUMN(Reinforcements[[#Headers],[B (in)]])-1,FALSE))</f>
        <v>#N/A</v>
      </c>
      <c r="BU92" s="248" t="e">
        <f>IF(BS92="solid round",VLOOKUP(BR92,Reinforcements[],COLUMN(Reinforcements[[#Headers],[Diameter (in)]])-1,FALSE),VLOOKUP(BR92,Reinforcements[],COLUMN(Reinforcements[[#Headers],[H (in)]])-1,FALSE))</f>
        <v>#N/A</v>
      </c>
      <c r="BV92" s="278" t="e">
        <f>IFERROR((IF(VLOOKUP(BQ92,Input!$B$21:$AL$50,19+C92,FALSE)="c",$D$20/COS(RADIANS(180/$D$8)),$D$20)+BU92/2)*SIN(RADIANS(D92))-IF(ISNUMBER(VLOOKUP(BQ92,Input!$B$21:$AL$50,19+C92,FALSE)),VLOOKUP(BQ92,Input!$B$21:$AL$50,19+C92,FALSE)*COS(RADIANS(D92)),0)-$D$35,"")*0+N92*1</f>
        <v>#VALUE!</v>
      </c>
      <c r="BW92" s="248" t="e">
        <f>VLOOKUP(BR92,Reinforcements[],COLUMN(Reinforcements[[#Headers],[Effective B (in)]])-1,FALSE)</f>
        <v>#N/A</v>
      </c>
      <c r="BX92" s="248" t="e">
        <f>VLOOKUP(BR92,Reinforcements[],COLUMN(Reinforcements[[#Headers],[Effective H (in)]])-1,FALSE)</f>
        <v>#N/A</v>
      </c>
      <c r="BY92" s="248" t="e">
        <f>VLOOKUP(BR92,Reinforcements[],COLUMN(Reinforcements[[#Headers],[Gross Area (in2)]])-1,FALSE)</f>
        <v>#N/A</v>
      </c>
      <c r="BZ92" s="255" t="s">
        <v>697</v>
      </c>
      <c r="CA92" s="248" t="e">
        <f>VLOOKUP(BR92,Reinforcements[],COLUMN(Reinforcements[[#Headers],[Pole Face to Centroid (in)]])-1,FALSE)</f>
        <v>#N/A</v>
      </c>
      <c r="CB92" s="248" t="e">
        <f>VLOOKUP(BR92,Reinforcements[],COLUMN(Reinforcements[[#Headers],[Ix]])-1,FALSE)</f>
        <v>#N/A</v>
      </c>
      <c r="CC92" s="248" t="e">
        <f>VLOOKUP(BR92,Reinforcements[],COLUMN(Reinforcements[[#Headers],[Iy]])-1,FALSE)</f>
        <v>#N/A</v>
      </c>
      <c r="CD92" s="248" t="e">
        <f>VLOOKUP(BR92,Reinforcements[],COLUMN(Reinforcements[[#Headers],[Lu (in)]])-1,FALSE)</f>
        <v>#N/A</v>
      </c>
      <c r="CE92" s="255" t="s">
        <v>697</v>
      </c>
      <c r="CF92" s="255" t="s">
        <v>697</v>
      </c>
      <c r="CG92" s="248" t="e">
        <f>VLOOKUP(VLOOKUP(BR92,Reinforcements[],COLUMN(Reinforcements[[#Headers],[Material]])-1,FALSE),Materials[],2,FALSE)</f>
        <v>#N/A</v>
      </c>
      <c r="CH92" s="248" t="e">
        <f>VLOOKUP(VLOOKUP(BR92,Reinforcements[],COLUMN(Reinforcements[[#Headers],[Material]])-1,FALSE),Materials[],3,FALSE)</f>
        <v>#N/A</v>
      </c>
      <c r="CI92" s="255" t="e">
        <f>VLOOKUP(BR92,Reinforcements[],COLUMN(Reinforcements[[#Headers],[Tension Only?]])-1,FALSE)</f>
        <v>#N/A</v>
      </c>
      <c r="CJ92" s="17" t="str">
        <f>IF(BQ92="","",AND(INDEX(Results!$G$5:$G$104,MATCH(VLOOKUP($BQ92,Input!$B$21:$J$50,2,FALSE)-0.001,Results!$G$5:$G$104,-1))=$D$4))</f>
        <v/>
      </c>
      <c r="CK92" s="17" t="str">
        <f>IF(BQ92="","",AND(INDEX('Macro References'!$BB$2:$BB$101,MATCH(VLOOKUP($BQ92,Input!$B$21:$J$50,6,FALSE)-0.001,'Macro References'!$BB$2:$BB$101,1))=$D$4))</f>
        <v/>
      </c>
      <c r="CL92" s="17" t="e">
        <f>IF(CJ92,VLOOKUP(BR92,Reinforcements[],COLUMN(Reinforcements[[#Headers],[Bottom End Connection Type]])-1,FALSE),IF(CK92,VLOOKUP(BR92,Reinforcements[],COLUMN(Reinforcements[[#Headers],[Top End Connection Type]])-1,FALSE),""))</f>
        <v>#VALUE!</v>
      </c>
      <c r="CM92" s="17" t="e">
        <f>IF(ISBLANK(VLOOKUP(BR92,Reinforcements[],COLUMN(Reinforcements[[#Headers],[Bottom Transverse Weld Length]])-1,FALSE)),"",(VLOOKUP(BR92,Reinforcements[],COLUMN(Reinforcements[[#Headers],[Bottom Transverse Weld Length]])-1,FALSE)))</f>
        <v>#N/A</v>
      </c>
      <c r="CN92" s="17" t="e">
        <f>IF(ISBLANK(VLOOKUP(BR92,Reinforcements[],COLUMN(Reinforcements[[#Headers],[Bottom Transverse (Horizontal) Weld]])-1,FALSE)),"",(VLOOKUP(BR92,Reinforcements[],COLUMN(Reinforcements[[#Headers],[Bottom Transverse (Horizontal) Weld]])-1,FALSE)))</f>
        <v>#N/A</v>
      </c>
      <c r="CO92" s="17" t="e">
        <f>IF(ISBLANK(VLOOKUP(BR92,Reinforcements[],COLUMN(Reinforcements[[#Headers],[Bottom Longitudinal Weld Length]])-1,FALSE)),"",(VLOOKUP(BR92,Reinforcements[],COLUMN(Reinforcements[[#Headers],[Bottom Longitudinal Weld Length]])-1,FALSE)))</f>
        <v>#N/A</v>
      </c>
      <c r="CP92" s="17" t="str">
        <f>IFERROR(VLOOKUP(BR92,Reinforcements[],COLUMN(Reinforcements[[#Headers],[Bottom Connected to Flange/Base Plate?]])-1,FALSE),"")</f>
        <v/>
      </c>
      <c r="CQ92" s="248" t="e">
        <f>IF(Rev="F",VLOOKUP(BR92,Reinforcements[],COLUMN(Reinforcements[[#Headers],[Rev. F Bottom Transverse Weld Strength]])-1,FALSE),VLOOKUP(BR92,Reinforcements[],COLUMN(Reinforcements[[#Headers],[Rev. G Bottom Transverse Weld Strength]])-1,FALSE))</f>
        <v>#N/A</v>
      </c>
      <c r="CR92" s="248"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248" t="str">
        <f>IF(CP92&lt;&gt;"Yes","",(VLOOKUP(BR92,Reinforcements[],COLUMN(Reinforcements[[#Headers],[Bottom Transverse Weld Groove Depth (in)]])-1,FALSE)+VLOOKUP(BR92,Reinforcements[],COLUMN(Reinforcements[[#Headers],[Bottom Transverse Weld Fillet Size (in)]])-1,FALSE))*CM92*IF(Rev="F",0.6,φ_t_y)*$D$14)</f>
        <v/>
      </c>
      <c r="CT92" s="248" t="e">
        <f>IF(CP92="Yes","",VLOOKUP(BR92,Reinforcements[],COLUMN(Reinforcements[[#Headers],[Bottom Transverse Weld Fillet Size (in)]])-1,FALSE)*CM92*MIN(IF(Rev="F",0.4,φ_shear_yield*0.6)*$D$6,IF(Rev="F",0.3,φ_shear_rupture*0.6)*$D$7))</f>
        <v>#N/A</v>
      </c>
      <c r="CU92" s="248" t="e">
        <f>IF(Rev="F",VLOOKUP(BR92,Reinforcements[],COLUMN(Reinforcements[[#Headers],[Rev. F Bottom Longitudinal Weld Strength]])-1,FALSE),VLOOKUP(BR92,Reinforcements[],COLUMN(Reinforcements[[#Headers],[Rev. G Bottom Longitudinal Weld Strength]])-1,FALSE))</f>
        <v>#N/A</v>
      </c>
      <c r="CV92" s="248" t="e">
        <f>2*VLOOKUP(BR92,Reinforcements[],COLUMN(Reinforcements[[#Headers],[Bottom Longitudinal Weld Fillet Size (in)]])-1,FALSE)*CO92*MIN(IF(Rev="F",0.4,φ_shear_yield*0.6)*CG92,IF(Rev="F",0.3,φ_shear_rupture*0.6)*CH92)</f>
        <v>#N/A</v>
      </c>
      <c r="CW92" s="248" t="e">
        <f>2*VLOOKUP(BR92,Reinforcements[],COLUMN(Reinforcements[[#Headers],[Bottom Longitudinal Weld Fillet Size (in)]])-1,FALSE)*CO92*MIN(IF(Rev="F",0.4,φ_shear_yield*0.6)*$D$6,IF(Rev="F",0.3,φ_shear_rupture*0.6)*$D$7)</f>
        <v>#N/A</v>
      </c>
      <c r="CX92" s="248" t="e">
        <f>IF(ISBLANK(VLOOKUP(BR92,Reinforcements[],COLUMN(Reinforcements[[#Headers],[Top Transverse Weld Length]])-1,FALSE)),"",(VLOOKUP(BR92,Reinforcements[],COLUMN(Reinforcements[[#Headers],[Top Transverse Weld Length]])-1,FALSE)))</f>
        <v>#N/A</v>
      </c>
      <c r="CY92" s="248" t="e">
        <f>IF(ISBLANK(VLOOKUP(BR92,Reinforcements[],COLUMN(Reinforcements[[#Headers],[Top Transverse (Horizontal) Weld]])-1,FALSE)),"",(VLOOKUP(BR92,Reinforcements[],COLUMN(Reinforcements[[#Headers],[Top Transverse (Horizontal) Weld]])-1,FALSE)))</f>
        <v>#N/A</v>
      </c>
      <c r="CZ92" s="248" t="e">
        <f>IF(ISBLANK(VLOOKUP(BR92,Reinforcements[],COLUMN(Reinforcements[[#Headers],[Top Longitudinal Weld Length]])-1,FALSE)),"",(VLOOKUP(BR92,Reinforcements[],COLUMN(Reinforcements[[#Headers],[Top Longitudinal Weld Length]])-1,FALSE)))</f>
        <v>#N/A</v>
      </c>
      <c r="DA92" s="248" t="str">
        <f>IFERROR(VLOOKUP(BR92,Reinforcements[],COLUMN(Reinforcements[[#Headers],[Top Connected to Flange/Base Plate?]])-1,FALSE),"")</f>
        <v/>
      </c>
      <c r="DB92" s="248" t="e">
        <f>IF(Rev="F",VLOOKUP(BR92,Reinforcements[],COLUMN(Reinforcements[[#Headers],[Rev. F Top Transverse Weld Strength]])-1,FALSE),VLOOKUP(BR92,Reinforcements[],COLUMN(Reinforcements[[#Headers],[Rev. G Top Transverse Weld Strength]])-1,FALSE))</f>
        <v>#N/A</v>
      </c>
      <c r="DC92" s="248"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248" t="str">
        <f>IF(DA92&lt;&gt;"Yes","",(VLOOKUP(BR92,Reinforcements[],COLUMN(Reinforcements[[#Headers],[Top Transverse Weld Groove Depth (in)]])-1,FALSE)+VLOOKUP(BR92,Reinforcements[],COLUMN(Reinforcements[[#Headers],[Top Transverse Weld Fillet Size (in)]])-1,FALSE))*CX92*IF(Rev="F",0.6,φ_t_y)*$D$14)</f>
        <v/>
      </c>
      <c r="DE92" s="248" t="e">
        <f>IF(DA92="Yes","",VLOOKUP(BR92,Reinforcements[],COLUMN(Reinforcements[[#Headers],[Top Transverse Weld Fillet Size (in)]])-1,FALSE)*CX92*MIN(IF(Rev="F",0.4,φ_shear_yield*0.6)*$D$6,IF(Rev="F",0.3,φ_shear_rupture*0.6)*$D$7))</f>
        <v>#N/A</v>
      </c>
      <c r="DF92" s="248" t="e">
        <f>IF(Rev="F",VLOOKUP(BR92,Reinforcements[],COLUMN(Reinforcements[[#Headers],[Rev. F Top Longitudinal Weld Strength]])-1,FALSE),VLOOKUP(BR92,Reinforcements[],COLUMN(Reinforcements[[#Headers],[Rev. G Top Longitudinal Weld Strength]])-1,FALSE))</f>
        <v>#N/A</v>
      </c>
      <c r="DG92" s="248" t="e">
        <f>2*VLOOKUP(BR92,Reinforcements[],COLUMN(Reinforcements[[#Headers],[Top Longitudinal Weld Fillet Size (in)]])-1,FALSE)*CZ92*MIN(IF(Rev="F",0.4,φ_shear_yield*0.6)*CG92,IF(Rev="F",0.3,φ_shear_rupture*0.6)*CH92)</f>
        <v>#N/A</v>
      </c>
      <c r="DH92" s="248" t="e">
        <f>2*VLOOKUP(BR92,Reinforcements[],COLUMN(Reinforcements[[#Headers],[Top Longitudinal Weld Fillet Size (in)]])-1,FALSE)*CZ92*MIN(IF(Rev="F",0.4,φ_shear_yield*0.6)*$D$6,IF(Rev="F",0.3,φ_shear_rupture*0.6)*$D$7)</f>
        <v>#N/A</v>
      </c>
      <c r="DI92" s="49" t="e">
        <f>IF(BS92="channel",VLOOKUP(Calculations!BR92,Reinforcements[],COLUMN(Reinforcements[[#Headers],['[Channel']Web Thickness (in)]])-1,FALSE),"")</f>
        <v>#N/A</v>
      </c>
      <c r="DJ92" s="49" t="b">
        <f t="shared" si="126"/>
        <v>0</v>
      </c>
      <c r="DK92" s="49" t="e">
        <f>IF(BS92="channel",Calculations!BU92-DI92,"")</f>
        <v>#N/A</v>
      </c>
      <c r="DL92" s="49" t="e">
        <f>IF(BS92="channel",(Calculations!BY92-Calculations!BT92*DI92)/(2*DK92))</f>
        <v>#N/A</v>
      </c>
      <c r="DM92" s="49" t="e">
        <f>IF(BS92="channel",(Calculations!BT92*(DI92^2)/2+2*DK92*DL92*(DI92+DK92/2))/Calculations!BY92,"")</f>
        <v>#N/A</v>
      </c>
    </row>
    <row r="93" spans="2:117" ht="15" x14ac:dyDescent="0.25">
      <c r="B93" s="49" t="str">
        <f t="shared" si="70"/>
        <v/>
      </c>
      <c r="C93" s="201">
        <v>15</v>
      </c>
      <c r="D93" s="255" t="str">
        <f>IF(BQ93="","",IF($D$8=0,IF(OR(VLOOKUP(BQ93,Input!$B$21:$AL$50,19+C93,FALSE)+$D$5=0,VLOOKUP(BQ93,Input!$B$21:$AL$50,19+C93,FALSE)+$D$5=180),VLOOKUP(BQ93,Input!$B$21:$AL$50,19+C93,FALSE)+$D$5+0.0001,VLOOKUP(BQ93,Input!$B$21:$AL$50,19+C93,FALSE)+$D$5),IF(VLOOKUP(BQ93,Input!$B$21:$AL$50,19+C93,FALSE)="c",VLOOKUP($C93,$C$40:$E$57,2,FALSE)+180/$D$8,VLOOKUP($C93,$C$40:$E$57,2,FALSE))))</f>
        <v/>
      </c>
      <c r="E93" s="17" t="str">
        <f t="shared" si="110"/>
        <v/>
      </c>
      <c r="F93" s="258" t="str">
        <f>IF(BR93="","",VLOOKUP(BR93,Reinforcements[],COLUMN(Reinforcements[[#Headers],[Gross Area (in2)]])-1,FALSE))</f>
        <v/>
      </c>
      <c r="G93" s="256" t="e">
        <f>(IF(VLOOKUP(BQ93,Input!$B$21:$AL$50,19+C93,FALSE)="c",$D$20/COS(RADIANS(180/$D$8)),$D$20)+CA93)*SIN(RADIANS(D93))-IF(AND(ISNUMBER(VLOOKUP(BQ93,Input!$B$21:$AL$50,19+C93,FALSE)),$D$8&lt;&gt;0),VLOOKUP(BQ93,Input!$B$21:$AL$50,19+C93,FALSE)*COS(RADIANS(D93)),0)</f>
        <v>#N/A</v>
      </c>
      <c r="H93" s="251" t="str">
        <f t="shared" si="111"/>
        <v/>
      </c>
      <c r="I93" s="251" t="e">
        <f t="shared" si="86"/>
        <v>#N/A</v>
      </c>
      <c r="J93" s="251" t="e">
        <f t="shared" si="112"/>
        <v>#N/A</v>
      </c>
      <c r="K93" s="251" t="e">
        <f t="shared" si="113"/>
        <v>#N/A</v>
      </c>
      <c r="L93" s="251" t="e">
        <f t="shared" si="114"/>
        <v>#N/A</v>
      </c>
      <c r="M93" s="252" t="str">
        <f t="shared" si="115"/>
        <v/>
      </c>
      <c r="N93" s="250" t="str">
        <f>IFERROR((IF(VLOOKUP(BQ93,Input!$B$21:$AL$50,19+C93,FALSE)="c",$D$20/COS(RADIANS(180/$D$8)),$D$20)+CA93)*SIN(RADIANS(D93))-IF(AND(ISNUMBER(VLOOKUP(BQ93,Input!$B$21:$AL$50,19+C93,FALSE)),$D$8&lt;&gt;0),VLOOKUP(BQ93,Input!$B$21:$AL$50,19+C93,FALSE)*COS(RADIANS(D93)),0)-$D$35,"")</f>
        <v/>
      </c>
      <c r="O93" s="251" t="str">
        <f t="shared" si="87"/>
        <v/>
      </c>
      <c r="P93" s="251" t="str">
        <f t="shared" si="88"/>
        <v/>
      </c>
      <c r="Q93" s="251" t="str">
        <f t="shared" si="89"/>
        <v/>
      </c>
      <c r="R93" s="252" t="str">
        <f t="shared" si="90"/>
        <v/>
      </c>
      <c r="S93" s="251" t="str">
        <f t="shared" si="91"/>
        <v/>
      </c>
      <c r="T93" s="251" t="str">
        <f t="shared" si="92"/>
        <v/>
      </c>
      <c r="U93" s="251" t="str">
        <f t="shared" si="93"/>
        <v/>
      </c>
      <c r="V93" s="252" t="str">
        <f t="shared" si="94"/>
        <v/>
      </c>
      <c r="W93" s="323"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324"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324"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324" t="str">
        <f>IFERROR(IF('Macro References'!$A$9,IF(AND(CJ93,CL93="Welded"),MIN(CQ93:CT93),IF(AND(CK93,CL93="Welded"),MIN(DB93:DE93),"")),""),"")</f>
        <v/>
      </c>
      <c r="AA93" s="255" t="str">
        <f>IFERROR(IF('Macro References'!$A$9,IF(AND(CJ93,CL93="Welded"),MIN(CU93:CW93),IF(AND(CK93,CL93="Welded"),MIN(DF93:DH93),"")),""),"")</f>
        <v/>
      </c>
      <c r="AB93" s="255" t="str">
        <f>IFERROR(IF('Macro References'!$A$9,IF(AND(CJ93,CL93="Welded",CN93="Fillet",CU93&gt;0),TRUE,IF(AND(CK93,CL93="Welded",CY93="Fillet",DF93&gt;0),TRUE,"")),""),"")</f>
        <v/>
      </c>
      <c r="AC93" s="255"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255"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32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248"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32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274" t="str">
        <f t="shared" si="95"/>
        <v/>
      </c>
      <c r="AI93" s="255" t="str">
        <f t="shared" si="96"/>
        <v/>
      </c>
      <c r="AJ93" s="255" t="str">
        <f t="shared" si="97"/>
        <v/>
      </c>
      <c r="AK93" s="255" t="str">
        <f t="shared" si="85"/>
        <v/>
      </c>
      <c r="AL93" s="248" t="str">
        <f t="shared" si="78"/>
        <v/>
      </c>
      <c r="AM93" s="255" t="str">
        <f>""</f>
        <v/>
      </c>
      <c r="AN93" s="255" t="str">
        <f t="shared" si="98"/>
        <v/>
      </c>
      <c r="AO93" s="248" t="str">
        <f t="shared" si="99"/>
        <v/>
      </c>
      <c r="AP93" s="275" t="str">
        <f t="shared" si="100"/>
        <v/>
      </c>
      <c r="AQ93" s="276" t="str">
        <f t="shared" si="53"/>
        <v/>
      </c>
      <c r="AR93" s="255" t="str">
        <f>IF(BR93="","",VLOOKUP(VLOOKUP(BR93,Reinforcements[],COLUMN(Reinforcements[[#Headers],[Material]])-1,FALSE),Materials[],2,FALSE)/$D$28)</f>
        <v/>
      </c>
      <c r="AS93" s="248" t="str">
        <f t="shared" si="54"/>
        <v/>
      </c>
      <c r="AT93" s="327" t="str">
        <f t="shared" si="101"/>
        <v/>
      </c>
      <c r="AU93" s="277">
        <f t="shared" si="116"/>
        <v>0</v>
      </c>
      <c r="AV93" s="278">
        <f t="shared" si="117"/>
        <v>0</v>
      </c>
      <c r="AW93" s="278" t="e">
        <f t="shared" si="102"/>
        <v>#N/A</v>
      </c>
      <c r="AX93" s="278" t="e">
        <f t="shared" si="103"/>
        <v>#N/A</v>
      </c>
      <c r="AY93" s="278" t="str">
        <f t="shared" si="104"/>
        <v/>
      </c>
      <c r="AZ93" s="278" t="e">
        <f t="shared" si="105"/>
        <v>#VALUE!</v>
      </c>
      <c r="BA93" s="295" t="str">
        <f t="shared" si="118"/>
        <v/>
      </c>
      <c r="BB93" s="297" t="str">
        <f t="shared" si="119"/>
        <v/>
      </c>
      <c r="BC93" s="298" t="str">
        <f t="shared" si="120"/>
        <v/>
      </c>
      <c r="BD93" s="298" t="str">
        <f t="shared" si="106"/>
        <v/>
      </c>
      <c r="BE93" s="295" t="str">
        <f t="shared" si="121"/>
        <v/>
      </c>
      <c r="BF93" s="299" t="e">
        <f t="shared" si="122"/>
        <v>#DIV/0!</v>
      </c>
      <c r="BG93" s="300" t="str">
        <f t="shared" si="107"/>
        <v/>
      </c>
      <c r="BH93" s="300" t="str">
        <f t="shared" si="108"/>
        <v/>
      </c>
      <c r="BI93" s="295" t="e">
        <f t="shared" si="123"/>
        <v>#DIV/0!</v>
      </c>
      <c r="BJ93" s="299" t="str">
        <f t="shared" si="124"/>
        <v/>
      </c>
      <c r="BK93" s="278" t="e">
        <f t="shared" si="125"/>
        <v>#DIV/0!</v>
      </c>
      <c r="BL93" s="49" t="str">
        <f t="shared" si="68"/>
        <v/>
      </c>
      <c r="BP93" s="25" t="e">
        <f t="shared" si="109"/>
        <v>#DIV/0!</v>
      </c>
      <c r="BQ93" s="303"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303" t="str">
        <f>IF(BQ93="","",VLOOKUP(BQ93,Input!$B$21:$Q$50,13,FALSE))</f>
        <v/>
      </c>
      <c r="BS93" s="248" t="e">
        <f>VLOOKUP(BR93,Reinforcements[],COLUMN(Reinforcements[[#Headers],[Type]])-1,FALSE)</f>
        <v>#N/A</v>
      </c>
      <c r="BT93" s="248" t="e">
        <f>IF(BS93="solid round",VLOOKUP(BR93,Reinforcements[],COLUMN(Reinforcements[[#Headers],[Diameter (in)]])-1,FALSE),VLOOKUP(BR93,Reinforcements[],COLUMN(Reinforcements[[#Headers],[B (in)]])-1,FALSE))</f>
        <v>#N/A</v>
      </c>
      <c r="BU93" s="248" t="e">
        <f>IF(BS93="solid round",VLOOKUP(BR93,Reinforcements[],COLUMN(Reinforcements[[#Headers],[Diameter (in)]])-1,FALSE),VLOOKUP(BR93,Reinforcements[],COLUMN(Reinforcements[[#Headers],[H (in)]])-1,FALSE))</f>
        <v>#N/A</v>
      </c>
      <c r="BV93" s="278" t="e">
        <f>IFERROR((IF(VLOOKUP(BQ93,Input!$B$21:$AL$50,19+C93,FALSE)="c",$D$20/COS(RADIANS(180/$D$8)),$D$20)+BU93/2)*SIN(RADIANS(D93))-IF(ISNUMBER(VLOOKUP(BQ93,Input!$B$21:$AL$50,19+C93,FALSE)),VLOOKUP(BQ93,Input!$B$21:$AL$50,19+C93,FALSE)*COS(RADIANS(D93)),0)-$D$35,"")*0+N93*1</f>
        <v>#VALUE!</v>
      </c>
      <c r="BW93" s="248" t="e">
        <f>VLOOKUP(BR93,Reinforcements[],COLUMN(Reinforcements[[#Headers],[Effective B (in)]])-1,FALSE)</f>
        <v>#N/A</v>
      </c>
      <c r="BX93" s="248" t="e">
        <f>VLOOKUP(BR93,Reinforcements[],COLUMN(Reinforcements[[#Headers],[Effective H (in)]])-1,FALSE)</f>
        <v>#N/A</v>
      </c>
      <c r="BY93" s="248" t="e">
        <f>VLOOKUP(BR93,Reinforcements[],COLUMN(Reinforcements[[#Headers],[Gross Area (in2)]])-1,FALSE)</f>
        <v>#N/A</v>
      </c>
      <c r="BZ93" s="255" t="s">
        <v>697</v>
      </c>
      <c r="CA93" s="248" t="e">
        <f>VLOOKUP(BR93,Reinforcements[],COLUMN(Reinforcements[[#Headers],[Pole Face to Centroid (in)]])-1,FALSE)</f>
        <v>#N/A</v>
      </c>
      <c r="CB93" s="248" t="e">
        <f>VLOOKUP(BR93,Reinforcements[],COLUMN(Reinforcements[[#Headers],[Ix]])-1,FALSE)</f>
        <v>#N/A</v>
      </c>
      <c r="CC93" s="248" t="e">
        <f>VLOOKUP(BR93,Reinforcements[],COLUMN(Reinforcements[[#Headers],[Iy]])-1,FALSE)</f>
        <v>#N/A</v>
      </c>
      <c r="CD93" s="248" t="e">
        <f>VLOOKUP(BR93,Reinforcements[],COLUMN(Reinforcements[[#Headers],[Lu (in)]])-1,FALSE)</f>
        <v>#N/A</v>
      </c>
      <c r="CE93" s="255" t="s">
        <v>697</v>
      </c>
      <c r="CF93" s="255" t="s">
        <v>697</v>
      </c>
      <c r="CG93" s="248" t="e">
        <f>VLOOKUP(VLOOKUP(BR93,Reinforcements[],COLUMN(Reinforcements[[#Headers],[Material]])-1,FALSE),Materials[],2,FALSE)</f>
        <v>#N/A</v>
      </c>
      <c r="CH93" s="248" t="e">
        <f>VLOOKUP(VLOOKUP(BR93,Reinforcements[],COLUMN(Reinforcements[[#Headers],[Material]])-1,FALSE),Materials[],3,FALSE)</f>
        <v>#N/A</v>
      </c>
      <c r="CI93" s="255" t="e">
        <f>VLOOKUP(BR93,Reinforcements[],COLUMN(Reinforcements[[#Headers],[Tension Only?]])-1,FALSE)</f>
        <v>#N/A</v>
      </c>
      <c r="CJ93" s="17" t="str">
        <f>IF(BQ93="","",AND(INDEX(Results!$G$5:$G$104,MATCH(VLOOKUP($BQ93,Input!$B$21:$J$50,2,FALSE)-0.001,Results!$G$5:$G$104,-1))=$D$4))</f>
        <v/>
      </c>
      <c r="CK93" s="17" t="str">
        <f>IF(BQ93="","",AND(INDEX('Macro References'!$BB$2:$BB$101,MATCH(VLOOKUP($BQ93,Input!$B$21:$J$50,6,FALSE)-0.001,'Macro References'!$BB$2:$BB$101,1))=$D$4))</f>
        <v/>
      </c>
      <c r="CL93" s="17" t="e">
        <f>IF(CJ93,VLOOKUP(BR93,Reinforcements[],COLUMN(Reinforcements[[#Headers],[Bottom End Connection Type]])-1,FALSE),IF(CK93,VLOOKUP(BR93,Reinforcements[],COLUMN(Reinforcements[[#Headers],[Top End Connection Type]])-1,FALSE),""))</f>
        <v>#VALUE!</v>
      </c>
      <c r="CM93" s="17" t="e">
        <f>IF(ISBLANK(VLOOKUP(BR93,Reinforcements[],COLUMN(Reinforcements[[#Headers],[Bottom Transverse Weld Length]])-1,FALSE)),"",(VLOOKUP(BR93,Reinforcements[],COLUMN(Reinforcements[[#Headers],[Bottom Transverse Weld Length]])-1,FALSE)))</f>
        <v>#N/A</v>
      </c>
      <c r="CN93" s="17" t="e">
        <f>IF(ISBLANK(VLOOKUP(BR93,Reinforcements[],COLUMN(Reinforcements[[#Headers],[Bottom Transverse (Horizontal) Weld]])-1,FALSE)),"",(VLOOKUP(BR93,Reinforcements[],COLUMN(Reinforcements[[#Headers],[Bottom Transverse (Horizontal) Weld]])-1,FALSE)))</f>
        <v>#N/A</v>
      </c>
      <c r="CO93" s="17" t="e">
        <f>IF(ISBLANK(VLOOKUP(BR93,Reinforcements[],COLUMN(Reinforcements[[#Headers],[Bottom Longitudinal Weld Length]])-1,FALSE)),"",(VLOOKUP(BR93,Reinforcements[],COLUMN(Reinforcements[[#Headers],[Bottom Longitudinal Weld Length]])-1,FALSE)))</f>
        <v>#N/A</v>
      </c>
      <c r="CP93" s="17" t="str">
        <f>IFERROR(VLOOKUP(BR93,Reinforcements[],COLUMN(Reinforcements[[#Headers],[Bottom Connected to Flange/Base Plate?]])-1,FALSE),"")</f>
        <v/>
      </c>
      <c r="CQ93" s="248" t="e">
        <f>IF(Rev="F",VLOOKUP(BR93,Reinforcements[],COLUMN(Reinforcements[[#Headers],[Rev. F Bottom Transverse Weld Strength]])-1,FALSE),VLOOKUP(BR93,Reinforcements[],COLUMN(Reinforcements[[#Headers],[Rev. G Bottom Transverse Weld Strength]])-1,FALSE))</f>
        <v>#N/A</v>
      </c>
      <c r="CR93" s="248"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248" t="str">
        <f>IF(CP93&lt;&gt;"Yes","",(VLOOKUP(BR93,Reinforcements[],COLUMN(Reinforcements[[#Headers],[Bottom Transverse Weld Groove Depth (in)]])-1,FALSE)+VLOOKUP(BR93,Reinforcements[],COLUMN(Reinforcements[[#Headers],[Bottom Transverse Weld Fillet Size (in)]])-1,FALSE))*CM93*IF(Rev="F",0.6,φ_t_y)*$D$14)</f>
        <v/>
      </c>
      <c r="CT93" s="248" t="e">
        <f>IF(CP93="Yes","",VLOOKUP(BR93,Reinforcements[],COLUMN(Reinforcements[[#Headers],[Bottom Transverse Weld Fillet Size (in)]])-1,FALSE)*CM93*MIN(IF(Rev="F",0.4,φ_shear_yield*0.6)*$D$6,IF(Rev="F",0.3,φ_shear_rupture*0.6)*$D$7))</f>
        <v>#N/A</v>
      </c>
      <c r="CU93" s="248" t="e">
        <f>IF(Rev="F",VLOOKUP(BR93,Reinforcements[],COLUMN(Reinforcements[[#Headers],[Rev. F Bottom Longitudinal Weld Strength]])-1,FALSE),VLOOKUP(BR93,Reinforcements[],COLUMN(Reinforcements[[#Headers],[Rev. G Bottom Longitudinal Weld Strength]])-1,FALSE))</f>
        <v>#N/A</v>
      </c>
      <c r="CV93" s="248" t="e">
        <f>2*VLOOKUP(BR93,Reinforcements[],COLUMN(Reinforcements[[#Headers],[Bottom Longitudinal Weld Fillet Size (in)]])-1,FALSE)*CO93*MIN(IF(Rev="F",0.4,φ_shear_yield*0.6)*CG93,IF(Rev="F",0.3,φ_shear_rupture*0.6)*CH93)</f>
        <v>#N/A</v>
      </c>
      <c r="CW93" s="248" t="e">
        <f>2*VLOOKUP(BR93,Reinforcements[],COLUMN(Reinforcements[[#Headers],[Bottom Longitudinal Weld Fillet Size (in)]])-1,FALSE)*CO93*MIN(IF(Rev="F",0.4,φ_shear_yield*0.6)*$D$6,IF(Rev="F",0.3,φ_shear_rupture*0.6)*$D$7)</f>
        <v>#N/A</v>
      </c>
      <c r="CX93" s="248" t="e">
        <f>IF(ISBLANK(VLOOKUP(BR93,Reinforcements[],COLUMN(Reinforcements[[#Headers],[Top Transverse Weld Length]])-1,FALSE)),"",(VLOOKUP(BR93,Reinforcements[],COLUMN(Reinforcements[[#Headers],[Top Transverse Weld Length]])-1,FALSE)))</f>
        <v>#N/A</v>
      </c>
      <c r="CY93" s="248" t="e">
        <f>IF(ISBLANK(VLOOKUP(BR93,Reinforcements[],COLUMN(Reinforcements[[#Headers],[Top Transverse (Horizontal) Weld]])-1,FALSE)),"",(VLOOKUP(BR93,Reinforcements[],COLUMN(Reinforcements[[#Headers],[Top Transverse (Horizontal) Weld]])-1,FALSE)))</f>
        <v>#N/A</v>
      </c>
      <c r="CZ93" s="248" t="e">
        <f>IF(ISBLANK(VLOOKUP(BR93,Reinforcements[],COLUMN(Reinforcements[[#Headers],[Top Longitudinal Weld Length]])-1,FALSE)),"",(VLOOKUP(BR93,Reinforcements[],COLUMN(Reinforcements[[#Headers],[Top Longitudinal Weld Length]])-1,FALSE)))</f>
        <v>#N/A</v>
      </c>
      <c r="DA93" s="248" t="str">
        <f>IFERROR(VLOOKUP(BR93,Reinforcements[],COLUMN(Reinforcements[[#Headers],[Top Connected to Flange/Base Plate?]])-1,FALSE),"")</f>
        <v/>
      </c>
      <c r="DB93" s="248" t="e">
        <f>IF(Rev="F",VLOOKUP(BR93,Reinforcements[],COLUMN(Reinforcements[[#Headers],[Rev. F Top Transverse Weld Strength]])-1,FALSE),VLOOKUP(BR93,Reinforcements[],COLUMN(Reinforcements[[#Headers],[Rev. G Top Transverse Weld Strength]])-1,FALSE))</f>
        <v>#N/A</v>
      </c>
      <c r="DC93" s="248"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248" t="str">
        <f>IF(DA93&lt;&gt;"Yes","",(VLOOKUP(BR93,Reinforcements[],COLUMN(Reinforcements[[#Headers],[Top Transverse Weld Groove Depth (in)]])-1,FALSE)+VLOOKUP(BR93,Reinforcements[],COLUMN(Reinforcements[[#Headers],[Top Transverse Weld Fillet Size (in)]])-1,FALSE))*CX93*IF(Rev="F",0.6,φ_t_y)*$D$14)</f>
        <v/>
      </c>
      <c r="DE93" s="248" t="e">
        <f>IF(DA93="Yes","",VLOOKUP(BR93,Reinforcements[],COLUMN(Reinforcements[[#Headers],[Top Transverse Weld Fillet Size (in)]])-1,FALSE)*CX93*MIN(IF(Rev="F",0.4,φ_shear_yield*0.6)*$D$6,IF(Rev="F",0.3,φ_shear_rupture*0.6)*$D$7))</f>
        <v>#N/A</v>
      </c>
      <c r="DF93" s="248" t="e">
        <f>IF(Rev="F",VLOOKUP(BR93,Reinforcements[],COLUMN(Reinforcements[[#Headers],[Rev. F Top Longitudinal Weld Strength]])-1,FALSE),VLOOKUP(BR93,Reinforcements[],COLUMN(Reinforcements[[#Headers],[Rev. G Top Longitudinal Weld Strength]])-1,FALSE))</f>
        <v>#N/A</v>
      </c>
      <c r="DG93" s="248" t="e">
        <f>2*VLOOKUP(BR93,Reinforcements[],COLUMN(Reinforcements[[#Headers],[Top Longitudinal Weld Fillet Size (in)]])-1,FALSE)*CZ93*MIN(IF(Rev="F",0.4,φ_shear_yield*0.6)*CG93,IF(Rev="F",0.3,φ_shear_rupture*0.6)*CH93)</f>
        <v>#N/A</v>
      </c>
      <c r="DH93" s="248" t="e">
        <f>2*VLOOKUP(BR93,Reinforcements[],COLUMN(Reinforcements[[#Headers],[Top Longitudinal Weld Fillet Size (in)]])-1,FALSE)*CZ93*MIN(IF(Rev="F",0.4,φ_shear_yield*0.6)*$D$6,IF(Rev="F",0.3,φ_shear_rupture*0.6)*$D$7)</f>
        <v>#N/A</v>
      </c>
      <c r="DI93" s="49" t="e">
        <f>IF(BS93="channel",VLOOKUP(Calculations!BR93,Reinforcements[],COLUMN(Reinforcements[[#Headers],['[Channel']Web Thickness (in)]])-1,FALSE),"")</f>
        <v>#N/A</v>
      </c>
      <c r="DJ93" s="49" t="b">
        <f t="shared" si="126"/>
        <v>0</v>
      </c>
      <c r="DK93" s="49" t="e">
        <f>IF(BS93="channel",Calculations!BU93-DI93,"")</f>
        <v>#N/A</v>
      </c>
      <c r="DL93" s="49" t="e">
        <f>IF(BS93="channel",(Calculations!BY93-Calculations!BT93*DI93)/(2*DK93))</f>
        <v>#N/A</v>
      </c>
      <c r="DM93" s="49" t="e">
        <f>IF(BS93="channel",(Calculations!BT93*(DI93^2)/2+2*DK93*DL93*(DI93+DK93/2))/Calculations!BY93,"")</f>
        <v>#N/A</v>
      </c>
    </row>
    <row r="94" spans="2:117" ht="15" x14ac:dyDescent="0.25">
      <c r="B94" s="49" t="str">
        <f t="shared" si="70"/>
        <v/>
      </c>
      <c r="C94" s="201">
        <v>16</v>
      </c>
      <c r="D94" s="255" t="str">
        <f>IF(BQ94="","",IF($D$8=0,IF(OR(VLOOKUP(BQ94,Input!$B$21:$AL$50,19+C94,FALSE)+$D$5=0,VLOOKUP(BQ94,Input!$B$21:$AL$50,19+C94,FALSE)+$D$5=180),VLOOKUP(BQ94,Input!$B$21:$AL$50,19+C94,FALSE)+$D$5+0.0001,VLOOKUP(BQ94,Input!$B$21:$AL$50,19+C94,FALSE)+$D$5),IF(VLOOKUP(BQ94,Input!$B$21:$AL$50,19+C94,FALSE)="c",VLOOKUP($C94,$C$40:$E$57,2,FALSE)+180/$D$8,VLOOKUP($C94,$C$40:$E$57,2,FALSE))))</f>
        <v/>
      </c>
      <c r="E94" s="17" t="str">
        <f t="shared" si="110"/>
        <v/>
      </c>
      <c r="F94" s="258" t="str">
        <f>IF(BR94="","",VLOOKUP(BR94,Reinforcements[],COLUMN(Reinforcements[[#Headers],[Gross Area (in2)]])-1,FALSE))</f>
        <v/>
      </c>
      <c r="G94" s="256" t="e">
        <f>(IF(VLOOKUP(BQ94,Input!$B$21:$AL$50,19+C94,FALSE)="c",$D$20/COS(RADIANS(180/$D$8)),$D$20)+CA94)*SIN(RADIANS(D94))-IF(AND(ISNUMBER(VLOOKUP(BQ94,Input!$B$21:$AL$50,19+C94,FALSE)),$D$8&lt;&gt;0),VLOOKUP(BQ94,Input!$B$21:$AL$50,19+C94,FALSE)*COS(RADIANS(D94)),0)</f>
        <v>#N/A</v>
      </c>
      <c r="H94" s="251" t="str">
        <f t="shared" si="111"/>
        <v/>
      </c>
      <c r="I94" s="251" t="e">
        <f t="shared" si="86"/>
        <v>#N/A</v>
      </c>
      <c r="J94" s="251" t="e">
        <f t="shared" si="112"/>
        <v>#N/A</v>
      </c>
      <c r="K94" s="251" t="e">
        <f t="shared" si="113"/>
        <v>#N/A</v>
      </c>
      <c r="L94" s="251" t="e">
        <f t="shared" si="114"/>
        <v>#N/A</v>
      </c>
      <c r="M94" s="252" t="str">
        <f t="shared" si="115"/>
        <v/>
      </c>
      <c r="N94" s="250" t="str">
        <f>IFERROR((IF(VLOOKUP(BQ94,Input!$B$21:$AL$50,19+C94,FALSE)="c",$D$20/COS(RADIANS(180/$D$8)),$D$20)+CA94)*SIN(RADIANS(D94))-IF(AND(ISNUMBER(VLOOKUP(BQ94,Input!$B$21:$AL$50,19+C94,FALSE)),$D$8&lt;&gt;0),VLOOKUP(BQ94,Input!$B$21:$AL$50,19+C94,FALSE)*COS(RADIANS(D94)),0)-$D$35,"")</f>
        <v/>
      </c>
      <c r="O94" s="251" t="str">
        <f t="shared" si="87"/>
        <v/>
      </c>
      <c r="P94" s="251" t="str">
        <f t="shared" si="88"/>
        <v/>
      </c>
      <c r="Q94" s="251" t="str">
        <f t="shared" si="89"/>
        <v/>
      </c>
      <c r="R94" s="252" t="str">
        <f t="shared" si="90"/>
        <v/>
      </c>
      <c r="S94" s="251" t="str">
        <f t="shared" si="91"/>
        <v/>
      </c>
      <c r="T94" s="251" t="str">
        <f t="shared" si="92"/>
        <v/>
      </c>
      <c r="U94" s="251" t="str">
        <f t="shared" si="93"/>
        <v/>
      </c>
      <c r="V94" s="252" t="str">
        <f t="shared" si="94"/>
        <v/>
      </c>
      <c r="W94" s="323"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324"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324"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324" t="str">
        <f>IFERROR(IF('Macro References'!$A$9,IF(AND(CJ94,CL94="Welded"),MIN(CQ94:CT94),IF(AND(CK94,CL94="Welded"),MIN(DB94:DE94),"")),""),"")</f>
        <v/>
      </c>
      <c r="AA94" s="255" t="str">
        <f>IFERROR(IF('Macro References'!$A$9,IF(AND(CJ94,CL94="Welded"),MIN(CU94:CW94),IF(AND(CK94,CL94="Welded"),MIN(DF94:DH94),"")),""),"")</f>
        <v/>
      </c>
      <c r="AB94" s="255" t="str">
        <f>IFERROR(IF('Macro References'!$A$9,IF(AND(CJ94,CL94="Welded",CN94="Fillet",CU94&gt;0),TRUE,IF(AND(CK94,CL94="Welded",CY94="Fillet",DF94&gt;0),TRUE,"")),""),"")</f>
        <v/>
      </c>
      <c r="AC94" s="255"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255"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32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248"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32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274" t="str">
        <f t="shared" si="95"/>
        <v/>
      </c>
      <c r="AI94" s="255" t="str">
        <f t="shared" si="96"/>
        <v/>
      </c>
      <c r="AJ94" s="255" t="str">
        <f t="shared" si="97"/>
        <v/>
      </c>
      <c r="AK94" s="255" t="str">
        <f t="shared" si="85"/>
        <v/>
      </c>
      <c r="AL94" s="248" t="str">
        <f t="shared" si="78"/>
        <v/>
      </c>
      <c r="AM94" s="255" t="str">
        <f>""</f>
        <v/>
      </c>
      <c r="AN94" s="255" t="str">
        <f t="shared" si="98"/>
        <v/>
      </c>
      <c r="AO94" s="248" t="str">
        <f t="shared" si="99"/>
        <v/>
      </c>
      <c r="AP94" s="275" t="str">
        <f t="shared" si="100"/>
        <v/>
      </c>
      <c r="AQ94" s="276" t="str">
        <f t="shared" si="53"/>
        <v/>
      </c>
      <c r="AR94" s="255" t="str">
        <f>IF(BR94="","",VLOOKUP(VLOOKUP(BR94,Reinforcements[],COLUMN(Reinforcements[[#Headers],[Material]])-1,FALSE),Materials[],2,FALSE)/$D$28)</f>
        <v/>
      </c>
      <c r="AS94" s="248" t="str">
        <f t="shared" si="54"/>
        <v/>
      </c>
      <c r="AT94" s="327" t="str">
        <f t="shared" si="101"/>
        <v/>
      </c>
      <c r="AU94" s="277">
        <f t="shared" si="116"/>
        <v>0</v>
      </c>
      <c r="AV94" s="278">
        <f t="shared" si="117"/>
        <v>0</v>
      </c>
      <c r="AW94" s="278" t="e">
        <f t="shared" si="102"/>
        <v>#N/A</v>
      </c>
      <c r="AX94" s="278" t="e">
        <f t="shared" si="103"/>
        <v>#N/A</v>
      </c>
      <c r="AY94" s="278" t="str">
        <f t="shared" si="104"/>
        <v/>
      </c>
      <c r="AZ94" s="278" t="e">
        <f t="shared" si="105"/>
        <v>#VALUE!</v>
      </c>
      <c r="BA94" s="295" t="str">
        <f t="shared" si="118"/>
        <v/>
      </c>
      <c r="BB94" s="297" t="str">
        <f t="shared" si="119"/>
        <v/>
      </c>
      <c r="BC94" s="298" t="str">
        <f t="shared" si="120"/>
        <v/>
      </c>
      <c r="BD94" s="298" t="str">
        <f t="shared" si="106"/>
        <v/>
      </c>
      <c r="BE94" s="295" t="str">
        <f t="shared" si="121"/>
        <v/>
      </c>
      <c r="BF94" s="299" t="e">
        <f t="shared" si="122"/>
        <v>#DIV/0!</v>
      </c>
      <c r="BG94" s="300" t="str">
        <f t="shared" si="107"/>
        <v/>
      </c>
      <c r="BH94" s="300" t="str">
        <f t="shared" si="108"/>
        <v/>
      </c>
      <c r="BI94" s="295" t="e">
        <f t="shared" si="123"/>
        <v>#DIV/0!</v>
      </c>
      <c r="BJ94" s="299" t="str">
        <f t="shared" si="124"/>
        <v/>
      </c>
      <c r="BK94" s="278" t="e">
        <f t="shared" si="125"/>
        <v>#DIV/0!</v>
      </c>
      <c r="BL94" s="49" t="str">
        <f t="shared" si="68"/>
        <v/>
      </c>
      <c r="BP94" s="25" t="e">
        <f t="shared" si="109"/>
        <v>#DIV/0!</v>
      </c>
      <c r="BQ94" s="303"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303" t="str">
        <f>IF(BQ94="","",VLOOKUP(BQ94,Input!$B$21:$Q$50,13,FALSE))</f>
        <v/>
      </c>
      <c r="BS94" s="248" t="e">
        <f>VLOOKUP(BR94,Reinforcements[],COLUMN(Reinforcements[[#Headers],[Type]])-1,FALSE)</f>
        <v>#N/A</v>
      </c>
      <c r="BT94" s="248" t="e">
        <f>IF(BS94="solid round",VLOOKUP(BR94,Reinforcements[],COLUMN(Reinforcements[[#Headers],[Diameter (in)]])-1,FALSE),VLOOKUP(BR94,Reinforcements[],COLUMN(Reinforcements[[#Headers],[B (in)]])-1,FALSE))</f>
        <v>#N/A</v>
      </c>
      <c r="BU94" s="248" t="e">
        <f>IF(BS94="solid round",VLOOKUP(BR94,Reinforcements[],COLUMN(Reinforcements[[#Headers],[Diameter (in)]])-1,FALSE),VLOOKUP(BR94,Reinforcements[],COLUMN(Reinforcements[[#Headers],[H (in)]])-1,FALSE))</f>
        <v>#N/A</v>
      </c>
      <c r="BV94" s="278" t="e">
        <f>IFERROR((IF(VLOOKUP(BQ94,Input!$B$21:$AL$50,19+C94,FALSE)="c",$D$20/COS(RADIANS(180/$D$8)),$D$20)+BU94/2)*SIN(RADIANS(D94))-IF(ISNUMBER(VLOOKUP(BQ94,Input!$B$21:$AL$50,19+C94,FALSE)),VLOOKUP(BQ94,Input!$B$21:$AL$50,19+C94,FALSE)*COS(RADIANS(D94)),0)-$D$35,"")*0+N94*1</f>
        <v>#VALUE!</v>
      </c>
      <c r="BW94" s="248" t="e">
        <f>VLOOKUP(BR94,Reinforcements[],COLUMN(Reinforcements[[#Headers],[Effective B (in)]])-1,FALSE)</f>
        <v>#N/A</v>
      </c>
      <c r="BX94" s="248" t="e">
        <f>VLOOKUP(BR94,Reinforcements[],COLUMN(Reinforcements[[#Headers],[Effective H (in)]])-1,FALSE)</f>
        <v>#N/A</v>
      </c>
      <c r="BY94" s="248" t="e">
        <f>VLOOKUP(BR94,Reinforcements[],COLUMN(Reinforcements[[#Headers],[Gross Area (in2)]])-1,FALSE)</f>
        <v>#N/A</v>
      </c>
      <c r="BZ94" s="255" t="s">
        <v>697</v>
      </c>
      <c r="CA94" s="248" t="e">
        <f>VLOOKUP(BR94,Reinforcements[],COLUMN(Reinforcements[[#Headers],[Pole Face to Centroid (in)]])-1,FALSE)</f>
        <v>#N/A</v>
      </c>
      <c r="CB94" s="248" t="e">
        <f>VLOOKUP(BR94,Reinforcements[],COLUMN(Reinforcements[[#Headers],[Ix]])-1,FALSE)</f>
        <v>#N/A</v>
      </c>
      <c r="CC94" s="248" t="e">
        <f>VLOOKUP(BR94,Reinforcements[],COLUMN(Reinforcements[[#Headers],[Iy]])-1,FALSE)</f>
        <v>#N/A</v>
      </c>
      <c r="CD94" s="248" t="e">
        <f>VLOOKUP(BR94,Reinforcements[],COLUMN(Reinforcements[[#Headers],[Lu (in)]])-1,FALSE)</f>
        <v>#N/A</v>
      </c>
      <c r="CE94" s="255" t="s">
        <v>697</v>
      </c>
      <c r="CF94" s="255" t="s">
        <v>697</v>
      </c>
      <c r="CG94" s="248" t="e">
        <f>VLOOKUP(VLOOKUP(BR94,Reinforcements[],COLUMN(Reinforcements[[#Headers],[Material]])-1,FALSE),Materials[],2,FALSE)</f>
        <v>#N/A</v>
      </c>
      <c r="CH94" s="248" t="e">
        <f>VLOOKUP(VLOOKUP(BR94,Reinforcements[],COLUMN(Reinforcements[[#Headers],[Material]])-1,FALSE),Materials[],3,FALSE)</f>
        <v>#N/A</v>
      </c>
      <c r="CI94" s="255" t="e">
        <f>VLOOKUP(BR94,Reinforcements[],COLUMN(Reinforcements[[#Headers],[Tension Only?]])-1,FALSE)</f>
        <v>#N/A</v>
      </c>
      <c r="CJ94" s="17" t="str">
        <f>IF(BQ94="","",AND(INDEX(Results!$G$5:$G$104,MATCH(VLOOKUP($BQ94,Input!$B$21:$J$50,2,FALSE)-0.001,Results!$G$5:$G$104,-1))=$D$4))</f>
        <v/>
      </c>
      <c r="CK94" s="17" t="str">
        <f>IF(BQ94="","",AND(INDEX('Macro References'!$BB$2:$BB$101,MATCH(VLOOKUP($BQ94,Input!$B$21:$J$50,6,FALSE)-0.001,'Macro References'!$BB$2:$BB$101,1))=$D$4))</f>
        <v/>
      </c>
      <c r="CL94" s="17" t="e">
        <f>IF(CJ94,VLOOKUP(BR94,Reinforcements[],COLUMN(Reinforcements[[#Headers],[Bottom End Connection Type]])-1,FALSE),IF(CK94,VLOOKUP(BR94,Reinforcements[],COLUMN(Reinforcements[[#Headers],[Top End Connection Type]])-1,FALSE),""))</f>
        <v>#VALUE!</v>
      </c>
      <c r="CM94" s="17" t="e">
        <f>IF(ISBLANK(VLOOKUP(BR94,Reinforcements[],COLUMN(Reinforcements[[#Headers],[Bottom Transverse Weld Length]])-1,FALSE)),"",(VLOOKUP(BR94,Reinforcements[],COLUMN(Reinforcements[[#Headers],[Bottom Transverse Weld Length]])-1,FALSE)))</f>
        <v>#N/A</v>
      </c>
      <c r="CN94" s="17" t="e">
        <f>IF(ISBLANK(VLOOKUP(BR94,Reinforcements[],COLUMN(Reinforcements[[#Headers],[Bottom Transverse (Horizontal) Weld]])-1,FALSE)),"",(VLOOKUP(BR94,Reinforcements[],COLUMN(Reinforcements[[#Headers],[Bottom Transverse (Horizontal) Weld]])-1,FALSE)))</f>
        <v>#N/A</v>
      </c>
      <c r="CO94" s="17" t="e">
        <f>IF(ISBLANK(VLOOKUP(BR94,Reinforcements[],COLUMN(Reinforcements[[#Headers],[Bottom Longitudinal Weld Length]])-1,FALSE)),"",(VLOOKUP(BR94,Reinforcements[],COLUMN(Reinforcements[[#Headers],[Bottom Longitudinal Weld Length]])-1,FALSE)))</f>
        <v>#N/A</v>
      </c>
      <c r="CP94" s="17" t="str">
        <f>IFERROR(VLOOKUP(BR94,Reinforcements[],COLUMN(Reinforcements[[#Headers],[Bottom Connected to Flange/Base Plate?]])-1,FALSE),"")</f>
        <v/>
      </c>
      <c r="CQ94" s="248" t="e">
        <f>IF(Rev="F",VLOOKUP(BR94,Reinforcements[],COLUMN(Reinforcements[[#Headers],[Rev. F Bottom Transverse Weld Strength]])-1,FALSE),VLOOKUP(BR94,Reinforcements[],COLUMN(Reinforcements[[#Headers],[Rev. G Bottom Transverse Weld Strength]])-1,FALSE))</f>
        <v>#N/A</v>
      </c>
      <c r="CR94" s="248"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248" t="str">
        <f>IF(CP94&lt;&gt;"Yes","",(VLOOKUP(BR94,Reinforcements[],COLUMN(Reinforcements[[#Headers],[Bottom Transverse Weld Groove Depth (in)]])-1,FALSE)+VLOOKUP(BR94,Reinforcements[],COLUMN(Reinforcements[[#Headers],[Bottom Transverse Weld Fillet Size (in)]])-1,FALSE))*CM94*IF(Rev="F",0.6,φ_t_y)*$D$14)</f>
        <v/>
      </c>
      <c r="CT94" s="248" t="e">
        <f>IF(CP94="Yes","",VLOOKUP(BR94,Reinforcements[],COLUMN(Reinforcements[[#Headers],[Bottom Transverse Weld Fillet Size (in)]])-1,FALSE)*CM94*MIN(IF(Rev="F",0.4,φ_shear_yield*0.6)*$D$6,IF(Rev="F",0.3,φ_shear_rupture*0.6)*$D$7))</f>
        <v>#N/A</v>
      </c>
      <c r="CU94" s="248" t="e">
        <f>IF(Rev="F",VLOOKUP(BR94,Reinforcements[],COLUMN(Reinforcements[[#Headers],[Rev. F Bottom Longitudinal Weld Strength]])-1,FALSE),VLOOKUP(BR94,Reinforcements[],COLUMN(Reinforcements[[#Headers],[Rev. G Bottom Longitudinal Weld Strength]])-1,FALSE))</f>
        <v>#N/A</v>
      </c>
      <c r="CV94" s="248" t="e">
        <f>2*VLOOKUP(BR94,Reinforcements[],COLUMN(Reinforcements[[#Headers],[Bottom Longitudinal Weld Fillet Size (in)]])-1,FALSE)*CO94*MIN(IF(Rev="F",0.4,φ_shear_yield*0.6)*CG94,IF(Rev="F",0.3,φ_shear_rupture*0.6)*CH94)</f>
        <v>#N/A</v>
      </c>
      <c r="CW94" s="248" t="e">
        <f>2*VLOOKUP(BR94,Reinforcements[],COLUMN(Reinforcements[[#Headers],[Bottom Longitudinal Weld Fillet Size (in)]])-1,FALSE)*CO94*MIN(IF(Rev="F",0.4,φ_shear_yield*0.6)*$D$6,IF(Rev="F",0.3,φ_shear_rupture*0.6)*$D$7)</f>
        <v>#N/A</v>
      </c>
      <c r="CX94" s="248" t="e">
        <f>IF(ISBLANK(VLOOKUP(BR94,Reinforcements[],COLUMN(Reinforcements[[#Headers],[Top Transverse Weld Length]])-1,FALSE)),"",(VLOOKUP(BR94,Reinforcements[],COLUMN(Reinforcements[[#Headers],[Top Transverse Weld Length]])-1,FALSE)))</f>
        <v>#N/A</v>
      </c>
      <c r="CY94" s="248" t="e">
        <f>IF(ISBLANK(VLOOKUP(BR94,Reinforcements[],COLUMN(Reinforcements[[#Headers],[Top Transverse (Horizontal) Weld]])-1,FALSE)),"",(VLOOKUP(BR94,Reinforcements[],COLUMN(Reinforcements[[#Headers],[Top Transverse (Horizontal) Weld]])-1,FALSE)))</f>
        <v>#N/A</v>
      </c>
      <c r="CZ94" s="248" t="e">
        <f>IF(ISBLANK(VLOOKUP(BR94,Reinforcements[],COLUMN(Reinforcements[[#Headers],[Top Longitudinal Weld Length]])-1,FALSE)),"",(VLOOKUP(BR94,Reinforcements[],COLUMN(Reinforcements[[#Headers],[Top Longitudinal Weld Length]])-1,FALSE)))</f>
        <v>#N/A</v>
      </c>
      <c r="DA94" s="248" t="str">
        <f>IFERROR(VLOOKUP(BR94,Reinforcements[],COLUMN(Reinforcements[[#Headers],[Top Connected to Flange/Base Plate?]])-1,FALSE),"")</f>
        <v/>
      </c>
      <c r="DB94" s="248" t="e">
        <f>IF(Rev="F",VLOOKUP(BR94,Reinforcements[],COLUMN(Reinforcements[[#Headers],[Rev. F Top Transverse Weld Strength]])-1,FALSE),VLOOKUP(BR94,Reinforcements[],COLUMN(Reinforcements[[#Headers],[Rev. G Top Transverse Weld Strength]])-1,FALSE))</f>
        <v>#N/A</v>
      </c>
      <c r="DC94" s="248"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248" t="str">
        <f>IF(DA94&lt;&gt;"Yes","",(VLOOKUP(BR94,Reinforcements[],COLUMN(Reinforcements[[#Headers],[Top Transverse Weld Groove Depth (in)]])-1,FALSE)+VLOOKUP(BR94,Reinforcements[],COLUMN(Reinforcements[[#Headers],[Top Transverse Weld Fillet Size (in)]])-1,FALSE))*CX94*IF(Rev="F",0.6,φ_t_y)*$D$14)</f>
        <v/>
      </c>
      <c r="DE94" s="248" t="e">
        <f>IF(DA94="Yes","",VLOOKUP(BR94,Reinforcements[],COLUMN(Reinforcements[[#Headers],[Top Transverse Weld Fillet Size (in)]])-1,FALSE)*CX94*MIN(IF(Rev="F",0.4,φ_shear_yield*0.6)*$D$6,IF(Rev="F",0.3,φ_shear_rupture*0.6)*$D$7))</f>
        <v>#N/A</v>
      </c>
      <c r="DF94" s="248" t="e">
        <f>IF(Rev="F",VLOOKUP(BR94,Reinforcements[],COLUMN(Reinforcements[[#Headers],[Rev. F Top Longitudinal Weld Strength]])-1,FALSE),VLOOKUP(BR94,Reinforcements[],COLUMN(Reinforcements[[#Headers],[Rev. G Top Longitudinal Weld Strength]])-1,FALSE))</f>
        <v>#N/A</v>
      </c>
      <c r="DG94" s="248" t="e">
        <f>2*VLOOKUP(BR94,Reinforcements[],COLUMN(Reinforcements[[#Headers],[Top Longitudinal Weld Fillet Size (in)]])-1,FALSE)*CZ94*MIN(IF(Rev="F",0.4,φ_shear_yield*0.6)*CG94,IF(Rev="F",0.3,φ_shear_rupture*0.6)*CH94)</f>
        <v>#N/A</v>
      </c>
      <c r="DH94" s="248" t="e">
        <f>2*VLOOKUP(BR94,Reinforcements[],COLUMN(Reinforcements[[#Headers],[Top Longitudinal Weld Fillet Size (in)]])-1,FALSE)*CZ94*MIN(IF(Rev="F",0.4,φ_shear_yield*0.6)*$D$6,IF(Rev="F",0.3,φ_shear_rupture*0.6)*$D$7)</f>
        <v>#N/A</v>
      </c>
      <c r="DI94" s="49" t="e">
        <f>IF(BS94="channel",VLOOKUP(Calculations!BR94,Reinforcements[],COLUMN(Reinforcements[[#Headers],['[Channel']Web Thickness (in)]])-1,FALSE),"")</f>
        <v>#N/A</v>
      </c>
      <c r="DJ94" s="49" t="b">
        <f t="shared" si="126"/>
        <v>0</v>
      </c>
      <c r="DK94" s="49" t="e">
        <f>IF(BS94="channel",Calculations!BU94-DI94,"")</f>
        <v>#N/A</v>
      </c>
      <c r="DL94" s="49" t="e">
        <f>IF(BS94="channel",(Calculations!BY94-Calculations!BT94*DI94)/(2*DK94))</f>
        <v>#N/A</v>
      </c>
      <c r="DM94" s="49" t="e">
        <f>IF(BS94="channel",(Calculations!BT94*(DI94^2)/2+2*DK94*DL94*(DI94+DK94/2))/Calculations!BY94,"")</f>
        <v>#N/A</v>
      </c>
    </row>
    <row r="95" spans="2:117" ht="15" x14ac:dyDescent="0.25">
      <c r="B95" s="49" t="str">
        <f t="shared" si="70"/>
        <v/>
      </c>
      <c r="C95" s="201">
        <v>17</v>
      </c>
      <c r="D95" s="255" t="str">
        <f>IF(BQ95="","",IF($D$8=0,IF(OR(VLOOKUP(BQ95,Input!$B$21:$AL$50,19+C95,FALSE)+$D$5=0,VLOOKUP(BQ95,Input!$B$21:$AL$50,19+C95,FALSE)+$D$5=180),VLOOKUP(BQ95,Input!$B$21:$AL$50,19+C95,FALSE)+$D$5+0.0001,VLOOKUP(BQ95,Input!$B$21:$AL$50,19+C95,FALSE)+$D$5),IF(VLOOKUP(BQ95,Input!$B$21:$AL$50,19+C95,FALSE)="c",VLOOKUP($C95,$C$40:$E$57,2,FALSE)+180/$D$8,VLOOKUP($C95,$C$40:$E$57,2,FALSE))))</f>
        <v/>
      </c>
      <c r="E95" s="17" t="str">
        <f t="shared" si="110"/>
        <v/>
      </c>
      <c r="F95" s="258" t="str">
        <f>IF(BR95="","",VLOOKUP(BR95,Reinforcements[],COLUMN(Reinforcements[[#Headers],[Gross Area (in2)]])-1,FALSE))</f>
        <v/>
      </c>
      <c r="G95" s="256" t="e">
        <f>(IF(VLOOKUP(BQ95,Input!$B$21:$AL$50,19+C95,FALSE)="c",$D$20/COS(RADIANS(180/$D$8)),$D$20)+CA95)*SIN(RADIANS(D95))-IF(AND(ISNUMBER(VLOOKUP(BQ95,Input!$B$21:$AL$50,19+C95,FALSE)),$D$8&lt;&gt;0),VLOOKUP(BQ95,Input!$B$21:$AL$50,19+C95,FALSE)*COS(RADIANS(D95)),0)</f>
        <v>#N/A</v>
      </c>
      <c r="H95" s="251" t="str">
        <f t="shared" si="111"/>
        <v/>
      </c>
      <c r="I95" s="251" t="e">
        <f t="shared" si="86"/>
        <v>#N/A</v>
      </c>
      <c r="J95" s="251" t="e">
        <f t="shared" si="112"/>
        <v>#N/A</v>
      </c>
      <c r="K95" s="251" t="e">
        <f t="shared" si="113"/>
        <v>#N/A</v>
      </c>
      <c r="L95" s="251" t="e">
        <f t="shared" si="114"/>
        <v>#N/A</v>
      </c>
      <c r="M95" s="252" t="str">
        <f t="shared" si="115"/>
        <v/>
      </c>
      <c r="N95" s="250" t="str">
        <f>IFERROR((IF(VLOOKUP(BQ95,Input!$B$21:$AL$50,19+C95,FALSE)="c",$D$20/COS(RADIANS(180/$D$8)),$D$20)+CA95)*SIN(RADIANS(D95))-IF(AND(ISNUMBER(VLOOKUP(BQ95,Input!$B$21:$AL$50,19+C95,FALSE)),$D$8&lt;&gt;0),VLOOKUP(BQ95,Input!$B$21:$AL$50,19+C95,FALSE)*COS(RADIANS(D95)),0)-$D$35,"")</f>
        <v/>
      </c>
      <c r="O95" s="251" t="str">
        <f t="shared" si="87"/>
        <v/>
      </c>
      <c r="P95" s="251" t="str">
        <f t="shared" si="88"/>
        <v/>
      </c>
      <c r="Q95" s="251" t="str">
        <f t="shared" si="89"/>
        <v/>
      </c>
      <c r="R95" s="252" t="str">
        <f t="shared" si="90"/>
        <v/>
      </c>
      <c r="S95" s="251" t="str">
        <f t="shared" si="91"/>
        <v/>
      </c>
      <c r="T95" s="251" t="str">
        <f t="shared" si="92"/>
        <v/>
      </c>
      <c r="U95" s="251" t="str">
        <f t="shared" si="93"/>
        <v/>
      </c>
      <c r="V95" s="252" t="str">
        <f t="shared" si="94"/>
        <v/>
      </c>
      <c r="W95" s="323"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324"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324"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324" t="str">
        <f>IFERROR(IF('Macro References'!$A$9,IF(AND(CJ95,CL95="Welded"),MIN(CQ95:CT95),IF(AND(CK95,CL95="Welded"),MIN(DB95:DE95),"")),""),"")</f>
        <v/>
      </c>
      <c r="AA95" s="255" t="str">
        <f>IFERROR(IF('Macro References'!$A$9,IF(AND(CJ95,CL95="Welded"),MIN(CU95:CW95),IF(AND(CK95,CL95="Welded"),MIN(DF95:DH95),"")),""),"")</f>
        <v/>
      </c>
      <c r="AB95" s="255" t="str">
        <f>IFERROR(IF('Macro References'!$A$9,IF(AND(CJ95,CL95="Welded",CN95="Fillet",CU95&gt;0),TRUE,IF(AND(CK95,CL95="Welded",CY95="Fillet",DF95&gt;0),TRUE,"")),""),"")</f>
        <v/>
      </c>
      <c r="AC95" s="255"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255"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32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248"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32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274" t="str">
        <f t="shared" si="95"/>
        <v/>
      </c>
      <c r="AI95" s="255" t="str">
        <f t="shared" si="96"/>
        <v/>
      </c>
      <c r="AJ95" s="255" t="str">
        <f t="shared" si="97"/>
        <v/>
      </c>
      <c r="AK95" s="255" t="str">
        <f t="shared" si="85"/>
        <v/>
      </c>
      <c r="AL95" s="248" t="str">
        <f t="shared" si="78"/>
        <v/>
      </c>
      <c r="AM95" s="255" t="str">
        <f>""</f>
        <v/>
      </c>
      <c r="AN95" s="255" t="str">
        <f t="shared" si="98"/>
        <v/>
      </c>
      <c r="AO95" s="248" t="str">
        <f t="shared" si="99"/>
        <v/>
      </c>
      <c r="AP95" s="275" t="str">
        <f t="shared" si="100"/>
        <v/>
      </c>
      <c r="AQ95" s="276" t="str">
        <f t="shared" si="53"/>
        <v/>
      </c>
      <c r="AR95" s="255" t="str">
        <f>IF(BR95="","",VLOOKUP(VLOOKUP(BR95,Reinforcements[],COLUMN(Reinforcements[[#Headers],[Material]])-1,FALSE),Materials[],2,FALSE)/$D$28)</f>
        <v/>
      </c>
      <c r="AS95" s="248" t="str">
        <f t="shared" si="54"/>
        <v/>
      </c>
      <c r="AT95" s="327" t="str">
        <f t="shared" si="101"/>
        <v/>
      </c>
      <c r="AU95" s="277">
        <f t="shared" si="116"/>
        <v>0</v>
      </c>
      <c r="AV95" s="278">
        <f t="shared" si="117"/>
        <v>0</v>
      </c>
      <c r="AW95" s="278" t="e">
        <f t="shared" si="102"/>
        <v>#N/A</v>
      </c>
      <c r="AX95" s="278" t="e">
        <f t="shared" si="103"/>
        <v>#N/A</v>
      </c>
      <c r="AY95" s="278" t="str">
        <f t="shared" si="104"/>
        <v/>
      </c>
      <c r="AZ95" s="278" t="e">
        <f t="shared" si="105"/>
        <v>#VALUE!</v>
      </c>
      <c r="BA95" s="295" t="str">
        <f t="shared" si="118"/>
        <v/>
      </c>
      <c r="BB95" s="297" t="str">
        <f t="shared" si="119"/>
        <v/>
      </c>
      <c r="BC95" s="298" t="str">
        <f t="shared" si="120"/>
        <v/>
      </c>
      <c r="BD95" s="298" t="str">
        <f t="shared" si="106"/>
        <v/>
      </c>
      <c r="BE95" s="295" t="str">
        <f t="shared" si="121"/>
        <v/>
      </c>
      <c r="BF95" s="299" t="e">
        <f t="shared" si="122"/>
        <v>#DIV/0!</v>
      </c>
      <c r="BG95" s="300" t="str">
        <f t="shared" si="107"/>
        <v/>
      </c>
      <c r="BH95" s="300" t="str">
        <f t="shared" si="108"/>
        <v/>
      </c>
      <c r="BI95" s="295" t="e">
        <f t="shared" si="123"/>
        <v>#DIV/0!</v>
      </c>
      <c r="BJ95" s="299" t="str">
        <f t="shared" si="124"/>
        <v/>
      </c>
      <c r="BK95" s="278" t="e">
        <f t="shared" si="125"/>
        <v>#DIV/0!</v>
      </c>
      <c r="BL95" s="49" t="str">
        <f t="shared" si="68"/>
        <v/>
      </c>
      <c r="BP95" s="25" t="e">
        <f t="shared" si="109"/>
        <v>#DIV/0!</v>
      </c>
      <c r="BQ95" s="303"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303" t="str">
        <f>IF(BQ95="","",VLOOKUP(BQ95,Input!$B$21:$Q$50,13,FALSE))</f>
        <v/>
      </c>
      <c r="BS95" s="248" t="e">
        <f>VLOOKUP(BR95,Reinforcements[],COLUMN(Reinforcements[[#Headers],[Type]])-1,FALSE)</f>
        <v>#N/A</v>
      </c>
      <c r="BT95" s="248" t="e">
        <f>IF(BS95="solid round",VLOOKUP(BR95,Reinforcements[],COLUMN(Reinforcements[[#Headers],[Diameter (in)]])-1,FALSE),VLOOKUP(BR95,Reinforcements[],COLUMN(Reinforcements[[#Headers],[B (in)]])-1,FALSE))</f>
        <v>#N/A</v>
      </c>
      <c r="BU95" s="248" t="e">
        <f>IF(BS95="solid round",VLOOKUP(BR95,Reinforcements[],COLUMN(Reinforcements[[#Headers],[Diameter (in)]])-1,FALSE),VLOOKUP(BR95,Reinforcements[],COLUMN(Reinforcements[[#Headers],[H (in)]])-1,FALSE))</f>
        <v>#N/A</v>
      </c>
      <c r="BV95" s="278" t="e">
        <f>IFERROR((IF(VLOOKUP(BQ95,Input!$B$21:$AL$50,19+C95,FALSE)="c",$D$20/COS(RADIANS(180/$D$8)),$D$20)+BU95/2)*SIN(RADIANS(D95))-IF(ISNUMBER(VLOOKUP(BQ95,Input!$B$21:$AL$50,19+C95,FALSE)),VLOOKUP(BQ95,Input!$B$21:$AL$50,19+C95,FALSE)*COS(RADIANS(D95)),0)-$D$35,"")*0+N95*1</f>
        <v>#VALUE!</v>
      </c>
      <c r="BW95" s="248" t="e">
        <f>VLOOKUP(BR95,Reinforcements[],COLUMN(Reinforcements[[#Headers],[Effective B (in)]])-1,FALSE)</f>
        <v>#N/A</v>
      </c>
      <c r="BX95" s="248" t="e">
        <f>VLOOKUP(BR95,Reinforcements[],COLUMN(Reinforcements[[#Headers],[Effective H (in)]])-1,FALSE)</f>
        <v>#N/A</v>
      </c>
      <c r="BY95" s="248" t="e">
        <f>VLOOKUP(BR95,Reinforcements[],COLUMN(Reinforcements[[#Headers],[Gross Area (in2)]])-1,FALSE)</f>
        <v>#N/A</v>
      </c>
      <c r="BZ95" s="255" t="s">
        <v>697</v>
      </c>
      <c r="CA95" s="248" t="e">
        <f>VLOOKUP(BR95,Reinforcements[],COLUMN(Reinforcements[[#Headers],[Pole Face to Centroid (in)]])-1,FALSE)</f>
        <v>#N/A</v>
      </c>
      <c r="CB95" s="248" t="e">
        <f>VLOOKUP(BR95,Reinforcements[],COLUMN(Reinforcements[[#Headers],[Ix]])-1,FALSE)</f>
        <v>#N/A</v>
      </c>
      <c r="CC95" s="248" t="e">
        <f>VLOOKUP(BR95,Reinforcements[],COLUMN(Reinforcements[[#Headers],[Iy]])-1,FALSE)</f>
        <v>#N/A</v>
      </c>
      <c r="CD95" s="248" t="e">
        <f>VLOOKUP(BR95,Reinforcements[],COLUMN(Reinforcements[[#Headers],[Lu (in)]])-1,FALSE)</f>
        <v>#N/A</v>
      </c>
      <c r="CE95" s="255" t="s">
        <v>697</v>
      </c>
      <c r="CF95" s="255" t="s">
        <v>697</v>
      </c>
      <c r="CG95" s="248" t="e">
        <f>VLOOKUP(VLOOKUP(BR95,Reinforcements[],COLUMN(Reinforcements[[#Headers],[Material]])-1,FALSE),Materials[],2,FALSE)</f>
        <v>#N/A</v>
      </c>
      <c r="CH95" s="248" t="e">
        <f>VLOOKUP(VLOOKUP(BR95,Reinforcements[],COLUMN(Reinforcements[[#Headers],[Material]])-1,FALSE),Materials[],3,FALSE)</f>
        <v>#N/A</v>
      </c>
      <c r="CI95" s="255" t="e">
        <f>VLOOKUP(BR95,Reinforcements[],COLUMN(Reinforcements[[#Headers],[Tension Only?]])-1,FALSE)</f>
        <v>#N/A</v>
      </c>
      <c r="CJ95" s="17" t="str">
        <f>IF(BQ95="","",AND(INDEX(Results!$G$5:$G$104,MATCH(VLOOKUP($BQ95,Input!$B$21:$J$50,2,FALSE)-0.001,Results!$G$5:$G$104,-1))=$D$4))</f>
        <v/>
      </c>
      <c r="CK95" s="17" t="str">
        <f>IF(BQ95="","",AND(INDEX('Macro References'!$BB$2:$BB$101,MATCH(VLOOKUP($BQ95,Input!$B$21:$J$50,6,FALSE)-0.001,'Macro References'!$BB$2:$BB$101,1))=$D$4))</f>
        <v/>
      </c>
      <c r="CL95" s="17" t="e">
        <f>IF(CJ95,VLOOKUP(BR95,Reinforcements[],COLUMN(Reinforcements[[#Headers],[Bottom End Connection Type]])-1,FALSE),IF(CK95,VLOOKUP(BR95,Reinforcements[],COLUMN(Reinforcements[[#Headers],[Top End Connection Type]])-1,FALSE),""))</f>
        <v>#VALUE!</v>
      </c>
      <c r="CM95" s="17" t="e">
        <f>IF(ISBLANK(VLOOKUP(BR95,Reinforcements[],COLUMN(Reinforcements[[#Headers],[Bottom Transverse Weld Length]])-1,FALSE)),"",(VLOOKUP(BR95,Reinforcements[],COLUMN(Reinforcements[[#Headers],[Bottom Transverse Weld Length]])-1,FALSE)))</f>
        <v>#N/A</v>
      </c>
      <c r="CN95" s="17" t="e">
        <f>IF(ISBLANK(VLOOKUP(BR95,Reinforcements[],COLUMN(Reinforcements[[#Headers],[Bottom Transverse (Horizontal) Weld]])-1,FALSE)),"",(VLOOKUP(BR95,Reinforcements[],COLUMN(Reinforcements[[#Headers],[Bottom Transverse (Horizontal) Weld]])-1,FALSE)))</f>
        <v>#N/A</v>
      </c>
      <c r="CO95" s="17" t="e">
        <f>IF(ISBLANK(VLOOKUP(BR95,Reinforcements[],COLUMN(Reinforcements[[#Headers],[Bottom Longitudinal Weld Length]])-1,FALSE)),"",(VLOOKUP(BR95,Reinforcements[],COLUMN(Reinforcements[[#Headers],[Bottom Longitudinal Weld Length]])-1,FALSE)))</f>
        <v>#N/A</v>
      </c>
      <c r="CP95" s="17" t="str">
        <f>IFERROR(VLOOKUP(BR95,Reinforcements[],COLUMN(Reinforcements[[#Headers],[Bottom Connected to Flange/Base Plate?]])-1,FALSE),"")</f>
        <v/>
      </c>
      <c r="CQ95" s="248" t="e">
        <f>IF(Rev="F",VLOOKUP(BR95,Reinforcements[],COLUMN(Reinforcements[[#Headers],[Rev. F Bottom Transverse Weld Strength]])-1,FALSE),VLOOKUP(BR95,Reinforcements[],COLUMN(Reinforcements[[#Headers],[Rev. G Bottom Transverse Weld Strength]])-1,FALSE))</f>
        <v>#N/A</v>
      </c>
      <c r="CR95" s="248"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248" t="str">
        <f>IF(CP95&lt;&gt;"Yes","",(VLOOKUP(BR95,Reinforcements[],COLUMN(Reinforcements[[#Headers],[Bottom Transverse Weld Groove Depth (in)]])-1,FALSE)+VLOOKUP(BR95,Reinforcements[],COLUMN(Reinforcements[[#Headers],[Bottom Transverse Weld Fillet Size (in)]])-1,FALSE))*CM95*IF(Rev="F",0.6,φ_t_y)*$D$14)</f>
        <v/>
      </c>
      <c r="CT95" s="248" t="e">
        <f>IF(CP95="Yes","",VLOOKUP(BR95,Reinforcements[],COLUMN(Reinforcements[[#Headers],[Bottom Transverse Weld Fillet Size (in)]])-1,FALSE)*CM95*MIN(IF(Rev="F",0.4,φ_shear_yield*0.6)*$D$6,IF(Rev="F",0.3,φ_shear_rupture*0.6)*$D$7))</f>
        <v>#N/A</v>
      </c>
      <c r="CU95" s="248" t="e">
        <f>IF(Rev="F",VLOOKUP(BR95,Reinforcements[],COLUMN(Reinforcements[[#Headers],[Rev. F Bottom Longitudinal Weld Strength]])-1,FALSE),VLOOKUP(BR95,Reinforcements[],COLUMN(Reinforcements[[#Headers],[Rev. G Bottom Longitudinal Weld Strength]])-1,FALSE))</f>
        <v>#N/A</v>
      </c>
      <c r="CV95" s="248" t="e">
        <f>2*VLOOKUP(BR95,Reinforcements[],COLUMN(Reinforcements[[#Headers],[Bottom Longitudinal Weld Fillet Size (in)]])-1,FALSE)*CO95*MIN(IF(Rev="F",0.4,φ_shear_yield*0.6)*CG95,IF(Rev="F",0.3,φ_shear_rupture*0.6)*CH95)</f>
        <v>#N/A</v>
      </c>
      <c r="CW95" s="248" t="e">
        <f>2*VLOOKUP(BR95,Reinforcements[],COLUMN(Reinforcements[[#Headers],[Bottom Longitudinal Weld Fillet Size (in)]])-1,FALSE)*CO95*MIN(IF(Rev="F",0.4,φ_shear_yield*0.6)*$D$6,IF(Rev="F",0.3,φ_shear_rupture*0.6)*$D$7)</f>
        <v>#N/A</v>
      </c>
      <c r="CX95" s="248" t="e">
        <f>IF(ISBLANK(VLOOKUP(BR95,Reinforcements[],COLUMN(Reinforcements[[#Headers],[Top Transverse Weld Length]])-1,FALSE)),"",(VLOOKUP(BR95,Reinforcements[],COLUMN(Reinforcements[[#Headers],[Top Transverse Weld Length]])-1,FALSE)))</f>
        <v>#N/A</v>
      </c>
      <c r="CY95" s="248" t="e">
        <f>IF(ISBLANK(VLOOKUP(BR95,Reinforcements[],COLUMN(Reinforcements[[#Headers],[Top Transverse (Horizontal) Weld]])-1,FALSE)),"",(VLOOKUP(BR95,Reinforcements[],COLUMN(Reinforcements[[#Headers],[Top Transverse (Horizontal) Weld]])-1,FALSE)))</f>
        <v>#N/A</v>
      </c>
      <c r="CZ95" s="248" t="e">
        <f>IF(ISBLANK(VLOOKUP(BR95,Reinforcements[],COLUMN(Reinforcements[[#Headers],[Top Longitudinal Weld Length]])-1,FALSE)),"",(VLOOKUP(BR95,Reinforcements[],COLUMN(Reinforcements[[#Headers],[Top Longitudinal Weld Length]])-1,FALSE)))</f>
        <v>#N/A</v>
      </c>
      <c r="DA95" s="248" t="str">
        <f>IFERROR(VLOOKUP(BR95,Reinforcements[],COLUMN(Reinforcements[[#Headers],[Top Connected to Flange/Base Plate?]])-1,FALSE),"")</f>
        <v/>
      </c>
      <c r="DB95" s="248" t="e">
        <f>IF(Rev="F",VLOOKUP(BR95,Reinforcements[],COLUMN(Reinforcements[[#Headers],[Rev. F Top Transverse Weld Strength]])-1,FALSE),VLOOKUP(BR95,Reinforcements[],COLUMN(Reinforcements[[#Headers],[Rev. G Top Transverse Weld Strength]])-1,FALSE))</f>
        <v>#N/A</v>
      </c>
      <c r="DC95" s="248"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248" t="str">
        <f>IF(DA95&lt;&gt;"Yes","",(VLOOKUP(BR95,Reinforcements[],COLUMN(Reinforcements[[#Headers],[Top Transverse Weld Groove Depth (in)]])-1,FALSE)+VLOOKUP(BR95,Reinforcements[],COLUMN(Reinforcements[[#Headers],[Top Transverse Weld Fillet Size (in)]])-1,FALSE))*CX95*IF(Rev="F",0.6,φ_t_y)*$D$14)</f>
        <v/>
      </c>
      <c r="DE95" s="248" t="e">
        <f>IF(DA95="Yes","",VLOOKUP(BR95,Reinforcements[],COLUMN(Reinforcements[[#Headers],[Top Transverse Weld Fillet Size (in)]])-1,FALSE)*CX95*MIN(IF(Rev="F",0.4,φ_shear_yield*0.6)*$D$6,IF(Rev="F",0.3,φ_shear_rupture*0.6)*$D$7))</f>
        <v>#N/A</v>
      </c>
      <c r="DF95" s="248" t="e">
        <f>IF(Rev="F",VLOOKUP(BR95,Reinforcements[],COLUMN(Reinforcements[[#Headers],[Rev. F Top Longitudinal Weld Strength]])-1,FALSE),VLOOKUP(BR95,Reinforcements[],COLUMN(Reinforcements[[#Headers],[Rev. G Top Longitudinal Weld Strength]])-1,FALSE))</f>
        <v>#N/A</v>
      </c>
      <c r="DG95" s="248" t="e">
        <f>2*VLOOKUP(BR95,Reinforcements[],COLUMN(Reinforcements[[#Headers],[Top Longitudinal Weld Fillet Size (in)]])-1,FALSE)*CZ95*MIN(IF(Rev="F",0.4,φ_shear_yield*0.6)*CG95,IF(Rev="F",0.3,φ_shear_rupture*0.6)*CH95)</f>
        <v>#N/A</v>
      </c>
      <c r="DH95" s="248" t="e">
        <f>2*VLOOKUP(BR95,Reinforcements[],COLUMN(Reinforcements[[#Headers],[Top Longitudinal Weld Fillet Size (in)]])-1,FALSE)*CZ95*MIN(IF(Rev="F",0.4,φ_shear_yield*0.6)*$D$6,IF(Rev="F",0.3,φ_shear_rupture*0.6)*$D$7)</f>
        <v>#N/A</v>
      </c>
      <c r="DI95" s="49" t="e">
        <f>IF(BS95="channel",VLOOKUP(Calculations!BR95,Reinforcements[],COLUMN(Reinforcements[[#Headers],['[Channel']Web Thickness (in)]])-1,FALSE),"")</f>
        <v>#N/A</v>
      </c>
      <c r="DJ95" s="49" t="b">
        <f t="shared" si="126"/>
        <v>0</v>
      </c>
      <c r="DK95" s="49" t="e">
        <f>IF(BS95="channel",Calculations!BU95-DI95,"")</f>
        <v>#N/A</v>
      </c>
      <c r="DL95" s="49" t="e">
        <f>IF(BS95="channel",(Calculations!BY95-Calculations!BT95*DI95)/(2*DK95))</f>
        <v>#N/A</v>
      </c>
      <c r="DM95" s="49" t="e">
        <f>IF(BS95="channel",(Calculations!BT95*(DI95^2)/2+2*DK95*DL95*(DI95+DK95/2))/Calculations!BY95,"")</f>
        <v>#N/A</v>
      </c>
    </row>
    <row r="96" spans="2:117" ht="15" x14ac:dyDescent="0.25">
      <c r="B96" s="49" t="str">
        <f t="shared" si="70"/>
        <v/>
      </c>
      <c r="C96" s="201">
        <v>18</v>
      </c>
      <c r="D96" s="255" t="str">
        <f>IF(BQ96="","",IF($D$8=0,IF(OR(VLOOKUP(BQ96,Input!$B$21:$AL$50,19+C96,FALSE)+$D$5=0,VLOOKUP(BQ96,Input!$B$21:$AL$50,19+C96,FALSE)+$D$5=180),VLOOKUP(BQ96,Input!$B$21:$AL$50,19+C96,FALSE)+$D$5+0.0001,VLOOKUP(BQ96,Input!$B$21:$AL$50,19+C96,FALSE)+$D$5),IF(VLOOKUP(BQ96,Input!$B$21:$AL$50,19+C96,FALSE)="c",VLOOKUP($C96,$C$40:$E$57,2,FALSE)+180/$D$8,VLOOKUP($C96,$C$40:$E$57,2,FALSE))))</f>
        <v/>
      </c>
      <c r="E96" s="17" t="str">
        <f t="shared" si="110"/>
        <v/>
      </c>
      <c r="F96" s="258" t="str">
        <f>IF(BR96="","",VLOOKUP(BR96,Reinforcements[],COLUMN(Reinforcements[[#Headers],[Gross Area (in2)]])-1,FALSE))</f>
        <v/>
      </c>
      <c r="G96" s="256" t="e">
        <f>(IF(VLOOKUP(BQ96,Input!$B$21:$AL$50,19+C96,FALSE)="c",$D$20/COS(RADIANS(180/$D$8)),$D$20)+CA96)*SIN(RADIANS(D96))-IF(AND(ISNUMBER(VLOOKUP(BQ96,Input!$B$21:$AL$50,19+C96,FALSE)),$D$8&lt;&gt;0),VLOOKUP(BQ96,Input!$B$21:$AL$50,19+C96,FALSE)*COS(RADIANS(D96)),0)</f>
        <v>#N/A</v>
      </c>
      <c r="H96" s="251" t="str">
        <f t="shared" si="111"/>
        <v/>
      </c>
      <c r="I96" s="251" t="e">
        <f t="shared" si="86"/>
        <v>#N/A</v>
      </c>
      <c r="J96" s="251" t="e">
        <f t="shared" si="112"/>
        <v>#N/A</v>
      </c>
      <c r="K96" s="251" t="e">
        <f t="shared" si="113"/>
        <v>#N/A</v>
      </c>
      <c r="L96" s="251" t="e">
        <f t="shared" si="114"/>
        <v>#N/A</v>
      </c>
      <c r="M96" s="252" t="str">
        <f t="shared" si="115"/>
        <v/>
      </c>
      <c r="N96" s="250" t="str">
        <f>IFERROR((IF(VLOOKUP(BQ96,Input!$B$21:$AL$50,19+C96,FALSE)="c",$D$20/COS(RADIANS(180/$D$8)),$D$20)+CA96)*SIN(RADIANS(D96))-IF(AND(ISNUMBER(VLOOKUP(BQ96,Input!$B$21:$AL$50,19+C96,FALSE)),$D$8&lt;&gt;0),VLOOKUP(BQ96,Input!$B$21:$AL$50,19+C96,FALSE)*COS(RADIANS(D96)),0)-$D$35,"")</f>
        <v/>
      </c>
      <c r="O96" s="251" t="str">
        <f t="shared" si="87"/>
        <v/>
      </c>
      <c r="P96" s="251" t="str">
        <f t="shared" si="88"/>
        <v/>
      </c>
      <c r="Q96" s="251" t="str">
        <f t="shared" si="89"/>
        <v/>
      </c>
      <c r="R96" s="252" t="str">
        <f t="shared" si="90"/>
        <v/>
      </c>
      <c r="S96" s="251" t="str">
        <f t="shared" si="91"/>
        <v/>
      </c>
      <c r="T96" s="251" t="str">
        <f t="shared" si="92"/>
        <v/>
      </c>
      <c r="U96" s="251" t="str">
        <f t="shared" si="93"/>
        <v/>
      </c>
      <c r="V96" s="252" t="str">
        <f t="shared" si="94"/>
        <v/>
      </c>
      <c r="W96" s="323"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324"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324"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324" t="str">
        <f>IFERROR(IF('Macro References'!$A$9,IF(AND(CJ96,CL96="Welded"),MIN(CQ96:CT96),IF(AND(CK96,CL96="Welded"),MIN(DB96:DE96),"")),""),"")</f>
        <v/>
      </c>
      <c r="AA96" s="255" t="str">
        <f>IFERROR(IF('Macro References'!$A$9,IF(AND(CJ96,CL96="Welded"),MIN(CU96:CW96),IF(AND(CK96,CL96="Welded"),MIN(DF96:DH96),"")),""),"")</f>
        <v/>
      </c>
      <c r="AB96" s="255" t="str">
        <f>IFERROR(IF('Macro References'!$A$9,IF(AND(CJ96,CL96="Welded",CN96="Fillet",CU96&gt;0),TRUE,IF(AND(CK96,CL96="Welded",CY96="Fillet",DF96&gt;0),TRUE,"")),""),"")</f>
        <v/>
      </c>
      <c r="AC96" s="255"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255"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32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248"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32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274" t="str">
        <f t="shared" si="95"/>
        <v/>
      </c>
      <c r="AI96" s="255" t="str">
        <f t="shared" si="96"/>
        <v/>
      </c>
      <c r="AJ96" s="255" t="str">
        <f t="shared" si="97"/>
        <v/>
      </c>
      <c r="AK96" s="255" t="str">
        <f t="shared" si="85"/>
        <v/>
      </c>
      <c r="AL96" s="248" t="str">
        <f t="shared" si="78"/>
        <v/>
      </c>
      <c r="AM96" s="255" t="str">
        <f>""</f>
        <v/>
      </c>
      <c r="AN96" s="255" t="str">
        <f t="shared" si="98"/>
        <v/>
      </c>
      <c r="AO96" s="248" t="str">
        <f t="shared" si="99"/>
        <v/>
      </c>
      <c r="AP96" s="275" t="str">
        <f t="shared" si="100"/>
        <v/>
      </c>
      <c r="AQ96" s="276" t="str">
        <f t="shared" si="53"/>
        <v/>
      </c>
      <c r="AR96" s="255" t="str">
        <f>IF(BR96="","",VLOOKUP(VLOOKUP(BR96,Reinforcements[],COLUMN(Reinforcements[[#Headers],[Material]])-1,FALSE),Materials[],2,FALSE)/$D$28)</f>
        <v/>
      </c>
      <c r="AS96" s="248" t="str">
        <f t="shared" si="54"/>
        <v/>
      </c>
      <c r="AT96" s="327" t="str">
        <f t="shared" si="101"/>
        <v/>
      </c>
      <c r="AU96" s="277">
        <f t="shared" si="116"/>
        <v>0</v>
      </c>
      <c r="AV96" s="278">
        <f t="shared" si="117"/>
        <v>0</v>
      </c>
      <c r="AW96" s="278" t="e">
        <f t="shared" si="102"/>
        <v>#N/A</v>
      </c>
      <c r="AX96" s="278" t="e">
        <f t="shared" si="103"/>
        <v>#N/A</v>
      </c>
      <c r="AY96" s="278" t="str">
        <f t="shared" si="104"/>
        <v/>
      </c>
      <c r="AZ96" s="278" t="e">
        <f t="shared" si="105"/>
        <v>#VALUE!</v>
      </c>
      <c r="BA96" s="295" t="str">
        <f t="shared" si="118"/>
        <v/>
      </c>
      <c r="BB96" s="297" t="str">
        <f t="shared" si="119"/>
        <v/>
      </c>
      <c r="BC96" s="298" t="str">
        <f t="shared" si="120"/>
        <v/>
      </c>
      <c r="BD96" s="298" t="str">
        <f t="shared" si="106"/>
        <v/>
      </c>
      <c r="BE96" s="295" t="str">
        <f t="shared" si="121"/>
        <v/>
      </c>
      <c r="BF96" s="299" t="e">
        <f t="shared" si="122"/>
        <v>#DIV/0!</v>
      </c>
      <c r="BG96" s="300" t="str">
        <f t="shared" si="107"/>
        <v/>
      </c>
      <c r="BH96" s="300" t="str">
        <f t="shared" si="108"/>
        <v/>
      </c>
      <c r="BI96" s="295" t="e">
        <f t="shared" si="123"/>
        <v>#DIV/0!</v>
      </c>
      <c r="BJ96" s="299" t="str">
        <f t="shared" si="124"/>
        <v/>
      </c>
      <c r="BK96" s="278" t="e">
        <f t="shared" si="125"/>
        <v>#DIV/0!</v>
      </c>
      <c r="BL96" s="49" t="str">
        <f t="shared" si="68"/>
        <v/>
      </c>
      <c r="BP96" s="25" t="e">
        <f t="shared" si="109"/>
        <v>#DIV/0!</v>
      </c>
      <c r="BQ96" s="303"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303" t="str">
        <f>IF(BQ96="","",VLOOKUP(BQ96,Input!$B$21:$Q$50,13,FALSE))</f>
        <v/>
      </c>
      <c r="BS96" s="248" t="e">
        <f>VLOOKUP(BR96,Reinforcements[],COLUMN(Reinforcements[[#Headers],[Type]])-1,FALSE)</f>
        <v>#N/A</v>
      </c>
      <c r="BT96" s="248" t="e">
        <f>IF(BS96="solid round",VLOOKUP(BR96,Reinforcements[],COLUMN(Reinforcements[[#Headers],[Diameter (in)]])-1,FALSE),VLOOKUP(BR96,Reinforcements[],COLUMN(Reinforcements[[#Headers],[B (in)]])-1,FALSE))</f>
        <v>#N/A</v>
      </c>
      <c r="BU96" s="248" t="e">
        <f>IF(BS96="solid round",VLOOKUP(BR96,Reinforcements[],COLUMN(Reinforcements[[#Headers],[Diameter (in)]])-1,FALSE),VLOOKUP(BR96,Reinforcements[],COLUMN(Reinforcements[[#Headers],[H (in)]])-1,FALSE))</f>
        <v>#N/A</v>
      </c>
      <c r="BV96" s="278" t="e">
        <f>IFERROR((IF(VLOOKUP(BQ96,Input!$B$21:$AL$50,19+C96,FALSE)="c",$D$20/COS(RADIANS(180/$D$8)),$D$20)+BU96/2)*SIN(RADIANS(D96))-IF(ISNUMBER(VLOOKUP(BQ96,Input!$B$21:$AL$50,19+C96,FALSE)),VLOOKUP(BQ96,Input!$B$21:$AL$50,19+C96,FALSE)*COS(RADIANS(D96)),0)-$D$35,"")*0+N96*1</f>
        <v>#VALUE!</v>
      </c>
      <c r="BW96" s="248" t="e">
        <f>VLOOKUP(BR96,Reinforcements[],COLUMN(Reinforcements[[#Headers],[Effective B (in)]])-1,FALSE)</f>
        <v>#N/A</v>
      </c>
      <c r="BX96" s="248" t="e">
        <f>VLOOKUP(BR96,Reinforcements[],COLUMN(Reinforcements[[#Headers],[Effective H (in)]])-1,FALSE)</f>
        <v>#N/A</v>
      </c>
      <c r="BY96" s="248" t="e">
        <f>VLOOKUP(BR96,Reinforcements[],COLUMN(Reinforcements[[#Headers],[Gross Area (in2)]])-1,FALSE)</f>
        <v>#N/A</v>
      </c>
      <c r="BZ96" s="255" t="s">
        <v>697</v>
      </c>
      <c r="CA96" s="248" t="e">
        <f>VLOOKUP(BR96,Reinforcements[],COLUMN(Reinforcements[[#Headers],[Pole Face to Centroid (in)]])-1,FALSE)</f>
        <v>#N/A</v>
      </c>
      <c r="CB96" s="248" t="e">
        <f>VLOOKUP(BR96,Reinforcements[],COLUMN(Reinforcements[[#Headers],[Ix]])-1,FALSE)</f>
        <v>#N/A</v>
      </c>
      <c r="CC96" s="248" t="e">
        <f>VLOOKUP(BR96,Reinforcements[],COLUMN(Reinforcements[[#Headers],[Iy]])-1,FALSE)</f>
        <v>#N/A</v>
      </c>
      <c r="CD96" s="248" t="e">
        <f>VLOOKUP(BR96,Reinforcements[],COLUMN(Reinforcements[[#Headers],[Lu (in)]])-1,FALSE)</f>
        <v>#N/A</v>
      </c>
      <c r="CE96" s="255" t="s">
        <v>697</v>
      </c>
      <c r="CF96" s="255" t="s">
        <v>697</v>
      </c>
      <c r="CG96" s="248" t="e">
        <f>VLOOKUP(VLOOKUP(BR96,Reinforcements[],COLUMN(Reinforcements[[#Headers],[Material]])-1,FALSE),Materials[],2,FALSE)</f>
        <v>#N/A</v>
      </c>
      <c r="CH96" s="248" t="e">
        <f>VLOOKUP(VLOOKUP(BR96,Reinforcements[],COLUMN(Reinforcements[[#Headers],[Material]])-1,FALSE),Materials[],3,FALSE)</f>
        <v>#N/A</v>
      </c>
      <c r="CI96" s="255" t="e">
        <f>VLOOKUP(BR96,Reinforcements[],COLUMN(Reinforcements[[#Headers],[Tension Only?]])-1,FALSE)</f>
        <v>#N/A</v>
      </c>
      <c r="CJ96" s="17" t="str">
        <f>IF(BQ96="","",AND(INDEX(Results!$G$5:$G$104,MATCH(VLOOKUP($BQ96,Input!$B$21:$J$50,2,FALSE)-0.001,Results!$G$5:$G$104,-1))=$D$4))</f>
        <v/>
      </c>
      <c r="CK96" s="17" t="str">
        <f>IF(BQ96="","",AND(INDEX('Macro References'!$BB$2:$BB$101,MATCH(VLOOKUP($BQ96,Input!$B$21:$J$50,6,FALSE)-0.001,'Macro References'!$BB$2:$BB$101,1))=$D$4))</f>
        <v/>
      </c>
      <c r="CL96" s="17" t="e">
        <f>IF(CJ96,VLOOKUP(BR96,Reinforcements[],COLUMN(Reinforcements[[#Headers],[Bottom End Connection Type]])-1,FALSE),IF(CK96,VLOOKUP(BR96,Reinforcements[],COLUMN(Reinforcements[[#Headers],[Top End Connection Type]])-1,FALSE),""))</f>
        <v>#VALUE!</v>
      </c>
      <c r="CM96" s="17" t="e">
        <f>IF(ISBLANK(VLOOKUP(BR96,Reinforcements[],COLUMN(Reinforcements[[#Headers],[Bottom Transverse Weld Length]])-1,FALSE)),"",(VLOOKUP(BR96,Reinforcements[],COLUMN(Reinforcements[[#Headers],[Bottom Transverse Weld Length]])-1,FALSE)))</f>
        <v>#N/A</v>
      </c>
      <c r="CN96" s="17" t="e">
        <f>IF(ISBLANK(VLOOKUP(BR96,Reinforcements[],COLUMN(Reinforcements[[#Headers],[Bottom Transverse (Horizontal) Weld]])-1,FALSE)),"",(VLOOKUP(BR96,Reinforcements[],COLUMN(Reinforcements[[#Headers],[Bottom Transverse (Horizontal) Weld]])-1,FALSE)))</f>
        <v>#N/A</v>
      </c>
      <c r="CO96" s="17" t="e">
        <f>IF(ISBLANK(VLOOKUP(BR96,Reinforcements[],COLUMN(Reinforcements[[#Headers],[Bottom Longitudinal Weld Length]])-1,FALSE)),"",(VLOOKUP(BR96,Reinforcements[],COLUMN(Reinforcements[[#Headers],[Bottom Longitudinal Weld Length]])-1,FALSE)))</f>
        <v>#N/A</v>
      </c>
      <c r="CP96" s="17" t="str">
        <f>IFERROR(VLOOKUP(BR96,Reinforcements[],COLUMN(Reinforcements[[#Headers],[Bottom Connected to Flange/Base Plate?]])-1,FALSE),"")</f>
        <v/>
      </c>
      <c r="CQ96" s="248" t="e">
        <f>IF(Rev="F",VLOOKUP(BR96,Reinforcements[],COLUMN(Reinforcements[[#Headers],[Rev. F Bottom Transverse Weld Strength]])-1,FALSE),VLOOKUP(BR96,Reinforcements[],COLUMN(Reinforcements[[#Headers],[Rev. G Bottom Transverse Weld Strength]])-1,FALSE))</f>
        <v>#N/A</v>
      </c>
      <c r="CR96" s="248"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248" t="str">
        <f>IF(CP96&lt;&gt;"Yes","",(VLOOKUP(BR96,Reinforcements[],COLUMN(Reinforcements[[#Headers],[Bottom Transverse Weld Groove Depth (in)]])-1,FALSE)+VLOOKUP(BR96,Reinforcements[],COLUMN(Reinforcements[[#Headers],[Bottom Transverse Weld Fillet Size (in)]])-1,FALSE))*CM96*IF(Rev="F",0.6,φ_t_y)*$D$14)</f>
        <v/>
      </c>
      <c r="CT96" s="248" t="e">
        <f>IF(CP96="Yes","",VLOOKUP(BR96,Reinforcements[],COLUMN(Reinforcements[[#Headers],[Bottom Transverse Weld Fillet Size (in)]])-1,FALSE)*CM96*MIN(IF(Rev="F",0.4,φ_shear_yield*0.6)*$D$6,IF(Rev="F",0.3,φ_shear_rupture*0.6)*$D$7))</f>
        <v>#N/A</v>
      </c>
      <c r="CU96" s="248" t="e">
        <f>IF(Rev="F",VLOOKUP(BR96,Reinforcements[],COLUMN(Reinforcements[[#Headers],[Rev. F Bottom Longitudinal Weld Strength]])-1,FALSE),VLOOKUP(BR96,Reinforcements[],COLUMN(Reinforcements[[#Headers],[Rev. G Bottom Longitudinal Weld Strength]])-1,FALSE))</f>
        <v>#N/A</v>
      </c>
      <c r="CV96" s="248" t="e">
        <f>2*VLOOKUP(BR96,Reinforcements[],COLUMN(Reinforcements[[#Headers],[Bottom Longitudinal Weld Fillet Size (in)]])-1,FALSE)*CO96*MIN(IF(Rev="F",0.4,φ_shear_yield*0.6)*CG96,IF(Rev="F",0.3,φ_shear_rupture*0.6)*CH96)</f>
        <v>#N/A</v>
      </c>
      <c r="CW96" s="248" t="e">
        <f>2*VLOOKUP(BR96,Reinforcements[],COLUMN(Reinforcements[[#Headers],[Bottom Longitudinal Weld Fillet Size (in)]])-1,FALSE)*CO96*MIN(IF(Rev="F",0.4,φ_shear_yield*0.6)*$D$6,IF(Rev="F",0.3,φ_shear_rupture*0.6)*$D$7)</f>
        <v>#N/A</v>
      </c>
      <c r="CX96" s="248" t="e">
        <f>IF(ISBLANK(VLOOKUP(BR96,Reinforcements[],COLUMN(Reinforcements[[#Headers],[Top Transverse Weld Length]])-1,FALSE)),"",(VLOOKUP(BR96,Reinforcements[],COLUMN(Reinforcements[[#Headers],[Top Transverse Weld Length]])-1,FALSE)))</f>
        <v>#N/A</v>
      </c>
      <c r="CY96" s="248" t="e">
        <f>IF(ISBLANK(VLOOKUP(BR96,Reinforcements[],COLUMN(Reinforcements[[#Headers],[Top Transverse (Horizontal) Weld]])-1,FALSE)),"",(VLOOKUP(BR96,Reinforcements[],COLUMN(Reinforcements[[#Headers],[Top Transverse (Horizontal) Weld]])-1,FALSE)))</f>
        <v>#N/A</v>
      </c>
      <c r="CZ96" s="248" t="e">
        <f>IF(ISBLANK(VLOOKUP(BR96,Reinforcements[],COLUMN(Reinforcements[[#Headers],[Top Longitudinal Weld Length]])-1,FALSE)),"",(VLOOKUP(BR96,Reinforcements[],COLUMN(Reinforcements[[#Headers],[Top Longitudinal Weld Length]])-1,FALSE)))</f>
        <v>#N/A</v>
      </c>
      <c r="DA96" s="248" t="str">
        <f>IFERROR(VLOOKUP(BR96,Reinforcements[],COLUMN(Reinforcements[[#Headers],[Top Connected to Flange/Base Plate?]])-1,FALSE),"")</f>
        <v/>
      </c>
      <c r="DB96" s="248" t="e">
        <f>IF(Rev="F",VLOOKUP(BR96,Reinforcements[],COLUMN(Reinforcements[[#Headers],[Rev. F Top Transverse Weld Strength]])-1,FALSE),VLOOKUP(BR96,Reinforcements[],COLUMN(Reinforcements[[#Headers],[Rev. G Top Transverse Weld Strength]])-1,FALSE))</f>
        <v>#N/A</v>
      </c>
      <c r="DC96" s="248"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248" t="str">
        <f>IF(DA96&lt;&gt;"Yes","",(VLOOKUP(BR96,Reinforcements[],COLUMN(Reinforcements[[#Headers],[Top Transverse Weld Groove Depth (in)]])-1,FALSE)+VLOOKUP(BR96,Reinforcements[],COLUMN(Reinforcements[[#Headers],[Top Transverse Weld Fillet Size (in)]])-1,FALSE))*CX96*IF(Rev="F",0.6,φ_t_y)*$D$14)</f>
        <v/>
      </c>
      <c r="DE96" s="248" t="e">
        <f>IF(DA96="Yes","",VLOOKUP(BR96,Reinforcements[],COLUMN(Reinforcements[[#Headers],[Top Transverse Weld Fillet Size (in)]])-1,FALSE)*CX96*MIN(IF(Rev="F",0.4,φ_shear_yield*0.6)*$D$6,IF(Rev="F",0.3,φ_shear_rupture*0.6)*$D$7))</f>
        <v>#N/A</v>
      </c>
      <c r="DF96" s="248" t="e">
        <f>IF(Rev="F",VLOOKUP(BR96,Reinforcements[],COLUMN(Reinforcements[[#Headers],[Rev. F Top Longitudinal Weld Strength]])-1,FALSE),VLOOKUP(BR96,Reinforcements[],COLUMN(Reinforcements[[#Headers],[Rev. G Top Longitudinal Weld Strength]])-1,FALSE))</f>
        <v>#N/A</v>
      </c>
      <c r="DG96" s="248" t="e">
        <f>2*VLOOKUP(BR96,Reinforcements[],COLUMN(Reinforcements[[#Headers],[Top Longitudinal Weld Fillet Size (in)]])-1,FALSE)*CZ96*MIN(IF(Rev="F",0.4,φ_shear_yield*0.6)*CG96,IF(Rev="F",0.3,φ_shear_rupture*0.6)*CH96)</f>
        <v>#N/A</v>
      </c>
      <c r="DH96" s="248" t="e">
        <f>2*VLOOKUP(BR96,Reinforcements[],COLUMN(Reinforcements[[#Headers],[Top Longitudinal Weld Fillet Size (in)]])-1,FALSE)*CZ96*MIN(IF(Rev="F",0.4,φ_shear_yield*0.6)*$D$6,IF(Rev="F",0.3,φ_shear_rupture*0.6)*$D$7)</f>
        <v>#N/A</v>
      </c>
      <c r="DI96" s="49" t="e">
        <f>IF(BS96="channel",VLOOKUP(Calculations!BR96,Reinforcements[],COLUMN(Reinforcements[[#Headers],['[Channel']Web Thickness (in)]])-1,FALSE),"")</f>
        <v>#N/A</v>
      </c>
      <c r="DJ96" s="49" t="b">
        <f t="shared" si="126"/>
        <v>0</v>
      </c>
      <c r="DK96" s="49" t="e">
        <f>IF(BS96="channel",Calculations!BU96-DI96,"")</f>
        <v>#N/A</v>
      </c>
      <c r="DL96" s="49" t="e">
        <f>IF(BS96="channel",(Calculations!BY96-Calculations!BT96*DI96)/(2*DK96))</f>
        <v>#N/A</v>
      </c>
      <c r="DM96" s="49" t="e">
        <f>IF(BS96="channel",(Calculations!BT96*(DI96^2)/2+2*DK96*DL96*(DI96+DK96/2))/Calculations!BY96,"")</f>
        <v>#N/A</v>
      </c>
    </row>
    <row r="97" spans="1:115" ht="15" x14ac:dyDescent="0.25">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49"/>
      <c r="AK97" s="149"/>
      <c r="AL97" s="149"/>
      <c r="AM97" s="149"/>
      <c r="AN97" s="149"/>
      <c r="AO97" s="149"/>
      <c r="AP97" s="149"/>
      <c r="AQ97" s="149"/>
      <c r="AR97" s="149"/>
      <c r="AS97" s="149"/>
      <c r="AT97" s="25"/>
      <c r="AU97" s="149"/>
      <c r="AV97" s="149"/>
      <c r="AW97" s="149"/>
      <c r="AX97" s="149"/>
      <c r="AY97" s="149"/>
      <c r="AZ97" s="149"/>
      <c r="BA97" s="149"/>
      <c r="BB97" s="149"/>
      <c r="BC97" s="169" t="e">
        <f>$D$28*$BX97*(MAX(AVERAGE(O97:P97),AVERAGE(Q97:R97))/COS(RADIANS(E97)))/2*(2*(-$BX97/2*SIN(RADIANS(E97))*COS(RADIANS(E97)))+IF(OR(D97&gt;540,AND(D97&gt;180,D97&lt;=360)),-1,1)*$BX97*SIN(RADIANS(E97))+IF(OR(D97&gt;540,AND(D97&gt;180,D97&lt;=360)),-1,1)*(MAX(AVERAGE(O97:P97),AVERAGE(Q97:R97))/COS(RADIANS(E97)))*COS(RADIANS(E97)))</f>
        <v>#N/A</v>
      </c>
      <c r="BD97" s="169" t="e">
        <f>-$D$28*$BX97*(MIN(AVERAGE(O97:P97),AVERAGE(Q97:R97))/COS(RADIANS(E97)))/2*(2*(-$BX97/2*SIN(RADIANS(E97))*COS(RADIANS(E97)))-IF(OR(D97&gt;540,AND(D97&gt;180,D97&lt;=360)),-1,1)*$BX97*SIN(RADIANS(E97))+IF(OR(D97&gt;540,AND(D97&gt;180,D97&lt;=360)),-1,1)*(MIN(AVERAGE(O97:P97),AVERAGE(Q97:R97))/COS(RADIANS(E97)))*COS(RADIANS(E97)))</f>
        <v>#N/A</v>
      </c>
      <c r="BE97" s="149"/>
      <c r="BF97" s="149"/>
      <c r="BG97" s="149"/>
      <c r="BH97" s="149"/>
      <c r="BI97" s="149"/>
      <c r="BJ97" s="149"/>
      <c r="BK97" s="149"/>
      <c r="BL97" s="25"/>
      <c r="BM97" s="149"/>
      <c r="BN97" s="149"/>
      <c r="BO97" s="149"/>
      <c r="BP97" s="25"/>
      <c r="BQ97" s="25"/>
      <c r="BR97" s="25"/>
      <c r="BS97" s="25"/>
      <c r="BT97" s="25"/>
      <c r="BU97" s="25"/>
      <c r="BV97" s="25"/>
      <c r="BW97" s="25"/>
      <c r="BX97" s="25"/>
      <c r="BY97" s="25"/>
      <c r="BZ97" s="25"/>
      <c r="CA97" s="25"/>
      <c r="CB97" s="25"/>
      <c r="CC97" s="25"/>
      <c r="CD97" s="25"/>
      <c r="CE97" s="25"/>
      <c r="CF97" s="25"/>
      <c r="CG97" s="25"/>
      <c r="CH97" s="25"/>
      <c r="CI97" s="25"/>
      <c r="CT97" s="49"/>
      <c r="CU97" s="49"/>
      <c r="CV97" s="49"/>
      <c r="CW97" s="49"/>
    </row>
    <row r="98" spans="1:115" ht="18" x14ac:dyDescent="0.35">
      <c r="A98" s="133" t="s">
        <v>698</v>
      </c>
      <c r="B98" s="34">
        <f>SUM(B60:B77,B79:B96)</f>
        <v>0</v>
      </c>
      <c r="C98" s="49"/>
      <c r="D98" s="25"/>
      <c r="E98" s="25"/>
      <c r="F98" s="71" t="s">
        <v>699</v>
      </c>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49"/>
      <c r="AK98" s="149"/>
      <c r="AL98" s="149"/>
      <c r="AM98" s="149"/>
      <c r="AN98" s="149"/>
      <c r="AO98" s="149"/>
      <c r="AP98" s="149"/>
      <c r="AQ98" s="149"/>
      <c r="AR98" s="149"/>
      <c r="AS98" s="149"/>
      <c r="AT98" s="25"/>
      <c r="AU98" s="149"/>
      <c r="AV98" s="149"/>
      <c r="AW98" s="149"/>
      <c r="AX98" s="149"/>
      <c r="AY98" s="165"/>
      <c r="AZ98" s="165"/>
      <c r="BA98" s="165"/>
      <c r="BB98" s="149"/>
      <c r="BC98" s="169" t="str">
        <f>IFERROR(IF(AND(MAX(AVERAGE(O98:P98),AVERAGE(Q98:R98))&gt;0,MIN(AVERAGE(O98:P98),AVERAGE(Q98:R98))&lt;=$AR98),IF(AND(MIN(AVERAGE(O98:P98),AVERAGE(Q98:R98))&gt;=0,MAX(AVERAGE(O98:P98),AVERAGE(Q98:R98))&lt;=$AR98),"case1",IF(MIN(AVERAGE(O98:P98),AVERAGE(Q98:R98))&gt;=0,"case4",IF(MAX(AVERAGE(O98:P98),AVERAGE(Q98:R98))&gt;$AR98,"case3","case2"))),""),"")</f>
        <v/>
      </c>
      <c r="BD98" s="169" t="str">
        <f>IFERROR(IF(CI98="Yes","",IF(AND(MIN(AVERAGE(O98:P98),AVERAGE(Q98:R98))&lt;0,MAX(AVERAGE(O98:P98),AVERAGE(Q98:R98))&gt;=-$AR98),IF(AND(MAX(AVERAGE(O98:P98),AVERAGE(Q98:R98))&lt;=0,MIN(AVERAGE(O98:P98),AVERAGE(Q98:R98))&gt;-$AR98),"case1",IF(MAX(AVERAGE(O98:P98),AVERAGE(Q98:R98))&lt;=0,"case4",IF(MIN(AVERAGE(O98:P98),AVERAGE(Q98:R98))&lt;-$AR98,"case3","case2"))),"")),"")</f>
        <v/>
      </c>
      <c r="BE98" s="149"/>
      <c r="BF98" s="149"/>
      <c r="BG98" s="149"/>
      <c r="BH98" s="149"/>
      <c r="BI98" s="149"/>
      <c r="BJ98" s="149"/>
      <c r="BK98" s="165"/>
      <c r="BL98" s="25"/>
      <c r="BM98" s="149"/>
      <c r="BN98" s="149"/>
      <c r="BO98" s="149"/>
      <c r="BP98" s="25"/>
      <c r="BQ98" s="25"/>
      <c r="BR98" s="25"/>
      <c r="BS98" s="25"/>
      <c r="BT98" s="25"/>
      <c r="BU98" s="25"/>
      <c r="BV98" s="25"/>
      <c r="BW98" s="25"/>
      <c r="BX98" s="25"/>
      <c r="BY98" s="25"/>
      <c r="BZ98" s="25"/>
      <c r="CA98" s="25"/>
      <c r="CB98" s="25"/>
      <c r="CC98" s="25"/>
      <c r="CD98" s="25"/>
      <c r="CE98" s="25"/>
      <c r="CF98" s="25"/>
      <c r="CG98" s="25"/>
      <c r="CH98" s="25"/>
      <c r="CI98" s="25"/>
      <c r="CT98" s="49"/>
      <c r="CU98" s="49"/>
      <c r="CV98" s="49"/>
      <c r="CW98" s="49"/>
      <c r="DJ98" s="163" t="b">
        <f>IFERROR(AND(MATCH(TRUE,DJ60:DJ96,0)&gt;0),FALSE)</f>
        <v>0</v>
      </c>
      <c r="DK98" s="29" t="s">
        <v>700</v>
      </c>
    </row>
    <row r="99" spans="1:115" ht="15" x14ac:dyDescent="0.25">
      <c r="A99" s="49"/>
      <c r="B99" s="25" t="s">
        <v>701</v>
      </c>
      <c r="C99" s="25"/>
      <c r="D99" s="25"/>
      <c r="E99" s="25"/>
      <c r="F99" s="70" t="e">
        <f>SUM(F40:F57,F60:F77,F79:F96)</f>
        <v>#N/A</v>
      </c>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49"/>
      <c r="AK99" s="149"/>
      <c r="AL99" s="149"/>
      <c r="AM99" s="149"/>
      <c r="AN99" s="149"/>
      <c r="AO99" s="149"/>
      <c r="AP99" s="149"/>
      <c r="AQ99" s="149"/>
      <c r="AR99" s="149"/>
      <c r="AS99" s="149"/>
      <c r="AT99" s="25"/>
      <c r="AU99" s="149"/>
      <c r="AV99" s="149"/>
      <c r="AW99" s="149"/>
      <c r="AX99" s="149"/>
      <c r="AY99" s="149"/>
      <c r="AZ99" s="149"/>
      <c r="BA99" s="149"/>
      <c r="BB99" s="291" t="s">
        <v>536</v>
      </c>
      <c r="BC99" s="291" t="e">
        <f>$D$28*$BX97*$BW97/2*(2*AV97+IF(OR(D97&gt;540,AND(D97&gt;180,D97&lt;=360)),-1,1)*$BX97*SIN(RADIANS(E97))+IF(OR(D97&gt;540,AND(D97&gt;180,D97&lt;=360)),-1,1)*$BW97*COS(RADIANS(E97)))</f>
        <v>#N/A</v>
      </c>
      <c r="BD99" s="29" t="e">
        <f>$D$28*$BX97*$BW97/2*(2*AV97+IF(OR(D97&gt;540,AND(D97&gt;180,D97&lt;=360)),-1,1)*$BX97*SIN(RADIANS(E97))+IF(OR(D97&gt;540,AND(D97&gt;180,D97&lt;=360)),-1,1)*$BW97*COS(RADIANS(E97)))</f>
        <v>#N/A</v>
      </c>
      <c r="BE99" s="149"/>
      <c r="BF99" s="149"/>
      <c r="BG99" s="149"/>
      <c r="BH99" s="149"/>
      <c r="BI99" s="149"/>
      <c r="BJ99" s="149"/>
      <c r="BK99" s="149"/>
      <c r="BL99" s="25"/>
      <c r="BM99" s="149"/>
      <c r="BN99" s="149"/>
      <c r="BO99" s="149"/>
      <c r="BP99" s="25"/>
      <c r="BQ99" s="25"/>
      <c r="BR99" s="25"/>
      <c r="BS99" s="25"/>
      <c r="BT99" s="25"/>
      <c r="BU99" s="25"/>
      <c r="BV99" s="25"/>
      <c r="BW99" s="25"/>
      <c r="BX99" s="25"/>
      <c r="BY99" s="25"/>
      <c r="BZ99" s="25"/>
      <c r="CA99" s="25"/>
      <c r="CB99" s="25"/>
      <c r="CC99" s="25"/>
      <c r="CD99" s="25"/>
      <c r="CE99" s="25"/>
      <c r="CF99" s="25"/>
      <c r="CG99" s="25"/>
      <c r="CH99" s="25"/>
      <c r="CI99" s="25"/>
      <c r="CT99" s="49"/>
      <c r="CU99" s="49"/>
      <c r="CV99" s="49"/>
      <c r="CW99" s="49"/>
    </row>
    <row r="100" spans="1:115" ht="15" x14ac:dyDescent="0.25">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149"/>
      <c r="AL100" s="149"/>
      <c r="AM100" s="149"/>
      <c r="AN100" s="149"/>
      <c r="AO100" s="149"/>
      <c r="AP100" s="149"/>
      <c r="AQ100" s="149"/>
      <c r="AR100" s="149"/>
      <c r="AS100" s="149"/>
      <c r="AT100" s="25"/>
      <c r="AU100" s="165"/>
      <c r="AV100" s="165"/>
      <c r="AW100" s="149"/>
      <c r="AX100" s="149"/>
      <c r="AY100" s="149"/>
      <c r="AZ100" s="149"/>
      <c r="BA100" s="149"/>
      <c r="BB100" s="291" t="s">
        <v>538</v>
      </c>
      <c r="BC100" s="291" t="e">
        <f>$D$28*$BX97*(MAX(AVERAGE(O97:P97),AVERAGE(Q97:R97))/COS(RADIANS(E97)))/2*(2*(-$BX97/2*SIN(RADIANS(E97))*COS(RADIANS(E97)))+IF(OR(D97&gt;540,AND(D97&gt;180,D97&lt;=360)),-1,1)*$BX97*SIN(RADIANS(E97))+IF(OR(D97&gt;540,AND(D97&gt;180,D97&lt;=360)),-1,1)*(MAX(AVERAGE(O97:P97),AVERAGE(Q97:R97))/COS(RADIANS(E97)))*COS(RADIANS(E97)))</f>
        <v>#N/A</v>
      </c>
      <c r="BD100" s="29" t="e">
        <f>-$D$28*$BX97*(MIN(AVERAGE(O97:P97),AVERAGE(Q97:R97))/COS(RADIANS(E97)))/2*(2*(-$BX97/2*SIN(RADIANS(E97))*COS(RADIANS(E97)))-IF(OR(D97&gt;540,AND(D97&gt;180,D97&lt;=360)),-1,1)*$BX97*SIN(RADIANS(E97))+IF(OR(D97&gt;540,AND(D97&gt;180,D97&lt;=360)),-1,1)*(MIN(AVERAGE(O97:P97),AVERAGE(Q97:R97))/COS(RADIANS(E97)))*COS(RADIANS(E97)))</f>
        <v>#N/A</v>
      </c>
      <c r="BE100" s="149"/>
      <c r="BF100" s="149"/>
      <c r="BG100" s="149"/>
      <c r="BH100" s="149"/>
      <c r="BI100" s="149"/>
      <c r="BJ100" s="149"/>
      <c r="BK100" s="149"/>
      <c r="BL100" s="25"/>
      <c r="BM100" s="149"/>
      <c r="BN100" s="149"/>
      <c r="BO100" s="149"/>
      <c r="BP100" s="25"/>
      <c r="BQ100" s="25"/>
      <c r="BR100" s="25"/>
      <c r="BS100" s="25"/>
      <c r="BT100" s="25"/>
      <c r="BU100" s="25"/>
      <c r="BV100" s="25"/>
      <c r="BW100" s="25"/>
      <c r="BX100" s="25"/>
      <c r="BY100" s="25"/>
      <c r="BZ100" s="25"/>
      <c r="CA100" s="25"/>
      <c r="CB100" s="25"/>
      <c r="CC100" s="25"/>
      <c r="CD100" s="25"/>
      <c r="CE100" s="25"/>
      <c r="CF100" s="25"/>
      <c r="CG100" s="25"/>
      <c r="CH100" s="25"/>
      <c r="CI100" s="25"/>
      <c r="CT100" s="49"/>
      <c r="CU100" s="49"/>
      <c r="CV100" s="49"/>
      <c r="CW100" s="49"/>
    </row>
    <row r="101" spans="1:115" ht="15" x14ac:dyDescent="0.25">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149"/>
      <c r="AL101" s="149"/>
      <c r="AM101" s="149"/>
      <c r="AN101" s="149"/>
      <c r="AO101" s="149"/>
      <c r="AP101" s="149"/>
      <c r="AQ101" s="149"/>
      <c r="AR101" s="149"/>
      <c r="AS101" s="149"/>
      <c r="AT101" s="25"/>
      <c r="AU101" s="165"/>
      <c r="AV101" s="165"/>
      <c r="AW101" s="149"/>
      <c r="AX101" s="149"/>
      <c r="AY101" s="149"/>
      <c r="AZ101" s="149"/>
      <c r="BA101" s="149"/>
      <c r="BB101" s="291" t="s">
        <v>542</v>
      </c>
      <c r="BC101" s="291" t="e">
        <f>$D$28*$BX97*($AR97/COS(RADIANS(E97)))/2*(2*(-$BX97/2*SIN(RADIANS(E97))*COS(RADIANS(E97)))+IF(OR(D97&gt;540,AND(D97&gt;180,D97&lt;=360)),-1,1)*$BX97*SIN(RADIANS(E97))+IF(OR(D97&gt;540,AND(D97&gt;180,D97&lt;=360)),-1,1)*($AR97/COS(RADIANS(E97)))*COS(RADIANS(E97)))</f>
        <v>#N/A</v>
      </c>
      <c r="BD101" s="29" t="e">
        <f>$D$28*$BX97*($AR97/COS(RADIANS(E97)))/2*(2*(-$BX97/2*SIN(RADIANS(E97))*COS(RADIANS(E97)))+IF(OR(D97&gt;540,AND(D97&gt;180,D97&lt;=360)),-1,1)*$BX97*SIN(RADIANS(E97))+IF(OR(D97&gt;540,AND(D97&gt;180,D97&lt;=360)),-1,1)*($AR97/COS(RADIANS(E97)))*COS(RADIANS(E97)))</f>
        <v>#N/A</v>
      </c>
      <c r="BE101" s="149"/>
      <c r="BF101" s="149"/>
      <c r="BG101" s="149"/>
      <c r="BH101" s="149"/>
      <c r="BI101" s="149"/>
      <c r="BJ101" s="149"/>
      <c r="BK101" s="149"/>
      <c r="BL101" s="25"/>
      <c r="BM101" s="149"/>
      <c r="BN101" s="149"/>
      <c r="BO101" s="149"/>
      <c r="BP101" s="25"/>
      <c r="BQ101" s="25"/>
      <c r="BR101" s="25"/>
      <c r="BS101" s="25"/>
      <c r="BT101" s="25"/>
      <c r="BU101" s="25"/>
      <c r="BV101" s="25"/>
      <c r="BW101" s="25"/>
      <c r="BX101" s="25"/>
      <c r="BY101" s="25"/>
      <c r="BZ101" s="25"/>
      <c r="CA101" s="25"/>
      <c r="CB101" s="25"/>
      <c r="CC101" s="25"/>
      <c r="CD101" s="25"/>
      <c r="CE101" s="25"/>
      <c r="CF101" s="25"/>
      <c r="CG101" s="25"/>
      <c r="CH101" s="25"/>
      <c r="CI101" s="25"/>
      <c r="CT101" s="49"/>
      <c r="CU101" s="49"/>
      <c r="CV101" s="49"/>
      <c r="CW101" s="49"/>
    </row>
    <row r="102" spans="1:115" ht="15" x14ac:dyDescent="0.25">
      <c r="C102" s="149"/>
      <c r="D102" s="149"/>
      <c r="E102" s="149"/>
      <c r="F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149"/>
      <c r="AL102" s="149"/>
      <c r="AM102" s="149"/>
      <c r="AN102" s="149"/>
      <c r="AO102" s="149"/>
      <c r="AP102" s="149"/>
      <c r="AQ102" s="149"/>
      <c r="AR102" s="149"/>
      <c r="AS102" s="149"/>
      <c r="AT102" s="25"/>
      <c r="AU102" s="165"/>
      <c r="AV102" s="165"/>
      <c r="AW102" s="149"/>
      <c r="AX102" s="149"/>
      <c r="AY102" s="149"/>
      <c r="AZ102" s="149"/>
      <c r="BA102" s="149"/>
      <c r="BB102" s="291" t="s">
        <v>546</v>
      </c>
      <c r="BC102" s="291" t="e">
        <f>$D$28*$BX97*($AR97-MIN(AVERAGE(O97:P97),AVERAGE(Q97:R97)))/COS(RADIANS(E97))/2*(2*(MIN(AVERAGE(O97:P97),AVERAGE(Q97:R97)))+IF(OR(D97&gt;540,AND(D97&gt;180,D97&lt;=360)),-1,1)*$BX97*SIN(RADIANS(E97))+IF(OR(D97&gt;540,AND(D97&gt;180,D97&lt;=360)),-1,1)*($AR97-MIN(AVERAGE(O97:P97),AVERAGE(Q97:R97)))/COS(RADIANS(E97))*COS(RADIANS(E97)))</f>
        <v>#N/A</v>
      </c>
      <c r="BD102" s="29" t="e">
        <f>$D$28*$BX97*(MAX(AVERAGE(O97:P97),AVERAGE(Q97:R97))+$AR97)/COS(RADIANS(E97))/2*(2*(MAX(AVERAGE(O97:P97),AVERAGE(Q97:R97)))+IF(OR(D97&gt;540,AND(D97&gt;180,D97&lt;=360)),-1,1)*$BX97*SIN(RADIANS(E97))+IF(OR(D97&gt;540,AND(D97&gt;180,D97&lt;=360)),-1,1)*(MAX(AVERAGE(O97:P97),AVERAGE(Q97:R97))+$AR97)/COS(RADIANS(E97))*COS(RADIANS(E97)))</f>
        <v>#N/A</v>
      </c>
      <c r="BE102" s="149"/>
      <c r="BF102" s="149"/>
      <c r="BG102" s="149"/>
      <c r="BH102" s="149"/>
      <c r="BI102" s="149"/>
      <c r="BJ102" s="149"/>
      <c r="BK102" s="149"/>
      <c r="BL102" s="25"/>
      <c r="BM102" s="149"/>
      <c r="BN102" s="149"/>
      <c r="BO102" s="149"/>
      <c r="BP102" s="25"/>
      <c r="BQ102" s="25"/>
      <c r="BR102" s="25"/>
      <c r="BS102" s="25"/>
      <c r="BT102" s="25"/>
      <c r="BU102" s="25"/>
      <c r="BV102" s="25"/>
      <c r="BW102" s="25"/>
      <c r="BX102" s="25"/>
      <c r="BY102" s="25"/>
      <c r="BZ102" s="25"/>
      <c r="CA102" s="25"/>
      <c r="CB102" s="25"/>
      <c r="CC102" s="25"/>
      <c r="CD102" s="25"/>
      <c r="CE102" s="25"/>
      <c r="CF102" s="25"/>
      <c r="CG102" s="25"/>
      <c r="CH102" s="25"/>
      <c r="CI102" s="25"/>
      <c r="CT102" s="49"/>
      <c r="CU102" s="49"/>
      <c r="CV102" s="49"/>
      <c r="CW102" s="49"/>
    </row>
    <row r="103" spans="1:115" ht="18.75" x14ac:dyDescent="0.3">
      <c r="C103" s="149"/>
      <c r="D103" s="149"/>
      <c r="E103" s="149"/>
      <c r="F103" s="149"/>
      <c r="H103" s="15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149"/>
      <c r="AL103" s="149"/>
      <c r="AM103" s="149"/>
      <c r="AN103" s="149"/>
      <c r="AO103" s="149"/>
      <c r="AP103" s="149"/>
      <c r="AQ103" s="149"/>
      <c r="AR103" s="149"/>
      <c r="AS103" s="149"/>
      <c r="AT103" s="25"/>
      <c r="AU103" s="165"/>
      <c r="AV103" s="165"/>
      <c r="AW103" s="149"/>
      <c r="AX103" s="149"/>
      <c r="AY103" s="149"/>
      <c r="AZ103" s="149"/>
      <c r="BA103" s="149"/>
      <c r="BB103" s="291"/>
      <c r="BC103" s="291"/>
      <c r="BD103" s="29"/>
      <c r="BE103" s="149"/>
      <c r="BF103" s="149"/>
      <c r="BG103" s="149"/>
      <c r="BH103" s="149"/>
      <c r="BI103" s="149"/>
      <c r="BJ103" s="149"/>
      <c r="BK103" s="149"/>
      <c r="BL103" s="25"/>
      <c r="BM103" s="149"/>
      <c r="BN103" s="149"/>
      <c r="BO103" s="149"/>
      <c r="BP103" s="25"/>
      <c r="BQ103" s="25"/>
      <c r="BR103" s="25"/>
      <c r="BS103" s="25"/>
      <c r="BT103" s="25"/>
      <c r="BU103" s="25"/>
      <c r="BV103" s="25"/>
      <c r="BW103" s="25"/>
      <c r="BX103" s="25"/>
      <c r="BY103" s="25"/>
      <c r="BZ103" s="25"/>
      <c r="CA103" s="25"/>
      <c r="CB103" s="25"/>
      <c r="CC103" s="25"/>
      <c r="CD103" s="25"/>
      <c r="CE103" s="25"/>
      <c r="CF103" s="25"/>
      <c r="CG103" s="25"/>
      <c r="CH103" s="25"/>
      <c r="CI103" s="25"/>
      <c r="CT103" s="49"/>
      <c r="CU103" s="49"/>
      <c r="CV103" s="49"/>
      <c r="CW103" s="49"/>
    </row>
    <row r="104" spans="1:115" ht="15" x14ac:dyDescent="0.25">
      <c r="C104" s="149"/>
      <c r="D104" s="149"/>
      <c r="E104" s="149"/>
      <c r="F104" s="149"/>
      <c r="G104" s="149"/>
      <c r="H104" s="165"/>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149"/>
      <c r="AL104" s="149"/>
      <c r="AM104" s="149"/>
      <c r="AN104" s="149"/>
      <c r="AO104" s="149"/>
      <c r="AP104" s="149"/>
      <c r="AQ104" s="149"/>
      <c r="AR104" s="149"/>
      <c r="AS104" s="149"/>
      <c r="AT104" s="25"/>
      <c r="AU104" s="165"/>
      <c r="AV104" s="165"/>
      <c r="AW104" s="149"/>
      <c r="AX104" s="149"/>
      <c r="AY104" s="149"/>
      <c r="AZ104" s="149"/>
      <c r="BA104" s="149"/>
      <c r="BB104" s="29">
        <v>1</v>
      </c>
      <c r="BC104" s="291" t="str">
        <f>IFERROR(AND(OR(BC60="",ROUND(BC40,5)=ROUND(BC60,5)),OR(BC79="",BC60="",ROUND(BC60,5)=ROUND(BC79,5))),"")</f>
        <v/>
      </c>
      <c r="BD104" s="291" t="str">
        <f>IFERROR(AND(OR(BD60="",ROUND(BD40,5)=ROUND(BD60,5)),OR(BD79="",BD60="",ROUND(BD60,5)=ROUND(BD79,5))),"")</f>
        <v/>
      </c>
      <c r="BE104" s="149"/>
      <c r="BF104" s="149"/>
      <c r="BG104" s="165"/>
      <c r="BH104" s="165"/>
      <c r="BI104" s="149"/>
      <c r="BJ104" s="149"/>
      <c r="BK104" s="149"/>
      <c r="BL104" s="25"/>
      <c r="BM104" s="149"/>
      <c r="BN104" s="149"/>
      <c r="BO104" s="149"/>
      <c r="BP104" s="25"/>
      <c r="BQ104" s="25"/>
      <c r="BR104" s="25"/>
      <c r="BS104" s="25"/>
      <c r="BT104" s="25"/>
      <c r="BU104" s="25"/>
      <c r="BV104" s="25"/>
      <c r="BW104" s="25"/>
      <c r="BX104" s="25"/>
      <c r="BY104" s="25"/>
      <c r="BZ104" s="25"/>
      <c r="CA104" s="25"/>
      <c r="CB104" s="25"/>
      <c r="CC104" s="25"/>
      <c r="CD104" s="25"/>
      <c r="CE104" s="25"/>
      <c r="CF104" s="25"/>
      <c r="CG104" s="25"/>
      <c r="CH104" s="25"/>
      <c r="CI104" s="25"/>
      <c r="CT104" s="49"/>
      <c r="CU104" s="49"/>
      <c r="CV104" s="49"/>
      <c r="CW104" s="49"/>
    </row>
    <row r="105" spans="1:115" ht="15" x14ac:dyDescent="0.25">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149"/>
      <c r="AL105" s="149"/>
      <c r="AM105" s="149"/>
      <c r="AN105" s="149"/>
      <c r="AO105" s="149"/>
      <c r="AP105" s="149"/>
      <c r="AQ105" s="149"/>
      <c r="AR105" s="149"/>
      <c r="AS105" s="149"/>
      <c r="AT105" s="25"/>
      <c r="AU105" s="165"/>
      <c r="AV105" s="165"/>
      <c r="AW105" s="149"/>
      <c r="AX105" s="149"/>
      <c r="AY105" s="149"/>
      <c r="AZ105" s="149"/>
      <c r="BA105" s="149"/>
      <c r="BB105" s="29">
        <v>2</v>
      </c>
      <c r="BC105" s="291" t="str">
        <f t="shared" ref="BC105:BD121" si="127">IFERROR(AND(OR(BC61="",ROUND(BC41,5)=ROUND(BC61,5)),OR(BC80="",BC61="",ROUND(BC61,5)=ROUND(BC80,5))),"")</f>
        <v/>
      </c>
      <c r="BD105" s="291" t="str">
        <f t="shared" si="127"/>
        <v/>
      </c>
      <c r="BE105" s="149"/>
      <c r="BF105" s="149"/>
      <c r="BG105" s="165"/>
      <c r="BH105" s="165"/>
      <c r="BI105" s="149"/>
      <c r="BJ105" s="149"/>
      <c r="BK105" s="149"/>
      <c r="BL105" s="25"/>
      <c r="BM105" s="149"/>
      <c r="BN105" s="149"/>
      <c r="BO105" s="149"/>
      <c r="BP105" s="25"/>
      <c r="BQ105" s="25"/>
      <c r="BR105" s="25"/>
      <c r="BS105" s="25"/>
      <c r="BT105" s="25"/>
      <c r="BU105" s="25"/>
      <c r="BV105" s="25"/>
      <c r="BW105" s="25"/>
      <c r="BX105" s="25"/>
      <c r="BY105" s="25"/>
      <c r="BZ105" s="25"/>
      <c r="CA105" s="25"/>
      <c r="CB105" s="25"/>
      <c r="CC105" s="25"/>
      <c r="CD105" s="25"/>
      <c r="CE105" s="25"/>
      <c r="CF105" s="25"/>
      <c r="CG105" s="25"/>
      <c r="CH105" s="25"/>
      <c r="CI105" s="25"/>
      <c r="CT105" s="49"/>
      <c r="CU105" s="49"/>
      <c r="CV105" s="49"/>
      <c r="CW105" s="49"/>
    </row>
    <row r="106" spans="1:115" ht="15" x14ac:dyDescent="0.25">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149"/>
      <c r="AL106" s="149"/>
      <c r="AM106" s="149"/>
      <c r="AN106" s="149"/>
      <c r="AO106" s="149"/>
      <c r="AP106" s="149"/>
      <c r="AQ106" s="149"/>
      <c r="AR106" s="149"/>
      <c r="AS106" s="149"/>
      <c r="AT106" s="25"/>
      <c r="AU106" s="165"/>
      <c r="AV106" s="165"/>
      <c r="AW106" s="149"/>
      <c r="AX106" s="149"/>
      <c r="AY106" s="149"/>
      <c r="AZ106" s="149"/>
      <c r="BA106" s="149"/>
      <c r="BB106" s="29">
        <v>3</v>
      </c>
      <c r="BC106" s="291" t="str">
        <f t="shared" si="127"/>
        <v/>
      </c>
      <c r="BD106" s="291" t="str">
        <f t="shared" si="127"/>
        <v/>
      </c>
      <c r="BE106" s="149"/>
      <c r="BF106" s="149"/>
      <c r="BG106" s="165"/>
      <c r="BH106" s="165"/>
      <c r="BI106" s="149"/>
      <c r="BJ106" s="149"/>
      <c r="BK106" s="149"/>
      <c r="BL106" s="25"/>
      <c r="BM106" s="149"/>
      <c r="BN106" s="149"/>
      <c r="BO106" s="149"/>
      <c r="BP106" s="25"/>
      <c r="BQ106" s="25"/>
      <c r="BR106" s="25"/>
      <c r="BS106" s="25"/>
      <c r="BT106" s="25"/>
      <c r="BU106" s="25"/>
      <c r="BV106" s="25"/>
      <c r="BW106" s="25"/>
      <c r="BX106" s="25"/>
      <c r="BY106" s="25"/>
      <c r="BZ106" s="25"/>
      <c r="CA106" s="25"/>
      <c r="CB106" s="25"/>
      <c r="CC106" s="25"/>
      <c r="CD106" s="25"/>
      <c r="CE106" s="25"/>
      <c r="CF106" s="25"/>
      <c r="CG106" s="25"/>
      <c r="CH106" s="25"/>
      <c r="CI106" s="25"/>
      <c r="CT106" s="49"/>
      <c r="CU106" s="49"/>
      <c r="CV106" s="49"/>
      <c r="CW106" s="49"/>
    </row>
    <row r="107" spans="1:115" ht="15" x14ac:dyDescent="0.25">
      <c r="C107" s="149"/>
      <c r="D107" s="149"/>
      <c r="E107" s="149"/>
      <c r="F107" s="149"/>
      <c r="G107" s="149"/>
      <c r="H107" s="149"/>
      <c r="I107" s="149"/>
      <c r="J107" s="645" t="s">
        <v>702</v>
      </c>
      <c r="K107" s="645"/>
      <c r="L107" s="645"/>
      <c r="M107" s="645"/>
      <c r="N107" s="645"/>
      <c r="O107" s="645"/>
      <c r="P107" s="645"/>
      <c r="Q107" s="645"/>
      <c r="R107" s="645"/>
      <c r="S107" s="645"/>
      <c r="T107" s="645"/>
      <c r="U107" s="645"/>
      <c r="V107" s="645"/>
      <c r="W107" s="149"/>
      <c r="X107" s="149"/>
      <c r="Y107" s="149"/>
      <c r="Z107" s="149"/>
      <c r="AA107" s="149"/>
      <c r="AB107" s="149"/>
      <c r="AC107" s="149"/>
      <c r="AD107" s="149"/>
      <c r="AE107" s="149"/>
      <c r="AF107" s="149"/>
      <c r="AG107" s="149"/>
      <c r="AH107" s="149"/>
      <c r="AI107" s="149"/>
      <c r="AJ107" s="149"/>
      <c r="AK107" s="149"/>
      <c r="AL107" s="149"/>
      <c r="AM107" s="149"/>
      <c r="AN107" s="149"/>
      <c r="AO107" s="149"/>
      <c r="AP107" s="149"/>
      <c r="AQ107" s="149"/>
      <c r="AR107" s="149"/>
      <c r="AS107" s="149"/>
      <c r="AT107" s="25"/>
      <c r="AU107" s="165"/>
      <c r="AV107" s="165"/>
      <c r="AW107" s="149"/>
      <c r="AX107" s="149"/>
      <c r="AY107" s="149"/>
      <c r="AZ107" s="149"/>
      <c r="BA107" s="149"/>
      <c r="BB107" s="29">
        <v>4</v>
      </c>
      <c r="BC107" s="291" t="str">
        <f t="shared" si="127"/>
        <v/>
      </c>
      <c r="BD107" s="291" t="str">
        <f t="shared" si="127"/>
        <v/>
      </c>
      <c r="BE107" s="149"/>
      <c r="BF107" s="149"/>
      <c r="BG107" s="165"/>
      <c r="BH107" s="165"/>
      <c r="BI107" s="149"/>
      <c r="BJ107" s="149"/>
      <c r="BK107" s="149"/>
      <c r="BL107" s="25"/>
      <c r="BM107" s="149"/>
      <c r="BN107" s="149"/>
      <c r="BO107" s="149"/>
      <c r="BP107" s="25"/>
      <c r="BQ107" s="25"/>
      <c r="BR107" s="25"/>
      <c r="BS107" s="25"/>
      <c r="BT107" s="25"/>
      <c r="BU107" s="25"/>
      <c r="BV107" s="25"/>
      <c r="BW107" s="25"/>
      <c r="BX107" s="25"/>
      <c r="BY107" s="25"/>
      <c r="BZ107" s="25"/>
      <c r="CA107" s="25"/>
      <c r="CB107" s="25"/>
      <c r="CC107" s="25"/>
      <c r="CD107" s="25"/>
      <c r="CE107" s="25"/>
      <c r="CF107" s="25"/>
      <c r="CG107" s="25"/>
      <c r="CH107" s="25"/>
      <c r="CI107" s="25"/>
      <c r="CT107" s="49"/>
      <c r="CU107" s="49"/>
      <c r="CV107" s="49"/>
      <c r="CW107" s="49"/>
    </row>
    <row r="108" spans="1:115" ht="15" x14ac:dyDescent="0.25">
      <c r="C108" s="149"/>
      <c r="D108" s="149"/>
      <c r="E108" s="149"/>
      <c r="F108" s="149"/>
      <c r="G108" s="72" t="s">
        <v>703</v>
      </c>
      <c r="H108" s="72" t="s">
        <v>704</v>
      </c>
      <c r="I108" s="149"/>
      <c r="J108" s="645"/>
      <c r="K108" s="645"/>
      <c r="L108" s="645"/>
      <c r="M108" s="645"/>
      <c r="N108" s="645"/>
      <c r="O108" s="645"/>
      <c r="P108" s="645"/>
      <c r="Q108" s="645"/>
      <c r="R108" s="645"/>
      <c r="S108" s="645"/>
      <c r="T108" s="645"/>
      <c r="U108" s="645"/>
      <c r="V108" s="645"/>
      <c r="W108" s="149"/>
      <c r="X108" s="149"/>
      <c r="Y108" s="149"/>
      <c r="Z108" s="149"/>
      <c r="AA108" s="149"/>
      <c r="AB108" s="149"/>
      <c r="AC108" s="149"/>
      <c r="AD108" s="149"/>
      <c r="AE108" s="149"/>
      <c r="AF108" s="149"/>
      <c r="AG108" s="149"/>
      <c r="AH108" s="149"/>
      <c r="AI108" s="149"/>
      <c r="AJ108" s="149"/>
      <c r="AK108" s="149"/>
      <c r="AL108" s="149"/>
      <c r="AM108" s="149"/>
      <c r="AN108" s="149"/>
      <c r="AO108" s="149"/>
      <c r="AP108" s="149"/>
      <c r="AQ108" s="149"/>
      <c r="AR108" s="149"/>
      <c r="AS108" s="149"/>
      <c r="AT108" s="25"/>
      <c r="AU108" s="165"/>
      <c r="AV108" s="165"/>
      <c r="AW108" s="149"/>
      <c r="AX108" s="149"/>
      <c r="AY108" s="149"/>
      <c r="AZ108" s="149"/>
      <c r="BA108" s="149"/>
      <c r="BB108" s="29">
        <v>5</v>
      </c>
      <c r="BC108" s="291" t="str">
        <f t="shared" si="127"/>
        <v/>
      </c>
      <c r="BD108" s="291" t="str">
        <f t="shared" si="127"/>
        <v/>
      </c>
      <c r="BE108" s="149"/>
      <c r="BF108" s="149"/>
      <c r="BG108" s="165"/>
      <c r="BH108" s="165"/>
      <c r="BI108" s="149"/>
      <c r="BJ108" s="149"/>
      <c r="BK108" s="149"/>
      <c r="BL108" s="25"/>
      <c r="BM108" s="149"/>
      <c r="BN108" s="149"/>
      <c r="BO108" s="149"/>
      <c r="BP108" s="25"/>
      <c r="BQ108" s="25"/>
      <c r="BR108" s="25"/>
      <c r="BS108" s="25"/>
      <c r="BT108" s="25"/>
      <c r="BU108" s="25"/>
      <c r="BV108" s="25"/>
      <c r="BW108" s="25"/>
      <c r="BX108" s="25"/>
      <c r="BY108" s="25"/>
      <c r="BZ108" s="25"/>
      <c r="CA108" s="25"/>
      <c r="CB108" s="25"/>
      <c r="CC108" s="25"/>
      <c r="CD108" s="25"/>
      <c r="CE108" s="25"/>
      <c r="CF108" s="25"/>
      <c r="CG108" s="25"/>
      <c r="CH108" s="25"/>
      <c r="CI108" s="25"/>
      <c r="CT108" s="49"/>
      <c r="CU108" s="49"/>
      <c r="CV108" s="49"/>
      <c r="CW108" s="49"/>
    </row>
    <row r="109" spans="1:115" ht="15" x14ac:dyDescent="0.25">
      <c r="G109" s="28">
        <v>0</v>
      </c>
      <c r="H109" s="28"/>
      <c r="AU109" s="160"/>
      <c r="AV109" s="160"/>
      <c r="AZ109" s="29" t="e">
        <f>AND(BC104:BD121,BG104:BH121)</f>
        <v>#VALUE!</v>
      </c>
      <c r="BA109" s="149"/>
      <c r="BB109" s="29">
        <v>6</v>
      </c>
      <c r="BC109" s="291" t="str">
        <f t="shared" si="127"/>
        <v/>
      </c>
      <c r="BD109" s="291" t="str">
        <f t="shared" si="127"/>
        <v/>
      </c>
      <c r="BE109" s="149"/>
      <c r="BF109" s="149"/>
      <c r="BG109" s="165"/>
      <c r="BH109" s="165"/>
      <c r="CT109" s="49"/>
      <c r="CU109" s="49"/>
      <c r="CV109" s="49"/>
      <c r="CW109" s="49"/>
    </row>
    <row r="110" spans="1:115" ht="15" x14ac:dyDescent="0.25">
      <c r="G110" s="28">
        <v>1</v>
      </c>
      <c r="H110" s="28"/>
      <c r="AU110" s="160"/>
      <c r="AV110" s="160"/>
      <c r="AZ110" s="149"/>
      <c r="BA110" s="149"/>
      <c r="BB110" s="29">
        <v>7</v>
      </c>
      <c r="BC110" s="291" t="str">
        <f t="shared" si="127"/>
        <v/>
      </c>
      <c r="BD110" s="291" t="str">
        <f t="shared" si="127"/>
        <v/>
      </c>
      <c r="BE110" s="149"/>
      <c r="BF110" s="149"/>
      <c r="BG110" s="165"/>
      <c r="BH110" s="165"/>
      <c r="CT110" s="49"/>
      <c r="CU110" s="49"/>
      <c r="CV110" s="49"/>
      <c r="CW110" s="49"/>
    </row>
    <row r="111" spans="1:115" ht="15" x14ac:dyDescent="0.25">
      <c r="G111" s="28">
        <v>2</v>
      </c>
      <c r="H111" s="28"/>
      <c r="AU111" s="160"/>
      <c r="AV111" s="160"/>
      <c r="AZ111" s="149"/>
      <c r="BA111" s="149"/>
      <c r="BB111" s="29">
        <v>8</v>
      </c>
      <c r="BC111" s="291" t="str">
        <f t="shared" si="127"/>
        <v/>
      </c>
      <c r="BD111" s="291" t="str">
        <f t="shared" si="127"/>
        <v/>
      </c>
      <c r="BE111" s="149"/>
      <c r="BF111" s="149"/>
      <c r="BG111" s="165"/>
      <c r="BH111" s="165"/>
      <c r="CT111" s="49"/>
      <c r="CU111" s="49"/>
      <c r="CV111" s="49"/>
      <c r="CW111" s="49"/>
    </row>
    <row r="112" spans="1:115" ht="15" x14ac:dyDescent="0.25">
      <c r="G112" s="28">
        <v>3</v>
      </c>
      <c r="H112" s="28"/>
      <c r="AU112" s="160"/>
      <c r="AV112" s="160"/>
      <c r="AZ112" s="149"/>
      <c r="BA112" s="149"/>
      <c r="BB112" s="29">
        <v>9</v>
      </c>
      <c r="BC112" s="291" t="str">
        <f t="shared" si="127"/>
        <v/>
      </c>
      <c r="BD112" s="291" t="str">
        <f t="shared" si="127"/>
        <v/>
      </c>
      <c r="BE112" s="149"/>
      <c r="BF112" s="149"/>
      <c r="BG112" s="165"/>
      <c r="BH112" s="165"/>
      <c r="CT112" s="49"/>
      <c r="CU112" s="49"/>
      <c r="CV112" s="49"/>
      <c r="CW112" s="49"/>
    </row>
    <row r="113" spans="7:101" ht="15" x14ac:dyDescent="0.25">
      <c r="G113" s="28">
        <v>4</v>
      </c>
      <c r="H113" s="28"/>
      <c r="AU113" s="160"/>
      <c r="AV113" s="160"/>
      <c r="AZ113" s="149"/>
      <c r="BA113" s="149"/>
      <c r="BB113" s="29">
        <v>10</v>
      </c>
      <c r="BC113" s="291" t="str">
        <f t="shared" si="127"/>
        <v/>
      </c>
      <c r="BD113" s="291" t="str">
        <f t="shared" si="127"/>
        <v/>
      </c>
      <c r="BE113" s="149"/>
      <c r="BF113" s="149"/>
      <c r="BG113" s="165"/>
      <c r="BH113" s="165"/>
      <c r="CT113" s="49"/>
      <c r="CU113" s="49"/>
      <c r="CV113" s="49"/>
      <c r="CW113" s="49"/>
    </row>
    <row r="114" spans="7:101" ht="15" x14ac:dyDescent="0.25">
      <c r="G114" s="28">
        <v>5</v>
      </c>
      <c r="H114" s="28"/>
      <c r="AU114" s="160"/>
      <c r="AV114" s="160"/>
      <c r="AZ114" s="149"/>
      <c r="BA114" s="149"/>
      <c r="BB114" s="29">
        <v>11</v>
      </c>
      <c r="BC114" s="291" t="str">
        <f t="shared" si="127"/>
        <v/>
      </c>
      <c r="BD114" s="291" t="str">
        <f t="shared" si="127"/>
        <v/>
      </c>
      <c r="BE114" s="149"/>
      <c r="BF114" s="149"/>
      <c r="BG114" s="165"/>
      <c r="BH114" s="165"/>
      <c r="CT114" s="49"/>
      <c r="CU114" s="49"/>
      <c r="CV114" s="49"/>
      <c r="CW114" s="49"/>
    </row>
    <row r="115" spans="7:101" ht="15" x14ac:dyDescent="0.25">
      <c r="G115" s="28">
        <v>6</v>
      </c>
      <c r="H115" s="28"/>
      <c r="AU115" s="160"/>
      <c r="AV115" s="160"/>
      <c r="AZ115" s="149"/>
      <c r="BA115" s="149"/>
      <c r="BB115" s="29">
        <v>12</v>
      </c>
      <c r="BC115" s="291" t="str">
        <f t="shared" si="127"/>
        <v/>
      </c>
      <c r="BD115" s="291" t="str">
        <f t="shared" si="127"/>
        <v/>
      </c>
      <c r="BE115" s="149"/>
      <c r="BF115" s="149"/>
      <c r="BG115" s="165"/>
      <c r="BH115" s="165"/>
      <c r="CT115" s="49"/>
      <c r="CU115" s="49"/>
      <c r="CV115" s="49"/>
      <c r="CW115" s="49"/>
    </row>
    <row r="116" spans="7:101" ht="15" x14ac:dyDescent="0.25">
      <c r="G116" s="28">
        <v>7</v>
      </c>
      <c r="H116" s="28"/>
      <c r="AU116" s="160"/>
      <c r="AV116" s="160"/>
      <c r="AZ116" s="149"/>
      <c r="BA116" s="149"/>
      <c r="BB116" s="29">
        <v>13</v>
      </c>
      <c r="BC116" s="291" t="str">
        <f t="shared" si="127"/>
        <v/>
      </c>
      <c r="BD116" s="291" t="str">
        <f t="shared" si="127"/>
        <v/>
      </c>
      <c r="BE116" s="149"/>
      <c r="BF116" s="149"/>
      <c r="BG116" s="165"/>
      <c r="BH116" s="165"/>
      <c r="CT116" s="49"/>
      <c r="CU116" s="49"/>
      <c r="CV116" s="49"/>
      <c r="CW116" s="49"/>
    </row>
    <row r="117" spans="7:101" ht="15" x14ac:dyDescent="0.25">
      <c r="G117" s="28">
        <v>8</v>
      </c>
      <c r="H117" s="28"/>
      <c r="AU117" s="160"/>
      <c r="AV117" s="160"/>
      <c r="AZ117" s="149"/>
      <c r="BA117" s="149"/>
      <c r="BB117" s="29">
        <v>14</v>
      </c>
      <c r="BC117" s="291" t="str">
        <f t="shared" si="127"/>
        <v/>
      </c>
      <c r="BD117" s="291" t="str">
        <f t="shared" si="127"/>
        <v/>
      </c>
      <c r="BE117" s="149"/>
      <c r="BF117" s="149"/>
      <c r="BG117" s="165"/>
      <c r="BH117" s="165"/>
      <c r="CT117" s="49"/>
      <c r="CU117" s="49"/>
      <c r="CV117" s="49"/>
      <c r="CW117" s="49"/>
    </row>
    <row r="118" spans="7:101" ht="15" x14ac:dyDescent="0.25">
      <c r="G118" s="28">
        <v>9</v>
      </c>
      <c r="H118" s="28"/>
      <c r="AU118" s="160"/>
      <c r="AV118" s="160"/>
      <c r="AZ118" s="149"/>
      <c r="BA118" s="149"/>
      <c r="BB118" s="29">
        <v>15</v>
      </c>
      <c r="BC118" s="291" t="str">
        <f t="shared" si="127"/>
        <v/>
      </c>
      <c r="BD118" s="291" t="str">
        <f t="shared" si="127"/>
        <v/>
      </c>
      <c r="BE118" s="149"/>
      <c r="BF118" s="149"/>
      <c r="BG118" s="165"/>
      <c r="BH118" s="165"/>
      <c r="CT118" s="49"/>
      <c r="CU118" s="49"/>
      <c r="CV118" s="49"/>
      <c r="CW118" s="49"/>
    </row>
    <row r="119" spans="7:101" ht="15" x14ac:dyDescent="0.25">
      <c r="G119" s="28">
        <v>10</v>
      </c>
      <c r="H119" s="28"/>
      <c r="AU119" s="160"/>
      <c r="AV119" s="160"/>
      <c r="AZ119" s="149"/>
      <c r="BA119" s="149"/>
      <c r="BB119" s="29">
        <v>16</v>
      </c>
      <c r="BC119" s="291" t="str">
        <f t="shared" si="127"/>
        <v/>
      </c>
      <c r="BD119" s="291" t="str">
        <f t="shared" si="127"/>
        <v/>
      </c>
      <c r="BE119" s="149"/>
      <c r="BF119" s="149"/>
      <c r="BG119" s="165"/>
      <c r="BH119" s="165"/>
      <c r="CT119" s="49"/>
      <c r="CU119" s="49"/>
      <c r="CV119" s="49"/>
      <c r="CW119" s="49"/>
    </row>
    <row r="120" spans="7:101" ht="15" x14ac:dyDescent="0.25">
      <c r="G120" s="28">
        <v>11</v>
      </c>
      <c r="H120" s="28"/>
      <c r="AU120" s="160"/>
      <c r="AV120" s="160"/>
      <c r="AZ120" s="149"/>
      <c r="BA120" s="149"/>
      <c r="BB120" s="29">
        <v>17</v>
      </c>
      <c r="BC120" s="291" t="str">
        <f t="shared" si="127"/>
        <v/>
      </c>
      <c r="BD120" s="291" t="str">
        <f t="shared" si="127"/>
        <v/>
      </c>
      <c r="BE120" s="149"/>
      <c r="BF120" s="149"/>
      <c r="BG120" s="165" t="str">
        <f>IFERROR(AND(OR(BG76="",ROUND(BG56,5)=ROUND(BG76,5)),OR(BG95="",BG76="",ROUND(BG76,5)=ROUND(BG95,5))),"")</f>
        <v/>
      </c>
      <c r="BH120" s="165" t="str">
        <f>IFERROR(AND(OR(BH76="",ROUND(BH56,5)=ROUND(BH76,5)),OR(BH95="",BH76="",ROUND(BH76,5)=ROUND(BH95,5))),"")</f>
        <v/>
      </c>
    </row>
    <row r="121" spans="7:101" ht="15" x14ac:dyDescent="0.25">
      <c r="G121" s="28">
        <v>12</v>
      </c>
      <c r="H121" s="28"/>
      <c r="AU121" s="160"/>
      <c r="AV121" s="160"/>
      <c r="AZ121" s="149"/>
      <c r="BA121" s="149"/>
      <c r="BB121" s="29">
        <v>18</v>
      </c>
      <c r="BC121" s="291" t="str">
        <f t="shared" si="127"/>
        <v/>
      </c>
      <c r="BD121" s="291" t="str">
        <f t="shared" si="127"/>
        <v/>
      </c>
      <c r="BE121" s="149"/>
      <c r="BF121" s="149"/>
      <c r="BG121" s="165" t="str">
        <f>IFERROR(AND(OR(BG77="",ROUND(BG57,5)=ROUND(BG77,5)),OR(BG96="",BG77="",ROUND(BG77,5)=ROUND(BG96,5))),"")</f>
        <v/>
      </c>
      <c r="BH121" s="165" t="str">
        <f>IFERROR(AND(OR(BH77="",ROUND(BH57,5)=ROUND(BH77,5)),OR(BH96="",BH77="",ROUND(BH77,5)=ROUND(BH96,5))),"")</f>
        <v/>
      </c>
    </row>
    <row r="122" spans="7:101" x14ac:dyDescent="0.2">
      <c r="G122" s="28">
        <v>13</v>
      </c>
      <c r="H122" s="28"/>
      <c r="AU122" s="160"/>
      <c r="AV122" s="160"/>
      <c r="BB122" s="294"/>
      <c r="BC122" s="294"/>
      <c r="BD122" s="47"/>
    </row>
    <row r="123" spans="7:101" x14ac:dyDescent="0.2">
      <c r="G123" s="28">
        <v>14</v>
      </c>
      <c r="H123" s="28"/>
      <c r="AU123" s="160"/>
      <c r="AV123" s="160"/>
      <c r="BB123" s="294"/>
      <c r="BC123" s="294"/>
      <c r="BD123" s="47"/>
    </row>
    <row r="124" spans="7:101" x14ac:dyDescent="0.2">
      <c r="G124" s="28">
        <v>15</v>
      </c>
      <c r="H124" s="28"/>
      <c r="AU124" s="160"/>
      <c r="AV124" s="160"/>
      <c r="BB124" s="294"/>
      <c r="BC124" s="294"/>
      <c r="BD124" s="47"/>
    </row>
    <row r="125" spans="7:101" x14ac:dyDescent="0.2">
      <c r="G125" s="28">
        <v>16</v>
      </c>
      <c r="H125" s="28"/>
      <c r="AU125" s="160"/>
      <c r="AV125" s="160"/>
      <c r="BB125" s="294"/>
      <c r="BC125" s="294"/>
      <c r="BD125" s="47"/>
    </row>
    <row r="126" spans="7:101" x14ac:dyDescent="0.2">
      <c r="G126" s="28">
        <v>17</v>
      </c>
      <c r="H126" s="28"/>
      <c r="AU126" s="160"/>
      <c r="AV126" s="160"/>
      <c r="BB126" s="294"/>
      <c r="BC126" s="294"/>
      <c r="BD126" s="47"/>
    </row>
    <row r="127" spans="7:101" x14ac:dyDescent="0.2">
      <c r="G127" s="28">
        <v>18</v>
      </c>
      <c r="H127" s="28"/>
      <c r="AU127" s="160"/>
      <c r="AV127" s="160"/>
      <c r="BB127" s="294"/>
      <c r="BC127" s="294"/>
      <c r="BD127" s="47"/>
    </row>
    <row r="128" spans="7:101" x14ac:dyDescent="0.2">
      <c r="G128" s="28">
        <v>19</v>
      </c>
      <c r="H128" s="28"/>
      <c r="AU128" s="160"/>
      <c r="AV128" s="160"/>
      <c r="BB128" s="294"/>
      <c r="BC128" s="294"/>
      <c r="BD128" s="47"/>
    </row>
    <row r="129" spans="7:56" x14ac:dyDescent="0.2">
      <c r="G129" s="28">
        <v>20</v>
      </c>
      <c r="H129" s="28"/>
      <c r="AU129" s="160"/>
      <c r="AV129" s="160"/>
      <c r="BB129" s="294"/>
      <c r="BC129" s="294"/>
      <c r="BD129" s="47"/>
    </row>
    <row r="130" spans="7:56" x14ac:dyDescent="0.2">
      <c r="G130" s="28">
        <v>21</v>
      </c>
      <c r="H130" s="28"/>
      <c r="AU130" s="160"/>
      <c r="AV130" s="160"/>
      <c r="BB130" s="294"/>
      <c r="BC130" s="294"/>
      <c r="BD130" s="47"/>
    </row>
    <row r="131" spans="7:56" x14ac:dyDescent="0.2">
      <c r="G131" s="28">
        <v>22</v>
      </c>
      <c r="H131" s="28"/>
      <c r="AU131" s="160"/>
      <c r="AV131" s="160"/>
      <c r="BB131" s="294"/>
      <c r="BC131" s="294"/>
      <c r="BD131" s="47"/>
    </row>
    <row r="132" spans="7:56" x14ac:dyDescent="0.2">
      <c r="G132" s="28">
        <v>23</v>
      </c>
      <c r="H132" s="28"/>
      <c r="AU132" s="160"/>
      <c r="AV132" s="160"/>
      <c r="BB132" s="160"/>
      <c r="BC132" s="160"/>
    </row>
    <row r="133" spans="7:56" x14ac:dyDescent="0.2">
      <c r="G133" s="28">
        <v>24</v>
      </c>
      <c r="H133" s="28"/>
      <c r="AU133" s="160"/>
      <c r="AV133" s="160"/>
      <c r="BB133" s="160"/>
      <c r="BC133" s="160"/>
    </row>
    <row r="134" spans="7:56" x14ac:dyDescent="0.2">
      <c r="G134" s="28">
        <v>25</v>
      </c>
      <c r="H134" s="28"/>
      <c r="AU134" s="160"/>
      <c r="AV134" s="160"/>
      <c r="BB134" s="160"/>
      <c r="BC134" s="160"/>
    </row>
    <row r="135" spans="7:56" x14ac:dyDescent="0.2">
      <c r="G135" s="28">
        <v>26</v>
      </c>
      <c r="H135" s="28"/>
      <c r="AU135" s="160"/>
      <c r="AV135" s="160"/>
      <c r="BB135" s="160"/>
      <c r="BC135" s="160"/>
    </row>
    <row r="136" spans="7:56" x14ac:dyDescent="0.2">
      <c r="G136" s="28">
        <v>27</v>
      </c>
      <c r="H136" s="28"/>
      <c r="AU136" s="160"/>
      <c r="AV136" s="160"/>
      <c r="BB136" s="160"/>
      <c r="BC136" s="160"/>
    </row>
    <row r="137" spans="7:56" x14ac:dyDescent="0.2">
      <c r="G137" s="28">
        <v>28</v>
      </c>
      <c r="H137" s="28"/>
      <c r="AU137" s="160"/>
      <c r="AV137" s="160"/>
      <c r="BB137" s="160"/>
      <c r="BC137" s="160"/>
    </row>
    <row r="138" spans="7:56" x14ac:dyDescent="0.2">
      <c r="G138" s="28">
        <v>29</v>
      </c>
      <c r="H138" s="28"/>
      <c r="AU138" s="160"/>
      <c r="AV138" s="160"/>
      <c r="BB138" s="160"/>
      <c r="BC138" s="160"/>
    </row>
    <row r="139" spans="7:56" x14ac:dyDescent="0.2">
      <c r="G139" s="28">
        <v>30</v>
      </c>
      <c r="H139" s="28"/>
      <c r="AU139" s="160"/>
      <c r="AV139" s="160"/>
      <c r="BB139" s="160"/>
      <c r="BC139" s="160"/>
    </row>
    <row r="140" spans="7:56" x14ac:dyDescent="0.2">
      <c r="G140" s="28">
        <v>31</v>
      </c>
      <c r="H140" s="28"/>
      <c r="AU140" s="160"/>
      <c r="AV140" s="160"/>
      <c r="BB140" s="160"/>
      <c r="BC140" s="160"/>
    </row>
    <row r="141" spans="7:56" x14ac:dyDescent="0.2">
      <c r="G141" s="28">
        <v>32</v>
      </c>
      <c r="H141" s="28"/>
      <c r="AU141" s="160"/>
      <c r="AV141" s="160"/>
      <c r="BB141" s="160"/>
      <c r="BC141" s="160"/>
    </row>
    <row r="142" spans="7:56" x14ac:dyDescent="0.2">
      <c r="G142" s="28">
        <v>33</v>
      </c>
      <c r="H142" s="28"/>
      <c r="AU142" s="160"/>
      <c r="AV142" s="160"/>
      <c r="BB142" s="160"/>
      <c r="BC142" s="160"/>
    </row>
    <row r="143" spans="7:56" x14ac:dyDescent="0.2">
      <c r="G143" s="28">
        <v>34</v>
      </c>
      <c r="H143" s="28"/>
      <c r="AU143" s="160"/>
      <c r="AV143" s="160"/>
      <c r="BB143" s="160"/>
      <c r="BC143" s="160"/>
    </row>
    <row r="144" spans="7:56" x14ac:dyDescent="0.2">
      <c r="G144" s="28">
        <v>35</v>
      </c>
      <c r="H144" s="28"/>
      <c r="AU144" s="160"/>
      <c r="AV144" s="160"/>
      <c r="BB144" s="160"/>
      <c r="BC144" s="160"/>
    </row>
    <row r="145" spans="7:55" x14ac:dyDescent="0.2">
      <c r="G145" s="28">
        <v>36</v>
      </c>
      <c r="H145" s="28"/>
      <c r="AU145" s="160"/>
      <c r="AV145" s="160"/>
      <c r="BB145" s="160"/>
      <c r="BC145" s="160"/>
    </row>
    <row r="146" spans="7:55" x14ac:dyDescent="0.2">
      <c r="G146" s="28">
        <v>37</v>
      </c>
      <c r="H146" s="28"/>
      <c r="AU146" s="160"/>
      <c r="AV146" s="160"/>
      <c r="BB146" s="160"/>
      <c r="BC146" s="160"/>
    </row>
    <row r="147" spans="7:55" x14ac:dyDescent="0.2">
      <c r="G147" s="28">
        <v>38</v>
      </c>
      <c r="H147" s="28"/>
      <c r="AU147" s="160"/>
      <c r="AV147" s="160"/>
      <c r="BB147" s="160"/>
      <c r="BC147" s="160"/>
    </row>
    <row r="148" spans="7:55" x14ac:dyDescent="0.2">
      <c r="G148" s="28">
        <v>39</v>
      </c>
      <c r="H148" s="28"/>
      <c r="AU148" s="160"/>
      <c r="AV148" s="160"/>
      <c r="BB148" s="160"/>
      <c r="BC148" s="160"/>
    </row>
    <row r="149" spans="7:55" x14ac:dyDescent="0.2">
      <c r="G149" s="28">
        <v>40</v>
      </c>
      <c r="H149" s="28"/>
      <c r="AU149" s="160"/>
      <c r="AV149" s="160"/>
      <c r="BB149" s="160"/>
      <c r="BC149" s="160"/>
    </row>
    <row r="150" spans="7:55" x14ac:dyDescent="0.2">
      <c r="G150" s="28">
        <v>41</v>
      </c>
      <c r="H150" s="28"/>
      <c r="AU150" s="160"/>
      <c r="AV150" s="160"/>
      <c r="BB150" s="160"/>
      <c r="BC150" s="160"/>
    </row>
    <row r="151" spans="7:55" x14ac:dyDescent="0.2">
      <c r="G151" s="28">
        <v>42</v>
      </c>
      <c r="H151" s="28"/>
      <c r="AU151" s="160"/>
      <c r="AV151" s="160"/>
      <c r="BB151" s="160"/>
      <c r="BC151" s="160"/>
    </row>
    <row r="152" spans="7:55" x14ac:dyDescent="0.2">
      <c r="G152" s="28">
        <v>43</v>
      </c>
      <c r="H152" s="28"/>
      <c r="AU152" s="160"/>
      <c r="AV152" s="160"/>
      <c r="BB152" s="160"/>
      <c r="BC152" s="160"/>
    </row>
    <row r="153" spans="7:55" x14ac:dyDescent="0.2">
      <c r="G153" s="28">
        <v>44</v>
      </c>
      <c r="H153" s="28"/>
      <c r="AU153" s="160"/>
      <c r="AV153" s="160"/>
      <c r="BB153" s="160"/>
      <c r="BC153" s="160"/>
    </row>
    <row r="154" spans="7:55" x14ac:dyDescent="0.2">
      <c r="G154" s="28">
        <v>45</v>
      </c>
      <c r="H154" s="28"/>
      <c r="AU154" s="160"/>
      <c r="AV154" s="160"/>
      <c r="BB154" s="160"/>
      <c r="BC154" s="160"/>
    </row>
    <row r="155" spans="7:55" x14ac:dyDescent="0.2">
      <c r="G155" s="28">
        <v>46</v>
      </c>
      <c r="H155" s="28"/>
      <c r="AU155" s="160"/>
      <c r="AV155" s="160"/>
      <c r="BB155" s="160"/>
      <c r="BC155" s="160"/>
    </row>
    <row r="156" spans="7:55" x14ac:dyDescent="0.2">
      <c r="G156" s="28">
        <v>47</v>
      </c>
      <c r="H156" s="28"/>
      <c r="AU156" s="160"/>
      <c r="AV156" s="160"/>
      <c r="BB156" s="160"/>
      <c r="BC156" s="160"/>
    </row>
    <row r="157" spans="7:55" x14ac:dyDescent="0.2">
      <c r="G157" s="28">
        <v>48</v>
      </c>
      <c r="H157" s="28"/>
      <c r="AU157" s="160"/>
      <c r="AV157" s="160"/>
      <c r="BB157" s="160"/>
      <c r="BC157" s="160"/>
    </row>
    <row r="158" spans="7:55" x14ac:dyDescent="0.2">
      <c r="G158" s="28">
        <v>49</v>
      </c>
      <c r="H158" s="28"/>
      <c r="AU158" s="160"/>
      <c r="AV158" s="160"/>
      <c r="BB158" s="160"/>
      <c r="BC158" s="160"/>
    </row>
    <row r="159" spans="7:55" x14ac:dyDescent="0.2">
      <c r="G159" s="28">
        <v>50</v>
      </c>
      <c r="H159" s="28"/>
      <c r="AU159" s="160"/>
      <c r="AV159" s="160"/>
      <c r="BB159" s="160"/>
      <c r="BC159" s="160"/>
    </row>
    <row r="160" spans="7:55" x14ac:dyDescent="0.2">
      <c r="G160" s="28">
        <v>51</v>
      </c>
      <c r="H160" s="28"/>
      <c r="AU160" s="160"/>
      <c r="AV160" s="160"/>
      <c r="BB160" s="160"/>
      <c r="BC160" s="160"/>
    </row>
    <row r="161" spans="7:55" x14ac:dyDescent="0.2">
      <c r="G161" s="28">
        <v>52</v>
      </c>
      <c r="H161" s="28"/>
      <c r="AU161" s="160"/>
      <c r="AV161" s="160"/>
      <c r="BB161" s="160"/>
      <c r="BC161" s="160"/>
    </row>
    <row r="162" spans="7:55" x14ac:dyDescent="0.2">
      <c r="G162" s="28">
        <v>53</v>
      </c>
      <c r="H162" s="28"/>
      <c r="AU162" s="160"/>
      <c r="AV162" s="160"/>
      <c r="BB162" s="160"/>
      <c r="BC162" s="160"/>
    </row>
    <row r="163" spans="7:55" x14ac:dyDescent="0.2">
      <c r="G163" s="28">
        <v>54</v>
      </c>
      <c r="H163" s="28"/>
      <c r="AU163" s="160"/>
      <c r="AV163" s="160"/>
      <c r="BB163" s="160"/>
      <c r="BC163" s="160"/>
    </row>
    <row r="164" spans="7:55" x14ac:dyDescent="0.2">
      <c r="G164" s="28">
        <v>55</v>
      </c>
      <c r="H164" s="28"/>
      <c r="AU164" s="160"/>
      <c r="AV164" s="160"/>
      <c r="BB164" s="160"/>
      <c r="BC164" s="160"/>
    </row>
    <row r="165" spans="7:55" x14ac:dyDescent="0.2">
      <c r="G165" s="28">
        <v>56</v>
      </c>
      <c r="H165" s="28"/>
      <c r="AU165" s="160"/>
      <c r="AV165" s="160"/>
      <c r="BB165" s="160"/>
      <c r="BC165" s="160"/>
    </row>
    <row r="166" spans="7:55" x14ac:dyDescent="0.2">
      <c r="G166" s="28">
        <v>57</v>
      </c>
      <c r="H166" s="28"/>
      <c r="AU166" s="160"/>
      <c r="AV166" s="160"/>
      <c r="BB166" s="160"/>
      <c r="BC166" s="160"/>
    </row>
    <row r="167" spans="7:55" x14ac:dyDescent="0.2">
      <c r="G167" s="28">
        <v>58</v>
      </c>
      <c r="H167" s="28"/>
      <c r="AU167" s="160"/>
      <c r="AV167" s="160"/>
      <c r="BB167" s="160"/>
      <c r="BC167" s="160"/>
    </row>
    <row r="168" spans="7:55" x14ac:dyDescent="0.2">
      <c r="G168" s="28">
        <v>59</v>
      </c>
      <c r="H168" s="28"/>
      <c r="AU168" s="160"/>
      <c r="AV168" s="160"/>
      <c r="BB168" s="160"/>
      <c r="BC168" s="160"/>
    </row>
    <row r="169" spans="7:55" x14ac:dyDescent="0.2">
      <c r="G169" s="28">
        <v>60</v>
      </c>
      <c r="H169" s="28"/>
      <c r="AU169" s="160"/>
      <c r="AV169" s="160"/>
      <c r="BB169" s="160"/>
      <c r="BC169" s="160"/>
    </row>
    <row r="170" spans="7:55" x14ac:dyDescent="0.2">
      <c r="G170" s="28">
        <v>61</v>
      </c>
      <c r="H170" s="28"/>
      <c r="AU170" s="160"/>
      <c r="AV170" s="160"/>
      <c r="BB170" s="160"/>
      <c r="BC170" s="160"/>
    </row>
    <row r="171" spans="7:55" x14ac:dyDescent="0.2">
      <c r="G171" s="28">
        <v>62</v>
      </c>
      <c r="H171" s="28"/>
      <c r="AU171" s="160"/>
      <c r="AV171" s="160"/>
      <c r="BB171" s="160"/>
    </row>
    <row r="172" spans="7:55" x14ac:dyDescent="0.2">
      <c r="G172" s="28">
        <v>63</v>
      </c>
      <c r="H172" s="28"/>
      <c r="AU172" s="160"/>
      <c r="AV172" s="160"/>
    </row>
    <row r="173" spans="7:55" x14ac:dyDescent="0.2">
      <c r="G173" s="28">
        <v>64</v>
      </c>
      <c r="H173" s="28"/>
      <c r="AU173" s="160"/>
      <c r="AV173" s="160"/>
    </row>
    <row r="174" spans="7:55" x14ac:dyDescent="0.2">
      <c r="G174" s="28">
        <v>65</v>
      </c>
      <c r="H174" s="28"/>
      <c r="AU174" s="160"/>
      <c r="AV174" s="160"/>
    </row>
    <row r="175" spans="7:55" x14ac:dyDescent="0.2">
      <c r="G175" s="28">
        <v>66</v>
      </c>
      <c r="H175" s="28"/>
      <c r="AU175" s="160"/>
      <c r="AV175" s="160"/>
    </row>
    <row r="176" spans="7:55" x14ac:dyDescent="0.2">
      <c r="G176" s="28">
        <v>67</v>
      </c>
      <c r="H176" s="28"/>
      <c r="AU176" s="160"/>
    </row>
    <row r="177" spans="7:47" x14ac:dyDescent="0.2">
      <c r="G177" s="28">
        <v>68</v>
      </c>
      <c r="H177" s="28"/>
      <c r="AU177" s="160"/>
    </row>
    <row r="178" spans="7:47" x14ac:dyDescent="0.2">
      <c r="G178" s="28">
        <v>69</v>
      </c>
      <c r="H178" s="28"/>
      <c r="AU178" s="160"/>
    </row>
    <row r="179" spans="7:47" x14ac:dyDescent="0.2">
      <c r="G179" s="28">
        <v>70</v>
      </c>
      <c r="H179" s="28"/>
    </row>
    <row r="180" spans="7:47" x14ac:dyDescent="0.2">
      <c r="G180" s="28">
        <v>71</v>
      </c>
      <c r="H180" s="28"/>
    </row>
    <row r="181" spans="7:47" x14ac:dyDescent="0.2">
      <c r="G181" s="28">
        <v>72</v>
      </c>
      <c r="H181" s="28"/>
    </row>
    <row r="182" spans="7:47" x14ac:dyDescent="0.2">
      <c r="G182" s="28">
        <v>73</v>
      </c>
      <c r="H182" s="28"/>
    </row>
    <row r="183" spans="7:47" x14ac:dyDescent="0.2">
      <c r="G183" s="28">
        <v>74</v>
      </c>
      <c r="H183" s="28"/>
    </row>
    <row r="184" spans="7:47" x14ac:dyDescent="0.2">
      <c r="G184" s="28">
        <v>75</v>
      </c>
      <c r="H184" s="28"/>
    </row>
    <row r="185" spans="7:47" x14ac:dyDescent="0.2">
      <c r="G185" s="28">
        <v>76</v>
      </c>
      <c r="H185" s="28"/>
    </row>
    <row r="186" spans="7:47" x14ac:dyDescent="0.2">
      <c r="G186" s="28">
        <v>77</v>
      </c>
      <c r="H186" s="28"/>
    </row>
    <row r="187" spans="7:47" x14ac:dyDescent="0.2">
      <c r="G187" s="28">
        <v>78</v>
      </c>
      <c r="H187" s="28"/>
    </row>
    <row r="188" spans="7:47" x14ac:dyDescent="0.2">
      <c r="G188" s="28">
        <v>79</v>
      </c>
      <c r="H188" s="28"/>
    </row>
    <row r="189" spans="7:47" x14ac:dyDescent="0.2">
      <c r="G189" s="28">
        <v>80</v>
      </c>
      <c r="H189" s="28"/>
    </row>
    <row r="190" spans="7:47" x14ac:dyDescent="0.2">
      <c r="G190" s="28">
        <v>81</v>
      </c>
      <c r="H190" s="28"/>
    </row>
    <row r="191" spans="7:47" x14ac:dyDescent="0.2">
      <c r="G191" s="28">
        <v>82</v>
      </c>
      <c r="H191" s="28"/>
    </row>
    <row r="192" spans="7:47" x14ac:dyDescent="0.2">
      <c r="G192" s="28">
        <v>83</v>
      </c>
      <c r="H192" s="28"/>
    </row>
    <row r="193" spans="7:8" x14ac:dyDescent="0.2">
      <c r="G193" s="28">
        <v>84</v>
      </c>
      <c r="H193" s="28"/>
    </row>
    <row r="194" spans="7:8" x14ac:dyDescent="0.2">
      <c r="G194" s="28">
        <v>85</v>
      </c>
      <c r="H194" s="28"/>
    </row>
    <row r="195" spans="7:8" x14ac:dyDescent="0.2">
      <c r="G195" s="28">
        <v>86</v>
      </c>
      <c r="H195" s="28"/>
    </row>
    <row r="196" spans="7:8" x14ac:dyDescent="0.2">
      <c r="G196" s="28">
        <v>87</v>
      </c>
      <c r="H196" s="28"/>
    </row>
    <row r="197" spans="7:8" x14ac:dyDescent="0.2">
      <c r="G197" s="28">
        <v>88</v>
      </c>
      <c r="H197" s="28"/>
    </row>
    <row r="198" spans="7:8" x14ac:dyDescent="0.2">
      <c r="G198" s="28">
        <v>89</v>
      </c>
      <c r="H198" s="28"/>
    </row>
    <row r="199" spans="7:8" x14ac:dyDescent="0.2">
      <c r="G199" s="28">
        <v>90</v>
      </c>
      <c r="H199" s="28"/>
    </row>
    <row r="200" spans="7:8" x14ac:dyDescent="0.2">
      <c r="G200" s="28">
        <v>91</v>
      </c>
      <c r="H200" s="28"/>
    </row>
    <row r="201" spans="7:8" x14ac:dyDescent="0.2">
      <c r="G201" s="28">
        <v>92</v>
      </c>
      <c r="H201" s="28"/>
    </row>
    <row r="202" spans="7:8" x14ac:dyDescent="0.2">
      <c r="G202" s="28">
        <v>93</v>
      </c>
      <c r="H202" s="28"/>
    </row>
    <row r="203" spans="7:8" x14ac:dyDescent="0.2">
      <c r="G203" s="28">
        <v>94</v>
      </c>
      <c r="H203" s="28"/>
    </row>
    <row r="204" spans="7:8" x14ac:dyDescent="0.2">
      <c r="G204" s="28">
        <v>95</v>
      </c>
      <c r="H204" s="28"/>
    </row>
    <row r="205" spans="7:8" x14ac:dyDescent="0.2">
      <c r="G205" s="28">
        <v>96</v>
      </c>
      <c r="H205" s="28"/>
    </row>
    <row r="206" spans="7:8" x14ac:dyDescent="0.2">
      <c r="G206" s="28">
        <v>97</v>
      </c>
      <c r="H206" s="28"/>
    </row>
    <row r="207" spans="7:8" x14ac:dyDescent="0.2">
      <c r="G207" s="28">
        <v>98</v>
      </c>
      <c r="H207" s="28"/>
    </row>
    <row r="208" spans="7:8" x14ac:dyDescent="0.2">
      <c r="G208" s="28">
        <v>99</v>
      </c>
      <c r="H208" s="28"/>
    </row>
    <row r="209" spans="7:8" x14ac:dyDescent="0.2">
      <c r="G209" s="28">
        <v>100</v>
      </c>
      <c r="H209" s="28"/>
    </row>
    <row r="210" spans="7:8" x14ac:dyDescent="0.2">
      <c r="G210" s="28">
        <v>101</v>
      </c>
      <c r="H210" s="28"/>
    </row>
    <row r="211" spans="7:8" x14ac:dyDescent="0.2">
      <c r="G211" s="28">
        <v>102</v>
      </c>
      <c r="H211" s="28"/>
    </row>
    <row r="212" spans="7:8" x14ac:dyDescent="0.2">
      <c r="G212" s="28">
        <v>103</v>
      </c>
      <c r="H212" s="28"/>
    </row>
    <row r="213" spans="7:8" x14ac:dyDescent="0.2">
      <c r="G213" s="28">
        <v>104</v>
      </c>
      <c r="H213" s="28"/>
    </row>
    <row r="214" spans="7:8" x14ac:dyDescent="0.2">
      <c r="G214" s="28">
        <v>105</v>
      </c>
      <c r="H214" s="28"/>
    </row>
    <row r="215" spans="7:8" x14ac:dyDescent="0.2">
      <c r="G215" s="28">
        <v>106</v>
      </c>
      <c r="H215" s="28"/>
    </row>
    <row r="216" spans="7:8" x14ac:dyDescent="0.2">
      <c r="G216" s="28">
        <v>107</v>
      </c>
      <c r="H216" s="28"/>
    </row>
    <row r="217" spans="7:8" x14ac:dyDescent="0.2">
      <c r="G217" s="28">
        <v>108</v>
      </c>
      <c r="H217" s="28"/>
    </row>
    <row r="218" spans="7:8" x14ac:dyDescent="0.2">
      <c r="G218" s="28">
        <v>109</v>
      </c>
      <c r="H218" s="28"/>
    </row>
    <row r="219" spans="7:8" x14ac:dyDescent="0.2">
      <c r="G219" s="28">
        <v>110</v>
      </c>
      <c r="H219" s="28"/>
    </row>
    <row r="220" spans="7:8" x14ac:dyDescent="0.2">
      <c r="G220" s="28">
        <v>111</v>
      </c>
      <c r="H220" s="28"/>
    </row>
    <row r="221" spans="7:8" x14ac:dyDescent="0.2">
      <c r="G221" s="28">
        <v>112</v>
      </c>
      <c r="H221" s="28"/>
    </row>
    <row r="222" spans="7:8" x14ac:dyDescent="0.2">
      <c r="G222" s="28">
        <v>113</v>
      </c>
      <c r="H222" s="28"/>
    </row>
    <row r="223" spans="7:8" x14ac:dyDescent="0.2">
      <c r="G223" s="28">
        <v>114</v>
      </c>
      <c r="H223" s="28"/>
    </row>
    <row r="224" spans="7:8" x14ac:dyDescent="0.2">
      <c r="G224" s="28">
        <v>115</v>
      </c>
      <c r="H224" s="28"/>
    </row>
    <row r="225" spans="7:8" x14ac:dyDescent="0.2">
      <c r="G225" s="28">
        <v>116</v>
      </c>
      <c r="H225" s="28"/>
    </row>
    <row r="226" spans="7:8" x14ac:dyDescent="0.2">
      <c r="G226" s="28">
        <v>117</v>
      </c>
      <c r="H226" s="28"/>
    </row>
    <row r="227" spans="7:8" x14ac:dyDescent="0.2">
      <c r="G227" s="28">
        <v>118</v>
      </c>
      <c r="H227" s="28"/>
    </row>
    <row r="228" spans="7:8" x14ac:dyDescent="0.2">
      <c r="G228" s="28">
        <v>119</v>
      </c>
      <c r="H228" s="28"/>
    </row>
    <row r="229" spans="7:8" x14ac:dyDescent="0.2">
      <c r="G229" s="28">
        <v>120</v>
      </c>
      <c r="H229" s="28"/>
    </row>
    <row r="230" spans="7:8" x14ac:dyDescent="0.2">
      <c r="G230" s="28">
        <v>121</v>
      </c>
      <c r="H230" s="28"/>
    </row>
    <row r="231" spans="7:8" x14ac:dyDescent="0.2">
      <c r="G231" s="28">
        <v>122</v>
      </c>
      <c r="H231" s="28"/>
    </row>
    <row r="232" spans="7:8" x14ac:dyDescent="0.2">
      <c r="G232" s="28">
        <v>123</v>
      </c>
      <c r="H232" s="28"/>
    </row>
    <row r="233" spans="7:8" x14ac:dyDescent="0.2">
      <c r="G233" s="28">
        <v>124</v>
      </c>
      <c r="H233" s="28"/>
    </row>
    <row r="234" spans="7:8" x14ac:dyDescent="0.2">
      <c r="G234" s="28">
        <v>125</v>
      </c>
      <c r="H234" s="28"/>
    </row>
    <row r="235" spans="7:8" x14ac:dyDescent="0.2">
      <c r="G235" s="28">
        <v>126</v>
      </c>
      <c r="H235" s="28"/>
    </row>
    <row r="236" spans="7:8" x14ac:dyDescent="0.2">
      <c r="G236" s="28">
        <v>127</v>
      </c>
      <c r="H236" s="28"/>
    </row>
    <row r="237" spans="7:8" x14ac:dyDescent="0.2">
      <c r="G237" s="28">
        <v>128</v>
      </c>
      <c r="H237" s="28"/>
    </row>
    <row r="238" spans="7:8" x14ac:dyDescent="0.2">
      <c r="G238" s="28">
        <v>129</v>
      </c>
      <c r="H238" s="28"/>
    </row>
    <row r="239" spans="7:8" x14ac:dyDescent="0.2">
      <c r="G239" s="28">
        <v>130</v>
      </c>
      <c r="H239" s="28"/>
    </row>
    <row r="240" spans="7:8" x14ac:dyDescent="0.2">
      <c r="G240" s="28">
        <v>131</v>
      </c>
      <c r="H240" s="28"/>
    </row>
    <row r="241" spans="7:8" x14ac:dyDescent="0.2">
      <c r="G241" s="28">
        <v>132</v>
      </c>
      <c r="H241" s="28"/>
    </row>
    <row r="242" spans="7:8" x14ac:dyDescent="0.2">
      <c r="G242" s="28">
        <v>133</v>
      </c>
      <c r="H242" s="28"/>
    </row>
    <row r="243" spans="7:8" x14ac:dyDescent="0.2">
      <c r="G243" s="28">
        <v>134</v>
      </c>
      <c r="H243" s="28"/>
    </row>
    <row r="244" spans="7:8" x14ac:dyDescent="0.2">
      <c r="G244" s="28">
        <v>135</v>
      </c>
      <c r="H244" s="28"/>
    </row>
    <row r="245" spans="7:8" x14ac:dyDescent="0.2">
      <c r="G245" s="28">
        <v>136</v>
      </c>
      <c r="H245" s="28"/>
    </row>
    <row r="246" spans="7:8" x14ac:dyDescent="0.2">
      <c r="G246" s="28">
        <v>137</v>
      </c>
      <c r="H246" s="28"/>
    </row>
    <row r="247" spans="7:8" x14ac:dyDescent="0.2">
      <c r="G247" s="28">
        <v>138</v>
      </c>
      <c r="H247" s="28"/>
    </row>
    <row r="248" spans="7:8" x14ac:dyDescent="0.2">
      <c r="G248" s="28">
        <v>139</v>
      </c>
      <c r="H248" s="28"/>
    </row>
    <row r="249" spans="7:8" x14ac:dyDescent="0.2">
      <c r="G249" s="28">
        <v>140</v>
      </c>
      <c r="H249" s="28"/>
    </row>
    <row r="250" spans="7:8" x14ac:dyDescent="0.2">
      <c r="G250" s="28">
        <v>141</v>
      </c>
      <c r="H250" s="28"/>
    </row>
    <row r="251" spans="7:8" x14ac:dyDescent="0.2">
      <c r="G251" s="28">
        <v>142</v>
      </c>
      <c r="H251" s="28"/>
    </row>
    <row r="252" spans="7:8" x14ac:dyDescent="0.2">
      <c r="G252" s="28">
        <v>143</v>
      </c>
      <c r="H252" s="28"/>
    </row>
    <row r="253" spans="7:8" x14ac:dyDescent="0.2">
      <c r="G253" s="28">
        <v>144</v>
      </c>
      <c r="H253" s="28"/>
    </row>
    <row r="254" spans="7:8" x14ac:dyDescent="0.2">
      <c r="G254" s="28">
        <v>145</v>
      </c>
      <c r="H254" s="28"/>
    </row>
    <row r="255" spans="7:8" x14ac:dyDescent="0.2">
      <c r="G255" s="28">
        <v>146</v>
      </c>
      <c r="H255" s="28"/>
    </row>
    <row r="256" spans="7:8" x14ac:dyDescent="0.2">
      <c r="G256" s="28">
        <v>147</v>
      </c>
      <c r="H256" s="28"/>
    </row>
    <row r="257" spans="7:8" x14ac:dyDescent="0.2">
      <c r="G257" s="28">
        <v>148</v>
      </c>
      <c r="H257" s="28"/>
    </row>
    <row r="258" spans="7:8" x14ac:dyDescent="0.2">
      <c r="G258" s="28">
        <v>149</v>
      </c>
      <c r="H258" s="28"/>
    </row>
    <row r="259" spans="7:8" x14ac:dyDescent="0.2">
      <c r="G259" s="28">
        <v>150</v>
      </c>
      <c r="H259" s="28"/>
    </row>
    <row r="260" spans="7:8" x14ac:dyDescent="0.2">
      <c r="G260" s="28">
        <v>151</v>
      </c>
      <c r="H260" s="28"/>
    </row>
    <row r="261" spans="7:8" x14ac:dyDescent="0.2">
      <c r="G261" s="28">
        <v>152</v>
      </c>
      <c r="H261" s="28"/>
    </row>
    <row r="262" spans="7:8" x14ac:dyDescent="0.2">
      <c r="G262" s="28">
        <v>153</v>
      </c>
      <c r="H262" s="28"/>
    </row>
    <row r="263" spans="7:8" x14ac:dyDescent="0.2">
      <c r="G263" s="28">
        <v>154</v>
      </c>
      <c r="H263" s="28"/>
    </row>
    <row r="264" spans="7:8" x14ac:dyDescent="0.2">
      <c r="G264" s="28">
        <v>155</v>
      </c>
      <c r="H264" s="28"/>
    </row>
    <row r="265" spans="7:8" x14ac:dyDescent="0.2">
      <c r="G265" s="28">
        <v>156</v>
      </c>
      <c r="H265" s="28"/>
    </row>
    <row r="266" spans="7:8" x14ac:dyDescent="0.2">
      <c r="G266" s="28">
        <v>157</v>
      </c>
      <c r="H266" s="28"/>
    </row>
    <row r="267" spans="7:8" x14ac:dyDescent="0.2">
      <c r="G267" s="28">
        <v>158</v>
      </c>
      <c r="H267" s="28"/>
    </row>
    <row r="268" spans="7:8" x14ac:dyDescent="0.2">
      <c r="G268" s="28">
        <v>159</v>
      </c>
      <c r="H268" s="28"/>
    </row>
    <row r="269" spans="7:8" x14ac:dyDescent="0.2">
      <c r="G269" s="28">
        <v>160</v>
      </c>
      <c r="H269" s="28"/>
    </row>
    <row r="270" spans="7:8" x14ac:dyDescent="0.2">
      <c r="G270" s="28">
        <v>161</v>
      </c>
      <c r="H270" s="28"/>
    </row>
    <row r="271" spans="7:8" x14ac:dyDescent="0.2">
      <c r="G271" s="28">
        <v>162</v>
      </c>
      <c r="H271" s="28"/>
    </row>
    <row r="272" spans="7:8" x14ac:dyDescent="0.2">
      <c r="G272" s="28">
        <v>163</v>
      </c>
      <c r="H272" s="28"/>
    </row>
    <row r="273" spans="7:8" x14ac:dyDescent="0.2">
      <c r="G273" s="28">
        <v>164</v>
      </c>
      <c r="H273" s="28"/>
    </row>
    <row r="274" spans="7:8" x14ac:dyDescent="0.2">
      <c r="G274" s="28">
        <v>165</v>
      </c>
      <c r="H274" s="28"/>
    </row>
    <row r="275" spans="7:8" x14ac:dyDescent="0.2">
      <c r="G275" s="28">
        <v>166</v>
      </c>
      <c r="H275" s="28"/>
    </row>
    <row r="276" spans="7:8" x14ac:dyDescent="0.2">
      <c r="G276" s="28">
        <v>167</v>
      </c>
      <c r="H276" s="28"/>
    </row>
    <row r="277" spans="7:8" x14ac:dyDescent="0.2">
      <c r="G277" s="28">
        <v>168</v>
      </c>
      <c r="H277" s="28"/>
    </row>
    <row r="278" spans="7:8" x14ac:dyDescent="0.2">
      <c r="G278" s="28">
        <v>169</v>
      </c>
      <c r="H278" s="28"/>
    </row>
    <row r="279" spans="7:8" x14ac:dyDescent="0.2">
      <c r="G279" s="28">
        <v>170</v>
      </c>
      <c r="H279" s="28"/>
    </row>
    <row r="280" spans="7:8" x14ac:dyDescent="0.2">
      <c r="G280" s="28">
        <v>171</v>
      </c>
      <c r="H280" s="28"/>
    </row>
    <row r="281" spans="7:8" x14ac:dyDescent="0.2">
      <c r="G281" s="28">
        <v>172</v>
      </c>
      <c r="H281" s="28"/>
    </row>
    <row r="282" spans="7:8" x14ac:dyDescent="0.2">
      <c r="G282" s="28">
        <v>173</v>
      </c>
      <c r="H282" s="28"/>
    </row>
    <row r="283" spans="7:8" x14ac:dyDescent="0.2">
      <c r="G283" s="28">
        <v>174</v>
      </c>
      <c r="H283" s="28"/>
    </row>
    <row r="284" spans="7:8" x14ac:dyDescent="0.2">
      <c r="G284" s="28">
        <v>175</v>
      </c>
      <c r="H284" s="28"/>
    </row>
    <row r="285" spans="7:8" x14ac:dyDescent="0.2">
      <c r="G285" s="28">
        <v>176</v>
      </c>
      <c r="H285" s="28"/>
    </row>
    <row r="286" spans="7:8" x14ac:dyDescent="0.2">
      <c r="G286" s="28">
        <v>177</v>
      </c>
      <c r="H286" s="28"/>
    </row>
    <row r="287" spans="7:8" x14ac:dyDescent="0.2">
      <c r="G287" s="28">
        <v>178</v>
      </c>
      <c r="H287" s="28"/>
    </row>
    <row r="288" spans="7:8" x14ac:dyDescent="0.2">
      <c r="G288" s="28">
        <v>179</v>
      </c>
      <c r="H288" s="28"/>
    </row>
    <row r="289" spans="7:8" x14ac:dyDescent="0.2">
      <c r="G289" s="28">
        <v>180</v>
      </c>
      <c r="H289" s="28"/>
    </row>
  </sheetData>
  <sheetProtection algorithmName="SHA-512" hashValue="6gI4kEhooqSKkr1mGTphOLFOQJoDcqcBtMmUciil7RGrB2WIoDhLMoC6wTWFa4OF4rGa/kaBaDZKsmDdmeU6gA==" saltValue="jXwHeJQxPqaAbpeJCGidwg==" spinCount="100000" sheet="1" objects="1" scenarios="1"/>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54"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53" priority="226" stopIfTrue="1">
      <formula>ISERROR(D40)</formula>
    </cfRule>
  </conditionalFormatting>
  <conditionalFormatting sqref="BV60:BV78">
    <cfRule type="containsErrors" dxfId="52" priority="222" stopIfTrue="1">
      <formula>ISERROR(BV60)</formula>
    </cfRule>
  </conditionalFormatting>
  <conditionalFormatting sqref="AU79:BA96 BF79:BF96 E79:E96 AO79:AP96 BK79:BK96 BI79:BI96 H79:L96 O79:V96">
    <cfRule type="containsErrors" dxfId="51" priority="221" stopIfTrue="1">
      <formula>ISERROR(E79)</formula>
    </cfRule>
  </conditionalFormatting>
  <conditionalFormatting sqref="F79:F96">
    <cfRule type="containsErrors" dxfId="50" priority="217" stopIfTrue="1">
      <formula>ISERROR(F79)</formula>
    </cfRule>
  </conditionalFormatting>
  <conditionalFormatting sqref="BS79:BS96">
    <cfRule type="containsErrors" dxfId="49" priority="212" stopIfTrue="1">
      <formula>ISERROR(BS79)</formula>
    </cfRule>
  </conditionalFormatting>
  <conditionalFormatting sqref="BT79:BU96">
    <cfRule type="containsErrors" dxfId="48" priority="211" stopIfTrue="1">
      <formula>ISERROR(BT79)</formula>
    </cfRule>
  </conditionalFormatting>
  <conditionalFormatting sqref="BW79:BW96">
    <cfRule type="containsErrors" dxfId="47" priority="210" stopIfTrue="1">
      <formula>ISERROR(BW79)</formula>
    </cfRule>
  </conditionalFormatting>
  <conditionalFormatting sqref="BX79:BX96">
    <cfRule type="containsErrors" dxfId="46" priority="209" stopIfTrue="1">
      <formula>ISERROR(BX79)</formula>
    </cfRule>
  </conditionalFormatting>
  <conditionalFormatting sqref="BY79:CD96">
    <cfRule type="containsErrors" dxfId="45" priority="208" stopIfTrue="1">
      <formula>ISERROR(BY79)</formula>
    </cfRule>
  </conditionalFormatting>
  <conditionalFormatting sqref="CG79:CG96">
    <cfRule type="containsErrors" dxfId="44" priority="207" stopIfTrue="1">
      <formula>ISERROR(CG79)</formula>
    </cfRule>
  </conditionalFormatting>
  <conditionalFormatting sqref="CH79:CH96">
    <cfRule type="containsErrors" dxfId="43" priority="206" stopIfTrue="1">
      <formula>ISERROR(CH79)</formula>
    </cfRule>
  </conditionalFormatting>
  <conditionalFormatting sqref="AN79:AN96">
    <cfRule type="containsErrors" dxfId="42" priority="205" stopIfTrue="1">
      <formula>ISERROR(AN79)</formula>
    </cfRule>
  </conditionalFormatting>
  <conditionalFormatting sqref="CI79:CI96">
    <cfRule type="containsErrors" dxfId="41" priority="204" stopIfTrue="1">
      <formula>ISERROR(CI79)</formula>
    </cfRule>
  </conditionalFormatting>
  <conditionalFormatting sqref="BB79:BB96 BE79:BE96">
    <cfRule type="containsErrors" dxfId="40" priority="189" stopIfTrue="1">
      <formula>ISERROR(BB79)</formula>
    </cfRule>
  </conditionalFormatting>
  <conditionalFormatting sqref="CE79:CF96">
    <cfRule type="containsErrors" dxfId="39" priority="188" stopIfTrue="1">
      <formula>ISERROR(CE79)</formula>
    </cfRule>
  </conditionalFormatting>
  <conditionalFormatting sqref="BJ79:BJ96">
    <cfRule type="containsErrors" dxfId="38" priority="185" stopIfTrue="1">
      <formula>ISERROR(BJ79)</formula>
    </cfRule>
  </conditionalFormatting>
  <conditionalFormatting sqref="M79:M96">
    <cfRule type="containsErrors" dxfId="37" priority="183" stopIfTrue="1">
      <formula>ISERROR(M79)</formula>
    </cfRule>
  </conditionalFormatting>
  <conditionalFormatting sqref="BC58">
    <cfRule type="containsErrors" dxfId="36" priority="160" stopIfTrue="1">
      <formula>ISERROR(BC58)</formula>
    </cfRule>
  </conditionalFormatting>
  <conditionalFormatting sqref="BD58">
    <cfRule type="containsErrors" dxfId="35" priority="159" stopIfTrue="1">
      <formula>ISERROR(BD58)</formula>
    </cfRule>
  </conditionalFormatting>
  <conditionalFormatting sqref="BC97:BC98">
    <cfRule type="containsErrors" dxfId="34" priority="126" stopIfTrue="1">
      <formula>ISERROR(BC97)</formula>
    </cfRule>
  </conditionalFormatting>
  <conditionalFormatting sqref="BD97:BD98">
    <cfRule type="containsErrors" dxfId="33" priority="125" stopIfTrue="1">
      <formula>ISERROR(BD97)</formula>
    </cfRule>
  </conditionalFormatting>
  <conditionalFormatting sqref="BD37">
    <cfRule type="containsErrors" dxfId="32" priority="65" stopIfTrue="1">
      <formula>ISERROR(BD37)</formula>
    </cfRule>
  </conditionalFormatting>
  <conditionalFormatting sqref="BC37">
    <cfRule type="containsErrors" dxfId="31" priority="61" stopIfTrue="1">
      <formula>ISERROR(BC37)</formula>
    </cfRule>
  </conditionalFormatting>
  <conditionalFormatting sqref="BC40:BC57">
    <cfRule type="containsErrors" dxfId="30" priority="60" stopIfTrue="1">
      <formula>ISERROR(BC40)</formula>
    </cfRule>
  </conditionalFormatting>
  <conditionalFormatting sqref="BD40:BD57">
    <cfRule type="containsErrors" dxfId="29" priority="59" stopIfTrue="1">
      <formula>ISERROR(BD40)</formula>
    </cfRule>
  </conditionalFormatting>
  <conditionalFormatting sqref="BD60:BD77">
    <cfRule type="containsErrors" dxfId="28" priority="57" stopIfTrue="1">
      <formula>ISERROR(BD60)</formula>
    </cfRule>
  </conditionalFormatting>
  <conditionalFormatting sqref="BC79:BC96">
    <cfRule type="containsErrors" dxfId="27" priority="56" stopIfTrue="1">
      <formula>ISERROR(BC79)</formula>
    </cfRule>
  </conditionalFormatting>
  <conditionalFormatting sqref="BD79:BD96">
    <cfRule type="containsErrors" dxfId="26" priority="55" stopIfTrue="1">
      <formula>ISERROR(BD79)</formula>
    </cfRule>
  </conditionalFormatting>
  <conditionalFormatting sqref="BC60:BC77">
    <cfRule type="containsErrors" dxfId="25" priority="53" stopIfTrue="1">
      <formula>ISERROR(BC60)</formula>
    </cfRule>
  </conditionalFormatting>
  <conditionalFormatting sqref="AI40:AL57">
    <cfRule type="containsErrors" dxfId="24" priority="49" stopIfTrue="1">
      <formula>ISERROR(AI40)</formula>
    </cfRule>
  </conditionalFormatting>
  <conditionalFormatting sqref="AH60:AK77 AM60:AM77">
    <cfRule type="containsErrors" dxfId="23" priority="48" stopIfTrue="1">
      <formula>ISERROR(AH60)</formula>
    </cfRule>
  </conditionalFormatting>
  <conditionalFormatting sqref="AM79:AM96">
    <cfRule type="containsErrors" dxfId="22" priority="47" stopIfTrue="1">
      <formula>ISERROR(AM79)</formula>
    </cfRule>
  </conditionalFormatting>
  <conditionalFormatting sqref="AH79:AH96">
    <cfRule type="containsErrors" dxfId="21" priority="42" stopIfTrue="1">
      <formula>ISERROR(AH79)</formula>
    </cfRule>
  </conditionalFormatting>
  <conditionalFormatting sqref="AI79:AI96">
    <cfRule type="containsErrors" dxfId="20" priority="41" stopIfTrue="1">
      <formula>ISERROR(AI79)</formula>
    </cfRule>
  </conditionalFormatting>
  <conditionalFormatting sqref="AJ79:AJ96">
    <cfRule type="containsErrors" dxfId="19" priority="36" stopIfTrue="1">
      <formula>ISERROR(AJ79)</formula>
    </cfRule>
  </conditionalFormatting>
  <conditionalFormatting sqref="Z79:AA96">
    <cfRule type="containsErrors" dxfId="18" priority="35" stopIfTrue="1">
      <formula>ISERROR(Z79)</formula>
    </cfRule>
  </conditionalFormatting>
  <conditionalFormatting sqref="AB40:AC56">
    <cfRule type="containsErrors" dxfId="17" priority="30" stopIfTrue="1">
      <formula>ISERROR(AB40)</formula>
    </cfRule>
  </conditionalFormatting>
  <conditionalFormatting sqref="AB57:AC57">
    <cfRule type="containsErrors" dxfId="16" priority="29" stopIfTrue="1">
      <formula>ISERROR(AB57)</formula>
    </cfRule>
  </conditionalFormatting>
  <conditionalFormatting sqref="AB60:AC96">
    <cfRule type="containsErrors" dxfId="15" priority="28" stopIfTrue="1">
      <formula>ISERROR(AB60)</formula>
    </cfRule>
  </conditionalFormatting>
  <conditionalFormatting sqref="AK79:AK96">
    <cfRule type="containsErrors" dxfId="14" priority="27" stopIfTrue="1">
      <formula>ISERROR(AK79)</formula>
    </cfRule>
  </conditionalFormatting>
  <conditionalFormatting sqref="AQ79:AQ96">
    <cfRule type="containsErrors" dxfId="13" priority="25" stopIfTrue="1">
      <formula>ISERROR(AQ79)</formula>
    </cfRule>
  </conditionalFormatting>
  <conditionalFormatting sqref="AL60:AL77">
    <cfRule type="containsErrors" dxfId="12" priority="20" stopIfTrue="1">
      <formula>ISERROR(AL60)</formula>
    </cfRule>
  </conditionalFormatting>
  <conditionalFormatting sqref="AL79:AL96">
    <cfRule type="containsErrors" dxfId="11" priority="19" stopIfTrue="1">
      <formula>ISERROR(AL79)</formula>
    </cfRule>
  </conditionalFormatting>
  <conditionalFormatting sqref="AS79:AS96">
    <cfRule type="containsErrors" dxfId="10" priority="18" stopIfTrue="1">
      <formula>ISERROR(AS79)</formula>
    </cfRule>
  </conditionalFormatting>
  <conditionalFormatting sqref="G79:G96">
    <cfRule type="containsErrors" dxfId="9" priority="12" stopIfTrue="1">
      <formula>ISERROR(G79)</formula>
    </cfRule>
  </conditionalFormatting>
  <conditionalFormatting sqref="N79:N96">
    <cfRule type="containsErrors" dxfId="8" priority="10" stopIfTrue="1">
      <formula>ISERROR(N79)</formula>
    </cfRule>
  </conditionalFormatting>
  <conditionalFormatting sqref="AF79:AF96">
    <cfRule type="containsErrors" dxfId="7" priority="8" stopIfTrue="1">
      <formula>ISERROR(AF79)</formula>
    </cfRule>
  </conditionalFormatting>
  <conditionalFormatting sqref="AG79:AG96">
    <cfRule type="containsErrors" dxfId="6" priority="7" stopIfTrue="1">
      <formula>ISERROR(AG79)</formula>
    </cfRule>
  </conditionalFormatting>
  <conditionalFormatting sqref="W79:W96">
    <cfRule type="containsErrors" dxfId="5" priority="6" stopIfTrue="1">
      <formula>ISERROR(W79)</formula>
    </cfRule>
  </conditionalFormatting>
  <conditionalFormatting sqref="X79:X96">
    <cfRule type="containsErrors" dxfId="4" priority="4" stopIfTrue="1">
      <formula>ISERROR(X79)</formula>
    </cfRule>
  </conditionalFormatting>
  <conditionalFormatting sqref="Y79:Y96">
    <cfRule type="containsErrors" dxfId="3" priority="3" stopIfTrue="1">
      <formula>ISERROR(Y79)</formula>
    </cfRule>
  </conditionalFormatting>
  <conditionalFormatting sqref="AT79:AT96">
    <cfRule type="containsErrors" dxfId="2" priority="2" stopIfTrue="1">
      <formula>ISERROR(AT79)</formula>
    </cfRule>
  </conditionalFormatting>
  <conditionalFormatting sqref="BV79:BV96">
    <cfRule type="containsErrors" dxfId="1" priority="1" stopIfTrue="1">
      <formula>ISERROR(BV79)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0"/>
  <dimension ref="A1:E28"/>
  <sheetViews>
    <sheetView workbookViewId="0">
      <selection activeCell="P9" sqref="P9"/>
    </sheetView>
  </sheetViews>
  <sheetFormatPr defaultRowHeight="12.75" x14ac:dyDescent="0.2"/>
  <cols>
    <col min="1" max="1" width="8.7109375" style="387" customWidth="1"/>
    <col min="2" max="16384" width="9.140625" style="387"/>
  </cols>
  <sheetData>
    <row r="1" spans="1:5" ht="48" customHeight="1" x14ac:dyDescent="0.35">
      <c r="B1" s="388" t="s">
        <v>705</v>
      </c>
    </row>
    <row r="3" spans="1:5" x14ac:dyDescent="0.2">
      <c r="A3" s="389"/>
    </row>
    <row r="4" spans="1:5" ht="15.75" x14ac:dyDescent="0.25">
      <c r="B4" s="390" t="s">
        <v>706</v>
      </c>
    </row>
    <row r="10" spans="1:5" ht="15.75" x14ac:dyDescent="0.25">
      <c r="B10" s="390" t="s">
        <v>707</v>
      </c>
    </row>
    <row r="16" spans="1:5" x14ac:dyDescent="0.2">
      <c r="E16" s="391" t="b">
        <v>1</v>
      </c>
    </row>
    <row r="18" spans="2:5" ht="15.75" x14ac:dyDescent="0.25">
      <c r="B18" s="390" t="s">
        <v>708</v>
      </c>
    </row>
    <row r="24" spans="2:5" ht="15.75" x14ac:dyDescent="0.25">
      <c r="B24" s="390" t="s">
        <v>709</v>
      </c>
    </row>
    <row r="26" spans="2:5" x14ac:dyDescent="0.2">
      <c r="E26" s="391" t="b">
        <v>0</v>
      </c>
    </row>
    <row r="28" spans="2:5" ht="15" x14ac:dyDescent="0.25">
      <c r="B28" s="392" t="s">
        <v>710</v>
      </c>
      <c r="C28" s="346"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80" r:id="rId4" name="CheckBox2">
          <controlPr defaultSize="0" autoLine="0" linkedCell="E26" r:id="rId5">
            <anchor moveWithCells="1">
              <from>
                <xdr:col>1</xdr:col>
                <xdr:colOff>428625</xdr:colOff>
                <xdr:row>24</xdr:row>
                <xdr:rowOff>104775</xdr:rowOff>
              </from>
              <to>
                <xdr:col>3</xdr:col>
                <xdr:colOff>504825</xdr:colOff>
                <xdr:row>26</xdr:row>
                <xdr:rowOff>19050</xdr:rowOff>
              </to>
            </anchor>
          </controlPr>
        </control>
      </mc:Choice>
      <mc:Fallback>
        <control shapeId="808980" r:id="rId4" name="CheckBox2"/>
      </mc:Fallback>
    </mc:AlternateContent>
    <mc:AlternateContent xmlns:mc="http://schemas.openxmlformats.org/markup-compatibility/2006">
      <mc:Choice Requires="x14">
        <control shapeId="808979" r:id="rId6" name="CheckBox1">
          <controlPr defaultSize="0" autoLine="0" linkedCell="E16" r:id="rId7">
            <anchor moveWithCells="1">
              <from>
                <xdr:col>1</xdr:col>
                <xdr:colOff>400050</xdr:colOff>
                <xdr:row>14</xdr:row>
                <xdr:rowOff>123825</xdr:rowOff>
              </from>
              <to>
                <xdr:col>3</xdr:col>
                <xdr:colOff>581025</xdr:colOff>
                <xdr:row>16</xdr:row>
                <xdr:rowOff>85725</xdr:rowOff>
              </to>
            </anchor>
          </controlPr>
        </control>
      </mc:Choice>
      <mc:Fallback>
        <control shapeId="808979" r:id="rId6" name="CheckBox1"/>
      </mc:Fallback>
    </mc:AlternateContent>
    <mc:AlternateContent xmlns:mc="http://schemas.openxmlformats.org/markup-compatibility/2006">
      <mc:Choice Requires="x14">
        <control shapeId="808974" r:id="rId8" name="OptionButton4">
          <controlPr autoLine="0" r:id="rId9">
            <anchor moveWithCells="1">
              <from>
                <xdr:col>1</xdr:col>
                <xdr:colOff>371475</xdr:colOff>
                <xdr:row>13</xdr:row>
                <xdr:rowOff>0</xdr:rowOff>
              </from>
              <to>
                <xdr:col>3</xdr:col>
                <xdr:colOff>523875</xdr:colOff>
                <xdr:row>14</xdr:row>
                <xdr:rowOff>85725</xdr:rowOff>
              </to>
            </anchor>
          </controlPr>
        </control>
      </mc:Choice>
      <mc:Fallback>
        <control shapeId="808974" r:id="rId8" name="OptionButton4"/>
      </mc:Fallback>
    </mc:AlternateContent>
    <mc:AlternateContent xmlns:mc="http://schemas.openxmlformats.org/markup-compatibility/2006">
      <mc:Choice Requires="x14">
        <control shapeId="808973" r:id="rId10" name="OptionButton3">
          <controlPr autoLine="0" r:id="rId11">
            <anchor moveWithCells="1">
              <from>
                <xdr:col>1</xdr:col>
                <xdr:colOff>371475</xdr:colOff>
                <xdr:row>11</xdr:row>
                <xdr:rowOff>19050</xdr:rowOff>
              </from>
              <to>
                <xdr:col>3</xdr:col>
                <xdr:colOff>523875</xdr:colOff>
                <xdr:row>12</xdr:row>
                <xdr:rowOff>104775</xdr:rowOff>
              </to>
            </anchor>
          </controlPr>
        </control>
      </mc:Choice>
      <mc:Fallback>
        <control shapeId="808973" r:id="rId10" name="OptionButton3"/>
      </mc:Fallback>
    </mc:AlternateContent>
    <mc:AlternateContent xmlns:mc="http://schemas.openxmlformats.org/markup-compatibility/2006">
      <mc:Choice Requires="x14">
        <control shapeId="808978" r:id="rId12" name="OptionButton6">
          <controlPr autoLine="0" autoPict="0" r:id="rId13">
            <anchor moveWithCells="1">
              <from>
                <xdr:col>1</xdr:col>
                <xdr:colOff>400050</xdr:colOff>
                <xdr:row>20</xdr:row>
                <xdr:rowOff>85725</xdr:rowOff>
              </from>
              <to>
                <xdr:col>4</xdr:col>
                <xdr:colOff>247650</xdr:colOff>
                <xdr:row>22</xdr:row>
                <xdr:rowOff>9525</xdr:rowOff>
              </to>
            </anchor>
          </controlPr>
        </control>
      </mc:Choice>
      <mc:Fallback>
        <control shapeId="808978" r:id="rId12" name="OptionButton6"/>
      </mc:Fallback>
    </mc:AlternateContent>
    <mc:AlternateContent xmlns:mc="http://schemas.openxmlformats.org/markup-compatibility/2006">
      <mc:Choice Requires="x14">
        <control shapeId="808977" r:id="rId14" name="OptionButton5">
          <controlPr autoLine="0" autoPict="0" r:id="rId15">
            <anchor moveWithCells="1">
              <from>
                <xdr:col>1</xdr:col>
                <xdr:colOff>400050</xdr:colOff>
                <xdr:row>18</xdr:row>
                <xdr:rowOff>123825</xdr:rowOff>
              </from>
              <to>
                <xdr:col>4</xdr:col>
                <xdr:colOff>247650</xdr:colOff>
                <xdr:row>20</xdr:row>
                <xdr:rowOff>47625</xdr:rowOff>
              </to>
            </anchor>
          </controlPr>
        </control>
      </mc:Choice>
      <mc:Fallback>
        <control shapeId="808977" r:id="rId14" name="OptionButton5"/>
      </mc:Fallback>
    </mc:AlternateContent>
    <mc:AlternateContent xmlns:mc="http://schemas.openxmlformats.org/markup-compatibility/2006">
      <mc:Choice Requires="x14">
        <control shapeId="808972" r:id="rId16" name="OptionButton2">
          <controlPr autoLine="0" autoPict="0" r:id="rId17">
            <anchor moveWithCells="1">
              <from>
                <xdr:col>1</xdr:col>
                <xdr:colOff>371475</xdr:colOff>
                <xdr:row>6</xdr:row>
                <xdr:rowOff>104775</xdr:rowOff>
              </from>
              <to>
                <xdr:col>3</xdr:col>
                <xdr:colOff>523875</xdr:colOff>
                <xdr:row>8</xdr:row>
                <xdr:rowOff>28575</xdr:rowOff>
              </to>
            </anchor>
          </controlPr>
        </control>
      </mc:Choice>
      <mc:Fallback>
        <control shapeId="808972" r:id="rId16" name="OptionButton2"/>
      </mc:Fallback>
    </mc:AlternateContent>
    <mc:AlternateContent xmlns:mc="http://schemas.openxmlformats.org/markup-compatibility/2006">
      <mc:Choice Requires="x14">
        <control shapeId="808971" r:id="rId18" name="OptionButton1">
          <controlPr autoLine="0" autoPict="0" r:id="rId19">
            <anchor moveWithCells="1">
              <from>
                <xdr:col>1</xdr:col>
                <xdr:colOff>371475</xdr:colOff>
                <xdr:row>4</xdr:row>
                <xdr:rowOff>133350</xdr:rowOff>
              </from>
              <to>
                <xdr:col>3</xdr:col>
                <xdr:colOff>523875</xdr:colOff>
                <xdr:row>6</xdr:row>
                <xdr:rowOff>57150</xdr:rowOff>
              </to>
            </anchor>
          </controlPr>
        </control>
      </mc:Choice>
      <mc:Fallback>
        <control shapeId="808971" r:id="rId18" name="Option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workbookViewId="0">
      <selection activeCell="A19" sqref="A19"/>
    </sheetView>
  </sheetViews>
  <sheetFormatPr defaultColWidth="9.140625" defaultRowHeight="12.75" x14ac:dyDescent="0.2"/>
  <cols>
    <col min="1" max="1" width="10.42578125" customWidth="1"/>
  </cols>
  <sheetData>
    <row r="1" spans="1:55" ht="15" x14ac:dyDescent="0.25">
      <c r="BA1" s="5" t="s">
        <v>711</v>
      </c>
    </row>
    <row r="2" spans="1:55" x14ac:dyDescent="0.2">
      <c r="A2">
        <f>MAX(Input!B8:B17)</f>
        <v>0</v>
      </c>
      <c r="B2" t="s">
        <v>712</v>
      </c>
      <c r="BA2">
        <v>100</v>
      </c>
      <c r="BB2" t="e">
        <f>VLOOKUP(BA2,Results!$C$5:$H$104,5,FALSE)</f>
        <v>#N/A</v>
      </c>
      <c r="BC2">
        <f t="shared" ref="BC2:BC65" si="0">BA2</f>
        <v>100</v>
      </c>
    </row>
    <row r="3" spans="1:55" x14ac:dyDescent="0.2">
      <c r="A3" t="b">
        <v>0</v>
      </c>
      <c r="B3" t="s">
        <v>713</v>
      </c>
      <c r="BA3">
        <v>99</v>
      </c>
      <c r="BB3" t="e">
        <f>VLOOKUP(BA3,Results!$C$5:$H$104,5,FALSE)</f>
        <v>#N/A</v>
      </c>
      <c r="BC3">
        <f t="shared" si="0"/>
        <v>99</v>
      </c>
    </row>
    <row r="4" spans="1:55" x14ac:dyDescent="0.2">
      <c r="A4" t="b">
        <v>0</v>
      </c>
      <c r="B4" t="s">
        <v>714</v>
      </c>
      <c r="BA4">
        <v>98</v>
      </c>
      <c r="BB4" t="e">
        <f>VLOOKUP(BA4,Results!$C$5:$H$104,5,FALSE)</f>
        <v>#N/A</v>
      </c>
      <c r="BC4">
        <f t="shared" si="0"/>
        <v>98</v>
      </c>
    </row>
    <row r="5" spans="1:55" ht="15" x14ac:dyDescent="0.25">
      <c r="A5">
        <v>1</v>
      </c>
      <c r="B5" t="s">
        <v>715</v>
      </c>
      <c r="H5" s="6" t="s">
        <v>716</v>
      </c>
      <c r="I5" t="str">
        <f>IF(A5=1,"Reinforcement Input",IF(A5=2,"TNX Geometry Input",IF(A5=3,"TNX Section Forces",IF(A5=4,"Results"))))</f>
        <v>Reinforcement Input</v>
      </c>
      <c r="M5" s="6" t="s">
        <v>717</v>
      </c>
      <c r="N5" t="str">
        <f>IF(A5=1,"TNX Section Forces",IF(A5=2,IF(A7=TRUE,"View Results","Run Analysis"),IF(A5=3,"Additional Calculations",IF(A5=4,"Print PDF"))))</f>
        <v>TNX Section Forces</v>
      </c>
      <c r="Q5" s="6" t="s">
        <v>718</v>
      </c>
      <c r="R5" t="str">
        <f>IF('Macro References'!$A$5=1,"TNX Geometry Input",IF('Macro References'!$A$5=2,"TNX Section Forces",IF('Macro References'!$A$5=3,"Analysis Results",IF('Macro References'!$A$5=4,"Additional Calculations"))))</f>
        <v>TNX Geometry Input</v>
      </c>
      <c r="BA5">
        <v>97</v>
      </c>
      <c r="BB5" t="e">
        <f>VLOOKUP(BA5,Results!$C$5:$H$104,5,FALSE)</f>
        <v>#N/A</v>
      </c>
      <c r="BC5">
        <f t="shared" si="0"/>
        <v>97</v>
      </c>
    </row>
    <row r="6" spans="1:55" x14ac:dyDescent="0.2">
      <c r="A6">
        <f>COUNT(Results!G5:H104)</f>
        <v>6</v>
      </c>
      <c r="B6" t="s">
        <v>719</v>
      </c>
      <c r="BA6">
        <v>96</v>
      </c>
      <c r="BB6" t="e">
        <f>VLOOKUP(BA6,Results!$C$5:$H$104,5,FALSE)</f>
        <v>#N/A</v>
      </c>
      <c r="BC6">
        <f t="shared" si="0"/>
        <v>96</v>
      </c>
    </row>
    <row r="7" spans="1:55" x14ac:dyDescent="0.2">
      <c r="A7" t="b">
        <v>0</v>
      </c>
      <c r="B7" t="s">
        <v>720</v>
      </c>
      <c r="BA7">
        <v>95</v>
      </c>
      <c r="BB7" t="e">
        <f>VLOOKUP(BA7,Results!$C$5:$H$104,5,FALSE)</f>
        <v>#N/A</v>
      </c>
      <c r="BC7">
        <f t="shared" si="0"/>
        <v>95</v>
      </c>
    </row>
    <row r="8" spans="1:55" ht="15" x14ac:dyDescent="0.25">
      <c r="A8" t="b">
        <f>AND(COUNT(Calculations!BQ60:BQ77)&gt;0)</f>
        <v>0</v>
      </c>
      <c r="B8" t="s">
        <v>721</v>
      </c>
      <c r="H8" s="395"/>
      <c r="BA8">
        <v>94</v>
      </c>
      <c r="BB8" t="e">
        <f>VLOOKUP(BA8,Results!$C$5:$H$104,5,FALSE)</f>
        <v>#N/A</v>
      </c>
      <c r="BC8">
        <f t="shared" si="0"/>
        <v>94</v>
      </c>
    </row>
    <row r="9" spans="1:55" ht="15" x14ac:dyDescent="0.25">
      <c r="A9" t="b">
        <v>1</v>
      </c>
      <c r="B9" s="395" t="s">
        <v>722</v>
      </c>
      <c r="BA9">
        <v>93</v>
      </c>
      <c r="BB9" t="e">
        <f>VLOOKUP(BA9,Results!$C$5:$H$104,5,FALSE)</f>
        <v>#N/A</v>
      </c>
      <c r="BC9">
        <f t="shared" si="0"/>
        <v>93</v>
      </c>
    </row>
    <row r="10" spans="1:55" ht="15" x14ac:dyDescent="0.25">
      <c r="A10" t="b">
        <v>0</v>
      </c>
      <c r="B10" s="395" t="s">
        <v>723</v>
      </c>
      <c r="BA10">
        <v>92</v>
      </c>
      <c r="BB10" t="e">
        <f>VLOOKUP(BA10,Results!$C$5:$H$104,5,FALSE)</f>
        <v>#N/A</v>
      </c>
      <c r="BC10">
        <f t="shared" si="0"/>
        <v>92</v>
      </c>
    </row>
    <row r="11" spans="1:55" x14ac:dyDescent="0.2">
      <c r="A11" t="b">
        <v>0</v>
      </c>
      <c r="B11" t="s">
        <v>724</v>
      </c>
      <c r="BA11">
        <v>91</v>
      </c>
      <c r="BB11" t="e">
        <f>VLOOKUP(BA11,Results!$C$5:$H$104,5,FALSE)</f>
        <v>#N/A</v>
      </c>
      <c r="BC11">
        <f t="shared" si="0"/>
        <v>91</v>
      </c>
    </row>
    <row r="12" spans="1:55" ht="15" x14ac:dyDescent="0.25">
      <c r="A12">
        <f>IF(AND(A2&gt;0,MAX(Input!O8:R17)=0),0,MAX(Input!U20:AL20))</f>
        <v>18</v>
      </c>
      <c r="B12" s="395" t="s">
        <v>725</v>
      </c>
      <c r="BA12">
        <v>90</v>
      </c>
      <c r="BB12" t="e">
        <f>VLOOKUP(BA12,Results!$C$5:$H$104,5,FALSE)</f>
        <v>#N/A</v>
      </c>
      <c r="BC12">
        <f t="shared" si="0"/>
        <v>90</v>
      </c>
    </row>
    <row r="13" spans="1:55" ht="15" x14ac:dyDescent="0.25">
      <c r="B13" s="395" t="s">
        <v>726</v>
      </c>
      <c r="BA13">
        <v>89</v>
      </c>
      <c r="BB13" t="e">
        <f>VLOOKUP(BA13,Results!$C$5:$H$104,5,FALSE)</f>
        <v>#N/A</v>
      </c>
      <c r="BC13">
        <f t="shared" si="0"/>
        <v>89</v>
      </c>
    </row>
    <row r="14" spans="1:55" x14ac:dyDescent="0.2">
      <c r="B14" s="28"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28"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28"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28"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28"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28"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28"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28"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28"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28"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28"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28"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28"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28"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28"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28"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28"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28"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v>88</v>
      </c>
      <c r="BB14" t="e">
        <f>VLOOKUP(BA14,Results!$C$5:$H$104,5,FALSE)</f>
        <v>#N/A</v>
      </c>
      <c r="BC14">
        <f t="shared" si="0"/>
        <v>88</v>
      </c>
    </row>
    <row r="15" spans="1:55" ht="15" x14ac:dyDescent="0.25">
      <c r="B15" s="395" t="s">
        <v>727</v>
      </c>
      <c r="BA15">
        <v>87</v>
      </c>
      <c r="BB15" t="e">
        <f>VLOOKUP(BA15,Results!$C$5:$H$104,5,FALSE)</f>
        <v>#N/A</v>
      </c>
      <c r="BC15">
        <f t="shared" si="0"/>
        <v>87</v>
      </c>
    </row>
    <row r="16" spans="1:55" x14ac:dyDescent="0.2">
      <c r="B16" s="17" t="b">
        <f>AND(Input!$C21&lt;&gt;"")</f>
        <v>0</v>
      </c>
      <c r="C16" s="17" t="b">
        <f>AND(Input!$C22&lt;&gt;"")</f>
        <v>0</v>
      </c>
      <c r="D16" s="17" t="b">
        <f>AND(Input!$C23&lt;&gt;"")</f>
        <v>0</v>
      </c>
      <c r="E16" s="17" t="b">
        <f>AND(Input!$C24&lt;&gt;"")</f>
        <v>0</v>
      </c>
      <c r="F16" s="17" t="b">
        <f>AND(Input!$C25&lt;&gt;"")</f>
        <v>0</v>
      </c>
      <c r="G16" s="17" t="b">
        <f>AND(Input!$C26&lt;&gt;"")</f>
        <v>0</v>
      </c>
      <c r="H16" s="17" t="b">
        <f>AND(Input!$C27&lt;&gt;"")</f>
        <v>0</v>
      </c>
      <c r="I16" s="17" t="b">
        <f>AND(Input!$C28&lt;&gt;"")</f>
        <v>0</v>
      </c>
      <c r="J16" s="17" t="b">
        <f>AND(Input!$C29&lt;&gt;"")</f>
        <v>0</v>
      </c>
      <c r="K16" s="17" t="b">
        <f>AND(Input!$C30&lt;&gt;"")</f>
        <v>0</v>
      </c>
      <c r="L16" s="17" t="b">
        <f>AND(Input!$C31&lt;&gt;"")</f>
        <v>0</v>
      </c>
      <c r="M16" s="17" t="b">
        <f>AND(Input!$C32&lt;&gt;"")</f>
        <v>0</v>
      </c>
      <c r="N16" s="17" t="b">
        <f>AND(Input!$C33&lt;&gt;"")</f>
        <v>0</v>
      </c>
      <c r="O16" s="17" t="b">
        <f>AND(Input!$C34&lt;&gt;"")</f>
        <v>0</v>
      </c>
      <c r="P16" s="17" t="b">
        <f>AND(Input!$C35&lt;&gt;"")</f>
        <v>0</v>
      </c>
      <c r="Q16" s="17" t="b">
        <f>AND(Input!$C36&lt;&gt;"")</f>
        <v>0</v>
      </c>
      <c r="R16" s="17" t="b">
        <f>AND(Input!$C37&lt;&gt;"")</f>
        <v>0</v>
      </c>
      <c r="S16" s="17" t="b">
        <f>AND(Input!$C38&lt;&gt;"")</f>
        <v>0</v>
      </c>
      <c r="T16" s="17" t="b">
        <f>AND(Input!$C39&lt;&gt;"")</f>
        <v>0</v>
      </c>
      <c r="U16" s="17" t="b">
        <f>AND(Input!$C40&lt;&gt;"")</f>
        <v>0</v>
      </c>
      <c r="V16" s="17" t="b">
        <f>AND(Input!$C41&lt;&gt;"")</f>
        <v>0</v>
      </c>
      <c r="W16" s="17" t="b">
        <f>AND(Input!$C42&lt;&gt;"")</f>
        <v>0</v>
      </c>
      <c r="X16" s="17" t="b">
        <f>AND(Input!$C43&lt;&gt;"")</f>
        <v>0</v>
      </c>
      <c r="Y16" s="17" t="b">
        <f>AND(Input!$C44&lt;&gt;"")</f>
        <v>0</v>
      </c>
      <c r="Z16" s="17" t="b">
        <f>AND(Input!$C45&lt;&gt;"")</f>
        <v>0</v>
      </c>
      <c r="AA16" s="17" t="b">
        <f>AND(Input!$C46&lt;&gt;"")</f>
        <v>0</v>
      </c>
      <c r="AB16" s="17" t="b">
        <f>AND(Input!$C47&lt;&gt;"")</f>
        <v>0</v>
      </c>
      <c r="AC16" s="17" t="b">
        <f>AND(Input!$C48&lt;&gt;"")</f>
        <v>0</v>
      </c>
      <c r="AD16" s="17" t="b">
        <f>AND(Input!$C49&lt;&gt;"")</f>
        <v>0</v>
      </c>
      <c r="AE16" s="17" t="b">
        <f>AND(Input!$C50&lt;&gt;"")</f>
        <v>0</v>
      </c>
      <c r="AF16">
        <f>COUNTIF(B16:AE16,"=True")</f>
        <v>0</v>
      </c>
      <c r="BA16">
        <v>86</v>
      </c>
      <c r="BB16" t="e">
        <f>VLOOKUP(BA16,Results!$C$5:$H$104,5,FALSE)</f>
        <v>#N/A</v>
      </c>
      <c r="BC16">
        <f t="shared" si="0"/>
        <v>86</v>
      </c>
    </row>
    <row r="17" spans="1:55" ht="15" x14ac:dyDescent="0.25">
      <c r="B17" s="17" t="b">
        <f>NOT(OR(B16,C16,D16,E16,F16,G16,H16,I16,J16,K16,L16,M16,N16,O16,P16,Q16,R16,S16,T16,U16,V16,W16,X16,Y16,Z16,AA16,AB16,AC16,AD16,AE16))</f>
        <v>1</v>
      </c>
      <c r="C17" s="395" t="s">
        <v>728</v>
      </c>
      <c r="BA17">
        <v>85</v>
      </c>
      <c r="BB17" t="e">
        <f>VLOOKUP(BA17,Results!$C$5:$H$104,5,FALSE)</f>
        <v>#N/A</v>
      </c>
      <c r="BC17">
        <f t="shared" si="0"/>
        <v>85</v>
      </c>
    </row>
    <row r="18" spans="1:55" ht="15" x14ac:dyDescent="0.25">
      <c r="A18">
        <f>COUNTA('New TNX Lines'!$D:$D)+1</f>
        <v>1</v>
      </c>
      <c r="B18" s="395" t="s">
        <v>729</v>
      </c>
      <c r="BA18">
        <v>84</v>
      </c>
      <c r="BB18" t="e">
        <f>VLOOKUP(BA18,Results!$C$5:$H$104,5,FALSE)</f>
        <v>#N/A</v>
      </c>
      <c r="BC18">
        <f t="shared" si="0"/>
        <v>84</v>
      </c>
    </row>
    <row r="19" spans="1:55" ht="15" x14ac:dyDescent="0.25">
      <c r="A19" s="351"/>
      <c r="B19" s="395" t="s">
        <v>730</v>
      </c>
      <c r="BA19">
        <v>83</v>
      </c>
      <c r="BB19" t="e">
        <f>VLOOKUP(BA19,Results!$C$5:$H$104,5,FALSE)</f>
        <v>#N/A</v>
      </c>
      <c r="BC19">
        <f t="shared" si="0"/>
        <v>83</v>
      </c>
    </row>
    <row r="20" spans="1:55" ht="15" x14ac:dyDescent="0.25">
      <c r="A20" s="395" t="b">
        <v>1</v>
      </c>
      <c r="B20" s="395" t="s">
        <v>731</v>
      </c>
      <c r="H20" s="395"/>
      <c r="BA20">
        <v>82</v>
      </c>
      <c r="BB20" t="e">
        <f>VLOOKUP(BA20,Results!$C$5:$H$104,5,FALSE)</f>
        <v>#N/A</v>
      </c>
      <c r="BC20">
        <f t="shared" si="0"/>
        <v>82</v>
      </c>
    </row>
    <row r="21" spans="1:55" ht="15" x14ac:dyDescent="0.25">
      <c r="B21" s="395" t="s">
        <v>732</v>
      </c>
      <c r="C21" s="395" t="s">
        <v>733</v>
      </c>
      <c r="BA21">
        <v>81</v>
      </c>
      <c r="BB21" t="e">
        <f>VLOOKUP(BA21,Results!$C$5:$H$104,5,FALSE)</f>
        <v>#N/A</v>
      </c>
      <c r="BC21">
        <f t="shared" si="0"/>
        <v>81</v>
      </c>
    </row>
    <row r="22" spans="1:55" ht="15" x14ac:dyDescent="0.25">
      <c r="B22" s="395" t="s">
        <v>734</v>
      </c>
      <c r="C22" s="395" t="str">
        <f>IF(A5=2,"TNX Section Forces","")</f>
        <v/>
      </c>
      <c r="BA22">
        <v>80</v>
      </c>
      <c r="BB22" t="e">
        <f>VLOOKUP(BA22,Results!$C$5:$H$104,5,FALSE)</f>
        <v>#N/A</v>
      </c>
      <c r="BC22">
        <f t="shared" si="0"/>
        <v>80</v>
      </c>
    </row>
    <row r="23" spans="1:55" ht="15" x14ac:dyDescent="0.25">
      <c r="B23" s="395" t="s">
        <v>735</v>
      </c>
      <c r="C23" s="395" t="s">
        <v>736</v>
      </c>
      <c r="BA23">
        <v>79</v>
      </c>
      <c r="BB23" t="e">
        <f>VLOOKUP(BA23,Results!$C$5:$H$104,5,FALSE)</f>
        <v>#N/A</v>
      </c>
      <c r="BC23">
        <f t="shared" si="0"/>
        <v>79</v>
      </c>
    </row>
    <row r="24" spans="1:55" ht="15" x14ac:dyDescent="0.25">
      <c r="B24" s="395" t="s">
        <v>737</v>
      </c>
      <c r="C24" s="395" t="s">
        <v>738</v>
      </c>
      <c r="BA24">
        <v>78</v>
      </c>
      <c r="BB24" t="e">
        <f>VLOOKUP(BA24,Results!$C$5:$H$104,5,FALSE)</f>
        <v>#N/A</v>
      </c>
      <c r="BC24">
        <f t="shared" si="0"/>
        <v>78</v>
      </c>
    </row>
    <row r="25" spans="1:55" ht="15" x14ac:dyDescent="0.25">
      <c r="A25">
        <v>5746</v>
      </c>
      <c r="B25" s="395" t="s">
        <v>739</v>
      </c>
      <c r="BA25">
        <v>77</v>
      </c>
      <c r="BB25" t="e">
        <f>VLOOKUP(BA25,Results!$C$5:$H$104,5,FALSE)</f>
        <v>#N/A</v>
      </c>
      <c r="BC25">
        <f t="shared" si="0"/>
        <v>77</v>
      </c>
    </row>
    <row r="26" spans="1:55" ht="15" x14ac:dyDescent="0.25">
      <c r="A26" s="395"/>
      <c r="B26" s="395" t="s">
        <v>740</v>
      </c>
      <c r="BA26">
        <v>76</v>
      </c>
      <c r="BB26" t="e">
        <f>VLOOKUP(BA26,Results!$C$5:$H$104,5,FALSE)</f>
        <v>#N/A</v>
      </c>
      <c r="BC26">
        <f t="shared" si="0"/>
        <v>76</v>
      </c>
    </row>
    <row r="27" spans="1:55" ht="15" x14ac:dyDescent="0.25">
      <c r="A27">
        <f>COUNT(Results!I5:I104)+5</f>
        <v>5</v>
      </c>
      <c r="B27" s="395" t="s">
        <v>741</v>
      </c>
      <c r="BA27">
        <v>75</v>
      </c>
      <c r="BB27" t="e">
        <f>VLOOKUP(BA27,Results!$C$5:$H$104,5,FALSE)</f>
        <v>#N/A</v>
      </c>
      <c r="BC27">
        <f t="shared" si="0"/>
        <v>75</v>
      </c>
    </row>
    <row r="28" spans="1:55" ht="15" x14ac:dyDescent="0.25">
      <c r="A28" t="e">
        <f>MATCH(G28,'TNX Forces'!AP:AP,0)</f>
        <v>#N/A</v>
      </c>
      <c r="B28" s="395" t="s">
        <v>742</v>
      </c>
      <c r="G28" s="54" t="s">
        <v>743</v>
      </c>
      <c r="BA28">
        <v>74</v>
      </c>
      <c r="BB28" t="e">
        <f>VLOOKUP(BA28,Results!$C$5:$H$104,5,FALSE)</f>
        <v>#N/A</v>
      </c>
      <c r="BC28">
        <f t="shared" si="0"/>
        <v>74</v>
      </c>
    </row>
    <row r="29" spans="1:55" ht="15" x14ac:dyDescent="0.25">
      <c r="A29" s="55"/>
      <c r="B29" s="395" t="s">
        <v>744</v>
      </c>
      <c r="BA29">
        <v>73</v>
      </c>
      <c r="BB29" t="e">
        <f>VLOOKUP(BA29,Results!$C$5:$H$104,5,FALSE)</f>
        <v>#N/A</v>
      </c>
      <c r="BC29">
        <f t="shared" si="0"/>
        <v>73</v>
      </c>
    </row>
    <row r="30" spans="1:55" ht="15" x14ac:dyDescent="0.25">
      <c r="A30" t="b">
        <v>0</v>
      </c>
      <c r="B30" s="395" t="s">
        <v>745</v>
      </c>
      <c r="BA30">
        <v>72</v>
      </c>
      <c r="BB30" t="e">
        <f>VLOOKUP(BA30,Results!$C$5:$H$104,5,FALSE)</f>
        <v>#N/A</v>
      </c>
      <c r="BC30">
        <f t="shared" si="0"/>
        <v>72</v>
      </c>
    </row>
    <row r="31" spans="1:55" x14ac:dyDescent="0.2">
      <c r="B31" s="28" t="str">
        <f>IF($A$12=0,B14,IFERROR(VALUE(LEFT(B$14,FIND(";",B$14)-1)),""))</f>
        <v/>
      </c>
      <c r="C31" s="28" t="str">
        <f t="shared" ref="C31:S31" si="1">IF($A$12=0,C14,IFERROR(VALUE(LEFT(C$14,FIND(";",C$14)-1)),""))</f>
        <v/>
      </c>
      <c r="D31" s="28" t="str">
        <f t="shared" si="1"/>
        <v/>
      </c>
      <c r="E31" s="28" t="str">
        <f t="shared" si="1"/>
        <v/>
      </c>
      <c r="F31" s="28" t="str">
        <f t="shared" si="1"/>
        <v/>
      </c>
      <c r="G31" s="28" t="str">
        <f t="shared" si="1"/>
        <v/>
      </c>
      <c r="H31" s="28" t="str">
        <f t="shared" si="1"/>
        <v/>
      </c>
      <c r="I31" s="28" t="str">
        <f t="shared" si="1"/>
        <v/>
      </c>
      <c r="J31" s="28" t="str">
        <f t="shared" si="1"/>
        <v/>
      </c>
      <c r="K31" s="28" t="str">
        <f t="shared" si="1"/>
        <v/>
      </c>
      <c r="L31" s="28" t="str">
        <f t="shared" si="1"/>
        <v/>
      </c>
      <c r="M31" s="28" t="str">
        <f t="shared" si="1"/>
        <v/>
      </c>
      <c r="N31" s="28" t="str">
        <f t="shared" si="1"/>
        <v/>
      </c>
      <c r="O31" s="28" t="str">
        <f t="shared" si="1"/>
        <v/>
      </c>
      <c r="P31" s="28" t="str">
        <f t="shared" si="1"/>
        <v/>
      </c>
      <c r="Q31" s="28" t="str">
        <f t="shared" si="1"/>
        <v/>
      </c>
      <c r="R31" s="28" t="str">
        <f t="shared" si="1"/>
        <v/>
      </c>
      <c r="S31" s="28" t="str">
        <f t="shared" si="1"/>
        <v/>
      </c>
      <c r="BA31">
        <v>71</v>
      </c>
      <c r="BB31" t="e">
        <f>VLOOKUP(BA31,Results!$C$5:$H$104,5,FALSE)</f>
        <v>#N/A</v>
      </c>
      <c r="BC31">
        <f t="shared" si="0"/>
        <v>71</v>
      </c>
    </row>
    <row r="32" spans="1:55" x14ac:dyDescent="0.2">
      <c r="B32" s="28" t="str">
        <f>IFERROR(VALUE(IF(LEN(B$14)-LEN(SUBSTITUTE(B$14,";",""))&gt;1,MID(B$14,FIND(";",B$14)+1,FIND(";",B$14,FIND(";",B$14)+1)-FIND(";",B$14)-1),"")),"")</f>
        <v/>
      </c>
      <c r="C32" s="28" t="str">
        <f t="shared" ref="C32:S32" si="2">IFERROR(VALUE(IF(LEN(C$14)-LEN(SUBSTITUTE(C$14,";",""))&gt;1,MID(C$14,FIND(";",C$14)+1,FIND(";",C$14,FIND(";",C$14)+1)-FIND(";",C$14)-1),"")),"")</f>
        <v/>
      </c>
      <c r="D32" s="28" t="str">
        <f t="shared" si="2"/>
        <v/>
      </c>
      <c r="E32" s="28" t="str">
        <f t="shared" si="2"/>
        <v/>
      </c>
      <c r="F32" s="28" t="str">
        <f t="shared" si="2"/>
        <v/>
      </c>
      <c r="G32" s="28" t="str">
        <f t="shared" si="2"/>
        <v/>
      </c>
      <c r="H32" s="28" t="str">
        <f t="shared" si="2"/>
        <v/>
      </c>
      <c r="I32" s="28" t="str">
        <f t="shared" si="2"/>
        <v/>
      </c>
      <c r="J32" s="28" t="str">
        <f t="shared" si="2"/>
        <v/>
      </c>
      <c r="K32" s="28" t="str">
        <f t="shared" si="2"/>
        <v/>
      </c>
      <c r="L32" s="28" t="str">
        <f t="shared" si="2"/>
        <v/>
      </c>
      <c r="M32" s="28" t="str">
        <f t="shared" si="2"/>
        <v/>
      </c>
      <c r="N32" s="28" t="str">
        <f t="shared" si="2"/>
        <v/>
      </c>
      <c r="O32" s="28" t="str">
        <f t="shared" si="2"/>
        <v/>
      </c>
      <c r="P32" s="28" t="str">
        <f t="shared" si="2"/>
        <v/>
      </c>
      <c r="Q32" s="28" t="str">
        <f t="shared" si="2"/>
        <v/>
      </c>
      <c r="R32" s="28" t="str">
        <f t="shared" si="2"/>
        <v/>
      </c>
      <c r="S32" s="28" t="str">
        <f t="shared" si="2"/>
        <v/>
      </c>
      <c r="BA32">
        <v>70</v>
      </c>
      <c r="BB32" t="e">
        <f>VLOOKUP(BA32,Results!$C$5:$H$104,5,FALSE)</f>
        <v>#N/A</v>
      </c>
      <c r="BC32">
        <f t="shared" si="0"/>
        <v>70</v>
      </c>
    </row>
    <row r="33" spans="1:55" x14ac:dyDescent="0.2">
      <c r="B33" s="16">
        <v>1</v>
      </c>
      <c r="C33" s="16">
        <v>2</v>
      </c>
      <c r="D33" s="16">
        <v>3</v>
      </c>
      <c r="E33" s="16">
        <v>4</v>
      </c>
      <c r="F33" s="16">
        <v>5</v>
      </c>
      <c r="G33" s="16">
        <v>6</v>
      </c>
      <c r="H33" s="16">
        <v>7</v>
      </c>
      <c r="I33" s="16">
        <v>8</v>
      </c>
      <c r="J33" s="16">
        <v>9</v>
      </c>
      <c r="K33" s="16">
        <v>10</v>
      </c>
      <c r="L33" s="16">
        <v>11</v>
      </c>
      <c r="M33" s="16">
        <v>12</v>
      </c>
      <c r="N33" s="16">
        <v>13</v>
      </c>
      <c r="O33" s="16">
        <v>14</v>
      </c>
      <c r="P33" s="16">
        <v>15</v>
      </c>
      <c r="Q33" s="16">
        <v>16</v>
      </c>
      <c r="R33" s="16">
        <v>17</v>
      </c>
      <c r="S33" s="16">
        <v>18</v>
      </c>
      <c r="BA33">
        <v>69</v>
      </c>
      <c r="BB33" t="e">
        <f>VLOOKUP(BA33,Results!$C$5:$H$104,5,FALSE)</f>
        <v>#N/A</v>
      </c>
      <c r="BC33">
        <f t="shared" si="0"/>
        <v>69</v>
      </c>
    </row>
    <row r="34" spans="1:55" ht="15" x14ac:dyDescent="0.25">
      <c r="A34" t="b">
        <f>NOT(ISERROR(MATCH("Yes",Calculations!CI60:CI96,0)))</f>
        <v>0</v>
      </c>
      <c r="B34" s="395" t="s">
        <v>746</v>
      </c>
      <c r="BA34">
        <v>68</v>
      </c>
      <c r="BB34" t="e">
        <f>VLOOKUP(BA34,Results!$C$5:$H$104,5,FALSE)</f>
        <v>#N/A</v>
      </c>
      <c r="BC34">
        <f t="shared" si="0"/>
        <v>68</v>
      </c>
    </row>
    <row r="35" spans="1:55" ht="15" x14ac:dyDescent="0.25">
      <c r="A35">
        <v>50</v>
      </c>
      <c r="B35" s="395" t="s">
        <v>747</v>
      </c>
      <c r="BA35">
        <v>67</v>
      </c>
      <c r="BB35" t="e">
        <f>VLOOKUP(BA35,Results!$C$5:$H$104,5,FALSE)</f>
        <v>#N/A</v>
      </c>
      <c r="BC35">
        <f t="shared" si="0"/>
        <v>67</v>
      </c>
    </row>
    <row r="36" spans="1:55" ht="15" x14ac:dyDescent="0.25">
      <c r="A36">
        <v>5</v>
      </c>
      <c r="B36" s="395" t="s">
        <v>748</v>
      </c>
      <c r="BA36">
        <v>66</v>
      </c>
      <c r="BB36" t="e">
        <f>VLOOKUP(BA36,Results!$C$5:$H$104,5,FALSE)</f>
        <v>#N/A</v>
      </c>
      <c r="BC36">
        <f t="shared" si="0"/>
        <v>66</v>
      </c>
    </row>
    <row r="37" spans="1:55" ht="15" x14ac:dyDescent="0.25">
      <c r="A37" t="b">
        <v>0</v>
      </c>
      <c r="B37" s="395" t="s">
        <v>749</v>
      </c>
      <c r="BA37">
        <v>65</v>
      </c>
      <c r="BB37" t="e">
        <f>VLOOKUP(BA37,Results!$C$5:$H$104,5,FALSE)</f>
        <v>#N/A</v>
      </c>
      <c r="BC37">
        <f t="shared" si="0"/>
        <v>65</v>
      </c>
    </row>
    <row r="38" spans="1:55" ht="15" x14ac:dyDescent="0.25">
      <c r="B38" s="395" t="s">
        <v>750</v>
      </c>
      <c r="BA38">
        <v>64</v>
      </c>
      <c r="BB38" t="e">
        <f>VLOOKUP(BA38,Results!$C$5:$H$104,5,FALSE)</f>
        <v>#N/A</v>
      </c>
      <c r="BC38">
        <f t="shared" si="0"/>
        <v>64</v>
      </c>
    </row>
    <row r="39" spans="1:55" ht="15" x14ac:dyDescent="0.25">
      <c r="A39" t="e">
        <f>MIN(Results!$L$5:$O$104)</f>
        <v>#N/A</v>
      </c>
      <c r="B39" s="395" t="s">
        <v>751</v>
      </c>
      <c r="BA39">
        <v>63</v>
      </c>
      <c r="BB39" t="e">
        <f>VLOOKUP(BA39,Results!$C$5:$H$104,5,FALSE)</f>
        <v>#N/A</v>
      </c>
      <c r="BC39">
        <f t="shared" si="0"/>
        <v>63</v>
      </c>
    </row>
    <row r="40" spans="1:55" ht="15" x14ac:dyDescent="0.25">
      <c r="A40" t="b">
        <v>0</v>
      </c>
      <c r="B40" s="395" t="s">
        <v>752</v>
      </c>
      <c r="E40" t="b">
        <v>0</v>
      </c>
      <c r="F40" s="395" t="s">
        <v>753</v>
      </c>
      <c r="BA40">
        <v>62</v>
      </c>
      <c r="BB40" t="e">
        <f>VLOOKUP(BA40,Results!$C$5:$H$104,5,FALSE)</f>
        <v>#N/A</v>
      </c>
      <c r="BC40">
        <f t="shared" si="0"/>
        <v>62</v>
      </c>
    </row>
    <row r="41" spans="1:55" ht="15" x14ac:dyDescent="0.25">
      <c r="A41" t="b">
        <v>0</v>
      </c>
      <c r="B41" s="395" t="s">
        <v>754</v>
      </c>
      <c r="BA41">
        <v>61</v>
      </c>
      <c r="BB41" t="e">
        <f>VLOOKUP(BA41,Results!$C$5:$H$104,5,FALSE)</f>
        <v>#N/A</v>
      </c>
      <c r="BC41">
        <f t="shared" si="0"/>
        <v>61</v>
      </c>
    </row>
    <row r="42" spans="1:55" ht="15" x14ac:dyDescent="0.25">
      <c r="A42" s="659" t="s">
        <v>755</v>
      </c>
      <c r="B42" s="17"/>
      <c r="C42" s="17"/>
      <c r="D42" s="17"/>
      <c r="E42" s="398"/>
      <c r="F42" s="398"/>
      <c r="G42" s="398">
        <v>3.625</v>
      </c>
      <c r="H42" s="398"/>
      <c r="I42" s="398">
        <v>-3.625</v>
      </c>
      <c r="J42" s="17"/>
      <c r="K42" s="17"/>
      <c r="L42" s="17">
        <v>-3.625</v>
      </c>
      <c r="M42" s="17"/>
      <c r="N42" s="17"/>
      <c r="O42" s="17"/>
      <c r="P42" s="17"/>
      <c r="Q42" s="17"/>
      <c r="R42" s="17"/>
      <c r="S42" s="17"/>
      <c r="U42" s="399" t="s">
        <v>84</v>
      </c>
      <c r="V42" s="399" t="s">
        <v>87</v>
      </c>
      <c r="W42" s="399" t="s">
        <v>88</v>
      </c>
      <c r="X42" s="399" t="s">
        <v>89</v>
      </c>
      <c r="Y42" s="399" t="s">
        <v>90</v>
      </c>
      <c r="Z42" s="399" t="s">
        <v>91</v>
      </c>
      <c r="AA42" s="399" t="s">
        <v>92</v>
      </c>
      <c r="AB42" s="399" t="s">
        <v>93</v>
      </c>
      <c r="AC42" s="399" t="s">
        <v>94</v>
      </c>
      <c r="AD42" s="399" t="s">
        <v>95</v>
      </c>
      <c r="AE42" s="399" t="s">
        <v>96</v>
      </c>
      <c r="AF42" s="399" t="s">
        <v>97</v>
      </c>
      <c r="AG42" s="399" t="s">
        <v>98</v>
      </c>
      <c r="AH42" s="399" t="s">
        <v>99</v>
      </c>
      <c r="AI42" s="399" t="s">
        <v>100</v>
      </c>
      <c r="AJ42" s="399" t="s">
        <v>101</v>
      </c>
      <c r="AK42" s="399" t="s">
        <v>102</v>
      </c>
      <c r="AL42" s="399" t="s">
        <v>103</v>
      </c>
      <c r="AM42" s="399" t="s">
        <v>104</v>
      </c>
      <c r="AN42" s="399" t="s">
        <v>105</v>
      </c>
      <c r="AO42" s="399" t="s">
        <v>106</v>
      </c>
      <c r="AP42" s="399" t="s">
        <v>107</v>
      </c>
      <c r="AQ42" s="399" t="s">
        <v>108</v>
      </c>
      <c r="AR42" s="399" t="s">
        <v>109</v>
      </c>
      <c r="AS42" s="399" t="s">
        <v>110</v>
      </c>
      <c r="AT42" s="399" t="s">
        <v>111</v>
      </c>
      <c r="AU42" s="399" t="s">
        <v>112</v>
      </c>
      <c r="AV42" s="399" t="s">
        <v>113</v>
      </c>
      <c r="AW42" s="399" t="s">
        <v>114</v>
      </c>
      <c r="AX42" s="399" t="s">
        <v>115</v>
      </c>
      <c r="AY42" s="399" t="s">
        <v>116</v>
      </c>
      <c r="BA42">
        <v>60</v>
      </c>
      <c r="BB42" t="e">
        <f>VLOOKUP(BA42,Results!$C$5:$H$104,5,FALSE)</f>
        <v>#N/A</v>
      </c>
      <c r="BC42">
        <f t="shared" si="0"/>
        <v>60</v>
      </c>
    </row>
    <row r="43" spans="1:55" x14ac:dyDescent="0.2">
      <c r="A43" s="659"/>
      <c r="B43" s="17"/>
      <c r="C43" s="17"/>
      <c r="D43" s="17"/>
      <c r="E43" s="17">
        <v>4.625</v>
      </c>
      <c r="F43" s="17"/>
      <c r="G43" s="17"/>
      <c r="H43" s="17"/>
      <c r="I43" s="17"/>
      <c r="J43" s="17"/>
      <c r="K43" s="17"/>
      <c r="L43" s="17"/>
      <c r="M43" s="17"/>
      <c r="N43" s="17"/>
      <c r="O43" s="17"/>
      <c r="P43" s="17"/>
      <c r="Q43" s="17"/>
      <c r="R43" s="17"/>
      <c r="S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BA43">
        <v>59</v>
      </c>
      <c r="BB43" t="e">
        <f>VLOOKUP(BA43,Results!$C$5:$H$104,5,FALSE)</f>
        <v>#N/A</v>
      </c>
      <c r="BC43">
        <f t="shared" si="0"/>
        <v>59</v>
      </c>
    </row>
    <row r="44" spans="1:55" x14ac:dyDescent="0.2">
      <c r="A44" s="659"/>
      <c r="B44" s="17"/>
      <c r="C44" s="17"/>
      <c r="D44" s="17"/>
      <c r="E44" s="17"/>
      <c r="F44" s="17"/>
      <c r="G44" s="17"/>
      <c r="H44" s="17"/>
      <c r="I44" s="17"/>
      <c r="J44" s="17"/>
      <c r="K44" s="17"/>
      <c r="L44" s="17">
        <v>3.625</v>
      </c>
      <c r="M44" s="17"/>
      <c r="N44" s="17"/>
      <c r="O44" s="17"/>
      <c r="P44" s="17"/>
      <c r="Q44" s="17"/>
      <c r="R44" s="17"/>
      <c r="S44" s="17"/>
      <c r="BA44">
        <v>58</v>
      </c>
      <c r="BB44" t="e">
        <f>VLOOKUP(BA44,Results!$C$5:$H$104,5,FALSE)</f>
        <v>#N/A</v>
      </c>
      <c r="BC44">
        <f t="shared" si="0"/>
        <v>58</v>
      </c>
    </row>
    <row r="45" spans="1:55" ht="15" x14ac:dyDescent="0.25">
      <c r="B45" s="17" t="s">
        <v>559</v>
      </c>
      <c r="C45" s="17"/>
      <c r="D45" s="17"/>
      <c r="E45" s="17"/>
      <c r="F45" s="17"/>
      <c r="G45" s="17"/>
      <c r="H45" s="17"/>
      <c r="I45" s="17"/>
      <c r="J45" s="17"/>
      <c r="K45" s="17"/>
      <c r="L45" s="17"/>
      <c r="M45" s="17" t="s">
        <v>559</v>
      </c>
      <c r="N45" s="17"/>
      <c r="O45" s="17"/>
      <c r="P45" s="17"/>
      <c r="Q45" s="17"/>
      <c r="R45" s="17"/>
      <c r="S45" s="17"/>
      <c r="U45" s="396" t="s">
        <v>756</v>
      </c>
      <c r="V45" s="17">
        <v>3.3369580647107967E-2</v>
      </c>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BA45">
        <v>57</v>
      </c>
      <c r="BB45" t="e">
        <f>VLOOKUP(BA45,Results!$C$5:$H$104,5,FALSE)</f>
        <v>#N/A</v>
      </c>
      <c r="BC45">
        <f t="shared" si="0"/>
        <v>57</v>
      </c>
    </row>
    <row r="46" spans="1:55" ht="15" x14ac:dyDescent="0.25">
      <c r="B46" s="17"/>
      <c r="C46" s="17">
        <v>0</v>
      </c>
      <c r="D46" s="17"/>
      <c r="E46" s="17"/>
      <c r="F46" s="17"/>
      <c r="G46" s="17"/>
      <c r="H46" s="17"/>
      <c r="I46" s="17"/>
      <c r="J46" s="17"/>
      <c r="K46" s="17"/>
      <c r="L46" s="17"/>
      <c r="M46" s="17">
        <v>0</v>
      </c>
      <c r="N46" s="17"/>
      <c r="O46" s="17"/>
      <c r="P46" s="17"/>
      <c r="Q46" s="17"/>
      <c r="R46" s="17"/>
      <c r="S46" s="17"/>
      <c r="U46" s="396" t="s">
        <v>757</v>
      </c>
      <c r="V46" s="17">
        <v>110</v>
      </c>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BA46">
        <v>56</v>
      </c>
      <c r="BB46" t="e">
        <f>VLOOKUP(BA46,Results!$C$5:$H$104,5,FALSE)</f>
        <v>#N/A</v>
      </c>
      <c r="BC46">
        <f t="shared" si="0"/>
        <v>56</v>
      </c>
    </row>
    <row r="47" spans="1:55" ht="15" x14ac:dyDescent="0.25">
      <c r="B47" s="17"/>
      <c r="C47" s="17"/>
      <c r="D47" s="17"/>
      <c r="E47" s="17"/>
      <c r="F47" s="17">
        <v>0</v>
      </c>
      <c r="G47" s="17"/>
      <c r="H47" s="17"/>
      <c r="I47" s="17"/>
      <c r="J47" s="17">
        <v>0</v>
      </c>
      <c r="K47" s="17"/>
      <c r="L47" s="17"/>
      <c r="M47" s="17"/>
      <c r="N47" s="17"/>
      <c r="O47" s="17"/>
      <c r="P47" s="17"/>
      <c r="Q47" s="17"/>
      <c r="R47" s="17"/>
      <c r="S47" s="17"/>
      <c r="U47" s="396" t="s">
        <v>758</v>
      </c>
      <c r="V47" s="17">
        <v>0.70419164242193943</v>
      </c>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BA47">
        <v>55</v>
      </c>
      <c r="BB47" t="e">
        <f>VLOOKUP(BA47,Results!$C$5:$H$104,5,FALSE)</f>
        <v>#N/A</v>
      </c>
      <c r="BC47">
        <f t="shared" si="0"/>
        <v>55</v>
      </c>
    </row>
    <row r="48" spans="1:55" x14ac:dyDescent="0.2">
      <c r="B48" s="17">
        <v>0</v>
      </c>
      <c r="C48" s="17"/>
      <c r="D48" s="17"/>
      <c r="E48" s="17"/>
      <c r="F48" s="17"/>
      <c r="G48" s="17"/>
      <c r="H48" s="17"/>
      <c r="I48" s="17"/>
      <c r="J48" s="17"/>
      <c r="K48" s="17"/>
      <c r="L48" s="17"/>
      <c r="M48" s="17"/>
      <c r="N48" s="17"/>
      <c r="O48" s="17"/>
      <c r="P48" s="17"/>
      <c r="Q48" s="17"/>
      <c r="R48" s="17"/>
      <c r="S48" s="17"/>
      <c r="BA48">
        <v>54</v>
      </c>
      <c r="BB48" t="e">
        <f>VLOOKUP(BA48,Results!$C$5:$H$104,5,FALSE)</f>
        <v>#N/A</v>
      </c>
      <c r="BC48">
        <f t="shared" si="0"/>
        <v>54</v>
      </c>
    </row>
    <row r="49" spans="2:55" x14ac:dyDescent="0.2">
      <c r="B49" s="17">
        <v>0</v>
      </c>
      <c r="C49" s="17"/>
      <c r="D49" s="17"/>
      <c r="E49" s="17"/>
      <c r="F49" s="17">
        <v>0</v>
      </c>
      <c r="G49" s="17"/>
      <c r="H49" s="17"/>
      <c r="I49" s="17"/>
      <c r="J49" s="17">
        <v>0</v>
      </c>
      <c r="K49" s="17"/>
      <c r="L49" s="17"/>
      <c r="M49" s="17"/>
      <c r="N49" s="17"/>
      <c r="O49" s="17"/>
      <c r="P49" s="17"/>
      <c r="Q49" s="17"/>
      <c r="R49" s="17"/>
      <c r="S49" s="17"/>
      <c r="BA49">
        <v>53</v>
      </c>
      <c r="BB49" t="e">
        <f>VLOOKUP(BA49,Results!$C$5:$H$104,5,FALSE)</f>
        <v>#N/A</v>
      </c>
      <c r="BC49">
        <f t="shared" si="0"/>
        <v>53</v>
      </c>
    </row>
    <row r="50" spans="2:55" x14ac:dyDescent="0.2">
      <c r="B50" s="17">
        <v>0</v>
      </c>
      <c r="C50" s="17"/>
      <c r="D50" s="17"/>
      <c r="E50" s="17"/>
      <c r="F50" s="17">
        <v>0</v>
      </c>
      <c r="G50" s="17"/>
      <c r="H50" s="17"/>
      <c r="I50" s="17"/>
      <c r="J50" s="17">
        <v>0</v>
      </c>
      <c r="K50" s="17"/>
      <c r="L50" s="17"/>
      <c r="M50" s="17"/>
      <c r="N50" s="17"/>
      <c r="O50" s="17"/>
      <c r="P50" s="17"/>
      <c r="Q50" s="17"/>
      <c r="R50" s="17"/>
      <c r="S50" s="17"/>
      <c r="BA50">
        <v>52</v>
      </c>
      <c r="BB50" t="e">
        <f>VLOOKUP(BA50,Results!$C$5:$H$104,5,FALSE)</f>
        <v>#N/A</v>
      </c>
      <c r="BC50">
        <f t="shared" si="0"/>
        <v>52</v>
      </c>
    </row>
    <row r="51" spans="2:55" x14ac:dyDescent="0.2">
      <c r="B51" s="17">
        <v>0</v>
      </c>
      <c r="C51" s="17"/>
      <c r="D51" s="17"/>
      <c r="E51" s="17"/>
      <c r="F51" s="17">
        <v>0</v>
      </c>
      <c r="G51" s="17"/>
      <c r="H51" s="17"/>
      <c r="I51" s="17"/>
      <c r="J51" s="17">
        <v>0</v>
      </c>
      <c r="K51" s="17"/>
      <c r="L51" s="17"/>
      <c r="M51" s="17"/>
      <c r="N51" s="17"/>
      <c r="O51" s="17"/>
      <c r="P51" s="17"/>
      <c r="Q51" s="17"/>
      <c r="R51" s="17"/>
      <c r="S51" s="17"/>
      <c r="BA51">
        <v>51</v>
      </c>
      <c r="BB51" t="e">
        <f>VLOOKUP(BA51,Results!$C$5:$H$104,5,FALSE)</f>
        <v>#N/A</v>
      </c>
      <c r="BC51">
        <f t="shared" si="0"/>
        <v>51</v>
      </c>
    </row>
    <row r="52" spans="2:55" x14ac:dyDescent="0.2">
      <c r="B52" s="17"/>
      <c r="C52" s="17"/>
      <c r="D52" s="17"/>
      <c r="E52" s="17"/>
      <c r="F52" s="17"/>
      <c r="G52" s="17" t="s">
        <v>559</v>
      </c>
      <c r="H52" s="17"/>
      <c r="I52" s="17"/>
      <c r="J52" s="17"/>
      <c r="K52" s="17"/>
      <c r="L52" s="17"/>
      <c r="M52" s="17"/>
      <c r="N52" s="17"/>
      <c r="O52" s="17"/>
      <c r="P52" s="17"/>
      <c r="Q52" s="17"/>
      <c r="R52" s="17"/>
      <c r="S52" s="17"/>
      <c r="BA52">
        <v>50</v>
      </c>
      <c r="BB52" t="e">
        <f>VLOOKUP(BA52,Results!$C$5:$H$104,5,FALSE)</f>
        <v>#N/A</v>
      </c>
      <c r="BC52">
        <f t="shared" si="0"/>
        <v>50</v>
      </c>
    </row>
    <row r="53" spans="2:55" x14ac:dyDescent="0.2">
      <c r="B53" s="17"/>
      <c r="C53" s="17"/>
      <c r="D53" s="17">
        <v>-4.625</v>
      </c>
      <c r="E53" s="17"/>
      <c r="F53" s="17"/>
      <c r="G53" s="17"/>
      <c r="H53" s="17"/>
      <c r="I53" s="17"/>
      <c r="J53" s="17"/>
      <c r="K53" s="17"/>
      <c r="L53" s="17"/>
      <c r="M53" s="17"/>
      <c r="N53" s="17"/>
      <c r="O53" s="17"/>
      <c r="P53" s="17"/>
      <c r="Q53" s="17"/>
      <c r="R53" s="17"/>
      <c r="S53" s="17"/>
      <c r="BA53">
        <v>49</v>
      </c>
      <c r="BB53" t="e">
        <f>VLOOKUP(BA53,Results!$C$5:$H$104,5,FALSE)</f>
        <v>#N/A</v>
      </c>
      <c r="BC53">
        <f t="shared" si="0"/>
        <v>49</v>
      </c>
    </row>
    <row r="54" spans="2:55" x14ac:dyDescent="0.2">
      <c r="B54" s="17"/>
      <c r="C54" s="17"/>
      <c r="D54" s="17"/>
      <c r="E54" s="17"/>
      <c r="F54" s="17"/>
      <c r="G54" s="17"/>
      <c r="H54" s="17"/>
      <c r="I54" s="17"/>
      <c r="J54" s="17"/>
      <c r="K54" s="17" t="s">
        <v>559</v>
      </c>
      <c r="L54" s="17"/>
      <c r="M54" s="17"/>
      <c r="N54" s="17"/>
      <c r="O54" s="17"/>
      <c r="P54" s="17"/>
      <c r="Q54" s="17"/>
      <c r="R54" s="17"/>
      <c r="S54" s="17"/>
      <c r="BA54">
        <v>48</v>
      </c>
      <c r="BB54" t="e">
        <f>VLOOKUP(BA54,Results!$C$5:$H$104,5,FALSE)</f>
        <v>#N/A</v>
      </c>
      <c r="BC54">
        <f t="shared" si="0"/>
        <v>48</v>
      </c>
    </row>
    <row r="55" spans="2:55" x14ac:dyDescent="0.2">
      <c r="B55" s="17"/>
      <c r="C55" s="17"/>
      <c r="D55" s="17"/>
      <c r="E55" s="17"/>
      <c r="F55" s="17"/>
      <c r="G55" s="17">
        <v>0</v>
      </c>
      <c r="H55" s="17"/>
      <c r="I55" s="17"/>
      <c r="J55" s="17"/>
      <c r="K55" s="17"/>
      <c r="L55" s="17"/>
      <c r="M55" s="17"/>
      <c r="N55" s="17"/>
      <c r="O55" s="17"/>
      <c r="P55" s="17"/>
      <c r="Q55" s="17"/>
      <c r="R55" s="17"/>
      <c r="S55" s="17"/>
      <c r="BA55">
        <v>47</v>
      </c>
      <c r="BB55" t="e">
        <f>VLOOKUP(BA55,Results!$C$5:$H$104,5,FALSE)</f>
        <v>#N/A</v>
      </c>
      <c r="BC55">
        <f t="shared" si="0"/>
        <v>47</v>
      </c>
    </row>
    <row r="56" spans="2:55" x14ac:dyDescent="0.2">
      <c r="B56" s="17"/>
      <c r="C56" s="17"/>
      <c r="D56" s="17"/>
      <c r="E56" s="17"/>
      <c r="F56" s="17"/>
      <c r="G56" s="17"/>
      <c r="H56" s="17">
        <v>0</v>
      </c>
      <c r="I56" s="17"/>
      <c r="J56" s="17"/>
      <c r="K56" s="17"/>
      <c r="L56" s="17"/>
      <c r="M56" s="17"/>
      <c r="N56" s="17"/>
      <c r="O56" s="17"/>
      <c r="P56" s="17"/>
      <c r="Q56" s="17"/>
      <c r="R56" s="17"/>
      <c r="S56" s="17"/>
      <c r="BA56">
        <v>46</v>
      </c>
      <c r="BB56" t="e">
        <f>VLOOKUP(BA56,Results!$C$5:$H$104,5,FALSE)</f>
        <v>#N/A</v>
      </c>
      <c r="BC56">
        <f t="shared" si="0"/>
        <v>46</v>
      </c>
    </row>
    <row r="57" spans="2:55" x14ac:dyDescent="0.2">
      <c r="B57" s="17"/>
      <c r="C57" s="17"/>
      <c r="D57" s="17">
        <v>0</v>
      </c>
      <c r="E57" s="17"/>
      <c r="F57" s="17"/>
      <c r="G57" s="17"/>
      <c r="H57" s="17"/>
      <c r="I57" s="17"/>
      <c r="J57" s="17"/>
      <c r="K57" s="17"/>
      <c r="L57" s="17">
        <v>0</v>
      </c>
      <c r="M57" s="17"/>
      <c r="N57" s="17"/>
      <c r="O57" s="17"/>
      <c r="P57" s="17"/>
      <c r="Q57" s="17"/>
      <c r="R57" s="17"/>
      <c r="S57" s="17"/>
      <c r="BA57">
        <v>45</v>
      </c>
      <c r="BB57" t="e">
        <f>VLOOKUP(BA57,Results!$C$5:$H$104,5,FALSE)</f>
        <v>#N/A</v>
      </c>
      <c r="BC57">
        <f t="shared" si="0"/>
        <v>45</v>
      </c>
    </row>
    <row r="58" spans="2:55" x14ac:dyDescent="0.2">
      <c r="B58" s="17"/>
      <c r="C58" s="17">
        <v>0</v>
      </c>
      <c r="D58" s="17"/>
      <c r="E58" s="17"/>
      <c r="F58" s="17"/>
      <c r="G58" s="17"/>
      <c r="H58" s="17"/>
      <c r="I58" s="17"/>
      <c r="J58" s="17"/>
      <c r="K58" s="17">
        <v>0</v>
      </c>
      <c r="L58" s="17"/>
      <c r="M58" s="17"/>
      <c r="N58" s="17"/>
      <c r="O58" s="17"/>
      <c r="P58" s="17"/>
      <c r="Q58" s="17"/>
      <c r="R58" s="17"/>
      <c r="S58" s="17"/>
      <c r="BA58">
        <v>44</v>
      </c>
      <c r="BB58" t="e">
        <f>VLOOKUP(BA58,Results!$C$5:$H$104,5,FALSE)</f>
        <v>#N/A</v>
      </c>
      <c r="BC58">
        <f t="shared" si="0"/>
        <v>44</v>
      </c>
    </row>
    <row r="59" spans="2:55" x14ac:dyDescent="0.2">
      <c r="B59" s="17"/>
      <c r="C59" s="17"/>
      <c r="D59" s="17"/>
      <c r="E59" s="17"/>
      <c r="F59" s="17"/>
      <c r="G59" s="17">
        <v>0</v>
      </c>
      <c r="H59" s="17"/>
      <c r="I59" s="17"/>
      <c r="J59" s="17"/>
      <c r="K59" s="17"/>
      <c r="L59" s="17"/>
      <c r="M59" s="17"/>
      <c r="N59" s="17"/>
      <c r="O59" s="17"/>
      <c r="P59" s="17"/>
      <c r="Q59" s="17"/>
      <c r="R59" s="17"/>
      <c r="S59" s="17"/>
      <c r="BA59">
        <v>43</v>
      </c>
      <c r="BB59" t="e">
        <f>VLOOKUP(BA59,Results!$C$5:$H$104,5,FALSE)</f>
        <v>#N/A</v>
      </c>
      <c r="BC59">
        <f t="shared" si="0"/>
        <v>43</v>
      </c>
    </row>
    <row r="60" spans="2:55" x14ac:dyDescent="0.2">
      <c r="B60" s="17"/>
      <c r="C60" s="17"/>
      <c r="D60" s="17">
        <v>0</v>
      </c>
      <c r="E60" s="17"/>
      <c r="F60" s="17"/>
      <c r="G60" s="17"/>
      <c r="H60" s="17">
        <v>0</v>
      </c>
      <c r="I60" s="17"/>
      <c r="J60" s="17"/>
      <c r="K60" s="17"/>
      <c r="L60" s="17">
        <v>0</v>
      </c>
      <c r="M60" s="17"/>
      <c r="N60" s="17"/>
      <c r="O60" s="17"/>
      <c r="P60" s="17"/>
      <c r="Q60" s="17"/>
      <c r="R60" s="17"/>
      <c r="S60" s="17"/>
      <c r="BA60">
        <v>42</v>
      </c>
      <c r="BB60" t="e">
        <f>VLOOKUP(BA60,Results!$C$5:$H$104,5,FALSE)</f>
        <v>#N/A</v>
      </c>
      <c r="BC60">
        <f t="shared" si="0"/>
        <v>42</v>
      </c>
    </row>
    <row r="61" spans="2:55" x14ac:dyDescent="0.2">
      <c r="B61" s="17"/>
      <c r="C61" s="17">
        <v>0</v>
      </c>
      <c r="D61" s="17"/>
      <c r="E61" s="17"/>
      <c r="F61" s="17"/>
      <c r="G61" s="17">
        <v>0</v>
      </c>
      <c r="H61" s="17"/>
      <c r="I61" s="17"/>
      <c r="J61" s="17"/>
      <c r="K61" s="17">
        <v>0</v>
      </c>
      <c r="L61" s="17"/>
      <c r="M61" s="17"/>
      <c r="N61" s="17"/>
      <c r="O61" s="17"/>
      <c r="P61" s="17"/>
      <c r="Q61" s="17"/>
      <c r="R61" s="17"/>
      <c r="S61" s="17"/>
      <c r="BA61">
        <v>41</v>
      </c>
      <c r="BB61" t="e">
        <f>VLOOKUP(BA61,Results!$C$5:$H$104,5,FALSE)</f>
        <v>#N/A</v>
      </c>
      <c r="BC61">
        <f t="shared" si="0"/>
        <v>41</v>
      </c>
    </row>
    <row r="62" spans="2:55" x14ac:dyDescent="0.2">
      <c r="B62" s="17"/>
      <c r="C62" s="17" t="s">
        <v>559</v>
      </c>
      <c r="D62" s="17"/>
      <c r="E62" s="17"/>
      <c r="F62" s="17"/>
      <c r="G62" s="17"/>
      <c r="H62" s="17" t="s">
        <v>559</v>
      </c>
      <c r="I62" s="17"/>
      <c r="J62" s="17"/>
      <c r="K62" s="17"/>
      <c r="L62" s="17"/>
      <c r="M62" s="17">
        <v>5.875</v>
      </c>
      <c r="N62" s="17"/>
      <c r="O62" s="17"/>
      <c r="P62" s="17"/>
      <c r="Q62" s="17"/>
      <c r="R62" s="17"/>
      <c r="S62" s="17"/>
      <c r="BA62">
        <v>40</v>
      </c>
      <c r="BB62" t="e">
        <f>VLOOKUP(BA62,Results!$C$5:$H$104,5,FALSE)</f>
        <v>#N/A</v>
      </c>
      <c r="BC62">
        <f t="shared" si="0"/>
        <v>40</v>
      </c>
    </row>
    <row r="63" spans="2:55" x14ac:dyDescent="0.2">
      <c r="B63" s="17"/>
      <c r="C63" s="17"/>
      <c r="D63" s="17"/>
      <c r="E63" s="17"/>
      <c r="F63" s="17"/>
      <c r="G63" s="17"/>
      <c r="H63" s="17"/>
      <c r="I63" s="17"/>
      <c r="J63" s="17"/>
      <c r="K63" s="17"/>
      <c r="L63" s="17"/>
      <c r="M63" s="17"/>
      <c r="N63" s="17"/>
      <c r="O63" s="17"/>
      <c r="P63" s="17"/>
      <c r="Q63" s="17"/>
      <c r="R63" s="17"/>
      <c r="S63" s="17"/>
      <c r="BA63">
        <v>39</v>
      </c>
      <c r="BB63" t="e">
        <f>VLOOKUP(BA63,Results!$C$5:$H$104,5,FALSE)</f>
        <v>#N/A</v>
      </c>
      <c r="BC63">
        <f t="shared" si="0"/>
        <v>39</v>
      </c>
    </row>
    <row r="64" spans="2:55" x14ac:dyDescent="0.2">
      <c r="B64" s="17"/>
      <c r="C64" s="17"/>
      <c r="D64" s="17"/>
      <c r="E64" s="17"/>
      <c r="F64" s="17"/>
      <c r="G64" s="17"/>
      <c r="H64" s="17"/>
      <c r="I64" s="17"/>
      <c r="J64" s="17"/>
      <c r="K64" s="17"/>
      <c r="L64" s="17"/>
      <c r="M64" s="17"/>
      <c r="N64" s="17"/>
      <c r="O64" s="17"/>
      <c r="P64" s="17"/>
      <c r="Q64" s="17"/>
      <c r="R64" s="17"/>
      <c r="S64" s="17"/>
      <c r="BA64">
        <v>38</v>
      </c>
      <c r="BB64" t="e">
        <f>VLOOKUP(BA64,Results!$C$5:$H$104,5,FALSE)</f>
        <v>#N/A</v>
      </c>
      <c r="BC64">
        <f t="shared" si="0"/>
        <v>38</v>
      </c>
    </row>
    <row r="65" spans="1:55" x14ac:dyDescent="0.2">
      <c r="B65" s="17"/>
      <c r="C65" s="17"/>
      <c r="D65" s="17"/>
      <c r="E65" s="17"/>
      <c r="F65" s="17"/>
      <c r="G65" s="17"/>
      <c r="H65" s="17"/>
      <c r="I65" s="17"/>
      <c r="J65" s="17"/>
      <c r="K65" s="17"/>
      <c r="L65" s="17"/>
      <c r="M65" s="17"/>
      <c r="N65" s="17"/>
      <c r="O65" s="17"/>
      <c r="P65" s="17"/>
      <c r="Q65" s="17"/>
      <c r="R65" s="17"/>
      <c r="S65" s="17"/>
      <c r="BA65">
        <v>37</v>
      </c>
      <c r="BB65" t="e">
        <f>VLOOKUP(BA65,Results!$C$5:$H$104,5,FALSE)</f>
        <v>#N/A</v>
      </c>
      <c r="BC65">
        <f t="shared" si="0"/>
        <v>37</v>
      </c>
    </row>
    <row r="66" spans="1:55" x14ac:dyDescent="0.2">
      <c r="B66" s="17"/>
      <c r="C66" s="17"/>
      <c r="D66" s="17"/>
      <c r="E66" s="17"/>
      <c r="F66" s="17"/>
      <c r="G66" s="17"/>
      <c r="H66" s="17"/>
      <c r="I66" s="17"/>
      <c r="J66" s="17"/>
      <c r="K66" s="17"/>
      <c r="L66" s="17"/>
      <c r="M66" s="17"/>
      <c r="N66" s="17"/>
      <c r="O66" s="17"/>
      <c r="P66" s="17"/>
      <c r="Q66" s="17"/>
      <c r="R66" s="17"/>
      <c r="S66" s="17"/>
      <c r="BA66">
        <v>36</v>
      </c>
      <c r="BB66" t="e">
        <f>VLOOKUP(BA66,Results!$C$5:$H$104,5,FALSE)</f>
        <v>#N/A</v>
      </c>
      <c r="BC66">
        <f t="shared" ref="BC66:BC100" si="3">BA66</f>
        <v>36</v>
      </c>
    </row>
    <row r="67" spans="1:55" x14ac:dyDescent="0.2">
      <c r="B67" s="17"/>
      <c r="C67" s="17"/>
      <c r="D67" s="17"/>
      <c r="E67" s="17"/>
      <c r="F67" s="17"/>
      <c r="G67" s="17"/>
      <c r="H67" s="17"/>
      <c r="I67" s="17"/>
      <c r="J67" s="17"/>
      <c r="K67" s="17"/>
      <c r="L67" s="17"/>
      <c r="M67" s="17"/>
      <c r="N67" s="17"/>
      <c r="O67" s="17"/>
      <c r="P67" s="17"/>
      <c r="Q67" s="17"/>
      <c r="R67" s="17"/>
      <c r="S67" s="17"/>
      <c r="BA67">
        <v>35</v>
      </c>
      <c r="BB67" t="e">
        <f>VLOOKUP(BA67,Results!$C$5:$H$104,5,FALSE)</f>
        <v>#N/A</v>
      </c>
      <c r="BC67">
        <f t="shared" si="3"/>
        <v>35</v>
      </c>
    </row>
    <row r="68" spans="1:55" x14ac:dyDescent="0.2">
      <c r="B68" s="17"/>
      <c r="C68" s="17"/>
      <c r="D68" s="17"/>
      <c r="E68" s="17"/>
      <c r="F68" s="17"/>
      <c r="G68" s="17"/>
      <c r="H68" s="17"/>
      <c r="I68" s="17"/>
      <c r="J68" s="17"/>
      <c r="K68" s="17"/>
      <c r="L68" s="17"/>
      <c r="M68" s="17"/>
      <c r="N68" s="17"/>
      <c r="O68" s="17"/>
      <c r="P68" s="17"/>
      <c r="Q68" s="17"/>
      <c r="R68" s="17"/>
      <c r="S68" s="17"/>
      <c r="BA68">
        <v>34</v>
      </c>
      <c r="BB68" t="e">
        <f>VLOOKUP(BA68,Results!$C$5:$H$104,5,FALSE)</f>
        <v>#N/A</v>
      </c>
      <c r="BC68">
        <f t="shared" si="3"/>
        <v>34</v>
      </c>
    </row>
    <row r="69" spans="1:55" x14ac:dyDescent="0.2">
      <c r="B69" s="17"/>
      <c r="C69" s="17"/>
      <c r="D69" s="17"/>
      <c r="E69" s="17"/>
      <c r="F69" s="17"/>
      <c r="G69" s="17"/>
      <c r="H69" s="17"/>
      <c r="I69" s="17"/>
      <c r="J69" s="17"/>
      <c r="K69" s="17"/>
      <c r="L69" s="17"/>
      <c r="M69" s="17"/>
      <c r="N69" s="17"/>
      <c r="O69" s="17"/>
      <c r="P69" s="17"/>
      <c r="Q69" s="17"/>
      <c r="R69" s="17"/>
      <c r="S69" s="17"/>
      <c r="BA69">
        <v>33</v>
      </c>
      <c r="BB69" t="e">
        <f>VLOOKUP(BA69,Results!$C$5:$H$104,5,FALSE)</f>
        <v>#N/A</v>
      </c>
      <c r="BC69">
        <f t="shared" si="3"/>
        <v>33</v>
      </c>
    </row>
    <row r="70" spans="1:55" x14ac:dyDescent="0.2">
      <c r="B70" s="17"/>
      <c r="C70" s="17"/>
      <c r="D70" s="17"/>
      <c r="E70" s="17"/>
      <c r="F70" s="17"/>
      <c r="G70" s="17"/>
      <c r="H70" s="17"/>
      <c r="I70" s="17"/>
      <c r="J70" s="17"/>
      <c r="K70" s="17"/>
      <c r="L70" s="17"/>
      <c r="M70" s="17"/>
      <c r="N70" s="17"/>
      <c r="O70" s="17"/>
      <c r="P70" s="17"/>
      <c r="Q70" s="17"/>
      <c r="R70" s="17"/>
      <c r="S70" s="17"/>
      <c r="BA70">
        <v>32</v>
      </c>
      <c r="BB70" t="e">
        <f>VLOOKUP(BA70,Results!$C$5:$H$104,5,FALSE)</f>
        <v>#N/A</v>
      </c>
      <c r="BC70">
        <f t="shared" si="3"/>
        <v>32</v>
      </c>
    </row>
    <row r="71" spans="1:55" x14ac:dyDescent="0.2">
      <c r="B71" s="17"/>
      <c r="C71" s="17"/>
      <c r="D71" s="17"/>
      <c r="E71" s="17"/>
      <c r="F71" s="17"/>
      <c r="G71" s="17"/>
      <c r="H71" s="17"/>
      <c r="I71" s="17"/>
      <c r="J71" s="17"/>
      <c r="K71" s="17"/>
      <c r="L71" s="17"/>
      <c r="M71" s="17"/>
      <c r="N71" s="17"/>
      <c r="O71" s="17"/>
      <c r="P71" s="17"/>
      <c r="Q71" s="17"/>
      <c r="R71" s="17"/>
      <c r="S71" s="17"/>
      <c r="BA71">
        <v>31</v>
      </c>
      <c r="BB71" t="e">
        <f>VLOOKUP(BA71,Results!$C$5:$H$104,5,FALSE)</f>
        <v>#N/A</v>
      </c>
      <c r="BC71">
        <f t="shared" si="3"/>
        <v>31</v>
      </c>
    </row>
    <row r="72" spans="1:55" x14ac:dyDescent="0.2">
      <c r="BA72">
        <v>30</v>
      </c>
      <c r="BB72" t="e">
        <f>VLOOKUP(BA72,Results!$C$5:$H$104,5,FALSE)</f>
        <v>#N/A</v>
      </c>
      <c r="BC72">
        <f t="shared" si="3"/>
        <v>30</v>
      </c>
    </row>
    <row r="73" spans="1:55" ht="15" x14ac:dyDescent="0.25">
      <c r="B73" s="5" t="s">
        <v>759</v>
      </c>
      <c r="C73" s="5" t="s">
        <v>760</v>
      </c>
      <c r="D73" s="5" t="s">
        <v>122</v>
      </c>
      <c r="H73" s="112" t="s">
        <v>761</v>
      </c>
      <c r="I73" s="5" t="s">
        <v>759</v>
      </c>
      <c r="J73" s="5" t="s">
        <v>123</v>
      </c>
      <c r="BA73">
        <v>29</v>
      </c>
      <c r="BB73" t="e">
        <f>VLOOKUP(BA73,Results!$C$5:$H$104,5,FALSE)</f>
        <v>#N/A</v>
      </c>
      <c r="BC73">
        <f t="shared" si="3"/>
        <v>29</v>
      </c>
    </row>
    <row r="74" spans="1:55" x14ac:dyDescent="0.2">
      <c r="A74">
        <v>1</v>
      </c>
      <c r="B74" s="17" t="str">
        <f>Input!C8</f>
        <v/>
      </c>
      <c r="C74" s="17"/>
      <c r="D74" s="17"/>
      <c r="G74" t="b">
        <v>1</v>
      </c>
      <c r="H74">
        <v>1</v>
      </c>
      <c r="I74" s="17"/>
      <c r="J74" s="17"/>
      <c r="BA74">
        <v>28</v>
      </c>
      <c r="BB74" t="e">
        <f>VLOOKUP(BA74,Results!$C$5:$H$104,5,FALSE)</f>
        <v>#N/A</v>
      </c>
      <c r="BC74">
        <f t="shared" si="3"/>
        <v>28</v>
      </c>
    </row>
    <row r="75" spans="1:55" x14ac:dyDescent="0.2">
      <c r="A75">
        <v>2</v>
      </c>
      <c r="B75" s="17" t="str">
        <f>Input!C9</f>
        <v/>
      </c>
      <c r="C75" s="17"/>
      <c r="D75" s="17"/>
      <c r="H75">
        <v>2</v>
      </c>
      <c r="I75" s="17"/>
      <c r="J75" s="17"/>
      <c r="BA75">
        <v>27</v>
      </c>
      <c r="BB75" t="e">
        <f>VLOOKUP(BA75,Results!$C$5:$H$104,5,FALSE)</f>
        <v>#N/A</v>
      </c>
      <c r="BC75">
        <f t="shared" si="3"/>
        <v>27</v>
      </c>
    </row>
    <row r="76" spans="1:55" x14ac:dyDescent="0.2">
      <c r="A76">
        <v>3</v>
      </c>
      <c r="B76" s="17" t="str">
        <f>Input!C10</f>
        <v/>
      </c>
      <c r="C76" s="17"/>
      <c r="D76" s="17"/>
      <c r="H76">
        <v>3</v>
      </c>
      <c r="I76" s="17"/>
      <c r="J76" s="17"/>
      <c r="BA76">
        <v>26</v>
      </c>
      <c r="BB76" t="e">
        <f>VLOOKUP(BA76,Results!$C$5:$H$104,5,FALSE)</f>
        <v>#N/A</v>
      </c>
      <c r="BC76">
        <f t="shared" si="3"/>
        <v>26</v>
      </c>
    </row>
    <row r="77" spans="1:55" x14ac:dyDescent="0.2">
      <c r="A77">
        <v>4</v>
      </c>
      <c r="B77" s="17" t="str">
        <f>Input!C11</f>
        <v/>
      </c>
      <c r="C77" s="17"/>
      <c r="D77" s="17"/>
      <c r="H77">
        <v>4</v>
      </c>
      <c r="I77" s="17"/>
      <c r="J77" s="17"/>
      <c r="BA77">
        <v>25</v>
      </c>
      <c r="BB77" t="e">
        <f>VLOOKUP(BA77,Results!$C$5:$H$104,5,FALSE)</f>
        <v>#N/A</v>
      </c>
      <c r="BC77">
        <f t="shared" si="3"/>
        <v>25</v>
      </c>
    </row>
    <row r="78" spans="1:55" x14ac:dyDescent="0.2">
      <c r="A78">
        <v>5</v>
      </c>
      <c r="B78" s="17" t="str">
        <f>Input!C12</f>
        <v/>
      </c>
      <c r="C78" s="17"/>
      <c r="D78" s="17"/>
      <c r="H78">
        <v>5</v>
      </c>
      <c r="I78" s="17"/>
      <c r="J78" s="17"/>
      <c r="BA78">
        <v>24</v>
      </c>
      <c r="BB78" t="e">
        <f>VLOOKUP(BA78,Results!$C$5:$H$104,5,FALSE)</f>
        <v>#N/A</v>
      </c>
      <c r="BC78">
        <f t="shared" si="3"/>
        <v>24</v>
      </c>
    </row>
    <row r="79" spans="1:55" ht="15" x14ac:dyDescent="0.25">
      <c r="A79">
        <v>6</v>
      </c>
      <c r="B79" s="17" t="str">
        <f>Input!C13</f>
        <v/>
      </c>
      <c r="C79" s="17"/>
      <c r="D79" s="17"/>
      <c r="G79" s="395"/>
      <c r="H79">
        <v>6</v>
      </c>
      <c r="I79" s="17"/>
      <c r="J79" s="17"/>
      <c r="BA79">
        <v>23</v>
      </c>
      <c r="BB79" t="e">
        <f>VLOOKUP(BA79,Results!$C$5:$H$104,5,FALSE)</f>
        <v>#N/A</v>
      </c>
      <c r="BC79">
        <f t="shared" si="3"/>
        <v>23</v>
      </c>
    </row>
    <row r="80" spans="1:55" x14ac:dyDescent="0.2">
      <c r="A80">
        <v>7</v>
      </c>
      <c r="B80" s="17" t="str">
        <f>Input!C14</f>
        <v/>
      </c>
      <c r="C80" s="17"/>
      <c r="D80" s="17"/>
      <c r="H80">
        <v>7</v>
      </c>
      <c r="I80" s="17"/>
      <c r="J80" s="17"/>
      <c r="BA80">
        <v>22</v>
      </c>
      <c r="BB80" t="e">
        <f>VLOOKUP(BA80,Results!$C$5:$H$104,5,FALSE)</f>
        <v>#N/A</v>
      </c>
      <c r="BC80">
        <f t="shared" si="3"/>
        <v>22</v>
      </c>
    </row>
    <row r="81" spans="1:55" x14ac:dyDescent="0.2">
      <c r="A81">
        <v>8</v>
      </c>
      <c r="B81" s="17" t="str">
        <f>Input!C15</f>
        <v/>
      </c>
      <c r="C81" s="17"/>
      <c r="D81" s="17"/>
      <c r="H81">
        <v>8</v>
      </c>
      <c r="I81" s="17"/>
      <c r="J81" s="17"/>
      <c r="BA81">
        <v>21</v>
      </c>
      <c r="BB81" t="e">
        <f>VLOOKUP(BA81,Results!$C$5:$H$104,5,FALSE)</f>
        <v>#N/A</v>
      </c>
      <c r="BC81">
        <f t="shared" si="3"/>
        <v>21</v>
      </c>
    </row>
    <row r="82" spans="1:55" x14ac:dyDescent="0.2">
      <c r="A82">
        <v>9</v>
      </c>
      <c r="B82" s="17" t="str">
        <f>Input!C16</f>
        <v/>
      </c>
      <c r="C82" s="17"/>
      <c r="D82" s="17"/>
      <c r="H82">
        <v>9</v>
      </c>
      <c r="I82" s="17"/>
      <c r="J82" s="17"/>
      <c r="BA82">
        <v>20</v>
      </c>
      <c r="BB82" t="e">
        <f>VLOOKUP(BA82,Results!$C$5:$H$104,5,FALSE)</f>
        <v>#N/A</v>
      </c>
      <c r="BC82">
        <f t="shared" si="3"/>
        <v>20</v>
      </c>
    </row>
    <row r="83" spans="1:55" x14ac:dyDescent="0.2">
      <c r="A83">
        <v>10</v>
      </c>
      <c r="B83" s="17" t="str">
        <f>Input!C17</f>
        <v/>
      </c>
      <c r="C83" s="17"/>
      <c r="D83" s="17"/>
      <c r="H83">
        <v>10</v>
      </c>
      <c r="I83" s="17"/>
      <c r="J83" s="17"/>
      <c r="BA83">
        <v>19</v>
      </c>
      <c r="BB83" t="e">
        <f>VLOOKUP(BA83,Results!$C$5:$H$104,5,FALSE)</f>
        <v>#N/A</v>
      </c>
      <c r="BC83">
        <f t="shared" si="3"/>
        <v>19</v>
      </c>
    </row>
    <row r="84" spans="1:55" x14ac:dyDescent="0.2">
      <c r="BA84">
        <v>18</v>
      </c>
      <c r="BB84" t="e">
        <f>VLOOKUP(BA84,Results!$C$5:$H$104,5,FALSE)</f>
        <v>#N/A</v>
      </c>
      <c r="BC84">
        <f t="shared" si="3"/>
        <v>18</v>
      </c>
    </row>
    <row r="85" spans="1:55" ht="15" x14ac:dyDescent="0.25">
      <c r="B85" s="395" t="s">
        <v>762</v>
      </c>
      <c r="BA85">
        <v>17</v>
      </c>
      <c r="BB85" t="e">
        <f>VLOOKUP(BA85,Results!$C$5:$H$104,5,FALSE)</f>
        <v>#N/A</v>
      </c>
      <c r="BC85">
        <f t="shared" si="3"/>
        <v>17</v>
      </c>
    </row>
    <row r="86" spans="1:55" x14ac:dyDescent="0.2">
      <c r="B86">
        <v>1</v>
      </c>
      <c r="C86">
        <v>2</v>
      </c>
      <c r="D86">
        <v>3</v>
      </c>
      <c r="E86">
        <v>4</v>
      </c>
      <c r="F86">
        <v>5</v>
      </c>
      <c r="G86">
        <v>6</v>
      </c>
      <c r="H86">
        <v>7</v>
      </c>
      <c r="I86">
        <v>8</v>
      </c>
      <c r="J86">
        <v>9</v>
      </c>
      <c r="K86">
        <v>10</v>
      </c>
      <c r="L86">
        <v>11</v>
      </c>
      <c r="M86">
        <v>12</v>
      </c>
      <c r="N86">
        <v>13</v>
      </c>
      <c r="O86">
        <v>14</v>
      </c>
      <c r="P86">
        <v>15</v>
      </c>
      <c r="Q86">
        <v>16</v>
      </c>
      <c r="R86">
        <v>17</v>
      </c>
      <c r="S86">
        <v>18</v>
      </c>
      <c r="T86">
        <v>19</v>
      </c>
      <c r="U86">
        <v>20</v>
      </c>
      <c r="V86">
        <v>21</v>
      </c>
      <c r="W86">
        <v>22</v>
      </c>
      <c r="X86">
        <v>23</v>
      </c>
      <c r="Y86">
        <v>24</v>
      </c>
      <c r="Z86">
        <v>25</v>
      </c>
      <c r="AA86">
        <v>26</v>
      </c>
      <c r="AB86">
        <v>27</v>
      </c>
      <c r="AC86">
        <v>28</v>
      </c>
      <c r="AD86">
        <v>29</v>
      </c>
      <c r="AE86">
        <v>30</v>
      </c>
      <c r="BA86">
        <v>16</v>
      </c>
      <c r="BB86" t="e">
        <f>VLOOKUP(BA86,Results!$C$5:$H$104,5,FALSE)</f>
        <v>#N/A</v>
      </c>
      <c r="BC86">
        <f t="shared" si="3"/>
        <v>16</v>
      </c>
    </row>
    <row r="87" spans="1:55" x14ac:dyDescent="0.2">
      <c r="A87">
        <v>1</v>
      </c>
      <c r="B87" s="17" t="str">
        <f>IF(Calculations!$BQ60='Macro References'!B$86,Calculations!$AT60,"")</f>
        <v/>
      </c>
      <c r="C87" s="17" t="str">
        <f>IF(Calculations!$BQ60='Macro References'!C$86,Calculations!$AT60,"")</f>
        <v/>
      </c>
      <c r="D87" s="17" t="str">
        <f>IF(Calculations!$BQ60='Macro References'!D$86,Calculations!$AT60,"")</f>
        <v/>
      </c>
      <c r="E87" s="17" t="str">
        <f>IF(Calculations!$BQ60='Macro References'!E$86,Calculations!$AT60,"")</f>
        <v/>
      </c>
      <c r="F87" s="17" t="str">
        <f>IF(Calculations!$BQ60='Macro References'!F$86,Calculations!$AT60,"")</f>
        <v/>
      </c>
      <c r="G87" s="17" t="str">
        <f>IF(Calculations!$BQ60='Macro References'!G$86,Calculations!$AT60,"")</f>
        <v/>
      </c>
      <c r="H87" s="17" t="str">
        <f>IF(Calculations!$BQ60='Macro References'!H$86,Calculations!$AT60,"")</f>
        <v/>
      </c>
      <c r="I87" s="17" t="str">
        <f>IF(Calculations!$BQ60='Macro References'!I$86,Calculations!$AT60,"")</f>
        <v/>
      </c>
      <c r="J87" s="17" t="str">
        <f>IF(Calculations!$BQ60='Macro References'!J$86,Calculations!$AT60,"")</f>
        <v/>
      </c>
      <c r="K87" s="17" t="str">
        <f>IF(Calculations!$BQ60='Macro References'!K$86,Calculations!$AT60,"")</f>
        <v/>
      </c>
      <c r="L87" s="17" t="str">
        <f>IF(Calculations!$BQ60='Macro References'!L$86,Calculations!$AT60,"")</f>
        <v/>
      </c>
      <c r="M87" s="17" t="str">
        <f>IF(Calculations!$BQ60='Macro References'!M$86,Calculations!$AT60,"")</f>
        <v/>
      </c>
      <c r="N87" s="17" t="str">
        <f>IF(Calculations!$BQ60='Macro References'!N$86,Calculations!$AT60,"")</f>
        <v/>
      </c>
      <c r="O87" s="17" t="str">
        <f>IF(Calculations!$BQ60='Macro References'!O$86,Calculations!$AT60,"")</f>
        <v/>
      </c>
      <c r="P87" s="17" t="str">
        <f>IF(Calculations!$BQ60='Macro References'!P$86,Calculations!$AT60,"")</f>
        <v/>
      </c>
      <c r="Q87" s="17" t="str">
        <f>IF(Calculations!$BQ60='Macro References'!Q$86,Calculations!$AT60,"")</f>
        <v/>
      </c>
      <c r="R87" s="17" t="str">
        <f>IF(Calculations!$BQ60='Macro References'!R$86,Calculations!$AT60,"")</f>
        <v/>
      </c>
      <c r="S87" s="17" t="str">
        <f>IF(Calculations!$BQ60='Macro References'!S$86,Calculations!$AT60,"")</f>
        <v/>
      </c>
      <c r="T87" s="17" t="str">
        <f>IF(Calculations!$BQ60='Macro References'!T$86,Calculations!$AT60,"")</f>
        <v/>
      </c>
      <c r="U87" s="17" t="str">
        <f>IF(Calculations!$BQ60='Macro References'!U$86,Calculations!$AT60,"")</f>
        <v/>
      </c>
      <c r="V87" s="17" t="str">
        <f>IF(Calculations!$BQ60='Macro References'!V$86,Calculations!$AT60,"")</f>
        <v/>
      </c>
      <c r="W87" s="17" t="str">
        <f>IF(Calculations!$BQ60='Macro References'!W$86,Calculations!$AT60,"")</f>
        <v/>
      </c>
      <c r="X87" s="17" t="str">
        <f>IF(Calculations!$BQ60='Macro References'!X$86,Calculations!$AT60,"")</f>
        <v/>
      </c>
      <c r="Y87" s="17" t="str">
        <f>IF(Calculations!$BQ60='Macro References'!Y$86,Calculations!$AT60,"")</f>
        <v/>
      </c>
      <c r="Z87" s="17" t="str">
        <f>IF(Calculations!$BQ60='Macro References'!Z$86,Calculations!$AT60,"")</f>
        <v/>
      </c>
      <c r="AA87" s="17" t="str">
        <f>IF(Calculations!$BQ60='Macro References'!AA$86,Calculations!$AT60,"")</f>
        <v/>
      </c>
      <c r="AB87" s="17" t="str">
        <f>IF(Calculations!$BQ60='Macro References'!AB$86,Calculations!$AT60,"")</f>
        <v/>
      </c>
      <c r="AC87" s="17" t="str">
        <f>IF(Calculations!$BQ60='Macro References'!AC$86,Calculations!$AT60,"")</f>
        <v/>
      </c>
      <c r="AD87" s="17" t="str">
        <f>IF(Calculations!$BQ60='Macro References'!AD$86,Calculations!$AT60,"")</f>
        <v/>
      </c>
      <c r="AE87" s="17" t="str">
        <f>IF(Calculations!$BQ60='Macro References'!AE$86,Calculations!$AT60,"")</f>
        <v/>
      </c>
      <c r="BA87">
        <v>15</v>
      </c>
      <c r="BB87" t="e">
        <f>VLOOKUP(BA87,Results!$C$5:$H$104,5,FALSE)</f>
        <v>#N/A</v>
      </c>
      <c r="BC87">
        <f t="shared" si="3"/>
        <v>15</v>
      </c>
    </row>
    <row r="88" spans="1:55" x14ac:dyDescent="0.2">
      <c r="A88">
        <v>2</v>
      </c>
      <c r="B88" s="17" t="str">
        <f>IF(Calculations!$BQ61='Macro References'!B$86,Calculations!$AT61,"")</f>
        <v/>
      </c>
      <c r="C88" s="17" t="str">
        <f>IF(Calculations!$BQ61='Macro References'!C$86,Calculations!$AT61,"")</f>
        <v/>
      </c>
      <c r="D88" s="17" t="str">
        <f>IF(Calculations!$BQ61='Macro References'!D$86,Calculations!$AT61,"")</f>
        <v/>
      </c>
      <c r="E88" s="17" t="str">
        <f>IF(Calculations!$BQ61='Macro References'!E$86,Calculations!$AT61,"")</f>
        <v/>
      </c>
      <c r="F88" s="17" t="str">
        <f>IF(Calculations!$BQ61='Macro References'!F$86,Calculations!$AT61,"")</f>
        <v/>
      </c>
      <c r="G88" s="17" t="str">
        <f>IF(Calculations!$BQ61='Macro References'!G$86,Calculations!$AT61,"")</f>
        <v/>
      </c>
      <c r="H88" s="17" t="str">
        <f>IF(Calculations!$BQ61='Macro References'!H$86,Calculations!$AT61,"")</f>
        <v/>
      </c>
      <c r="I88" s="17" t="str">
        <f>IF(Calculations!$BQ61='Macro References'!I$86,Calculations!$AT61,"")</f>
        <v/>
      </c>
      <c r="J88" s="17" t="str">
        <f>IF(Calculations!$BQ61='Macro References'!J$86,Calculations!$AT61,"")</f>
        <v/>
      </c>
      <c r="K88" s="17" t="str">
        <f>IF(Calculations!$BQ61='Macro References'!K$86,Calculations!$AT61,"")</f>
        <v/>
      </c>
      <c r="L88" s="17" t="str">
        <f>IF(Calculations!$BQ61='Macro References'!L$86,Calculations!$AT61,"")</f>
        <v/>
      </c>
      <c r="M88" s="17" t="str">
        <f>IF(Calculations!$BQ61='Macro References'!M$86,Calculations!$AT61,"")</f>
        <v/>
      </c>
      <c r="N88" s="17" t="str">
        <f>IF(Calculations!$BQ61='Macro References'!N$86,Calculations!$AT61,"")</f>
        <v/>
      </c>
      <c r="O88" s="17" t="str">
        <f>IF(Calculations!$BQ61='Macro References'!O$86,Calculations!$AT61,"")</f>
        <v/>
      </c>
      <c r="P88" s="17" t="str">
        <f>IF(Calculations!$BQ61='Macro References'!P$86,Calculations!$AT61,"")</f>
        <v/>
      </c>
      <c r="Q88" s="17" t="str">
        <f>IF(Calculations!$BQ61='Macro References'!Q$86,Calculations!$AT61,"")</f>
        <v/>
      </c>
      <c r="R88" s="17" t="str">
        <f>IF(Calculations!$BQ61='Macro References'!R$86,Calculations!$AT61,"")</f>
        <v/>
      </c>
      <c r="S88" s="17" t="str">
        <f>IF(Calculations!$BQ61='Macro References'!S$86,Calculations!$AT61,"")</f>
        <v/>
      </c>
      <c r="T88" s="17" t="str">
        <f>IF(Calculations!$BQ61='Macro References'!T$86,Calculations!$AT61,"")</f>
        <v/>
      </c>
      <c r="U88" s="17" t="str">
        <f>IF(Calculations!$BQ61='Macro References'!U$86,Calculations!$AT61,"")</f>
        <v/>
      </c>
      <c r="V88" s="17" t="str">
        <f>IF(Calculations!$BQ61='Macro References'!V$86,Calculations!$AT61,"")</f>
        <v/>
      </c>
      <c r="W88" s="17" t="str">
        <f>IF(Calculations!$BQ61='Macro References'!W$86,Calculations!$AT61,"")</f>
        <v/>
      </c>
      <c r="X88" s="17" t="str">
        <f>IF(Calculations!$BQ61='Macro References'!X$86,Calculations!$AT61,"")</f>
        <v/>
      </c>
      <c r="Y88" s="17" t="str">
        <f>IF(Calculations!$BQ61='Macro References'!Y$86,Calculations!$AT61,"")</f>
        <v/>
      </c>
      <c r="Z88" s="17" t="str">
        <f>IF(Calculations!$BQ61='Macro References'!Z$86,Calculations!$AT61,"")</f>
        <v/>
      </c>
      <c r="AA88" s="17" t="str">
        <f>IF(Calculations!$BQ61='Macro References'!AA$86,Calculations!$AT61,"")</f>
        <v/>
      </c>
      <c r="AB88" s="17" t="str">
        <f>IF(Calculations!$BQ61='Macro References'!AB$86,Calculations!$AT61,"")</f>
        <v/>
      </c>
      <c r="AC88" s="17" t="str">
        <f>IF(Calculations!$BQ61='Macro References'!AC$86,Calculations!$AT61,"")</f>
        <v/>
      </c>
      <c r="AD88" s="17" t="str">
        <f>IF(Calculations!$BQ61='Macro References'!AD$86,Calculations!$AT61,"")</f>
        <v/>
      </c>
      <c r="AE88" s="17" t="str">
        <f>IF(Calculations!$BQ61='Macro References'!AE$86,Calculations!$AT61,"")</f>
        <v/>
      </c>
      <c r="BA88">
        <v>14</v>
      </c>
      <c r="BB88" t="e">
        <f>VLOOKUP(BA88,Results!$C$5:$H$104,5,FALSE)</f>
        <v>#N/A</v>
      </c>
      <c r="BC88">
        <f t="shared" si="3"/>
        <v>14</v>
      </c>
    </row>
    <row r="89" spans="1:55" x14ac:dyDescent="0.2">
      <c r="A89">
        <v>3</v>
      </c>
      <c r="B89" s="17" t="str">
        <f>IF(Calculations!$BQ62='Macro References'!B$86,Calculations!$AT62,"")</f>
        <v/>
      </c>
      <c r="C89" s="17" t="str">
        <f>IF(Calculations!$BQ62='Macro References'!C$86,Calculations!$AT62,"")</f>
        <v/>
      </c>
      <c r="D89" s="17" t="str">
        <f>IF(Calculations!$BQ62='Macro References'!D$86,Calculations!$AT62,"")</f>
        <v/>
      </c>
      <c r="E89" s="17" t="str">
        <f>IF(Calculations!$BQ62='Macro References'!E$86,Calculations!$AT62,"")</f>
        <v/>
      </c>
      <c r="F89" s="17" t="str">
        <f>IF(Calculations!$BQ62='Macro References'!F$86,Calculations!$AT62,"")</f>
        <v/>
      </c>
      <c r="G89" s="17" t="str">
        <f>IF(Calculations!$BQ62='Macro References'!G$86,Calculations!$AT62,"")</f>
        <v/>
      </c>
      <c r="H89" s="17" t="str">
        <f>IF(Calculations!$BQ62='Macro References'!H$86,Calculations!$AT62,"")</f>
        <v/>
      </c>
      <c r="I89" s="17" t="str">
        <f>IF(Calculations!$BQ62='Macro References'!I$86,Calculations!$AT62,"")</f>
        <v/>
      </c>
      <c r="J89" s="17" t="str">
        <f>IF(Calculations!$BQ62='Macro References'!J$86,Calculations!$AT62,"")</f>
        <v/>
      </c>
      <c r="K89" s="17" t="str">
        <f>IF(Calculations!$BQ62='Macro References'!K$86,Calculations!$AT62,"")</f>
        <v/>
      </c>
      <c r="L89" s="17" t="str">
        <f>IF(Calculations!$BQ62='Macro References'!L$86,Calculations!$AT62,"")</f>
        <v/>
      </c>
      <c r="M89" s="17" t="str">
        <f>IF(Calculations!$BQ62='Macro References'!M$86,Calculations!$AT62,"")</f>
        <v/>
      </c>
      <c r="N89" s="17" t="str">
        <f>IF(Calculations!$BQ62='Macro References'!N$86,Calculations!$AT62,"")</f>
        <v/>
      </c>
      <c r="O89" s="17" t="str">
        <f>IF(Calculations!$BQ62='Macro References'!O$86,Calculations!$AT62,"")</f>
        <v/>
      </c>
      <c r="P89" s="17" t="str">
        <f>IF(Calculations!$BQ62='Macro References'!P$86,Calculations!$AT62,"")</f>
        <v/>
      </c>
      <c r="Q89" s="17" t="str">
        <f>IF(Calculations!$BQ62='Macro References'!Q$86,Calculations!$AT62,"")</f>
        <v/>
      </c>
      <c r="R89" s="17" t="str">
        <f>IF(Calculations!$BQ62='Macro References'!R$86,Calculations!$AT62,"")</f>
        <v/>
      </c>
      <c r="S89" s="17" t="str">
        <f>IF(Calculations!$BQ62='Macro References'!S$86,Calculations!$AT62,"")</f>
        <v/>
      </c>
      <c r="T89" s="17" t="str">
        <f>IF(Calculations!$BQ62='Macro References'!T$86,Calculations!$AT62,"")</f>
        <v/>
      </c>
      <c r="U89" s="17" t="str">
        <f>IF(Calculations!$BQ62='Macro References'!U$86,Calculations!$AT62,"")</f>
        <v/>
      </c>
      <c r="V89" s="17" t="str">
        <f>IF(Calculations!$BQ62='Macro References'!V$86,Calculations!$AT62,"")</f>
        <v/>
      </c>
      <c r="W89" s="17" t="str">
        <f>IF(Calculations!$BQ62='Macro References'!W$86,Calculations!$AT62,"")</f>
        <v/>
      </c>
      <c r="X89" s="17" t="str">
        <f>IF(Calculations!$BQ62='Macro References'!X$86,Calculations!$AT62,"")</f>
        <v/>
      </c>
      <c r="Y89" s="17" t="str">
        <f>IF(Calculations!$BQ62='Macro References'!Y$86,Calculations!$AT62,"")</f>
        <v/>
      </c>
      <c r="Z89" s="17" t="str">
        <f>IF(Calculations!$BQ62='Macro References'!Z$86,Calculations!$AT62,"")</f>
        <v/>
      </c>
      <c r="AA89" s="17" t="str">
        <f>IF(Calculations!$BQ62='Macro References'!AA$86,Calculations!$AT62,"")</f>
        <v/>
      </c>
      <c r="AB89" s="17" t="str">
        <f>IF(Calculations!$BQ62='Macro References'!AB$86,Calculations!$AT62,"")</f>
        <v/>
      </c>
      <c r="AC89" s="17" t="str">
        <f>IF(Calculations!$BQ62='Macro References'!AC$86,Calculations!$AT62,"")</f>
        <v/>
      </c>
      <c r="AD89" s="17" t="str">
        <f>IF(Calculations!$BQ62='Macro References'!AD$86,Calculations!$AT62,"")</f>
        <v/>
      </c>
      <c r="AE89" s="17" t="str">
        <f>IF(Calculations!$BQ62='Macro References'!AE$86,Calculations!$AT62,"")</f>
        <v/>
      </c>
      <c r="BA89">
        <v>13</v>
      </c>
      <c r="BB89" t="e">
        <f>VLOOKUP(BA89,Results!$C$5:$H$104,5,FALSE)</f>
        <v>#N/A</v>
      </c>
      <c r="BC89">
        <f t="shared" si="3"/>
        <v>13</v>
      </c>
    </row>
    <row r="90" spans="1:55" x14ac:dyDescent="0.2">
      <c r="A90">
        <v>4</v>
      </c>
      <c r="B90" s="17" t="str">
        <f>IF(Calculations!$BQ63='Macro References'!B$86,Calculations!$AT63,"")</f>
        <v/>
      </c>
      <c r="C90" s="17" t="str">
        <f>IF(Calculations!$BQ63='Macro References'!C$86,Calculations!$AT63,"")</f>
        <v/>
      </c>
      <c r="D90" s="17" t="str">
        <f>IF(Calculations!$BQ63='Macro References'!D$86,Calculations!$AT63,"")</f>
        <v/>
      </c>
      <c r="E90" s="17" t="str">
        <f>IF(Calculations!$BQ63='Macro References'!E$86,Calculations!$AT63,"")</f>
        <v/>
      </c>
      <c r="F90" s="17" t="str">
        <f>IF(Calculations!$BQ63='Macro References'!F$86,Calculations!$AT63,"")</f>
        <v/>
      </c>
      <c r="G90" s="17" t="str">
        <f>IF(Calculations!$BQ63='Macro References'!G$86,Calculations!$AT63,"")</f>
        <v/>
      </c>
      <c r="H90" s="17" t="str">
        <f>IF(Calculations!$BQ63='Macro References'!H$86,Calculations!$AT63,"")</f>
        <v/>
      </c>
      <c r="I90" s="17" t="str">
        <f>IF(Calculations!$BQ63='Macro References'!I$86,Calculations!$AT63,"")</f>
        <v/>
      </c>
      <c r="J90" s="17" t="str">
        <f>IF(Calculations!$BQ63='Macro References'!J$86,Calculations!$AT63,"")</f>
        <v/>
      </c>
      <c r="K90" s="17" t="str">
        <f>IF(Calculations!$BQ63='Macro References'!K$86,Calculations!$AT63,"")</f>
        <v/>
      </c>
      <c r="L90" s="17" t="str">
        <f>IF(Calculations!$BQ63='Macro References'!L$86,Calculations!$AT63,"")</f>
        <v/>
      </c>
      <c r="M90" s="17" t="str">
        <f>IF(Calculations!$BQ63='Macro References'!M$86,Calculations!$AT63,"")</f>
        <v/>
      </c>
      <c r="N90" s="17" t="str">
        <f>IF(Calculations!$BQ63='Macro References'!N$86,Calculations!$AT63,"")</f>
        <v/>
      </c>
      <c r="O90" s="17" t="str">
        <f>IF(Calculations!$BQ63='Macro References'!O$86,Calculations!$AT63,"")</f>
        <v/>
      </c>
      <c r="P90" s="17" t="str">
        <f>IF(Calculations!$BQ63='Macro References'!P$86,Calculations!$AT63,"")</f>
        <v/>
      </c>
      <c r="Q90" s="17" t="str">
        <f>IF(Calculations!$BQ63='Macro References'!Q$86,Calculations!$AT63,"")</f>
        <v/>
      </c>
      <c r="R90" s="17" t="str">
        <f>IF(Calculations!$BQ63='Macro References'!R$86,Calculations!$AT63,"")</f>
        <v/>
      </c>
      <c r="S90" s="17" t="str">
        <f>IF(Calculations!$BQ63='Macro References'!S$86,Calculations!$AT63,"")</f>
        <v/>
      </c>
      <c r="T90" s="17" t="str">
        <f>IF(Calculations!$BQ63='Macro References'!T$86,Calculations!$AT63,"")</f>
        <v/>
      </c>
      <c r="U90" s="17" t="str">
        <f>IF(Calculations!$BQ63='Macro References'!U$86,Calculations!$AT63,"")</f>
        <v/>
      </c>
      <c r="V90" s="17" t="str">
        <f>IF(Calculations!$BQ63='Macro References'!V$86,Calculations!$AT63,"")</f>
        <v/>
      </c>
      <c r="W90" s="17" t="str">
        <f>IF(Calculations!$BQ63='Macro References'!W$86,Calculations!$AT63,"")</f>
        <v/>
      </c>
      <c r="X90" s="17" t="str">
        <f>IF(Calculations!$BQ63='Macro References'!X$86,Calculations!$AT63,"")</f>
        <v/>
      </c>
      <c r="Y90" s="17" t="str">
        <f>IF(Calculations!$BQ63='Macro References'!Y$86,Calculations!$AT63,"")</f>
        <v/>
      </c>
      <c r="Z90" s="17" t="str">
        <f>IF(Calculations!$BQ63='Macro References'!Z$86,Calculations!$AT63,"")</f>
        <v/>
      </c>
      <c r="AA90" s="17" t="str">
        <f>IF(Calculations!$BQ63='Macro References'!AA$86,Calculations!$AT63,"")</f>
        <v/>
      </c>
      <c r="AB90" s="17" t="str">
        <f>IF(Calculations!$BQ63='Macro References'!AB$86,Calculations!$AT63,"")</f>
        <v/>
      </c>
      <c r="AC90" s="17" t="str">
        <f>IF(Calculations!$BQ63='Macro References'!AC$86,Calculations!$AT63,"")</f>
        <v/>
      </c>
      <c r="AD90" s="17" t="str">
        <f>IF(Calculations!$BQ63='Macro References'!AD$86,Calculations!$AT63,"")</f>
        <v/>
      </c>
      <c r="AE90" s="17" t="str">
        <f>IF(Calculations!$BQ63='Macro References'!AE$86,Calculations!$AT63,"")</f>
        <v/>
      </c>
      <c r="BA90">
        <v>12</v>
      </c>
      <c r="BB90" t="e">
        <f>VLOOKUP(BA90,Results!$C$5:$H$104,5,FALSE)</f>
        <v>#N/A</v>
      </c>
      <c r="BC90">
        <f t="shared" si="3"/>
        <v>12</v>
      </c>
    </row>
    <row r="91" spans="1:55" x14ac:dyDescent="0.2">
      <c r="A91">
        <v>5</v>
      </c>
      <c r="B91" s="17" t="str">
        <f>IF(Calculations!$BQ64='Macro References'!B$86,Calculations!$AT64,"")</f>
        <v/>
      </c>
      <c r="C91" s="17" t="str">
        <f>IF(Calculations!$BQ64='Macro References'!C$86,Calculations!$AT64,"")</f>
        <v/>
      </c>
      <c r="D91" s="17" t="str">
        <f>IF(Calculations!$BQ64='Macro References'!D$86,Calculations!$AT64,"")</f>
        <v/>
      </c>
      <c r="E91" s="17" t="str">
        <f>IF(Calculations!$BQ64='Macro References'!E$86,Calculations!$AT64,"")</f>
        <v/>
      </c>
      <c r="F91" s="17" t="str">
        <f>IF(Calculations!$BQ64='Macro References'!F$86,Calculations!$AT64,"")</f>
        <v/>
      </c>
      <c r="G91" s="17" t="str">
        <f>IF(Calculations!$BQ64='Macro References'!G$86,Calculations!$AT64,"")</f>
        <v/>
      </c>
      <c r="H91" s="17" t="str">
        <f>IF(Calculations!$BQ64='Macro References'!H$86,Calculations!$AT64,"")</f>
        <v/>
      </c>
      <c r="I91" s="17" t="str">
        <f>IF(Calculations!$BQ64='Macro References'!I$86,Calculations!$AT64,"")</f>
        <v/>
      </c>
      <c r="J91" s="17" t="str">
        <f>IF(Calculations!$BQ64='Macro References'!J$86,Calculations!$AT64,"")</f>
        <v/>
      </c>
      <c r="K91" s="17" t="str">
        <f>IF(Calculations!$BQ64='Macro References'!K$86,Calculations!$AT64,"")</f>
        <v/>
      </c>
      <c r="L91" s="17" t="str">
        <f>IF(Calculations!$BQ64='Macro References'!L$86,Calculations!$AT64,"")</f>
        <v/>
      </c>
      <c r="M91" s="17" t="str">
        <f>IF(Calculations!$BQ64='Macro References'!M$86,Calculations!$AT64,"")</f>
        <v/>
      </c>
      <c r="N91" s="17" t="str">
        <f>IF(Calculations!$BQ64='Macro References'!N$86,Calculations!$AT64,"")</f>
        <v/>
      </c>
      <c r="O91" s="17" t="str">
        <f>IF(Calculations!$BQ64='Macro References'!O$86,Calculations!$AT64,"")</f>
        <v/>
      </c>
      <c r="P91" s="17" t="str">
        <f>IF(Calculations!$BQ64='Macro References'!P$86,Calculations!$AT64,"")</f>
        <v/>
      </c>
      <c r="Q91" s="17" t="str">
        <f>IF(Calculations!$BQ64='Macro References'!Q$86,Calculations!$AT64,"")</f>
        <v/>
      </c>
      <c r="R91" s="17" t="str">
        <f>IF(Calculations!$BQ64='Macro References'!R$86,Calculations!$AT64,"")</f>
        <v/>
      </c>
      <c r="S91" s="17" t="str">
        <f>IF(Calculations!$BQ64='Macro References'!S$86,Calculations!$AT64,"")</f>
        <v/>
      </c>
      <c r="T91" s="17" t="str">
        <f>IF(Calculations!$BQ64='Macro References'!T$86,Calculations!$AT64,"")</f>
        <v/>
      </c>
      <c r="U91" s="17" t="str">
        <f>IF(Calculations!$BQ64='Macro References'!U$86,Calculations!$AT64,"")</f>
        <v/>
      </c>
      <c r="V91" s="17" t="str">
        <f>IF(Calculations!$BQ64='Macro References'!V$86,Calculations!$AT64,"")</f>
        <v/>
      </c>
      <c r="W91" s="17" t="str">
        <f>IF(Calculations!$BQ64='Macro References'!W$86,Calculations!$AT64,"")</f>
        <v/>
      </c>
      <c r="X91" s="17" t="str">
        <f>IF(Calculations!$BQ64='Macro References'!X$86,Calculations!$AT64,"")</f>
        <v/>
      </c>
      <c r="Y91" s="17" t="str">
        <f>IF(Calculations!$BQ64='Macro References'!Y$86,Calculations!$AT64,"")</f>
        <v/>
      </c>
      <c r="Z91" s="17" t="str">
        <f>IF(Calculations!$BQ64='Macro References'!Z$86,Calculations!$AT64,"")</f>
        <v/>
      </c>
      <c r="AA91" s="17" t="str">
        <f>IF(Calculations!$BQ64='Macro References'!AA$86,Calculations!$AT64,"")</f>
        <v/>
      </c>
      <c r="AB91" s="17" t="str">
        <f>IF(Calculations!$BQ64='Macro References'!AB$86,Calculations!$AT64,"")</f>
        <v/>
      </c>
      <c r="AC91" s="17" t="str">
        <f>IF(Calculations!$BQ64='Macro References'!AC$86,Calculations!$AT64,"")</f>
        <v/>
      </c>
      <c r="AD91" s="17" t="str">
        <f>IF(Calculations!$BQ64='Macro References'!AD$86,Calculations!$AT64,"")</f>
        <v/>
      </c>
      <c r="AE91" s="17" t="str">
        <f>IF(Calculations!$BQ64='Macro References'!AE$86,Calculations!$AT64,"")</f>
        <v/>
      </c>
      <c r="BA91">
        <v>11</v>
      </c>
      <c r="BB91" t="e">
        <f>VLOOKUP(BA91,Results!$C$5:$H$104,5,FALSE)</f>
        <v>#N/A</v>
      </c>
      <c r="BC91">
        <f t="shared" si="3"/>
        <v>11</v>
      </c>
    </row>
    <row r="92" spans="1:55" x14ac:dyDescent="0.2">
      <c r="A92">
        <v>6</v>
      </c>
      <c r="B92" s="17" t="str">
        <f>IF(Calculations!$BQ65='Macro References'!B$86,Calculations!$AT65,"")</f>
        <v/>
      </c>
      <c r="C92" s="17" t="str">
        <f>IF(Calculations!$BQ65='Macro References'!C$86,Calculations!$AT65,"")</f>
        <v/>
      </c>
      <c r="D92" s="17" t="str">
        <f>IF(Calculations!$BQ65='Macro References'!D$86,Calculations!$AT65,"")</f>
        <v/>
      </c>
      <c r="E92" s="17" t="str">
        <f>IF(Calculations!$BQ65='Macro References'!E$86,Calculations!$AT65,"")</f>
        <v/>
      </c>
      <c r="F92" s="17" t="str">
        <f>IF(Calculations!$BQ65='Macro References'!F$86,Calculations!$AT65,"")</f>
        <v/>
      </c>
      <c r="G92" s="17" t="str">
        <f>IF(Calculations!$BQ65='Macro References'!G$86,Calculations!$AT65,"")</f>
        <v/>
      </c>
      <c r="H92" s="17" t="str">
        <f>IF(Calculations!$BQ65='Macro References'!H$86,Calculations!$AT65,"")</f>
        <v/>
      </c>
      <c r="I92" s="17" t="str">
        <f>IF(Calculations!$BQ65='Macro References'!I$86,Calculations!$AT65,"")</f>
        <v/>
      </c>
      <c r="J92" s="17" t="str">
        <f>IF(Calculations!$BQ65='Macro References'!J$86,Calculations!$AT65,"")</f>
        <v/>
      </c>
      <c r="K92" s="17" t="str">
        <f>IF(Calculations!$BQ65='Macro References'!K$86,Calculations!$AT65,"")</f>
        <v/>
      </c>
      <c r="L92" s="17" t="str">
        <f>IF(Calculations!$BQ65='Macro References'!L$86,Calculations!$AT65,"")</f>
        <v/>
      </c>
      <c r="M92" s="17" t="str">
        <f>IF(Calculations!$BQ65='Macro References'!M$86,Calculations!$AT65,"")</f>
        <v/>
      </c>
      <c r="N92" s="17" t="str">
        <f>IF(Calculations!$BQ65='Macro References'!N$86,Calculations!$AT65,"")</f>
        <v/>
      </c>
      <c r="O92" s="17" t="str">
        <f>IF(Calculations!$BQ65='Macro References'!O$86,Calculations!$AT65,"")</f>
        <v/>
      </c>
      <c r="P92" s="17" t="str">
        <f>IF(Calculations!$BQ65='Macro References'!P$86,Calculations!$AT65,"")</f>
        <v/>
      </c>
      <c r="Q92" s="17" t="str">
        <f>IF(Calculations!$BQ65='Macro References'!Q$86,Calculations!$AT65,"")</f>
        <v/>
      </c>
      <c r="R92" s="17" t="str">
        <f>IF(Calculations!$BQ65='Macro References'!R$86,Calculations!$AT65,"")</f>
        <v/>
      </c>
      <c r="S92" s="17" t="str">
        <f>IF(Calculations!$BQ65='Macro References'!S$86,Calculations!$AT65,"")</f>
        <v/>
      </c>
      <c r="T92" s="17" t="str">
        <f>IF(Calculations!$BQ65='Macro References'!T$86,Calculations!$AT65,"")</f>
        <v/>
      </c>
      <c r="U92" s="17" t="str">
        <f>IF(Calculations!$BQ65='Macro References'!U$86,Calculations!$AT65,"")</f>
        <v/>
      </c>
      <c r="V92" s="17" t="str">
        <f>IF(Calculations!$BQ65='Macro References'!V$86,Calculations!$AT65,"")</f>
        <v/>
      </c>
      <c r="W92" s="17" t="str">
        <f>IF(Calculations!$BQ65='Macro References'!W$86,Calculations!$AT65,"")</f>
        <v/>
      </c>
      <c r="X92" s="17" t="str">
        <f>IF(Calculations!$BQ65='Macro References'!X$86,Calculations!$AT65,"")</f>
        <v/>
      </c>
      <c r="Y92" s="17" t="str">
        <f>IF(Calculations!$BQ65='Macro References'!Y$86,Calculations!$AT65,"")</f>
        <v/>
      </c>
      <c r="Z92" s="17" t="str">
        <f>IF(Calculations!$BQ65='Macro References'!Z$86,Calculations!$AT65,"")</f>
        <v/>
      </c>
      <c r="AA92" s="17" t="str">
        <f>IF(Calculations!$BQ65='Macro References'!AA$86,Calculations!$AT65,"")</f>
        <v/>
      </c>
      <c r="AB92" s="17" t="str">
        <f>IF(Calculations!$BQ65='Macro References'!AB$86,Calculations!$AT65,"")</f>
        <v/>
      </c>
      <c r="AC92" s="17" t="str">
        <f>IF(Calculations!$BQ65='Macro References'!AC$86,Calculations!$AT65,"")</f>
        <v/>
      </c>
      <c r="AD92" s="17" t="str">
        <f>IF(Calculations!$BQ65='Macro References'!AD$86,Calculations!$AT65,"")</f>
        <v/>
      </c>
      <c r="AE92" s="17" t="str">
        <f>IF(Calculations!$BQ65='Macro References'!AE$86,Calculations!$AT65,"")</f>
        <v/>
      </c>
      <c r="BA92">
        <v>10</v>
      </c>
      <c r="BB92" t="e">
        <f>VLOOKUP(BA92,Results!$C$5:$H$104,5,FALSE)</f>
        <v>#N/A</v>
      </c>
      <c r="BC92">
        <f t="shared" si="3"/>
        <v>10</v>
      </c>
    </row>
    <row r="93" spans="1:55" x14ac:dyDescent="0.2">
      <c r="A93">
        <v>7</v>
      </c>
      <c r="B93" s="17" t="str">
        <f>IF(Calculations!$BQ66='Macro References'!B$86,Calculations!$AT66,"")</f>
        <v/>
      </c>
      <c r="C93" s="17" t="str">
        <f>IF(Calculations!$BQ66='Macro References'!C$86,Calculations!$AT66,"")</f>
        <v/>
      </c>
      <c r="D93" s="17" t="str">
        <f>IF(Calculations!$BQ66='Macro References'!D$86,Calculations!$AT66,"")</f>
        <v/>
      </c>
      <c r="E93" s="17" t="str">
        <f>IF(Calculations!$BQ66='Macro References'!E$86,Calculations!$AT66,"")</f>
        <v/>
      </c>
      <c r="F93" s="17" t="str">
        <f>IF(Calculations!$BQ66='Macro References'!F$86,Calculations!$AT66,"")</f>
        <v/>
      </c>
      <c r="G93" s="17" t="str">
        <f>IF(Calculations!$BQ66='Macro References'!G$86,Calculations!$AT66,"")</f>
        <v/>
      </c>
      <c r="H93" s="17" t="str">
        <f>IF(Calculations!$BQ66='Macro References'!H$86,Calculations!$AT66,"")</f>
        <v/>
      </c>
      <c r="I93" s="17" t="str">
        <f>IF(Calculations!$BQ66='Macro References'!I$86,Calculations!$AT66,"")</f>
        <v/>
      </c>
      <c r="J93" s="17" t="str">
        <f>IF(Calculations!$BQ66='Macro References'!J$86,Calculations!$AT66,"")</f>
        <v/>
      </c>
      <c r="K93" s="17" t="str">
        <f>IF(Calculations!$BQ66='Macro References'!K$86,Calculations!$AT66,"")</f>
        <v/>
      </c>
      <c r="L93" s="17" t="str">
        <f>IF(Calculations!$BQ66='Macro References'!L$86,Calculations!$AT66,"")</f>
        <v/>
      </c>
      <c r="M93" s="17" t="str">
        <f>IF(Calculations!$BQ66='Macro References'!M$86,Calculations!$AT66,"")</f>
        <v/>
      </c>
      <c r="N93" s="17" t="str">
        <f>IF(Calculations!$BQ66='Macro References'!N$86,Calculations!$AT66,"")</f>
        <v/>
      </c>
      <c r="O93" s="17" t="str">
        <f>IF(Calculations!$BQ66='Macro References'!O$86,Calculations!$AT66,"")</f>
        <v/>
      </c>
      <c r="P93" s="17" t="str">
        <f>IF(Calculations!$BQ66='Macro References'!P$86,Calculations!$AT66,"")</f>
        <v/>
      </c>
      <c r="Q93" s="17" t="str">
        <f>IF(Calculations!$BQ66='Macro References'!Q$86,Calculations!$AT66,"")</f>
        <v/>
      </c>
      <c r="R93" s="17" t="str">
        <f>IF(Calculations!$BQ66='Macro References'!R$86,Calculations!$AT66,"")</f>
        <v/>
      </c>
      <c r="S93" s="17" t="str">
        <f>IF(Calculations!$BQ66='Macro References'!S$86,Calculations!$AT66,"")</f>
        <v/>
      </c>
      <c r="T93" s="17" t="str">
        <f>IF(Calculations!$BQ66='Macro References'!T$86,Calculations!$AT66,"")</f>
        <v/>
      </c>
      <c r="U93" s="17" t="str">
        <f>IF(Calculations!$BQ66='Macro References'!U$86,Calculations!$AT66,"")</f>
        <v/>
      </c>
      <c r="V93" s="17" t="str">
        <f>IF(Calculations!$BQ66='Macro References'!V$86,Calculations!$AT66,"")</f>
        <v/>
      </c>
      <c r="W93" s="17" t="str">
        <f>IF(Calculations!$BQ66='Macro References'!W$86,Calculations!$AT66,"")</f>
        <v/>
      </c>
      <c r="X93" s="17" t="str">
        <f>IF(Calculations!$BQ66='Macro References'!X$86,Calculations!$AT66,"")</f>
        <v/>
      </c>
      <c r="Y93" s="17" t="str">
        <f>IF(Calculations!$BQ66='Macro References'!Y$86,Calculations!$AT66,"")</f>
        <v/>
      </c>
      <c r="Z93" s="17" t="str">
        <f>IF(Calculations!$BQ66='Macro References'!Z$86,Calculations!$AT66,"")</f>
        <v/>
      </c>
      <c r="AA93" s="17" t="str">
        <f>IF(Calculations!$BQ66='Macro References'!AA$86,Calculations!$AT66,"")</f>
        <v/>
      </c>
      <c r="AB93" s="17" t="str">
        <f>IF(Calculations!$BQ66='Macro References'!AB$86,Calculations!$AT66,"")</f>
        <v/>
      </c>
      <c r="AC93" s="17" t="str">
        <f>IF(Calculations!$BQ66='Macro References'!AC$86,Calculations!$AT66,"")</f>
        <v/>
      </c>
      <c r="AD93" s="17" t="str">
        <f>IF(Calculations!$BQ66='Macro References'!AD$86,Calculations!$AT66,"")</f>
        <v/>
      </c>
      <c r="AE93" s="17" t="str">
        <f>IF(Calculations!$BQ66='Macro References'!AE$86,Calculations!$AT66,"")</f>
        <v/>
      </c>
      <c r="BA93">
        <v>9</v>
      </c>
      <c r="BB93" t="e">
        <f>VLOOKUP(BA93,Results!$C$5:$H$104,5,FALSE)</f>
        <v>#N/A</v>
      </c>
      <c r="BC93">
        <f t="shared" si="3"/>
        <v>9</v>
      </c>
    </row>
    <row r="94" spans="1:55" x14ac:dyDescent="0.2">
      <c r="A94">
        <v>8</v>
      </c>
      <c r="B94" s="17" t="str">
        <f>IF(Calculations!$BQ67='Macro References'!B$86,Calculations!$AT67,"")</f>
        <v/>
      </c>
      <c r="C94" s="17" t="str">
        <f>IF(Calculations!$BQ67='Macro References'!C$86,Calculations!$AT67,"")</f>
        <v/>
      </c>
      <c r="D94" s="17" t="str">
        <f>IF(Calculations!$BQ67='Macro References'!D$86,Calculations!$AT67,"")</f>
        <v/>
      </c>
      <c r="E94" s="17" t="str">
        <f>IF(Calculations!$BQ67='Macro References'!E$86,Calculations!$AT67,"")</f>
        <v/>
      </c>
      <c r="F94" s="17" t="str">
        <f>IF(Calculations!$BQ67='Macro References'!F$86,Calculations!$AT67,"")</f>
        <v/>
      </c>
      <c r="G94" s="17" t="str">
        <f>IF(Calculations!$BQ67='Macro References'!G$86,Calculations!$AT67,"")</f>
        <v/>
      </c>
      <c r="H94" s="17" t="str">
        <f>IF(Calculations!$BQ67='Macro References'!H$86,Calculations!$AT67,"")</f>
        <v/>
      </c>
      <c r="I94" s="17" t="str">
        <f>IF(Calculations!$BQ67='Macro References'!I$86,Calculations!$AT67,"")</f>
        <v/>
      </c>
      <c r="J94" s="17" t="str">
        <f>IF(Calculations!$BQ67='Macro References'!J$86,Calculations!$AT67,"")</f>
        <v/>
      </c>
      <c r="K94" s="17" t="str">
        <f>IF(Calculations!$BQ67='Macro References'!K$86,Calculations!$AT67,"")</f>
        <v/>
      </c>
      <c r="L94" s="17" t="str">
        <f>IF(Calculations!$BQ67='Macro References'!L$86,Calculations!$AT67,"")</f>
        <v/>
      </c>
      <c r="M94" s="17" t="str">
        <f>IF(Calculations!$BQ67='Macro References'!M$86,Calculations!$AT67,"")</f>
        <v/>
      </c>
      <c r="N94" s="17" t="str">
        <f>IF(Calculations!$BQ67='Macro References'!N$86,Calculations!$AT67,"")</f>
        <v/>
      </c>
      <c r="O94" s="17" t="str">
        <f>IF(Calculations!$BQ67='Macro References'!O$86,Calculations!$AT67,"")</f>
        <v/>
      </c>
      <c r="P94" s="17" t="str">
        <f>IF(Calculations!$BQ67='Macro References'!P$86,Calculations!$AT67,"")</f>
        <v/>
      </c>
      <c r="Q94" s="17" t="str">
        <f>IF(Calculations!$BQ67='Macro References'!Q$86,Calculations!$AT67,"")</f>
        <v/>
      </c>
      <c r="R94" s="17" t="str">
        <f>IF(Calculations!$BQ67='Macro References'!R$86,Calculations!$AT67,"")</f>
        <v/>
      </c>
      <c r="S94" s="17" t="str">
        <f>IF(Calculations!$BQ67='Macro References'!S$86,Calculations!$AT67,"")</f>
        <v/>
      </c>
      <c r="T94" s="17" t="str">
        <f>IF(Calculations!$BQ67='Macro References'!T$86,Calculations!$AT67,"")</f>
        <v/>
      </c>
      <c r="U94" s="17" t="str">
        <f>IF(Calculations!$BQ67='Macro References'!U$86,Calculations!$AT67,"")</f>
        <v/>
      </c>
      <c r="V94" s="17" t="str">
        <f>IF(Calculations!$BQ67='Macro References'!V$86,Calculations!$AT67,"")</f>
        <v/>
      </c>
      <c r="W94" s="17" t="str">
        <f>IF(Calculations!$BQ67='Macro References'!W$86,Calculations!$AT67,"")</f>
        <v/>
      </c>
      <c r="X94" s="17" t="str">
        <f>IF(Calculations!$BQ67='Macro References'!X$86,Calculations!$AT67,"")</f>
        <v/>
      </c>
      <c r="Y94" s="17" t="str">
        <f>IF(Calculations!$BQ67='Macro References'!Y$86,Calculations!$AT67,"")</f>
        <v/>
      </c>
      <c r="Z94" s="17" t="str">
        <f>IF(Calculations!$BQ67='Macro References'!Z$86,Calculations!$AT67,"")</f>
        <v/>
      </c>
      <c r="AA94" s="17" t="str">
        <f>IF(Calculations!$BQ67='Macro References'!AA$86,Calculations!$AT67,"")</f>
        <v/>
      </c>
      <c r="AB94" s="17" t="str">
        <f>IF(Calculations!$BQ67='Macro References'!AB$86,Calculations!$AT67,"")</f>
        <v/>
      </c>
      <c r="AC94" s="17" t="str">
        <f>IF(Calculations!$BQ67='Macro References'!AC$86,Calculations!$AT67,"")</f>
        <v/>
      </c>
      <c r="AD94" s="17" t="str">
        <f>IF(Calculations!$BQ67='Macro References'!AD$86,Calculations!$AT67,"")</f>
        <v/>
      </c>
      <c r="AE94" s="17" t="str">
        <f>IF(Calculations!$BQ67='Macro References'!AE$86,Calculations!$AT67,"")</f>
        <v/>
      </c>
      <c r="BA94">
        <v>8</v>
      </c>
      <c r="BB94" t="e">
        <f>VLOOKUP(BA94,Results!$C$5:$H$104,5,FALSE)</f>
        <v>#N/A</v>
      </c>
      <c r="BC94">
        <f t="shared" si="3"/>
        <v>8</v>
      </c>
    </row>
    <row r="95" spans="1:55" x14ac:dyDescent="0.2">
      <c r="A95">
        <v>9</v>
      </c>
      <c r="B95" s="17" t="str">
        <f>IF(Calculations!$BQ68='Macro References'!B$86,Calculations!$AT68,"")</f>
        <v/>
      </c>
      <c r="C95" s="17" t="str">
        <f>IF(Calculations!$BQ68='Macro References'!C$86,Calculations!$AT68,"")</f>
        <v/>
      </c>
      <c r="D95" s="17" t="str">
        <f>IF(Calculations!$BQ68='Macro References'!D$86,Calculations!$AT68,"")</f>
        <v/>
      </c>
      <c r="E95" s="17" t="str">
        <f>IF(Calculations!$BQ68='Macro References'!E$86,Calculations!$AT68,"")</f>
        <v/>
      </c>
      <c r="F95" s="17" t="str">
        <f>IF(Calculations!$BQ68='Macro References'!F$86,Calculations!$AT68,"")</f>
        <v/>
      </c>
      <c r="G95" s="17" t="str">
        <f>IF(Calculations!$BQ68='Macro References'!G$86,Calculations!$AT68,"")</f>
        <v/>
      </c>
      <c r="H95" s="17" t="str">
        <f>IF(Calculations!$BQ68='Macro References'!H$86,Calculations!$AT68,"")</f>
        <v/>
      </c>
      <c r="I95" s="17" t="str">
        <f>IF(Calculations!$BQ68='Macro References'!I$86,Calculations!$AT68,"")</f>
        <v/>
      </c>
      <c r="J95" s="17" t="str">
        <f>IF(Calculations!$BQ68='Macro References'!J$86,Calculations!$AT68,"")</f>
        <v/>
      </c>
      <c r="K95" s="17" t="str">
        <f>IF(Calculations!$BQ68='Macro References'!K$86,Calculations!$AT68,"")</f>
        <v/>
      </c>
      <c r="L95" s="17" t="str">
        <f>IF(Calculations!$BQ68='Macro References'!L$86,Calculations!$AT68,"")</f>
        <v/>
      </c>
      <c r="M95" s="17" t="str">
        <f>IF(Calculations!$BQ68='Macro References'!M$86,Calculations!$AT68,"")</f>
        <v/>
      </c>
      <c r="N95" s="17" t="str">
        <f>IF(Calculations!$BQ68='Macro References'!N$86,Calculations!$AT68,"")</f>
        <v/>
      </c>
      <c r="O95" s="17" t="str">
        <f>IF(Calculations!$BQ68='Macro References'!O$86,Calculations!$AT68,"")</f>
        <v/>
      </c>
      <c r="P95" s="17" t="str">
        <f>IF(Calculations!$BQ68='Macro References'!P$86,Calculations!$AT68,"")</f>
        <v/>
      </c>
      <c r="Q95" s="17" t="str">
        <f>IF(Calculations!$BQ68='Macro References'!Q$86,Calculations!$AT68,"")</f>
        <v/>
      </c>
      <c r="R95" s="17" t="str">
        <f>IF(Calculations!$BQ68='Macro References'!R$86,Calculations!$AT68,"")</f>
        <v/>
      </c>
      <c r="S95" s="17" t="str">
        <f>IF(Calculations!$BQ68='Macro References'!S$86,Calculations!$AT68,"")</f>
        <v/>
      </c>
      <c r="T95" s="17" t="str">
        <f>IF(Calculations!$BQ68='Macro References'!T$86,Calculations!$AT68,"")</f>
        <v/>
      </c>
      <c r="U95" s="17" t="str">
        <f>IF(Calculations!$BQ68='Macro References'!U$86,Calculations!$AT68,"")</f>
        <v/>
      </c>
      <c r="V95" s="17" t="str">
        <f>IF(Calculations!$BQ68='Macro References'!V$86,Calculations!$AT68,"")</f>
        <v/>
      </c>
      <c r="W95" s="17" t="str">
        <f>IF(Calculations!$BQ68='Macro References'!W$86,Calculations!$AT68,"")</f>
        <v/>
      </c>
      <c r="X95" s="17" t="str">
        <f>IF(Calculations!$BQ68='Macro References'!X$86,Calculations!$AT68,"")</f>
        <v/>
      </c>
      <c r="Y95" s="17" t="str">
        <f>IF(Calculations!$BQ68='Macro References'!Y$86,Calculations!$AT68,"")</f>
        <v/>
      </c>
      <c r="Z95" s="17" t="str">
        <f>IF(Calculations!$BQ68='Macro References'!Z$86,Calculations!$AT68,"")</f>
        <v/>
      </c>
      <c r="AA95" s="17" t="str">
        <f>IF(Calculations!$BQ68='Macro References'!AA$86,Calculations!$AT68,"")</f>
        <v/>
      </c>
      <c r="AB95" s="17" t="str">
        <f>IF(Calculations!$BQ68='Macro References'!AB$86,Calculations!$AT68,"")</f>
        <v/>
      </c>
      <c r="AC95" s="17" t="str">
        <f>IF(Calculations!$BQ68='Macro References'!AC$86,Calculations!$AT68,"")</f>
        <v/>
      </c>
      <c r="AD95" s="17" t="str">
        <f>IF(Calculations!$BQ68='Macro References'!AD$86,Calculations!$AT68,"")</f>
        <v/>
      </c>
      <c r="AE95" s="17" t="str">
        <f>IF(Calculations!$BQ68='Macro References'!AE$86,Calculations!$AT68,"")</f>
        <v/>
      </c>
      <c r="BA95">
        <v>7</v>
      </c>
      <c r="BB95" t="e">
        <f>VLOOKUP(BA95,Results!$C$5:$H$104,5,FALSE)</f>
        <v>#N/A</v>
      </c>
      <c r="BC95">
        <f t="shared" si="3"/>
        <v>7</v>
      </c>
    </row>
    <row r="96" spans="1:55" x14ac:dyDescent="0.2">
      <c r="A96">
        <v>10</v>
      </c>
      <c r="B96" s="17" t="str">
        <f>IF(Calculations!$BQ69='Macro References'!B$86,Calculations!$AT69,"")</f>
        <v/>
      </c>
      <c r="C96" s="17" t="str">
        <f>IF(Calculations!$BQ69='Macro References'!C$86,Calculations!$AT69,"")</f>
        <v/>
      </c>
      <c r="D96" s="17" t="str">
        <f>IF(Calculations!$BQ69='Macro References'!D$86,Calculations!$AT69,"")</f>
        <v/>
      </c>
      <c r="E96" s="17" t="str">
        <f>IF(Calculations!$BQ69='Macro References'!E$86,Calculations!$AT69,"")</f>
        <v/>
      </c>
      <c r="F96" s="17" t="str">
        <f>IF(Calculations!$BQ69='Macro References'!F$86,Calculations!$AT69,"")</f>
        <v/>
      </c>
      <c r="G96" s="17" t="str">
        <f>IF(Calculations!$BQ69='Macro References'!G$86,Calculations!$AT69,"")</f>
        <v/>
      </c>
      <c r="H96" s="17" t="str">
        <f>IF(Calculations!$BQ69='Macro References'!H$86,Calculations!$AT69,"")</f>
        <v/>
      </c>
      <c r="I96" s="17" t="str">
        <f>IF(Calculations!$BQ69='Macro References'!I$86,Calculations!$AT69,"")</f>
        <v/>
      </c>
      <c r="J96" s="17" t="str">
        <f>IF(Calculations!$BQ69='Macro References'!J$86,Calculations!$AT69,"")</f>
        <v/>
      </c>
      <c r="K96" s="17" t="str">
        <f>IF(Calculations!$BQ69='Macro References'!K$86,Calculations!$AT69,"")</f>
        <v/>
      </c>
      <c r="L96" s="17" t="str">
        <f>IF(Calculations!$BQ69='Macro References'!L$86,Calculations!$AT69,"")</f>
        <v/>
      </c>
      <c r="M96" s="17" t="str">
        <f>IF(Calculations!$BQ69='Macro References'!M$86,Calculations!$AT69,"")</f>
        <v/>
      </c>
      <c r="N96" s="17" t="str">
        <f>IF(Calculations!$BQ69='Macro References'!N$86,Calculations!$AT69,"")</f>
        <v/>
      </c>
      <c r="O96" s="17" t="str">
        <f>IF(Calculations!$BQ69='Macro References'!O$86,Calculations!$AT69,"")</f>
        <v/>
      </c>
      <c r="P96" s="17" t="str">
        <f>IF(Calculations!$BQ69='Macro References'!P$86,Calculations!$AT69,"")</f>
        <v/>
      </c>
      <c r="Q96" s="17" t="str">
        <f>IF(Calculations!$BQ69='Macro References'!Q$86,Calculations!$AT69,"")</f>
        <v/>
      </c>
      <c r="R96" s="17" t="str">
        <f>IF(Calculations!$BQ69='Macro References'!R$86,Calculations!$AT69,"")</f>
        <v/>
      </c>
      <c r="S96" s="17" t="str">
        <f>IF(Calculations!$BQ69='Macro References'!S$86,Calculations!$AT69,"")</f>
        <v/>
      </c>
      <c r="T96" s="17" t="str">
        <f>IF(Calculations!$BQ69='Macro References'!T$86,Calculations!$AT69,"")</f>
        <v/>
      </c>
      <c r="U96" s="17" t="str">
        <f>IF(Calculations!$BQ69='Macro References'!U$86,Calculations!$AT69,"")</f>
        <v/>
      </c>
      <c r="V96" s="17" t="str">
        <f>IF(Calculations!$BQ69='Macro References'!V$86,Calculations!$AT69,"")</f>
        <v/>
      </c>
      <c r="W96" s="17" t="str">
        <f>IF(Calculations!$BQ69='Macro References'!W$86,Calculations!$AT69,"")</f>
        <v/>
      </c>
      <c r="X96" s="17" t="str">
        <f>IF(Calculations!$BQ69='Macro References'!X$86,Calculations!$AT69,"")</f>
        <v/>
      </c>
      <c r="Y96" s="17" t="str">
        <f>IF(Calculations!$BQ69='Macro References'!Y$86,Calculations!$AT69,"")</f>
        <v/>
      </c>
      <c r="Z96" s="17" t="str">
        <f>IF(Calculations!$BQ69='Macro References'!Z$86,Calculations!$AT69,"")</f>
        <v/>
      </c>
      <c r="AA96" s="17" t="str">
        <f>IF(Calculations!$BQ69='Macro References'!AA$86,Calculations!$AT69,"")</f>
        <v/>
      </c>
      <c r="AB96" s="17" t="str">
        <f>IF(Calculations!$BQ69='Macro References'!AB$86,Calculations!$AT69,"")</f>
        <v/>
      </c>
      <c r="AC96" s="17" t="str">
        <f>IF(Calculations!$BQ69='Macro References'!AC$86,Calculations!$AT69,"")</f>
        <v/>
      </c>
      <c r="AD96" s="17" t="str">
        <f>IF(Calculations!$BQ69='Macro References'!AD$86,Calculations!$AT69,"")</f>
        <v/>
      </c>
      <c r="AE96" s="17" t="str">
        <f>IF(Calculations!$BQ69='Macro References'!AE$86,Calculations!$AT69,"")</f>
        <v/>
      </c>
      <c r="BA96">
        <v>6</v>
      </c>
      <c r="BB96" t="e">
        <f>VLOOKUP(BA96,Results!$C$5:$H$104,5,FALSE)</f>
        <v>#N/A</v>
      </c>
      <c r="BC96">
        <f t="shared" si="3"/>
        <v>6</v>
      </c>
    </row>
    <row r="97" spans="1:55" x14ac:dyDescent="0.2">
      <c r="A97">
        <v>11</v>
      </c>
      <c r="B97" s="17" t="str">
        <f>IF(Calculations!$BQ70='Macro References'!B$86,Calculations!$AT70,"")</f>
        <v/>
      </c>
      <c r="C97" s="17" t="str">
        <f>IF(Calculations!$BQ70='Macro References'!C$86,Calculations!$AT70,"")</f>
        <v/>
      </c>
      <c r="D97" s="17" t="str">
        <f>IF(Calculations!$BQ70='Macro References'!D$86,Calculations!$AT70,"")</f>
        <v/>
      </c>
      <c r="E97" s="17" t="str">
        <f>IF(Calculations!$BQ70='Macro References'!E$86,Calculations!$AT70,"")</f>
        <v/>
      </c>
      <c r="F97" s="17" t="str">
        <f>IF(Calculations!$BQ70='Macro References'!F$86,Calculations!$AT70,"")</f>
        <v/>
      </c>
      <c r="G97" s="17" t="str">
        <f>IF(Calculations!$BQ70='Macro References'!G$86,Calculations!$AT70,"")</f>
        <v/>
      </c>
      <c r="H97" s="17" t="str">
        <f>IF(Calculations!$BQ70='Macro References'!H$86,Calculations!$AT70,"")</f>
        <v/>
      </c>
      <c r="I97" s="17" t="str">
        <f>IF(Calculations!$BQ70='Macro References'!I$86,Calculations!$AT70,"")</f>
        <v/>
      </c>
      <c r="J97" s="17" t="str">
        <f>IF(Calculations!$BQ70='Macro References'!J$86,Calculations!$AT70,"")</f>
        <v/>
      </c>
      <c r="K97" s="17" t="str">
        <f>IF(Calculations!$BQ70='Macro References'!K$86,Calculations!$AT70,"")</f>
        <v/>
      </c>
      <c r="L97" s="17" t="str">
        <f>IF(Calculations!$BQ70='Macro References'!L$86,Calculations!$AT70,"")</f>
        <v/>
      </c>
      <c r="M97" s="17" t="str">
        <f>IF(Calculations!$BQ70='Macro References'!M$86,Calculations!$AT70,"")</f>
        <v/>
      </c>
      <c r="N97" s="17" t="str">
        <f>IF(Calculations!$BQ70='Macro References'!N$86,Calculations!$AT70,"")</f>
        <v/>
      </c>
      <c r="O97" s="17" t="str">
        <f>IF(Calculations!$BQ70='Macro References'!O$86,Calculations!$AT70,"")</f>
        <v/>
      </c>
      <c r="P97" s="17" t="str">
        <f>IF(Calculations!$BQ70='Macro References'!P$86,Calculations!$AT70,"")</f>
        <v/>
      </c>
      <c r="Q97" s="17" t="str">
        <f>IF(Calculations!$BQ70='Macro References'!Q$86,Calculations!$AT70,"")</f>
        <v/>
      </c>
      <c r="R97" s="17" t="str">
        <f>IF(Calculations!$BQ70='Macro References'!R$86,Calculations!$AT70,"")</f>
        <v/>
      </c>
      <c r="S97" s="17" t="str">
        <f>IF(Calculations!$BQ70='Macro References'!S$86,Calculations!$AT70,"")</f>
        <v/>
      </c>
      <c r="T97" s="17" t="str">
        <f>IF(Calculations!$BQ70='Macro References'!T$86,Calculations!$AT70,"")</f>
        <v/>
      </c>
      <c r="U97" s="17" t="str">
        <f>IF(Calculations!$BQ70='Macro References'!U$86,Calculations!$AT70,"")</f>
        <v/>
      </c>
      <c r="V97" s="17" t="str">
        <f>IF(Calculations!$BQ70='Macro References'!V$86,Calculations!$AT70,"")</f>
        <v/>
      </c>
      <c r="W97" s="17" t="str">
        <f>IF(Calculations!$BQ70='Macro References'!W$86,Calculations!$AT70,"")</f>
        <v/>
      </c>
      <c r="X97" s="17" t="str">
        <f>IF(Calculations!$BQ70='Macro References'!X$86,Calculations!$AT70,"")</f>
        <v/>
      </c>
      <c r="Y97" s="17" t="str">
        <f>IF(Calculations!$BQ70='Macro References'!Y$86,Calculations!$AT70,"")</f>
        <v/>
      </c>
      <c r="Z97" s="17" t="str">
        <f>IF(Calculations!$BQ70='Macro References'!Z$86,Calculations!$AT70,"")</f>
        <v/>
      </c>
      <c r="AA97" s="17" t="str">
        <f>IF(Calculations!$BQ70='Macro References'!AA$86,Calculations!$AT70,"")</f>
        <v/>
      </c>
      <c r="AB97" s="17" t="str">
        <f>IF(Calculations!$BQ70='Macro References'!AB$86,Calculations!$AT70,"")</f>
        <v/>
      </c>
      <c r="AC97" s="17" t="str">
        <f>IF(Calculations!$BQ70='Macro References'!AC$86,Calculations!$AT70,"")</f>
        <v/>
      </c>
      <c r="AD97" s="17" t="str">
        <f>IF(Calculations!$BQ70='Macro References'!AD$86,Calculations!$AT70,"")</f>
        <v/>
      </c>
      <c r="AE97" s="17" t="str">
        <f>IF(Calculations!$BQ70='Macro References'!AE$86,Calculations!$AT70,"")</f>
        <v/>
      </c>
      <c r="BA97">
        <v>5</v>
      </c>
      <c r="BB97" t="e">
        <f>VLOOKUP(BA97,Results!$C$5:$H$104,5,FALSE)</f>
        <v>#N/A</v>
      </c>
      <c r="BC97">
        <f t="shared" si="3"/>
        <v>5</v>
      </c>
    </row>
    <row r="98" spans="1:55" x14ac:dyDescent="0.2">
      <c r="A98">
        <v>12</v>
      </c>
      <c r="B98" s="17" t="str">
        <f>IF(Calculations!$BQ71='Macro References'!B$86,Calculations!$AT71,"")</f>
        <v/>
      </c>
      <c r="C98" s="17" t="str">
        <f>IF(Calculations!$BQ71='Macro References'!C$86,Calculations!$AT71,"")</f>
        <v/>
      </c>
      <c r="D98" s="17" t="str">
        <f>IF(Calculations!$BQ71='Macro References'!D$86,Calculations!$AT71,"")</f>
        <v/>
      </c>
      <c r="E98" s="17" t="str">
        <f>IF(Calculations!$BQ71='Macro References'!E$86,Calculations!$AT71,"")</f>
        <v/>
      </c>
      <c r="F98" s="17" t="str">
        <f>IF(Calculations!$BQ71='Macro References'!F$86,Calculations!$AT71,"")</f>
        <v/>
      </c>
      <c r="G98" s="17" t="str">
        <f>IF(Calculations!$BQ71='Macro References'!G$86,Calculations!$AT71,"")</f>
        <v/>
      </c>
      <c r="H98" s="17" t="str">
        <f>IF(Calculations!$BQ71='Macro References'!H$86,Calculations!$AT71,"")</f>
        <v/>
      </c>
      <c r="I98" s="17" t="str">
        <f>IF(Calculations!$BQ71='Macro References'!I$86,Calculations!$AT71,"")</f>
        <v/>
      </c>
      <c r="J98" s="17" t="str">
        <f>IF(Calculations!$BQ71='Macro References'!J$86,Calculations!$AT71,"")</f>
        <v/>
      </c>
      <c r="K98" s="17" t="str">
        <f>IF(Calculations!$BQ71='Macro References'!K$86,Calculations!$AT71,"")</f>
        <v/>
      </c>
      <c r="L98" s="17" t="str">
        <f>IF(Calculations!$BQ71='Macro References'!L$86,Calculations!$AT71,"")</f>
        <v/>
      </c>
      <c r="M98" s="17" t="str">
        <f>IF(Calculations!$BQ71='Macro References'!M$86,Calculations!$AT71,"")</f>
        <v/>
      </c>
      <c r="N98" s="17" t="str">
        <f>IF(Calculations!$BQ71='Macro References'!N$86,Calculations!$AT71,"")</f>
        <v/>
      </c>
      <c r="O98" s="17" t="str">
        <f>IF(Calculations!$BQ71='Macro References'!O$86,Calculations!$AT71,"")</f>
        <v/>
      </c>
      <c r="P98" s="17" t="str">
        <f>IF(Calculations!$BQ71='Macro References'!P$86,Calculations!$AT71,"")</f>
        <v/>
      </c>
      <c r="Q98" s="17" t="str">
        <f>IF(Calculations!$BQ71='Macro References'!Q$86,Calculations!$AT71,"")</f>
        <v/>
      </c>
      <c r="R98" s="17" t="str">
        <f>IF(Calculations!$BQ71='Macro References'!R$86,Calculations!$AT71,"")</f>
        <v/>
      </c>
      <c r="S98" s="17" t="str">
        <f>IF(Calculations!$BQ71='Macro References'!S$86,Calculations!$AT71,"")</f>
        <v/>
      </c>
      <c r="T98" s="17" t="str">
        <f>IF(Calculations!$BQ71='Macro References'!T$86,Calculations!$AT71,"")</f>
        <v/>
      </c>
      <c r="U98" s="17" t="str">
        <f>IF(Calculations!$BQ71='Macro References'!U$86,Calculations!$AT71,"")</f>
        <v/>
      </c>
      <c r="V98" s="17" t="str">
        <f>IF(Calculations!$BQ71='Macro References'!V$86,Calculations!$AT71,"")</f>
        <v/>
      </c>
      <c r="W98" s="17" t="str">
        <f>IF(Calculations!$BQ71='Macro References'!W$86,Calculations!$AT71,"")</f>
        <v/>
      </c>
      <c r="X98" s="17" t="str">
        <f>IF(Calculations!$BQ71='Macro References'!X$86,Calculations!$AT71,"")</f>
        <v/>
      </c>
      <c r="Y98" s="17" t="str">
        <f>IF(Calculations!$BQ71='Macro References'!Y$86,Calculations!$AT71,"")</f>
        <v/>
      </c>
      <c r="Z98" s="17" t="str">
        <f>IF(Calculations!$BQ71='Macro References'!Z$86,Calculations!$AT71,"")</f>
        <v/>
      </c>
      <c r="AA98" s="17" t="str">
        <f>IF(Calculations!$BQ71='Macro References'!AA$86,Calculations!$AT71,"")</f>
        <v/>
      </c>
      <c r="AB98" s="17" t="str">
        <f>IF(Calculations!$BQ71='Macro References'!AB$86,Calculations!$AT71,"")</f>
        <v/>
      </c>
      <c r="AC98" s="17" t="str">
        <f>IF(Calculations!$BQ71='Macro References'!AC$86,Calculations!$AT71,"")</f>
        <v/>
      </c>
      <c r="AD98" s="17" t="str">
        <f>IF(Calculations!$BQ71='Macro References'!AD$86,Calculations!$AT71,"")</f>
        <v/>
      </c>
      <c r="AE98" s="17" t="str">
        <f>IF(Calculations!$BQ71='Macro References'!AE$86,Calculations!$AT71,"")</f>
        <v/>
      </c>
      <c r="BA98">
        <v>4</v>
      </c>
      <c r="BB98" t="e">
        <f>VLOOKUP(BA98,Results!$C$5:$H$104,5,FALSE)</f>
        <v>#N/A</v>
      </c>
      <c r="BC98">
        <f t="shared" si="3"/>
        <v>4</v>
      </c>
    </row>
    <row r="99" spans="1:55" x14ac:dyDescent="0.2">
      <c r="A99">
        <v>13</v>
      </c>
      <c r="B99" s="17" t="str">
        <f>IF(Calculations!$BQ72='Macro References'!B$86,Calculations!$AT72,"")</f>
        <v/>
      </c>
      <c r="C99" s="17" t="str">
        <f>IF(Calculations!$BQ72='Macro References'!C$86,Calculations!$AT72,"")</f>
        <v/>
      </c>
      <c r="D99" s="17" t="str">
        <f>IF(Calculations!$BQ72='Macro References'!D$86,Calculations!$AT72,"")</f>
        <v/>
      </c>
      <c r="E99" s="17" t="str">
        <f>IF(Calculations!$BQ72='Macro References'!E$86,Calculations!$AT72,"")</f>
        <v/>
      </c>
      <c r="F99" s="17" t="str">
        <f>IF(Calculations!$BQ72='Macro References'!F$86,Calculations!$AT72,"")</f>
        <v/>
      </c>
      <c r="G99" s="17" t="str">
        <f>IF(Calculations!$BQ72='Macro References'!G$86,Calculations!$AT72,"")</f>
        <v/>
      </c>
      <c r="H99" s="17" t="str">
        <f>IF(Calculations!$BQ72='Macro References'!H$86,Calculations!$AT72,"")</f>
        <v/>
      </c>
      <c r="I99" s="17" t="str">
        <f>IF(Calculations!$BQ72='Macro References'!I$86,Calculations!$AT72,"")</f>
        <v/>
      </c>
      <c r="J99" s="17" t="str">
        <f>IF(Calculations!$BQ72='Macro References'!J$86,Calculations!$AT72,"")</f>
        <v/>
      </c>
      <c r="K99" s="17" t="str">
        <f>IF(Calculations!$BQ72='Macro References'!K$86,Calculations!$AT72,"")</f>
        <v/>
      </c>
      <c r="L99" s="17" t="str">
        <f>IF(Calculations!$BQ72='Macro References'!L$86,Calculations!$AT72,"")</f>
        <v/>
      </c>
      <c r="M99" s="17" t="str">
        <f>IF(Calculations!$BQ72='Macro References'!M$86,Calculations!$AT72,"")</f>
        <v/>
      </c>
      <c r="N99" s="17" t="str">
        <f>IF(Calculations!$BQ72='Macro References'!N$86,Calculations!$AT72,"")</f>
        <v/>
      </c>
      <c r="O99" s="17" t="str">
        <f>IF(Calculations!$BQ72='Macro References'!O$86,Calculations!$AT72,"")</f>
        <v/>
      </c>
      <c r="P99" s="17" t="str">
        <f>IF(Calculations!$BQ72='Macro References'!P$86,Calculations!$AT72,"")</f>
        <v/>
      </c>
      <c r="Q99" s="17" t="str">
        <f>IF(Calculations!$BQ72='Macro References'!Q$86,Calculations!$AT72,"")</f>
        <v/>
      </c>
      <c r="R99" s="17" t="str">
        <f>IF(Calculations!$BQ72='Macro References'!R$86,Calculations!$AT72,"")</f>
        <v/>
      </c>
      <c r="S99" s="17" t="str">
        <f>IF(Calculations!$BQ72='Macro References'!S$86,Calculations!$AT72,"")</f>
        <v/>
      </c>
      <c r="T99" s="17" t="str">
        <f>IF(Calculations!$BQ72='Macro References'!T$86,Calculations!$AT72,"")</f>
        <v/>
      </c>
      <c r="U99" s="17" t="str">
        <f>IF(Calculations!$BQ72='Macro References'!U$86,Calculations!$AT72,"")</f>
        <v/>
      </c>
      <c r="V99" s="17" t="str">
        <f>IF(Calculations!$BQ72='Macro References'!V$86,Calculations!$AT72,"")</f>
        <v/>
      </c>
      <c r="W99" s="17" t="str">
        <f>IF(Calculations!$BQ72='Macro References'!W$86,Calculations!$AT72,"")</f>
        <v/>
      </c>
      <c r="X99" s="17" t="str">
        <f>IF(Calculations!$BQ72='Macro References'!X$86,Calculations!$AT72,"")</f>
        <v/>
      </c>
      <c r="Y99" s="17" t="str">
        <f>IF(Calculations!$BQ72='Macro References'!Y$86,Calculations!$AT72,"")</f>
        <v/>
      </c>
      <c r="Z99" s="17" t="str">
        <f>IF(Calculations!$BQ72='Macro References'!Z$86,Calculations!$AT72,"")</f>
        <v/>
      </c>
      <c r="AA99" s="17" t="str">
        <f>IF(Calculations!$BQ72='Macro References'!AA$86,Calculations!$AT72,"")</f>
        <v/>
      </c>
      <c r="AB99" s="17" t="str">
        <f>IF(Calculations!$BQ72='Macro References'!AB$86,Calculations!$AT72,"")</f>
        <v/>
      </c>
      <c r="AC99" s="17" t="str">
        <f>IF(Calculations!$BQ72='Macro References'!AC$86,Calculations!$AT72,"")</f>
        <v/>
      </c>
      <c r="AD99" s="17" t="str">
        <f>IF(Calculations!$BQ72='Macro References'!AD$86,Calculations!$AT72,"")</f>
        <v/>
      </c>
      <c r="AE99" s="17" t="str">
        <f>IF(Calculations!$BQ72='Macro References'!AE$86,Calculations!$AT72,"")</f>
        <v/>
      </c>
      <c r="BA99">
        <v>3</v>
      </c>
      <c r="BB99" t="e">
        <f>VLOOKUP(BA99,Results!$C$5:$H$104,5,FALSE)</f>
        <v>#N/A</v>
      </c>
      <c r="BC99">
        <f t="shared" si="3"/>
        <v>3</v>
      </c>
    </row>
    <row r="100" spans="1:55" x14ac:dyDescent="0.2">
      <c r="A100">
        <v>14</v>
      </c>
      <c r="B100" s="17" t="str">
        <f>IF(Calculations!$BQ73='Macro References'!B$86,Calculations!$AT73,"")</f>
        <v/>
      </c>
      <c r="C100" s="17" t="str">
        <f>IF(Calculations!$BQ73='Macro References'!C$86,Calculations!$AT73,"")</f>
        <v/>
      </c>
      <c r="D100" s="17" t="str">
        <f>IF(Calculations!$BQ73='Macro References'!D$86,Calculations!$AT73,"")</f>
        <v/>
      </c>
      <c r="E100" s="17" t="str">
        <f>IF(Calculations!$BQ73='Macro References'!E$86,Calculations!$AT73,"")</f>
        <v/>
      </c>
      <c r="F100" s="17" t="str">
        <f>IF(Calculations!$BQ73='Macro References'!F$86,Calculations!$AT73,"")</f>
        <v/>
      </c>
      <c r="G100" s="17" t="str">
        <f>IF(Calculations!$BQ73='Macro References'!G$86,Calculations!$AT73,"")</f>
        <v/>
      </c>
      <c r="H100" s="17" t="str">
        <f>IF(Calculations!$BQ73='Macro References'!H$86,Calculations!$AT73,"")</f>
        <v/>
      </c>
      <c r="I100" s="17" t="str">
        <f>IF(Calculations!$BQ73='Macro References'!I$86,Calculations!$AT73,"")</f>
        <v/>
      </c>
      <c r="J100" s="17" t="str">
        <f>IF(Calculations!$BQ73='Macro References'!J$86,Calculations!$AT73,"")</f>
        <v/>
      </c>
      <c r="K100" s="17" t="str">
        <f>IF(Calculations!$BQ73='Macro References'!K$86,Calculations!$AT73,"")</f>
        <v/>
      </c>
      <c r="L100" s="17" t="str">
        <f>IF(Calculations!$BQ73='Macro References'!L$86,Calculations!$AT73,"")</f>
        <v/>
      </c>
      <c r="M100" s="17" t="str">
        <f>IF(Calculations!$BQ73='Macro References'!M$86,Calculations!$AT73,"")</f>
        <v/>
      </c>
      <c r="N100" s="17" t="str">
        <f>IF(Calculations!$BQ73='Macro References'!N$86,Calculations!$AT73,"")</f>
        <v/>
      </c>
      <c r="O100" s="17" t="str">
        <f>IF(Calculations!$BQ73='Macro References'!O$86,Calculations!$AT73,"")</f>
        <v/>
      </c>
      <c r="P100" s="17" t="str">
        <f>IF(Calculations!$BQ73='Macro References'!P$86,Calculations!$AT73,"")</f>
        <v/>
      </c>
      <c r="Q100" s="17" t="str">
        <f>IF(Calculations!$BQ73='Macro References'!Q$86,Calculations!$AT73,"")</f>
        <v/>
      </c>
      <c r="R100" s="17" t="str">
        <f>IF(Calculations!$BQ73='Macro References'!R$86,Calculations!$AT73,"")</f>
        <v/>
      </c>
      <c r="S100" s="17" t="str">
        <f>IF(Calculations!$BQ73='Macro References'!S$86,Calculations!$AT73,"")</f>
        <v/>
      </c>
      <c r="T100" s="17" t="str">
        <f>IF(Calculations!$BQ73='Macro References'!T$86,Calculations!$AT73,"")</f>
        <v/>
      </c>
      <c r="U100" s="17" t="str">
        <f>IF(Calculations!$BQ73='Macro References'!U$86,Calculations!$AT73,"")</f>
        <v/>
      </c>
      <c r="V100" s="17" t="str">
        <f>IF(Calculations!$BQ73='Macro References'!V$86,Calculations!$AT73,"")</f>
        <v/>
      </c>
      <c r="W100" s="17" t="str">
        <f>IF(Calculations!$BQ73='Macro References'!W$86,Calculations!$AT73,"")</f>
        <v/>
      </c>
      <c r="X100" s="17" t="str">
        <f>IF(Calculations!$BQ73='Macro References'!X$86,Calculations!$AT73,"")</f>
        <v/>
      </c>
      <c r="Y100" s="17" t="str">
        <f>IF(Calculations!$BQ73='Macro References'!Y$86,Calculations!$AT73,"")</f>
        <v/>
      </c>
      <c r="Z100" s="17" t="str">
        <f>IF(Calculations!$BQ73='Macro References'!Z$86,Calculations!$AT73,"")</f>
        <v/>
      </c>
      <c r="AA100" s="17" t="str">
        <f>IF(Calculations!$BQ73='Macro References'!AA$86,Calculations!$AT73,"")</f>
        <v/>
      </c>
      <c r="AB100" s="17" t="str">
        <f>IF(Calculations!$BQ73='Macro References'!AB$86,Calculations!$AT73,"")</f>
        <v/>
      </c>
      <c r="AC100" s="17" t="str">
        <f>IF(Calculations!$BQ73='Macro References'!AC$86,Calculations!$AT73,"")</f>
        <v/>
      </c>
      <c r="AD100" s="17" t="str">
        <f>IF(Calculations!$BQ73='Macro References'!AD$86,Calculations!$AT73,"")</f>
        <v/>
      </c>
      <c r="AE100" s="17" t="str">
        <f>IF(Calculations!$BQ73='Macro References'!AE$86,Calculations!$AT73,"")</f>
        <v/>
      </c>
      <c r="BA100">
        <v>2</v>
      </c>
      <c r="BB100" t="e">
        <f>VLOOKUP(BA100,Results!$C$5:$H$104,5,FALSE)</f>
        <v>#N/A</v>
      </c>
      <c r="BC100">
        <f t="shared" si="3"/>
        <v>2</v>
      </c>
    </row>
    <row r="101" spans="1:55" x14ac:dyDescent="0.2">
      <c r="A101">
        <v>15</v>
      </c>
      <c r="B101" s="17" t="str">
        <f>IF(Calculations!$BQ74='Macro References'!B$86,Calculations!$AT74,"")</f>
        <v/>
      </c>
      <c r="C101" s="17" t="str">
        <f>IF(Calculations!$BQ74='Macro References'!C$86,Calculations!$AT74,"")</f>
        <v/>
      </c>
      <c r="D101" s="17" t="str">
        <f>IF(Calculations!$BQ74='Macro References'!D$86,Calculations!$AT74,"")</f>
        <v/>
      </c>
      <c r="E101" s="17" t="str">
        <f>IF(Calculations!$BQ74='Macro References'!E$86,Calculations!$AT74,"")</f>
        <v/>
      </c>
      <c r="F101" s="17" t="str">
        <f>IF(Calculations!$BQ74='Macro References'!F$86,Calculations!$AT74,"")</f>
        <v/>
      </c>
      <c r="G101" s="17" t="str">
        <f>IF(Calculations!$BQ74='Macro References'!G$86,Calculations!$AT74,"")</f>
        <v/>
      </c>
      <c r="H101" s="17" t="str">
        <f>IF(Calculations!$BQ74='Macro References'!H$86,Calculations!$AT74,"")</f>
        <v/>
      </c>
      <c r="I101" s="17" t="str">
        <f>IF(Calculations!$BQ74='Macro References'!I$86,Calculations!$AT74,"")</f>
        <v/>
      </c>
      <c r="J101" s="17" t="str">
        <f>IF(Calculations!$BQ74='Macro References'!J$86,Calculations!$AT74,"")</f>
        <v/>
      </c>
      <c r="K101" s="17" t="str">
        <f>IF(Calculations!$BQ74='Macro References'!K$86,Calculations!$AT74,"")</f>
        <v/>
      </c>
      <c r="L101" s="17" t="str">
        <f>IF(Calculations!$BQ74='Macro References'!L$86,Calculations!$AT74,"")</f>
        <v/>
      </c>
      <c r="M101" s="17" t="str">
        <f>IF(Calculations!$BQ74='Macro References'!M$86,Calculations!$AT74,"")</f>
        <v/>
      </c>
      <c r="N101" s="17" t="str">
        <f>IF(Calculations!$BQ74='Macro References'!N$86,Calculations!$AT74,"")</f>
        <v/>
      </c>
      <c r="O101" s="17" t="str">
        <f>IF(Calculations!$BQ74='Macro References'!O$86,Calculations!$AT74,"")</f>
        <v/>
      </c>
      <c r="P101" s="17" t="str">
        <f>IF(Calculations!$BQ74='Macro References'!P$86,Calculations!$AT74,"")</f>
        <v/>
      </c>
      <c r="Q101" s="17" t="str">
        <f>IF(Calculations!$BQ74='Macro References'!Q$86,Calculations!$AT74,"")</f>
        <v/>
      </c>
      <c r="R101" s="17" t="str">
        <f>IF(Calculations!$BQ74='Macro References'!R$86,Calculations!$AT74,"")</f>
        <v/>
      </c>
      <c r="S101" s="17" t="str">
        <f>IF(Calculations!$BQ74='Macro References'!S$86,Calculations!$AT74,"")</f>
        <v/>
      </c>
      <c r="T101" s="17" t="str">
        <f>IF(Calculations!$BQ74='Macro References'!T$86,Calculations!$AT74,"")</f>
        <v/>
      </c>
      <c r="U101" s="17" t="str">
        <f>IF(Calculations!$BQ74='Macro References'!U$86,Calculations!$AT74,"")</f>
        <v/>
      </c>
      <c r="V101" s="17" t="str">
        <f>IF(Calculations!$BQ74='Macro References'!V$86,Calculations!$AT74,"")</f>
        <v/>
      </c>
      <c r="W101" s="17" t="str">
        <f>IF(Calculations!$BQ74='Macro References'!W$86,Calculations!$AT74,"")</f>
        <v/>
      </c>
      <c r="X101" s="17" t="str">
        <f>IF(Calculations!$BQ74='Macro References'!X$86,Calculations!$AT74,"")</f>
        <v/>
      </c>
      <c r="Y101" s="17" t="str">
        <f>IF(Calculations!$BQ74='Macro References'!Y$86,Calculations!$AT74,"")</f>
        <v/>
      </c>
      <c r="Z101" s="17" t="str">
        <f>IF(Calculations!$BQ74='Macro References'!Z$86,Calculations!$AT74,"")</f>
        <v/>
      </c>
      <c r="AA101" s="17" t="str">
        <f>IF(Calculations!$BQ74='Macro References'!AA$86,Calculations!$AT74,"")</f>
        <v/>
      </c>
      <c r="AB101" s="17" t="str">
        <f>IF(Calculations!$BQ74='Macro References'!AB$86,Calculations!$AT74,"")</f>
        <v/>
      </c>
      <c r="AC101" s="17" t="str">
        <f>IF(Calculations!$BQ74='Macro References'!AC$86,Calculations!$AT74,"")</f>
        <v/>
      </c>
      <c r="AD101" s="17" t="str">
        <f>IF(Calculations!$BQ74='Macro References'!AD$86,Calculations!$AT74,"")</f>
        <v/>
      </c>
      <c r="AE101" s="17" t="str">
        <f>IF(Calculations!$BQ74='Macro References'!AE$86,Calculations!$AT74,"")</f>
        <v/>
      </c>
      <c r="BA101">
        <v>1</v>
      </c>
      <c r="BB101" t="e">
        <f>VLOOKUP(BA101,Results!$C$5:$H$104,5,FALSE)</f>
        <v>#N/A</v>
      </c>
      <c r="BC101">
        <f>BA101</f>
        <v>1</v>
      </c>
    </row>
    <row r="102" spans="1:55" x14ac:dyDescent="0.2">
      <c r="A102">
        <v>16</v>
      </c>
      <c r="B102" s="17" t="str">
        <f>IF(Calculations!$BQ75='Macro References'!B$86,Calculations!$AT75,"")</f>
        <v/>
      </c>
      <c r="C102" s="17" t="str">
        <f>IF(Calculations!$BQ75='Macro References'!C$86,Calculations!$AT75,"")</f>
        <v/>
      </c>
      <c r="D102" s="17" t="str">
        <f>IF(Calculations!$BQ75='Macro References'!D$86,Calculations!$AT75,"")</f>
        <v/>
      </c>
      <c r="E102" s="17" t="str">
        <f>IF(Calculations!$BQ75='Macro References'!E$86,Calculations!$AT75,"")</f>
        <v/>
      </c>
      <c r="F102" s="17" t="str">
        <f>IF(Calculations!$BQ75='Macro References'!F$86,Calculations!$AT75,"")</f>
        <v/>
      </c>
      <c r="G102" s="17" t="str">
        <f>IF(Calculations!$BQ75='Macro References'!G$86,Calculations!$AT75,"")</f>
        <v/>
      </c>
      <c r="H102" s="17" t="str">
        <f>IF(Calculations!$BQ75='Macro References'!H$86,Calculations!$AT75,"")</f>
        <v/>
      </c>
      <c r="I102" s="17" t="str">
        <f>IF(Calculations!$BQ75='Macro References'!I$86,Calculations!$AT75,"")</f>
        <v/>
      </c>
      <c r="J102" s="17" t="str">
        <f>IF(Calculations!$BQ75='Macro References'!J$86,Calculations!$AT75,"")</f>
        <v/>
      </c>
      <c r="K102" s="17" t="str">
        <f>IF(Calculations!$BQ75='Macro References'!K$86,Calculations!$AT75,"")</f>
        <v/>
      </c>
      <c r="L102" s="17" t="str">
        <f>IF(Calculations!$BQ75='Macro References'!L$86,Calculations!$AT75,"")</f>
        <v/>
      </c>
      <c r="M102" s="17" t="str">
        <f>IF(Calculations!$BQ75='Macro References'!M$86,Calculations!$AT75,"")</f>
        <v/>
      </c>
      <c r="N102" s="17" t="str">
        <f>IF(Calculations!$BQ75='Macro References'!N$86,Calculations!$AT75,"")</f>
        <v/>
      </c>
      <c r="O102" s="17" t="str">
        <f>IF(Calculations!$BQ75='Macro References'!O$86,Calculations!$AT75,"")</f>
        <v/>
      </c>
      <c r="P102" s="17" t="str">
        <f>IF(Calculations!$BQ75='Macro References'!P$86,Calculations!$AT75,"")</f>
        <v/>
      </c>
      <c r="Q102" s="17" t="str">
        <f>IF(Calculations!$BQ75='Macro References'!Q$86,Calculations!$AT75,"")</f>
        <v/>
      </c>
      <c r="R102" s="17" t="str">
        <f>IF(Calculations!$BQ75='Macro References'!R$86,Calculations!$AT75,"")</f>
        <v/>
      </c>
      <c r="S102" s="17" t="str">
        <f>IF(Calculations!$BQ75='Macro References'!S$86,Calculations!$AT75,"")</f>
        <v/>
      </c>
      <c r="T102" s="17" t="str">
        <f>IF(Calculations!$BQ75='Macro References'!T$86,Calculations!$AT75,"")</f>
        <v/>
      </c>
      <c r="U102" s="17" t="str">
        <f>IF(Calculations!$BQ75='Macro References'!U$86,Calculations!$AT75,"")</f>
        <v/>
      </c>
      <c r="V102" s="17" t="str">
        <f>IF(Calculations!$BQ75='Macro References'!V$86,Calculations!$AT75,"")</f>
        <v/>
      </c>
      <c r="W102" s="17" t="str">
        <f>IF(Calculations!$BQ75='Macro References'!W$86,Calculations!$AT75,"")</f>
        <v/>
      </c>
      <c r="X102" s="17" t="str">
        <f>IF(Calculations!$BQ75='Macro References'!X$86,Calculations!$AT75,"")</f>
        <v/>
      </c>
      <c r="Y102" s="17" t="str">
        <f>IF(Calculations!$BQ75='Macro References'!Y$86,Calculations!$AT75,"")</f>
        <v/>
      </c>
      <c r="Z102" s="17" t="str">
        <f>IF(Calculations!$BQ75='Macro References'!Z$86,Calculations!$AT75,"")</f>
        <v/>
      </c>
      <c r="AA102" s="17" t="str">
        <f>IF(Calculations!$BQ75='Macro References'!AA$86,Calculations!$AT75,"")</f>
        <v/>
      </c>
      <c r="AB102" s="17" t="str">
        <f>IF(Calculations!$BQ75='Macro References'!AB$86,Calculations!$AT75,"")</f>
        <v/>
      </c>
      <c r="AC102" s="17" t="str">
        <f>IF(Calculations!$BQ75='Macro References'!AC$86,Calculations!$AT75,"")</f>
        <v/>
      </c>
      <c r="AD102" s="17" t="str">
        <f>IF(Calculations!$BQ75='Macro References'!AD$86,Calculations!$AT75,"")</f>
        <v/>
      </c>
      <c r="AE102" s="17" t="str">
        <f>IF(Calculations!$BQ75='Macro References'!AE$86,Calculations!$AT75,"")</f>
        <v/>
      </c>
    </row>
    <row r="103" spans="1:55" x14ac:dyDescent="0.2">
      <c r="A103">
        <v>17</v>
      </c>
      <c r="B103" s="17" t="str">
        <f>IF(Calculations!$BQ76='Macro References'!B$86,Calculations!$AT76,"")</f>
        <v/>
      </c>
      <c r="C103" s="17" t="str">
        <f>IF(Calculations!$BQ76='Macro References'!C$86,Calculations!$AT76,"")</f>
        <v/>
      </c>
      <c r="D103" s="17" t="str">
        <f>IF(Calculations!$BQ76='Macro References'!D$86,Calculations!$AT76,"")</f>
        <v/>
      </c>
      <c r="E103" s="17" t="str">
        <f>IF(Calculations!$BQ76='Macro References'!E$86,Calculations!$AT76,"")</f>
        <v/>
      </c>
      <c r="F103" s="17" t="str">
        <f>IF(Calculations!$BQ76='Macro References'!F$86,Calculations!$AT76,"")</f>
        <v/>
      </c>
      <c r="G103" s="17" t="str">
        <f>IF(Calculations!$BQ76='Macro References'!G$86,Calculations!$AT76,"")</f>
        <v/>
      </c>
      <c r="H103" s="17" t="str">
        <f>IF(Calculations!$BQ76='Macro References'!H$86,Calculations!$AT76,"")</f>
        <v/>
      </c>
      <c r="I103" s="17" t="str">
        <f>IF(Calculations!$BQ76='Macro References'!I$86,Calculations!$AT76,"")</f>
        <v/>
      </c>
      <c r="J103" s="17" t="str">
        <f>IF(Calculations!$BQ76='Macro References'!J$86,Calculations!$AT76,"")</f>
        <v/>
      </c>
      <c r="K103" s="17" t="str">
        <f>IF(Calculations!$BQ76='Macro References'!K$86,Calculations!$AT76,"")</f>
        <v/>
      </c>
      <c r="L103" s="17" t="str">
        <f>IF(Calculations!$BQ76='Macro References'!L$86,Calculations!$AT76,"")</f>
        <v/>
      </c>
      <c r="M103" s="17" t="str">
        <f>IF(Calculations!$BQ76='Macro References'!M$86,Calculations!$AT76,"")</f>
        <v/>
      </c>
      <c r="N103" s="17" t="str">
        <f>IF(Calculations!$BQ76='Macro References'!N$86,Calculations!$AT76,"")</f>
        <v/>
      </c>
      <c r="O103" s="17" t="str">
        <f>IF(Calculations!$BQ76='Macro References'!O$86,Calculations!$AT76,"")</f>
        <v/>
      </c>
      <c r="P103" s="17" t="str">
        <f>IF(Calculations!$BQ76='Macro References'!P$86,Calculations!$AT76,"")</f>
        <v/>
      </c>
      <c r="Q103" s="17" t="str">
        <f>IF(Calculations!$BQ76='Macro References'!Q$86,Calculations!$AT76,"")</f>
        <v/>
      </c>
      <c r="R103" s="17" t="str">
        <f>IF(Calculations!$BQ76='Macro References'!R$86,Calculations!$AT76,"")</f>
        <v/>
      </c>
      <c r="S103" s="17" t="str">
        <f>IF(Calculations!$BQ76='Macro References'!S$86,Calculations!$AT76,"")</f>
        <v/>
      </c>
      <c r="T103" s="17" t="str">
        <f>IF(Calculations!$BQ76='Macro References'!T$86,Calculations!$AT76,"")</f>
        <v/>
      </c>
      <c r="U103" s="17" t="str">
        <f>IF(Calculations!$BQ76='Macro References'!U$86,Calculations!$AT76,"")</f>
        <v/>
      </c>
      <c r="V103" s="17" t="str">
        <f>IF(Calculations!$BQ76='Macro References'!V$86,Calculations!$AT76,"")</f>
        <v/>
      </c>
      <c r="W103" s="17" t="str">
        <f>IF(Calculations!$BQ76='Macro References'!W$86,Calculations!$AT76,"")</f>
        <v/>
      </c>
      <c r="X103" s="17" t="str">
        <f>IF(Calculations!$BQ76='Macro References'!X$86,Calculations!$AT76,"")</f>
        <v/>
      </c>
      <c r="Y103" s="17" t="str">
        <f>IF(Calculations!$BQ76='Macro References'!Y$86,Calculations!$AT76,"")</f>
        <v/>
      </c>
      <c r="Z103" s="17" t="str">
        <f>IF(Calculations!$BQ76='Macro References'!Z$86,Calculations!$AT76,"")</f>
        <v/>
      </c>
      <c r="AA103" s="17" t="str">
        <f>IF(Calculations!$BQ76='Macro References'!AA$86,Calculations!$AT76,"")</f>
        <v/>
      </c>
      <c r="AB103" s="17" t="str">
        <f>IF(Calculations!$BQ76='Macro References'!AB$86,Calculations!$AT76,"")</f>
        <v/>
      </c>
      <c r="AC103" s="17" t="str">
        <f>IF(Calculations!$BQ76='Macro References'!AC$86,Calculations!$AT76,"")</f>
        <v/>
      </c>
      <c r="AD103" s="17" t="str">
        <f>IF(Calculations!$BQ76='Macro References'!AD$86,Calculations!$AT76,"")</f>
        <v/>
      </c>
      <c r="AE103" s="17" t="str">
        <f>IF(Calculations!$BQ76='Macro References'!AE$86,Calculations!$AT76,"")</f>
        <v/>
      </c>
    </row>
    <row r="104" spans="1:55" x14ac:dyDescent="0.2">
      <c r="A104">
        <v>18</v>
      </c>
      <c r="B104" s="17" t="str">
        <f>IF(Calculations!$BQ77='Macro References'!B$86,Calculations!$AT77,"")</f>
        <v/>
      </c>
      <c r="C104" s="17" t="str">
        <f>IF(Calculations!$BQ77='Macro References'!C$86,Calculations!$AT77,"")</f>
        <v/>
      </c>
      <c r="D104" s="17" t="str">
        <f>IF(Calculations!$BQ77='Macro References'!D$86,Calculations!$AT77,"")</f>
        <v/>
      </c>
      <c r="E104" s="17" t="str">
        <f>IF(Calculations!$BQ77='Macro References'!E$86,Calculations!$AT77,"")</f>
        <v/>
      </c>
      <c r="F104" s="17" t="str">
        <f>IF(Calculations!$BQ77='Macro References'!F$86,Calculations!$AT77,"")</f>
        <v/>
      </c>
      <c r="G104" s="17" t="str">
        <f>IF(Calculations!$BQ77='Macro References'!G$86,Calculations!$AT77,"")</f>
        <v/>
      </c>
      <c r="H104" s="17" t="str">
        <f>IF(Calculations!$BQ77='Macro References'!H$86,Calculations!$AT77,"")</f>
        <v/>
      </c>
      <c r="I104" s="17" t="str">
        <f>IF(Calculations!$BQ77='Macro References'!I$86,Calculations!$AT77,"")</f>
        <v/>
      </c>
      <c r="J104" s="17" t="str">
        <f>IF(Calculations!$BQ77='Macro References'!J$86,Calculations!$AT77,"")</f>
        <v/>
      </c>
      <c r="K104" s="17" t="str">
        <f>IF(Calculations!$BQ77='Macro References'!K$86,Calculations!$AT77,"")</f>
        <v/>
      </c>
      <c r="L104" s="17" t="str">
        <f>IF(Calculations!$BQ77='Macro References'!L$86,Calculations!$AT77,"")</f>
        <v/>
      </c>
      <c r="M104" s="17" t="str">
        <f>IF(Calculations!$BQ77='Macro References'!M$86,Calculations!$AT77,"")</f>
        <v/>
      </c>
      <c r="N104" s="17" t="str">
        <f>IF(Calculations!$BQ77='Macro References'!N$86,Calculations!$AT77,"")</f>
        <v/>
      </c>
      <c r="O104" s="17" t="str">
        <f>IF(Calculations!$BQ77='Macro References'!O$86,Calculations!$AT77,"")</f>
        <v/>
      </c>
      <c r="P104" s="17" t="str">
        <f>IF(Calculations!$BQ77='Macro References'!P$86,Calculations!$AT77,"")</f>
        <v/>
      </c>
      <c r="Q104" s="17" t="str">
        <f>IF(Calculations!$BQ77='Macro References'!Q$86,Calculations!$AT77,"")</f>
        <v/>
      </c>
      <c r="R104" s="17" t="str">
        <f>IF(Calculations!$BQ77='Macro References'!R$86,Calculations!$AT77,"")</f>
        <v/>
      </c>
      <c r="S104" s="17" t="str">
        <f>IF(Calculations!$BQ77='Macro References'!S$86,Calculations!$AT77,"")</f>
        <v/>
      </c>
      <c r="T104" s="17" t="str">
        <f>IF(Calculations!$BQ77='Macro References'!T$86,Calculations!$AT77,"")</f>
        <v/>
      </c>
      <c r="U104" s="17" t="str">
        <f>IF(Calculations!$BQ77='Macro References'!U$86,Calculations!$AT77,"")</f>
        <v/>
      </c>
      <c r="V104" s="17" t="str">
        <f>IF(Calculations!$BQ77='Macro References'!V$86,Calculations!$AT77,"")</f>
        <v/>
      </c>
      <c r="W104" s="17" t="str">
        <f>IF(Calculations!$BQ77='Macro References'!W$86,Calculations!$AT77,"")</f>
        <v/>
      </c>
      <c r="X104" s="17" t="str">
        <f>IF(Calculations!$BQ77='Macro References'!X$86,Calculations!$AT77,"")</f>
        <v/>
      </c>
      <c r="Y104" s="17" t="str">
        <f>IF(Calculations!$BQ77='Macro References'!Y$86,Calculations!$AT77,"")</f>
        <v/>
      </c>
      <c r="Z104" s="17" t="str">
        <f>IF(Calculations!$BQ77='Macro References'!Z$86,Calculations!$AT77,"")</f>
        <v/>
      </c>
      <c r="AA104" s="17" t="str">
        <f>IF(Calculations!$BQ77='Macro References'!AA$86,Calculations!$AT77,"")</f>
        <v/>
      </c>
      <c r="AB104" s="17" t="str">
        <f>IF(Calculations!$BQ77='Macro References'!AB$86,Calculations!$AT77,"")</f>
        <v/>
      </c>
      <c r="AC104" s="17" t="str">
        <f>IF(Calculations!$BQ77='Macro References'!AC$86,Calculations!$AT77,"")</f>
        <v/>
      </c>
      <c r="AD104" s="17" t="str">
        <f>IF(Calculations!$BQ77='Macro References'!AD$86,Calculations!$AT77,"")</f>
        <v/>
      </c>
      <c r="AE104" s="17" t="str">
        <f>IF(Calculations!$BQ77='Macro References'!AE$86,Calculations!$AT77,"")</f>
        <v/>
      </c>
    </row>
    <row r="106" spans="1:55" x14ac:dyDescent="0.2">
      <c r="A106">
        <v>1</v>
      </c>
      <c r="B106" s="17" t="str">
        <f>IF(Calculations!$BQ79='Macro References'!B$86,Calculations!$AT79,"")</f>
        <v/>
      </c>
      <c r="C106" s="17" t="str">
        <f>IF(Calculations!$BQ79='Macro References'!C$86,Calculations!$AT79,"")</f>
        <v/>
      </c>
      <c r="D106" s="17" t="str">
        <f>IF(Calculations!$BQ79='Macro References'!D$86,Calculations!$AT79,"")</f>
        <v/>
      </c>
      <c r="E106" s="17" t="str">
        <f>IF(Calculations!$BQ79='Macro References'!E$86,Calculations!$AT79,"")</f>
        <v/>
      </c>
      <c r="F106" s="17" t="str">
        <f>IF(Calculations!$BQ79='Macro References'!F$86,Calculations!$AT79,"")</f>
        <v/>
      </c>
      <c r="G106" s="17" t="str">
        <f>IF(Calculations!$BQ79='Macro References'!G$86,Calculations!$AT79,"")</f>
        <v/>
      </c>
      <c r="H106" s="17" t="str">
        <f>IF(Calculations!$BQ79='Macro References'!H$86,Calculations!$AT79,"")</f>
        <v/>
      </c>
      <c r="I106" s="17" t="str">
        <f>IF(Calculations!$BQ79='Macro References'!I$86,Calculations!$AT79,"")</f>
        <v/>
      </c>
      <c r="J106" s="17" t="str">
        <f>IF(Calculations!$BQ79='Macro References'!J$86,Calculations!$AT79,"")</f>
        <v/>
      </c>
      <c r="K106" s="17" t="str">
        <f>IF(Calculations!$BQ79='Macro References'!K$86,Calculations!$AT79,"")</f>
        <v/>
      </c>
      <c r="L106" s="17" t="str">
        <f>IF(Calculations!$BQ79='Macro References'!L$86,Calculations!$AT79,"")</f>
        <v/>
      </c>
      <c r="M106" s="17" t="str">
        <f>IF(Calculations!$BQ79='Macro References'!M$86,Calculations!$AT79,"")</f>
        <v/>
      </c>
      <c r="N106" s="17" t="str">
        <f>IF(Calculations!$BQ79='Macro References'!N$86,Calculations!$AT79,"")</f>
        <v/>
      </c>
      <c r="O106" s="17" t="str">
        <f>IF(Calculations!$BQ79='Macro References'!O$86,Calculations!$AT79,"")</f>
        <v/>
      </c>
      <c r="P106" s="17" t="str">
        <f>IF(Calculations!$BQ79='Macro References'!P$86,Calculations!$AT79,"")</f>
        <v/>
      </c>
      <c r="Q106" s="17" t="str">
        <f>IF(Calculations!$BQ79='Macro References'!Q$86,Calculations!$AT79,"")</f>
        <v/>
      </c>
      <c r="R106" s="17" t="str">
        <f>IF(Calculations!$BQ79='Macro References'!R$86,Calculations!$AT79,"")</f>
        <v/>
      </c>
      <c r="S106" s="17" t="str">
        <f>IF(Calculations!$BQ79='Macro References'!S$86,Calculations!$AT79,"")</f>
        <v/>
      </c>
      <c r="T106" s="17" t="str">
        <f>IF(Calculations!$BQ79='Macro References'!T$86,Calculations!$AT79,"")</f>
        <v/>
      </c>
      <c r="U106" s="17" t="str">
        <f>IF(Calculations!$BQ79='Macro References'!U$86,Calculations!$AT79,"")</f>
        <v/>
      </c>
      <c r="V106" s="17" t="str">
        <f>IF(Calculations!$BQ79='Macro References'!V$86,Calculations!$AT79,"")</f>
        <v/>
      </c>
      <c r="W106" s="17" t="str">
        <f>IF(Calculations!$BQ79='Macro References'!W$86,Calculations!$AT79,"")</f>
        <v/>
      </c>
      <c r="X106" s="17" t="str">
        <f>IF(Calculations!$BQ79='Macro References'!X$86,Calculations!$AT79,"")</f>
        <v/>
      </c>
      <c r="Y106" s="17" t="str">
        <f>IF(Calculations!$BQ79='Macro References'!Y$86,Calculations!$AT79,"")</f>
        <v/>
      </c>
      <c r="Z106" s="17" t="str">
        <f>IF(Calculations!$BQ79='Macro References'!Z$86,Calculations!$AT79,"")</f>
        <v/>
      </c>
      <c r="AA106" s="17" t="str">
        <f>IF(Calculations!$BQ79='Macro References'!AA$86,Calculations!$AT79,"")</f>
        <v/>
      </c>
      <c r="AB106" s="17" t="str">
        <f>IF(Calculations!$BQ79='Macro References'!AB$86,Calculations!$AT79,"")</f>
        <v/>
      </c>
      <c r="AC106" s="17" t="str">
        <f>IF(Calculations!$BQ79='Macro References'!AC$86,Calculations!$AT79,"")</f>
        <v/>
      </c>
      <c r="AD106" s="17" t="str">
        <f>IF(Calculations!$BQ79='Macro References'!AD$86,Calculations!$AT79,"")</f>
        <v/>
      </c>
      <c r="AE106" s="17" t="str">
        <f>IF(Calculations!$BQ79='Macro References'!AE$86,Calculations!$AT79,"")</f>
        <v/>
      </c>
    </row>
    <row r="107" spans="1:55" x14ac:dyDescent="0.2">
      <c r="A107">
        <v>2</v>
      </c>
      <c r="B107" s="17" t="str">
        <f>IF(Calculations!$BQ80='Macro References'!B$86,Calculations!$AT80,"")</f>
        <v/>
      </c>
      <c r="C107" s="17" t="str">
        <f>IF(Calculations!$BQ80='Macro References'!C$86,Calculations!$AT80,"")</f>
        <v/>
      </c>
      <c r="D107" s="17" t="str">
        <f>IF(Calculations!$BQ80='Macro References'!D$86,Calculations!$AT80,"")</f>
        <v/>
      </c>
      <c r="E107" s="17" t="str">
        <f>IF(Calculations!$BQ80='Macro References'!E$86,Calculations!$AT80,"")</f>
        <v/>
      </c>
      <c r="F107" s="17" t="str">
        <f>IF(Calculations!$BQ80='Macro References'!F$86,Calculations!$AT80,"")</f>
        <v/>
      </c>
      <c r="G107" s="17" t="str">
        <f>IF(Calculations!$BQ80='Macro References'!G$86,Calculations!$AT80,"")</f>
        <v/>
      </c>
      <c r="H107" s="17" t="str">
        <f>IF(Calculations!$BQ80='Macro References'!H$86,Calculations!$AT80,"")</f>
        <v/>
      </c>
      <c r="I107" s="17" t="str">
        <f>IF(Calculations!$BQ80='Macro References'!I$86,Calculations!$AT80,"")</f>
        <v/>
      </c>
      <c r="J107" s="17" t="str">
        <f>IF(Calculations!$BQ80='Macro References'!J$86,Calculations!$AT80,"")</f>
        <v/>
      </c>
      <c r="K107" s="17" t="str">
        <f>IF(Calculations!$BQ80='Macro References'!K$86,Calculations!$AT80,"")</f>
        <v/>
      </c>
      <c r="L107" s="17" t="str">
        <f>IF(Calculations!$BQ80='Macro References'!L$86,Calculations!$AT80,"")</f>
        <v/>
      </c>
      <c r="M107" s="17" t="str">
        <f>IF(Calculations!$BQ80='Macro References'!M$86,Calculations!$AT80,"")</f>
        <v/>
      </c>
      <c r="N107" s="17" t="str">
        <f>IF(Calculations!$BQ80='Macro References'!N$86,Calculations!$AT80,"")</f>
        <v/>
      </c>
      <c r="O107" s="17" t="str">
        <f>IF(Calculations!$BQ80='Macro References'!O$86,Calculations!$AT80,"")</f>
        <v/>
      </c>
      <c r="P107" s="17" t="str">
        <f>IF(Calculations!$BQ80='Macro References'!P$86,Calculations!$AT80,"")</f>
        <v/>
      </c>
      <c r="Q107" s="17" t="str">
        <f>IF(Calculations!$BQ80='Macro References'!Q$86,Calculations!$AT80,"")</f>
        <v/>
      </c>
      <c r="R107" s="17" t="str">
        <f>IF(Calculations!$BQ80='Macro References'!R$86,Calculations!$AT80,"")</f>
        <v/>
      </c>
      <c r="S107" s="17" t="str">
        <f>IF(Calculations!$BQ80='Macro References'!S$86,Calculations!$AT80,"")</f>
        <v/>
      </c>
      <c r="T107" s="17" t="str">
        <f>IF(Calculations!$BQ80='Macro References'!T$86,Calculations!$AT80,"")</f>
        <v/>
      </c>
      <c r="U107" s="17" t="str">
        <f>IF(Calculations!$BQ80='Macro References'!U$86,Calculations!$AT80,"")</f>
        <v/>
      </c>
      <c r="V107" s="17" t="str">
        <f>IF(Calculations!$BQ80='Macro References'!V$86,Calculations!$AT80,"")</f>
        <v/>
      </c>
      <c r="W107" s="17" t="str">
        <f>IF(Calculations!$BQ80='Macro References'!W$86,Calculations!$AT80,"")</f>
        <v/>
      </c>
      <c r="X107" s="17" t="str">
        <f>IF(Calculations!$BQ80='Macro References'!X$86,Calculations!$AT80,"")</f>
        <v/>
      </c>
      <c r="Y107" s="17" t="str">
        <f>IF(Calculations!$BQ80='Macro References'!Y$86,Calculations!$AT80,"")</f>
        <v/>
      </c>
      <c r="Z107" s="17" t="str">
        <f>IF(Calculations!$BQ80='Macro References'!Z$86,Calculations!$AT80,"")</f>
        <v/>
      </c>
      <c r="AA107" s="17" t="str">
        <f>IF(Calculations!$BQ80='Macro References'!AA$86,Calculations!$AT80,"")</f>
        <v/>
      </c>
      <c r="AB107" s="17" t="str">
        <f>IF(Calculations!$BQ80='Macro References'!AB$86,Calculations!$AT80,"")</f>
        <v/>
      </c>
      <c r="AC107" s="17" t="str">
        <f>IF(Calculations!$BQ80='Macro References'!AC$86,Calculations!$AT80,"")</f>
        <v/>
      </c>
      <c r="AD107" s="17" t="str">
        <f>IF(Calculations!$BQ80='Macro References'!AD$86,Calculations!$AT80,"")</f>
        <v/>
      </c>
      <c r="AE107" s="17" t="str">
        <f>IF(Calculations!$BQ80='Macro References'!AE$86,Calculations!$AT80,"")</f>
        <v/>
      </c>
    </row>
    <row r="108" spans="1:55" x14ac:dyDescent="0.2">
      <c r="A108">
        <v>3</v>
      </c>
      <c r="B108" s="17" t="str">
        <f>IF(Calculations!$BQ81='Macro References'!B$86,Calculations!$AT81,"")</f>
        <v/>
      </c>
      <c r="C108" s="17" t="str">
        <f>IF(Calculations!$BQ81='Macro References'!C$86,Calculations!$AT81,"")</f>
        <v/>
      </c>
      <c r="D108" s="17" t="str">
        <f>IF(Calculations!$BQ81='Macro References'!D$86,Calculations!$AT81,"")</f>
        <v/>
      </c>
      <c r="E108" s="17" t="str">
        <f>IF(Calculations!$BQ81='Macro References'!E$86,Calculations!$AT81,"")</f>
        <v/>
      </c>
      <c r="F108" s="17" t="str">
        <f>IF(Calculations!$BQ81='Macro References'!F$86,Calculations!$AT81,"")</f>
        <v/>
      </c>
      <c r="G108" s="17" t="str">
        <f>IF(Calculations!$BQ81='Macro References'!G$86,Calculations!$AT81,"")</f>
        <v/>
      </c>
      <c r="H108" s="17" t="str">
        <f>IF(Calculations!$BQ81='Macro References'!H$86,Calculations!$AT81,"")</f>
        <v/>
      </c>
      <c r="I108" s="17" t="str">
        <f>IF(Calculations!$BQ81='Macro References'!I$86,Calculations!$AT81,"")</f>
        <v/>
      </c>
      <c r="J108" s="17" t="str">
        <f>IF(Calculations!$BQ81='Macro References'!J$86,Calculations!$AT81,"")</f>
        <v/>
      </c>
      <c r="K108" s="17" t="str">
        <f>IF(Calculations!$BQ81='Macro References'!K$86,Calculations!$AT81,"")</f>
        <v/>
      </c>
      <c r="L108" s="17" t="str">
        <f>IF(Calculations!$BQ81='Macro References'!L$86,Calculations!$AT81,"")</f>
        <v/>
      </c>
      <c r="M108" s="17" t="str">
        <f>IF(Calculations!$BQ81='Macro References'!M$86,Calculations!$AT81,"")</f>
        <v/>
      </c>
      <c r="N108" s="17" t="str">
        <f>IF(Calculations!$BQ81='Macro References'!N$86,Calculations!$AT81,"")</f>
        <v/>
      </c>
      <c r="O108" s="17" t="str">
        <f>IF(Calculations!$BQ81='Macro References'!O$86,Calculations!$AT81,"")</f>
        <v/>
      </c>
      <c r="P108" s="17" t="str">
        <f>IF(Calculations!$BQ81='Macro References'!P$86,Calculations!$AT81,"")</f>
        <v/>
      </c>
      <c r="Q108" s="17" t="str">
        <f>IF(Calculations!$BQ81='Macro References'!Q$86,Calculations!$AT81,"")</f>
        <v/>
      </c>
      <c r="R108" s="17" t="str">
        <f>IF(Calculations!$BQ81='Macro References'!R$86,Calculations!$AT81,"")</f>
        <v/>
      </c>
      <c r="S108" s="17" t="str">
        <f>IF(Calculations!$BQ81='Macro References'!S$86,Calculations!$AT81,"")</f>
        <v/>
      </c>
      <c r="T108" s="17" t="str">
        <f>IF(Calculations!$BQ81='Macro References'!T$86,Calculations!$AT81,"")</f>
        <v/>
      </c>
      <c r="U108" s="17" t="str">
        <f>IF(Calculations!$BQ81='Macro References'!U$86,Calculations!$AT81,"")</f>
        <v/>
      </c>
      <c r="V108" s="17" t="str">
        <f>IF(Calculations!$BQ81='Macro References'!V$86,Calculations!$AT81,"")</f>
        <v/>
      </c>
      <c r="W108" s="17" t="str">
        <f>IF(Calculations!$BQ81='Macro References'!W$86,Calculations!$AT81,"")</f>
        <v/>
      </c>
      <c r="X108" s="17" t="str">
        <f>IF(Calculations!$BQ81='Macro References'!X$86,Calculations!$AT81,"")</f>
        <v/>
      </c>
      <c r="Y108" s="17" t="str">
        <f>IF(Calculations!$BQ81='Macro References'!Y$86,Calculations!$AT81,"")</f>
        <v/>
      </c>
      <c r="Z108" s="17" t="str">
        <f>IF(Calculations!$BQ81='Macro References'!Z$86,Calculations!$AT81,"")</f>
        <v/>
      </c>
      <c r="AA108" s="17" t="str">
        <f>IF(Calculations!$BQ81='Macro References'!AA$86,Calculations!$AT81,"")</f>
        <v/>
      </c>
      <c r="AB108" s="17" t="str">
        <f>IF(Calculations!$BQ81='Macro References'!AB$86,Calculations!$AT81,"")</f>
        <v/>
      </c>
      <c r="AC108" s="17" t="str">
        <f>IF(Calculations!$BQ81='Macro References'!AC$86,Calculations!$AT81,"")</f>
        <v/>
      </c>
      <c r="AD108" s="17" t="str">
        <f>IF(Calculations!$BQ81='Macro References'!AD$86,Calculations!$AT81,"")</f>
        <v/>
      </c>
      <c r="AE108" s="17" t="str">
        <f>IF(Calculations!$BQ81='Macro References'!AE$86,Calculations!$AT81,"")</f>
        <v/>
      </c>
    </row>
    <row r="109" spans="1:55" x14ac:dyDescent="0.2">
      <c r="A109">
        <v>4</v>
      </c>
      <c r="B109" s="17" t="str">
        <f>IF(Calculations!$BQ82='Macro References'!B$86,Calculations!$AT82,"")</f>
        <v/>
      </c>
      <c r="C109" s="17" t="str">
        <f>IF(Calculations!$BQ82='Macro References'!C$86,Calculations!$AT82,"")</f>
        <v/>
      </c>
      <c r="D109" s="17" t="str">
        <f>IF(Calculations!$BQ82='Macro References'!D$86,Calculations!$AT82,"")</f>
        <v/>
      </c>
      <c r="E109" s="17" t="str">
        <f>IF(Calculations!$BQ82='Macro References'!E$86,Calculations!$AT82,"")</f>
        <v/>
      </c>
      <c r="F109" s="17" t="str">
        <f>IF(Calculations!$BQ82='Macro References'!F$86,Calculations!$AT82,"")</f>
        <v/>
      </c>
      <c r="G109" s="17" t="str">
        <f>IF(Calculations!$BQ82='Macro References'!G$86,Calculations!$AT82,"")</f>
        <v/>
      </c>
      <c r="H109" s="17" t="str">
        <f>IF(Calculations!$BQ82='Macro References'!H$86,Calculations!$AT82,"")</f>
        <v/>
      </c>
      <c r="I109" s="17" t="str">
        <f>IF(Calculations!$BQ82='Macro References'!I$86,Calculations!$AT82,"")</f>
        <v/>
      </c>
      <c r="J109" s="17" t="str">
        <f>IF(Calculations!$BQ82='Macro References'!J$86,Calculations!$AT82,"")</f>
        <v/>
      </c>
      <c r="K109" s="17" t="str">
        <f>IF(Calculations!$BQ82='Macro References'!K$86,Calculations!$AT82,"")</f>
        <v/>
      </c>
      <c r="L109" s="17" t="str">
        <f>IF(Calculations!$BQ82='Macro References'!L$86,Calculations!$AT82,"")</f>
        <v/>
      </c>
      <c r="M109" s="17" t="str">
        <f>IF(Calculations!$BQ82='Macro References'!M$86,Calculations!$AT82,"")</f>
        <v/>
      </c>
      <c r="N109" s="17" t="str">
        <f>IF(Calculations!$BQ82='Macro References'!N$86,Calculations!$AT82,"")</f>
        <v/>
      </c>
      <c r="O109" s="17" t="str">
        <f>IF(Calculations!$BQ82='Macro References'!O$86,Calculations!$AT82,"")</f>
        <v/>
      </c>
      <c r="P109" s="17" t="str">
        <f>IF(Calculations!$BQ82='Macro References'!P$86,Calculations!$AT82,"")</f>
        <v/>
      </c>
      <c r="Q109" s="17" t="str">
        <f>IF(Calculations!$BQ82='Macro References'!Q$86,Calculations!$AT82,"")</f>
        <v/>
      </c>
      <c r="R109" s="17" t="str">
        <f>IF(Calculations!$BQ82='Macro References'!R$86,Calculations!$AT82,"")</f>
        <v/>
      </c>
      <c r="S109" s="17" t="str">
        <f>IF(Calculations!$BQ82='Macro References'!S$86,Calculations!$AT82,"")</f>
        <v/>
      </c>
      <c r="T109" s="17" t="str">
        <f>IF(Calculations!$BQ82='Macro References'!T$86,Calculations!$AT82,"")</f>
        <v/>
      </c>
      <c r="U109" s="17" t="str">
        <f>IF(Calculations!$BQ82='Macro References'!U$86,Calculations!$AT82,"")</f>
        <v/>
      </c>
      <c r="V109" s="17" t="str">
        <f>IF(Calculations!$BQ82='Macro References'!V$86,Calculations!$AT82,"")</f>
        <v/>
      </c>
      <c r="W109" s="17" t="str">
        <f>IF(Calculations!$BQ82='Macro References'!W$86,Calculations!$AT82,"")</f>
        <v/>
      </c>
      <c r="X109" s="17" t="str">
        <f>IF(Calculations!$BQ82='Macro References'!X$86,Calculations!$AT82,"")</f>
        <v/>
      </c>
      <c r="Y109" s="17" t="str">
        <f>IF(Calculations!$BQ82='Macro References'!Y$86,Calculations!$AT82,"")</f>
        <v/>
      </c>
      <c r="Z109" s="17" t="str">
        <f>IF(Calculations!$BQ82='Macro References'!Z$86,Calculations!$AT82,"")</f>
        <v/>
      </c>
      <c r="AA109" s="17" t="str">
        <f>IF(Calculations!$BQ82='Macro References'!AA$86,Calculations!$AT82,"")</f>
        <v/>
      </c>
      <c r="AB109" s="17" t="str">
        <f>IF(Calculations!$BQ82='Macro References'!AB$86,Calculations!$AT82,"")</f>
        <v/>
      </c>
      <c r="AC109" s="17" t="str">
        <f>IF(Calculations!$BQ82='Macro References'!AC$86,Calculations!$AT82,"")</f>
        <v/>
      </c>
      <c r="AD109" s="17" t="str">
        <f>IF(Calculations!$BQ82='Macro References'!AD$86,Calculations!$AT82,"")</f>
        <v/>
      </c>
      <c r="AE109" s="17" t="str">
        <f>IF(Calculations!$BQ82='Macro References'!AE$86,Calculations!$AT82,"")</f>
        <v/>
      </c>
    </row>
    <row r="110" spans="1:55" x14ac:dyDescent="0.2">
      <c r="A110">
        <v>5</v>
      </c>
      <c r="B110" s="17" t="str">
        <f>IF(Calculations!$BQ83='Macro References'!B$86,Calculations!$AT83,"")</f>
        <v/>
      </c>
      <c r="C110" s="17" t="str">
        <f>IF(Calculations!$BQ83='Macro References'!C$86,Calculations!$AT83,"")</f>
        <v/>
      </c>
      <c r="D110" s="17" t="str">
        <f>IF(Calculations!$BQ83='Macro References'!D$86,Calculations!$AT83,"")</f>
        <v/>
      </c>
      <c r="E110" s="17" t="str">
        <f>IF(Calculations!$BQ83='Macro References'!E$86,Calculations!$AT83,"")</f>
        <v/>
      </c>
      <c r="F110" s="17" t="str">
        <f>IF(Calculations!$BQ83='Macro References'!F$86,Calculations!$AT83,"")</f>
        <v/>
      </c>
      <c r="G110" s="17" t="str">
        <f>IF(Calculations!$BQ83='Macro References'!G$86,Calculations!$AT83,"")</f>
        <v/>
      </c>
      <c r="H110" s="17" t="str">
        <f>IF(Calculations!$BQ83='Macro References'!H$86,Calculations!$AT83,"")</f>
        <v/>
      </c>
      <c r="I110" s="17" t="str">
        <f>IF(Calculations!$BQ83='Macro References'!I$86,Calculations!$AT83,"")</f>
        <v/>
      </c>
      <c r="J110" s="17" t="str">
        <f>IF(Calculations!$BQ83='Macro References'!J$86,Calculations!$AT83,"")</f>
        <v/>
      </c>
      <c r="K110" s="17" t="str">
        <f>IF(Calculations!$BQ83='Macro References'!K$86,Calculations!$AT83,"")</f>
        <v/>
      </c>
      <c r="L110" s="17" t="str">
        <f>IF(Calculations!$BQ83='Macro References'!L$86,Calculations!$AT83,"")</f>
        <v/>
      </c>
      <c r="M110" s="17" t="str">
        <f>IF(Calculations!$BQ83='Macro References'!M$86,Calculations!$AT83,"")</f>
        <v/>
      </c>
      <c r="N110" s="17" t="str">
        <f>IF(Calculations!$BQ83='Macro References'!N$86,Calculations!$AT83,"")</f>
        <v/>
      </c>
      <c r="O110" s="17" t="str">
        <f>IF(Calculations!$BQ83='Macro References'!O$86,Calculations!$AT83,"")</f>
        <v/>
      </c>
      <c r="P110" s="17" t="str">
        <f>IF(Calculations!$BQ83='Macro References'!P$86,Calculations!$AT83,"")</f>
        <v/>
      </c>
      <c r="Q110" s="17" t="str">
        <f>IF(Calculations!$BQ83='Macro References'!Q$86,Calculations!$AT83,"")</f>
        <v/>
      </c>
      <c r="R110" s="17" t="str">
        <f>IF(Calculations!$BQ83='Macro References'!R$86,Calculations!$AT83,"")</f>
        <v/>
      </c>
      <c r="S110" s="17" t="str">
        <f>IF(Calculations!$BQ83='Macro References'!S$86,Calculations!$AT83,"")</f>
        <v/>
      </c>
      <c r="T110" s="17" t="str">
        <f>IF(Calculations!$BQ83='Macro References'!T$86,Calculations!$AT83,"")</f>
        <v/>
      </c>
      <c r="U110" s="17" t="str">
        <f>IF(Calculations!$BQ83='Macro References'!U$86,Calculations!$AT83,"")</f>
        <v/>
      </c>
      <c r="V110" s="17" t="str">
        <f>IF(Calculations!$BQ83='Macro References'!V$86,Calculations!$AT83,"")</f>
        <v/>
      </c>
      <c r="W110" s="17" t="str">
        <f>IF(Calculations!$BQ83='Macro References'!W$86,Calculations!$AT83,"")</f>
        <v/>
      </c>
      <c r="X110" s="17" t="str">
        <f>IF(Calculations!$BQ83='Macro References'!X$86,Calculations!$AT83,"")</f>
        <v/>
      </c>
      <c r="Y110" s="17" t="str">
        <f>IF(Calculations!$BQ83='Macro References'!Y$86,Calculations!$AT83,"")</f>
        <v/>
      </c>
      <c r="Z110" s="17" t="str">
        <f>IF(Calculations!$BQ83='Macro References'!Z$86,Calculations!$AT83,"")</f>
        <v/>
      </c>
      <c r="AA110" s="17" t="str">
        <f>IF(Calculations!$BQ83='Macro References'!AA$86,Calculations!$AT83,"")</f>
        <v/>
      </c>
      <c r="AB110" s="17" t="str">
        <f>IF(Calculations!$BQ83='Macro References'!AB$86,Calculations!$AT83,"")</f>
        <v/>
      </c>
      <c r="AC110" s="17" t="str">
        <f>IF(Calculations!$BQ83='Macro References'!AC$86,Calculations!$AT83,"")</f>
        <v/>
      </c>
      <c r="AD110" s="17" t="str">
        <f>IF(Calculations!$BQ83='Macro References'!AD$86,Calculations!$AT83,"")</f>
        <v/>
      </c>
      <c r="AE110" s="17" t="str">
        <f>IF(Calculations!$BQ83='Macro References'!AE$86,Calculations!$AT83,"")</f>
        <v/>
      </c>
    </row>
    <row r="111" spans="1:55" x14ac:dyDescent="0.2">
      <c r="A111">
        <v>6</v>
      </c>
      <c r="B111" s="17" t="str">
        <f>IF(Calculations!$BQ84='Macro References'!B$86,Calculations!$AT84,"")</f>
        <v/>
      </c>
      <c r="C111" s="17" t="str">
        <f>IF(Calculations!$BQ84='Macro References'!C$86,Calculations!$AT84,"")</f>
        <v/>
      </c>
      <c r="D111" s="17" t="str">
        <f>IF(Calculations!$BQ84='Macro References'!D$86,Calculations!$AT84,"")</f>
        <v/>
      </c>
      <c r="E111" s="17" t="str">
        <f>IF(Calculations!$BQ84='Macro References'!E$86,Calculations!$AT84,"")</f>
        <v/>
      </c>
      <c r="F111" s="17" t="str">
        <f>IF(Calculations!$BQ84='Macro References'!F$86,Calculations!$AT84,"")</f>
        <v/>
      </c>
      <c r="G111" s="17" t="str">
        <f>IF(Calculations!$BQ84='Macro References'!G$86,Calculations!$AT84,"")</f>
        <v/>
      </c>
      <c r="H111" s="17" t="str">
        <f>IF(Calculations!$BQ84='Macro References'!H$86,Calculations!$AT84,"")</f>
        <v/>
      </c>
      <c r="I111" s="17" t="str">
        <f>IF(Calculations!$BQ84='Macro References'!I$86,Calculations!$AT84,"")</f>
        <v/>
      </c>
      <c r="J111" s="17" t="str">
        <f>IF(Calculations!$BQ84='Macro References'!J$86,Calculations!$AT84,"")</f>
        <v/>
      </c>
      <c r="K111" s="17" t="str">
        <f>IF(Calculations!$BQ84='Macro References'!K$86,Calculations!$AT84,"")</f>
        <v/>
      </c>
      <c r="L111" s="17" t="str">
        <f>IF(Calculations!$BQ84='Macro References'!L$86,Calculations!$AT84,"")</f>
        <v/>
      </c>
      <c r="M111" s="17" t="str">
        <f>IF(Calculations!$BQ84='Macro References'!M$86,Calculations!$AT84,"")</f>
        <v/>
      </c>
      <c r="N111" s="17" t="str">
        <f>IF(Calculations!$BQ84='Macro References'!N$86,Calculations!$AT84,"")</f>
        <v/>
      </c>
      <c r="O111" s="17" t="str">
        <f>IF(Calculations!$BQ84='Macro References'!O$86,Calculations!$AT84,"")</f>
        <v/>
      </c>
      <c r="P111" s="17" t="str">
        <f>IF(Calculations!$BQ84='Macro References'!P$86,Calculations!$AT84,"")</f>
        <v/>
      </c>
      <c r="Q111" s="17" t="str">
        <f>IF(Calculations!$BQ84='Macro References'!Q$86,Calculations!$AT84,"")</f>
        <v/>
      </c>
      <c r="R111" s="17" t="str">
        <f>IF(Calculations!$BQ84='Macro References'!R$86,Calculations!$AT84,"")</f>
        <v/>
      </c>
      <c r="S111" s="17" t="str">
        <f>IF(Calculations!$BQ84='Macro References'!S$86,Calculations!$AT84,"")</f>
        <v/>
      </c>
      <c r="T111" s="17" t="str">
        <f>IF(Calculations!$BQ84='Macro References'!T$86,Calculations!$AT84,"")</f>
        <v/>
      </c>
      <c r="U111" s="17" t="str">
        <f>IF(Calculations!$BQ84='Macro References'!U$86,Calculations!$AT84,"")</f>
        <v/>
      </c>
      <c r="V111" s="17" t="str">
        <f>IF(Calculations!$BQ84='Macro References'!V$86,Calculations!$AT84,"")</f>
        <v/>
      </c>
      <c r="W111" s="17" t="str">
        <f>IF(Calculations!$BQ84='Macro References'!W$86,Calculations!$AT84,"")</f>
        <v/>
      </c>
      <c r="X111" s="17" t="str">
        <f>IF(Calculations!$BQ84='Macro References'!X$86,Calculations!$AT84,"")</f>
        <v/>
      </c>
      <c r="Y111" s="17" t="str">
        <f>IF(Calculations!$BQ84='Macro References'!Y$86,Calculations!$AT84,"")</f>
        <v/>
      </c>
      <c r="Z111" s="17" t="str">
        <f>IF(Calculations!$BQ84='Macro References'!Z$86,Calculations!$AT84,"")</f>
        <v/>
      </c>
      <c r="AA111" s="17" t="str">
        <f>IF(Calculations!$BQ84='Macro References'!AA$86,Calculations!$AT84,"")</f>
        <v/>
      </c>
      <c r="AB111" s="17" t="str">
        <f>IF(Calculations!$BQ84='Macro References'!AB$86,Calculations!$AT84,"")</f>
        <v/>
      </c>
      <c r="AC111" s="17" t="str">
        <f>IF(Calculations!$BQ84='Macro References'!AC$86,Calculations!$AT84,"")</f>
        <v/>
      </c>
      <c r="AD111" s="17" t="str">
        <f>IF(Calculations!$BQ84='Macro References'!AD$86,Calculations!$AT84,"")</f>
        <v/>
      </c>
      <c r="AE111" s="17" t="str">
        <f>IF(Calculations!$BQ84='Macro References'!AE$86,Calculations!$AT84,"")</f>
        <v/>
      </c>
    </row>
    <row r="112" spans="1:55" x14ac:dyDescent="0.2">
      <c r="A112">
        <v>7</v>
      </c>
      <c r="B112" s="17" t="str">
        <f>IF(Calculations!$BQ85='Macro References'!B$86,Calculations!$AT85,"")</f>
        <v/>
      </c>
      <c r="C112" s="17" t="str">
        <f>IF(Calculations!$BQ85='Macro References'!C$86,Calculations!$AT85,"")</f>
        <v/>
      </c>
      <c r="D112" s="17" t="str">
        <f>IF(Calculations!$BQ85='Macro References'!D$86,Calculations!$AT85,"")</f>
        <v/>
      </c>
      <c r="E112" s="17" t="str">
        <f>IF(Calculations!$BQ85='Macro References'!E$86,Calculations!$AT85,"")</f>
        <v/>
      </c>
      <c r="F112" s="17" t="str">
        <f>IF(Calculations!$BQ85='Macro References'!F$86,Calculations!$AT85,"")</f>
        <v/>
      </c>
      <c r="G112" s="17" t="str">
        <f>IF(Calculations!$BQ85='Macro References'!G$86,Calculations!$AT85,"")</f>
        <v/>
      </c>
      <c r="H112" s="17" t="str">
        <f>IF(Calculations!$BQ85='Macro References'!H$86,Calculations!$AT85,"")</f>
        <v/>
      </c>
      <c r="I112" s="17" t="str">
        <f>IF(Calculations!$BQ85='Macro References'!I$86,Calculations!$AT85,"")</f>
        <v/>
      </c>
      <c r="J112" s="17" t="str">
        <f>IF(Calculations!$BQ85='Macro References'!J$86,Calculations!$AT85,"")</f>
        <v/>
      </c>
      <c r="K112" s="17" t="str">
        <f>IF(Calculations!$BQ85='Macro References'!K$86,Calculations!$AT85,"")</f>
        <v/>
      </c>
      <c r="L112" s="17" t="str">
        <f>IF(Calculations!$BQ85='Macro References'!L$86,Calculations!$AT85,"")</f>
        <v/>
      </c>
      <c r="M112" s="17" t="str">
        <f>IF(Calculations!$BQ85='Macro References'!M$86,Calculations!$AT85,"")</f>
        <v/>
      </c>
      <c r="N112" s="17" t="str">
        <f>IF(Calculations!$BQ85='Macro References'!N$86,Calculations!$AT85,"")</f>
        <v/>
      </c>
      <c r="O112" s="17" t="str">
        <f>IF(Calculations!$BQ85='Macro References'!O$86,Calculations!$AT85,"")</f>
        <v/>
      </c>
      <c r="P112" s="17" t="str">
        <f>IF(Calculations!$BQ85='Macro References'!P$86,Calculations!$AT85,"")</f>
        <v/>
      </c>
      <c r="Q112" s="17" t="str">
        <f>IF(Calculations!$BQ85='Macro References'!Q$86,Calculations!$AT85,"")</f>
        <v/>
      </c>
      <c r="R112" s="17" t="str">
        <f>IF(Calculations!$BQ85='Macro References'!R$86,Calculations!$AT85,"")</f>
        <v/>
      </c>
      <c r="S112" s="17" t="str">
        <f>IF(Calculations!$BQ85='Macro References'!S$86,Calculations!$AT85,"")</f>
        <v/>
      </c>
      <c r="T112" s="17" t="str">
        <f>IF(Calculations!$BQ85='Macro References'!T$86,Calculations!$AT85,"")</f>
        <v/>
      </c>
      <c r="U112" s="17" t="str">
        <f>IF(Calculations!$BQ85='Macro References'!U$86,Calculations!$AT85,"")</f>
        <v/>
      </c>
      <c r="V112" s="17" t="str">
        <f>IF(Calculations!$BQ85='Macro References'!V$86,Calculations!$AT85,"")</f>
        <v/>
      </c>
      <c r="W112" s="17" t="str">
        <f>IF(Calculations!$BQ85='Macro References'!W$86,Calculations!$AT85,"")</f>
        <v/>
      </c>
      <c r="X112" s="17" t="str">
        <f>IF(Calculations!$BQ85='Macro References'!X$86,Calculations!$AT85,"")</f>
        <v/>
      </c>
      <c r="Y112" s="17" t="str">
        <f>IF(Calculations!$BQ85='Macro References'!Y$86,Calculations!$AT85,"")</f>
        <v/>
      </c>
      <c r="Z112" s="17" t="str">
        <f>IF(Calculations!$BQ85='Macro References'!Z$86,Calculations!$AT85,"")</f>
        <v/>
      </c>
      <c r="AA112" s="17" t="str">
        <f>IF(Calculations!$BQ85='Macro References'!AA$86,Calculations!$AT85,"")</f>
        <v/>
      </c>
      <c r="AB112" s="17" t="str">
        <f>IF(Calculations!$BQ85='Macro References'!AB$86,Calculations!$AT85,"")</f>
        <v/>
      </c>
      <c r="AC112" s="17" t="str">
        <f>IF(Calculations!$BQ85='Macro References'!AC$86,Calculations!$AT85,"")</f>
        <v/>
      </c>
      <c r="AD112" s="17" t="str">
        <f>IF(Calculations!$BQ85='Macro References'!AD$86,Calculations!$AT85,"")</f>
        <v/>
      </c>
      <c r="AE112" s="17" t="str">
        <f>IF(Calculations!$BQ85='Macro References'!AE$86,Calculations!$AT85,"")</f>
        <v/>
      </c>
    </row>
    <row r="113" spans="1:31" x14ac:dyDescent="0.2">
      <c r="A113">
        <v>8</v>
      </c>
      <c r="B113" s="17" t="str">
        <f>IF(Calculations!$BQ86='Macro References'!B$86,Calculations!$AT86,"")</f>
        <v/>
      </c>
      <c r="C113" s="17" t="str">
        <f>IF(Calculations!$BQ86='Macro References'!C$86,Calculations!$AT86,"")</f>
        <v/>
      </c>
      <c r="D113" s="17" t="str">
        <f>IF(Calculations!$BQ86='Macro References'!D$86,Calculations!$AT86,"")</f>
        <v/>
      </c>
      <c r="E113" s="17" t="str">
        <f>IF(Calculations!$BQ86='Macro References'!E$86,Calculations!$AT86,"")</f>
        <v/>
      </c>
      <c r="F113" s="17" t="str">
        <f>IF(Calculations!$BQ86='Macro References'!F$86,Calculations!$AT86,"")</f>
        <v/>
      </c>
      <c r="G113" s="17" t="str">
        <f>IF(Calculations!$BQ86='Macro References'!G$86,Calculations!$AT86,"")</f>
        <v/>
      </c>
      <c r="H113" s="17" t="str">
        <f>IF(Calculations!$BQ86='Macro References'!H$86,Calculations!$AT86,"")</f>
        <v/>
      </c>
      <c r="I113" s="17" t="str">
        <f>IF(Calculations!$BQ86='Macro References'!I$86,Calculations!$AT86,"")</f>
        <v/>
      </c>
      <c r="J113" s="17" t="str">
        <f>IF(Calculations!$BQ86='Macro References'!J$86,Calculations!$AT86,"")</f>
        <v/>
      </c>
      <c r="K113" s="17" t="str">
        <f>IF(Calculations!$BQ86='Macro References'!K$86,Calculations!$AT86,"")</f>
        <v/>
      </c>
      <c r="L113" s="17" t="str">
        <f>IF(Calculations!$BQ86='Macro References'!L$86,Calculations!$AT86,"")</f>
        <v/>
      </c>
      <c r="M113" s="17" t="str">
        <f>IF(Calculations!$BQ86='Macro References'!M$86,Calculations!$AT86,"")</f>
        <v/>
      </c>
      <c r="N113" s="17" t="str">
        <f>IF(Calculations!$BQ86='Macro References'!N$86,Calculations!$AT86,"")</f>
        <v/>
      </c>
      <c r="O113" s="17" t="str">
        <f>IF(Calculations!$BQ86='Macro References'!O$86,Calculations!$AT86,"")</f>
        <v/>
      </c>
      <c r="P113" s="17" t="str">
        <f>IF(Calculations!$BQ86='Macro References'!P$86,Calculations!$AT86,"")</f>
        <v/>
      </c>
      <c r="Q113" s="17" t="str">
        <f>IF(Calculations!$BQ86='Macro References'!Q$86,Calculations!$AT86,"")</f>
        <v/>
      </c>
      <c r="R113" s="17" t="str">
        <f>IF(Calculations!$BQ86='Macro References'!R$86,Calculations!$AT86,"")</f>
        <v/>
      </c>
      <c r="S113" s="17" t="str">
        <f>IF(Calculations!$BQ86='Macro References'!S$86,Calculations!$AT86,"")</f>
        <v/>
      </c>
      <c r="T113" s="17" t="str">
        <f>IF(Calculations!$BQ86='Macro References'!T$86,Calculations!$AT86,"")</f>
        <v/>
      </c>
      <c r="U113" s="17" t="str">
        <f>IF(Calculations!$BQ86='Macro References'!U$86,Calculations!$AT86,"")</f>
        <v/>
      </c>
      <c r="V113" s="17" t="str">
        <f>IF(Calculations!$BQ86='Macro References'!V$86,Calculations!$AT86,"")</f>
        <v/>
      </c>
      <c r="W113" s="17" t="str">
        <f>IF(Calculations!$BQ86='Macro References'!W$86,Calculations!$AT86,"")</f>
        <v/>
      </c>
      <c r="X113" s="17" t="str">
        <f>IF(Calculations!$BQ86='Macro References'!X$86,Calculations!$AT86,"")</f>
        <v/>
      </c>
      <c r="Y113" s="17" t="str">
        <f>IF(Calculations!$BQ86='Macro References'!Y$86,Calculations!$AT86,"")</f>
        <v/>
      </c>
      <c r="Z113" s="17" t="str">
        <f>IF(Calculations!$BQ86='Macro References'!Z$86,Calculations!$AT86,"")</f>
        <v/>
      </c>
      <c r="AA113" s="17" t="str">
        <f>IF(Calculations!$BQ86='Macro References'!AA$86,Calculations!$AT86,"")</f>
        <v/>
      </c>
      <c r="AB113" s="17" t="str">
        <f>IF(Calculations!$BQ86='Macro References'!AB$86,Calculations!$AT86,"")</f>
        <v/>
      </c>
      <c r="AC113" s="17" t="str">
        <f>IF(Calculations!$BQ86='Macro References'!AC$86,Calculations!$AT86,"")</f>
        <v/>
      </c>
      <c r="AD113" s="17" t="str">
        <f>IF(Calculations!$BQ86='Macro References'!AD$86,Calculations!$AT86,"")</f>
        <v/>
      </c>
      <c r="AE113" s="17" t="str">
        <f>IF(Calculations!$BQ86='Macro References'!AE$86,Calculations!$AT86,"")</f>
        <v/>
      </c>
    </row>
    <row r="114" spans="1:31" x14ac:dyDescent="0.2">
      <c r="A114">
        <v>9</v>
      </c>
      <c r="B114" s="17" t="str">
        <f>IF(Calculations!$BQ87='Macro References'!B$86,Calculations!$AT87,"")</f>
        <v/>
      </c>
      <c r="C114" s="17" t="str">
        <f>IF(Calculations!$BQ87='Macro References'!C$86,Calculations!$AT87,"")</f>
        <v/>
      </c>
      <c r="D114" s="17" t="str">
        <f>IF(Calculations!$BQ87='Macro References'!D$86,Calculations!$AT87,"")</f>
        <v/>
      </c>
      <c r="E114" s="17" t="str">
        <f>IF(Calculations!$BQ87='Macro References'!E$86,Calculations!$AT87,"")</f>
        <v/>
      </c>
      <c r="F114" s="17" t="str">
        <f>IF(Calculations!$BQ87='Macro References'!F$86,Calculations!$AT87,"")</f>
        <v/>
      </c>
      <c r="G114" s="17" t="str">
        <f>IF(Calculations!$BQ87='Macro References'!G$86,Calculations!$AT87,"")</f>
        <v/>
      </c>
      <c r="H114" s="17" t="str">
        <f>IF(Calculations!$BQ87='Macro References'!H$86,Calculations!$AT87,"")</f>
        <v/>
      </c>
      <c r="I114" s="17" t="str">
        <f>IF(Calculations!$BQ87='Macro References'!I$86,Calculations!$AT87,"")</f>
        <v/>
      </c>
      <c r="J114" s="17" t="str">
        <f>IF(Calculations!$BQ87='Macro References'!J$86,Calculations!$AT87,"")</f>
        <v/>
      </c>
      <c r="K114" s="17" t="str">
        <f>IF(Calculations!$BQ87='Macro References'!K$86,Calculations!$AT87,"")</f>
        <v/>
      </c>
      <c r="L114" s="17" t="str">
        <f>IF(Calculations!$BQ87='Macro References'!L$86,Calculations!$AT87,"")</f>
        <v/>
      </c>
      <c r="M114" s="17" t="str">
        <f>IF(Calculations!$BQ87='Macro References'!M$86,Calculations!$AT87,"")</f>
        <v/>
      </c>
      <c r="N114" s="17" t="str">
        <f>IF(Calculations!$BQ87='Macro References'!N$86,Calculations!$AT87,"")</f>
        <v/>
      </c>
      <c r="O114" s="17" t="str">
        <f>IF(Calculations!$BQ87='Macro References'!O$86,Calculations!$AT87,"")</f>
        <v/>
      </c>
      <c r="P114" s="17" t="str">
        <f>IF(Calculations!$BQ87='Macro References'!P$86,Calculations!$AT87,"")</f>
        <v/>
      </c>
      <c r="Q114" s="17" t="str">
        <f>IF(Calculations!$BQ87='Macro References'!Q$86,Calculations!$AT87,"")</f>
        <v/>
      </c>
      <c r="R114" s="17" t="str">
        <f>IF(Calculations!$BQ87='Macro References'!R$86,Calculations!$AT87,"")</f>
        <v/>
      </c>
      <c r="S114" s="17" t="str">
        <f>IF(Calculations!$BQ87='Macro References'!S$86,Calculations!$AT87,"")</f>
        <v/>
      </c>
      <c r="T114" s="17" t="str">
        <f>IF(Calculations!$BQ87='Macro References'!T$86,Calculations!$AT87,"")</f>
        <v/>
      </c>
      <c r="U114" s="17" t="str">
        <f>IF(Calculations!$BQ87='Macro References'!U$86,Calculations!$AT87,"")</f>
        <v/>
      </c>
      <c r="V114" s="17" t="str">
        <f>IF(Calculations!$BQ87='Macro References'!V$86,Calculations!$AT87,"")</f>
        <v/>
      </c>
      <c r="W114" s="17" t="str">
        <f>IF(Calculations!$BQ87='Macro References'!W$86,Calculations!$AT87,"")</f>
        <v/>
      </c>
      <c r="X114" s="17" t="str">
        <f>IF(Calculations!$BQ87='Macro References'!X$86,Calculations!$AT87,"")</f>
        <v/>
      </c>
      <c r="Y114" s="17" t="str">
        <f>IF(Calculations!$BQ87='Macro References'!Y$86,Calculations!$AT87,"")</f>
        <v/>
      </c>
      <c r="Z114" s="17" t="str">
        <f>IF(Calculations!$BQ87='Macro References'!Z$86,Calculations!$AT87,"")</f>
        <v/>
      </c>
      <c r="AA114" s="17" t="str">
        <f>IF(Calculations!$BQ87='Macro References'!AA$86,Calculations!$AT87,"")</f>
        <v/>
      </c>
      <c r="AB114" s="17" t="str">
        <f>IF(Calculations!$BQ87='Macro References'!AB$86,Calculations!$AT87,"")</f>
        <v/>
      </c>
      <c r="AC114" s="17" t="str">
        <f>IF(Calculations!$BQ87='Macro References'!AC$86,Calculations!$AT87,"")</f>
        <v/>
      </c>
      <c r="AD114" s="17" t="str">
        <f>IF(Calculations!$BQ87='Macro References'!AD$86,Calculations!$AT87,"")</f>
        <v/>
      </c>
      <c r="AE114" s="17" t="str">
        <f>IF(Calculations!$BQ87='Macro References'!AE$86,Calculations!$AT87,"")</f>
        <v/>
      </c>
    </row>
    <row r="115" spans="1:31" x14ac:dyDescent="0.2">
      <c r="A115">
        <v>10</v>
      </c>
      <c r="B115" s="17" t="str">
        <f>IF(Calculations!$BQ88='Macro References'!B$86,Calculations!$AT88,"")</f>
        <v/>
      </c>
      <c r="C115" s="17" t="str">
        <f>IF(Calculations!$BQ88='Macro References'!C$86,Calculations!$AT88,"")</f>
        <v/>
      </c>
      <c r="D115" s="17" t="str">
        <f>IF(Calculations!$BQ88='Macro References'!D$86,Calculations!$AT88,"")</f>
        <v/>
      </c>
      <c r="E115" s="17" t="str">
        <f>IF(Calculations!$BQ88='Macro References'!E$86,Calculations!$AT88,"")</f>
        <v/>
      </c>
      <c r="F115" s="17" t="str">
        <f>IF(Calculations!$BQ88='Macro References'!F$86,Calculations!$AT88,"")</f>
        <v/>
      </c>
      <c r="G115" s="17" t="str">
        <f>IF(Calculations!$BQ88='Macro References'!G$86,Calculations!$AT88,"")</f>
        <v/>
      </c>
      <c r="H115" s="17" t="str">
        <f>IF(Calculations!$BQ88='Macro References'!H$86,Calculations!$AT88,"")</f>
        <v/>
      </c>
      <c r="I115" s="17" t="str">
        <f>IF(Calculations!$BQ88='Macro References'!I$86,Calculations!$AT88,"")</f>
        <v/>
      </c>
      <c r="J115" s="17" t="str">
        <f>IF(Calculations!$BQ88='Macro References'!J$86,Calculations!$AT88,"")</f>
        <v/>
      </c>
      <c r="K115" s="17" t="str">
        <f>IF(Calculations!$BQ88='Macro References'!K$86,Calculations!$AT88,"")</f>
        <v/>
      </c>
      <c r="L115" s="17" t="str">
        <f>IF(Calculations!$BQ88='Macro References'!L$86,Calculations!$AT88,"")</f>
        <v/>
      </c>
      <c r="M115" s="17" t="str">
        <f>IF(Calculations!$BQ88='Macro References'!M$86,Calculations!$AT88,"")</f>
        <v/>
      </c>
      <c r="N115" s="17" t="str">
        <f>IF(Calculations!$BQ88='Macro References'!N$86,Calculations!$AT88,"")</f>
        <v/>
      </c>
      <c r="O115" s="17" t="str">
        <f>IF(Calculations!$BQ88='Macro References'!O$86,Calculations!$AT88,"")</f>
        <v/>
      </c>
      <c r="P115" s="17" t="str">
        <f>IF(Calculations!$BQ88='Macro References'!P$86,Calculations!$AT88,"")</f>
        <v/>
      </c>
      <c r="Q115" s="17" t="str">
        <f>IF(Calculations!$BQ88='Macro References'!Q$86,Calculations!$AT88,"")</f>
        <v/>
      </c>
      <c r="R115" s="17" t="str">
        <f>IF(Calculations!$BQ88='Macro References'!R$86,Calculations!$AT88,"")</f>
        <v/>
      </c>
      <c r="S115" s="17" t="str">
        <f>IF(Calculations!$BQ88='Macro References'!S$86,Calculations!$AT88,"")</f>
        <v/>
      </c>
      <c r="T115" s="17" t="str">
        <f>IF(Calculations!$BQ88='Macro References'!T$86,Calculations!$AT88,"")</f>
        <v/>
      </c>
      <c r="U115" s="17" t="str">
        <f>IF(Calculations!$BQ88='Macro References'!U$86,Calculations!$AT88,"")</f>
        <v/>
      </c>
      <c r="V115" s="17" t="str">
        <f>IF(Calculations!$BQ88='Macro References'!V$86,Calculations!$AT88,"")</f>
        <v/>
      </c>
      <c r="W115" s="17" t="str">
        <f>IF(Calculations!$BQ88='Macro References'!W$86,Calculations!$AT88,"")</f>
        <v/>
      </c>
      <c r="X115" s="17" t="str">
        <f>IF(Calculations!$BQ88='Macro References'!X$86,Calculations!$AT88,"")</f>
        <v/>
      </c>
      <c r="Y115" s="17" t="str">
        <f>IF(Calculations!$BQ88='Macro References'!Y$86,Calculations!$AT88,"")</f>
        <v/>
      </c>
      <c r="Z115" s="17" t="str">
        <f>IF(Calculations!$BQ88='Macro References'!Z$86,Calculations!$AT88,"")</f>
        <v/>
      </c>
      <c r="AA115" s="17" t="str">
        <f>IF(Calculations!$BQ88='Macro References'!AA$86,Calculations!$AT88,"")</f>
        <v/>
      </c>
      <c r="AB115" s="17" t="str">
        <f>IF(Calculations!$BQ88='Macro References'!AB$86,Calculations!$AT88,"")</f>
        <v/>
      </c>
      <c r="AC115" s="17" t="str">
        <f>IF(Calculations!$BQ88='Macro References'!AC$86,Calculations!$AT88,"")</f>
        <v/>
      </c>
      <c r="AD115" s="17" t="str">
        <f>IF(Calculations!$BQ88='Macro References'!AD$86,Calculations!$AT88,"")</f>
        <v/>
      </c>
      <c r="AE115" s="17" t="str">
        <f>IF(Calculations!$BQ88='Macro References'!AE$86,Calculations!$AT88,"")</f>
        <v/>
      </c>
    </row>
    <row r="116" spans="1:31" x14ac:dyDescent="0.2">
      <c r="A116">
        <v>11</v>
      </c>
      <c r="B116" s="17" t="str">
        <f>IF(Calculations!$BQ89='Macro References'!B$86,Calculations!$AT89,"")</f>
        <v/>
      </c>
      <c r="C116" s="17" t="str">
        <f>IF(Calculations!$BQ89='Macro References'!C$86,Calculations!$AT89,"")</f>
        <v/>
      </c>
      <c r="D116" s="17" t="str">
        <f>IF(Calculations!$BQ89='Macro References'!D$86,Calculations!$AT89,"")</f>
        <v/>
      </c>
      <c r="E116" s="17" t="str">
        <f>IF(Calculations!$BQ89='Macro References'!E$86,Calculations!$AT89,"")</f>
        <v/>
      </c>
      <c r="F116" s="17" t="str">
        <f>IF(Calculations!$BQ89='Macro References'!F$86,Calculations!$AT89,"")</f>
        <v/>
      </c>
      <c r="G116" s="17" t="str">
        <f>IF(Calculations!$BQ89='Macro References'!G$86,Calculations!$AT89,"")</f>
        <v/>
      </c>
      <c r="H116" s="17" t="str">
        <f>IF(Calculations!$BQ89='Macro References'!H$86,Calculations!$AT89,"")</f>
        <v/>
      </c>
      <c r="I116" s="17" t="str">
        <f>IF(Calculations!$BQ89='Macro References'!I$86,Calculations!$AT89,"")</f>
        <v/>
      </c>
      <c r="J116" s="17" t="str">
        <f>IF(Calculations!$BQ89='Macro References'!J$86,Calculations!$AT89,"")</f>
        <v/>
      </c>
      <c r="K116" s="17" t="str">
        <f>IF(Calculations!$BQ89='Macro References'!K$86,Calculations!$AT89,"")</f>
        <v/>
      </c>
      <c r="L116" s="17" t="str">
        <f>IF(Calculations!$BQ89='Macro References'!L$86,Calculations!$AT89,"")</f>
        <v/>
      </c>
      <c r="M116" s="17" t="str">
        <f>IF(Calculations!$BQ89='Macro References'!M$86,Calculations!$AT89,"")</f>
        <v/>
      </c>
      <c r="N116" s="17" t="str">
        <f>IF(Calculations!$BQ89='Macro References'!N$86,Calculations!$AT89,"")</f>
        <v/>
      </c>
      <c r="O116" s="17" t="str">
        <f>IF(Calculations!$BQ89='Macro References'!O$86,Calculations!$AT89,"")</f>
        <v/>
      </c>
      <c r="P116" s="17" t="str">
        <f>IF(Calculations!$BQ89='Macro References'!P$86,Calculations!$AT89,"")</f>
        <v/>
      </c>
      <c r="Q116" s="17" t="str">
        <f>IF(Calculations!$BQ89='Macro References'!Q$86,Calculations!$AT89,"")</f>
        <v/>
      </c>
      <c r="R116" s="17" t="str">
        <f>IF(Calculations!$BQ89='Macro References'!R$86,Calculations!$AT89,"")</f>
        <v/>
      </c>
      <c r="S116" s="17" t="str">
        <f>IF(Calculations!$BQ89='Macro References'!S$86,Calculations!$AT89,"")</f>
        <v/>
      </c>
      <c r="T116" s="17" t="str">
        <f>IF(Calculations!$BQ89='Macro References'!T$86,Calculations!$AT89,"")</f>
        <v/>
      </c>
      <c r="U116" s="17" t="str">
        <f>IF(Calculations!$BQ89='Macro References'!U$86,Calculations!$AT89,"")</f>
        <v/>
      </c>
      <c r="V116" s="17" t="str">
        <f>IF(Calculations!$BQ89='Macro References'!V$86,Calculations!$AT89,"")</f>
        <v/>
      </c>
      <c r="W116" s="17" t="str">
        <f>IF(Calculations!$BQ89='Macro References'!W$86,Calculations!$AT89,"")</f>
        <v/>
      </c>
      <c r="X116" s="17" t="str">
        <f>IF(Calculations!$BQ89='Macro References'!X$86,Calculations!$AT89,"")</f>
        <v/>
      </c>
      <c r="Y116" s="17" t="str">
        <f>IF(Calculations!$BQ89='Macro References'!Y$86,Calculations!$AT89,"")</f>
        <v/>
      </c>
      <c r="Z116" s="17" t="str">
        <f>IF(Calculations!$BQ89='Macro References'!Z$86,Calculations!$AT89,"")</f>
        <v/>
      </c>
      <c r="AA116" s="17" t="str">
        <f>IF(Calculations!$BQ89='Macro References'!AA$86,Calculations!$AT89,"")</f>
        <v/>
      </c>
      <c r="AB116" s="17" t="str">
        <f>IF(Calculations!$BQ89='Macro References'!AB$86,Calculations!$AT89,"")</f>
        <v/>
      </c>
      <c r="AC116" s="17" t="str">
        <f>IF(Calculations!$BQ89='Macro References'!AC$86,Calculations!$AT89,"")</f>
        <v/>
      </c>
      <c r="AD116" s="17" t="str">
        <f>IF(Calculations!$BQ89='Macro References'!AD$86,Calculations!$AT89,"")</f>
        <v/>
      </c>
      <c r="AE116" s="17" t="str">
        <f>IF(Calculations!$BQ89='Macro References'!AE$86,Calculations!$AT89,"")</f>
        <v/>
      </c>
    </row>
    <row r="117" spans="1:31" x14ac:dyDescent="0.2">
      <c r="A117">
        <v>12</v>
      </c>
      <c r="B117" s="17" t="str">
        <f>IF(Calculations!$BQ90='Macro References'!B$86,Calculations!$AT90,"")</f>
        <v/>
      </c>
      <c r="C117" s="17" t="str">
        <f>IF(Calculations!$BQ90='Macro References'!C$86,Calculations!$AT90,"")</f>
        <v/>
      </c>
      <c r="D117" s="17" t="str">
        <f>IF(Calculations!$BQ90='Macro References'!D$86,Calculations!$AT90,"")</f>
        <v/>
      </c>
      <c r="E117" s="17" t="str">
        <f>IF(Calculations!$BQ90='Macro References'!E$86,Calculations!$AT90,"")</f>
        <v/>
      </c>
      <c r="F117" s="17" t="str">
        <f>IF(Calculations!$BQ90='Macro References'!F$86,Calculations!$AT90,"")</f>
        <v/>
      </c>
      <c r="G117" s="17" t="str">
        <f>IF(Calculations!$BQ90='Macro References'!G$86,Calculations!$AT90,"")</f>
        <v/>
      </c>
      <c r="H117" s="17" t="str">
        <f>IF(Calculations!$BQ90='Macro References'!H$86,Calculations!$AT90,"")</f>
        <v/>
      </c>
      <c r="I117" s="17" t="str">
        <f>IF(Calculations!$BQ90='Macro References'!I$86,Calculations!$AT90,"")</f>
        <v/>
      </c>
      <c r="J117" s="17" t="str">
        <f>IF(Calculations!$BQ90='Macro References'!J$86,Calculations!$AT90,"")</f>
        <v/>
      </c>
      <c r="K117" s="17" t="str">
        <f>IF(Calculations!$BQ90='Macro References'!K$86,Calculations!$AT90,"")</f>
        <v/>
      </c>
      <c r="L117" s="17" t="str">
        <f>IF(Calculations!$BQ90='Macro References'!L$86,Calculations!$AT90,"")</f>
        <v/>
      </c>
      <c r="M117" s="17" t="str">
        <f>IF(Calculations!$BQ90='Macro References'!M$86,Calculations!$AT90,"")</f>
        <v/>
      </c>
      <c r="N117" s="17" t="str">
        <f>IF(Calculations!$BQ90='Macro References'!N$86,Calculations!$AT90,"")</f>
        <v/>
      </c>
      <c r="O117" s="17" t="str">
        <f>IF(Calculations!$BQ90='Macro References'!O$86,Calculations!$AT90,"")</f>
        <v/>
      </c>
      <c r="P117" s="17" t="str">
        <f>IF(Calculations!$BQ90='Macro References'!P$86,Calculations!$AT90,"")</f>
        <v/>
      </c>
      <c r="Q117" s="17" t="str">
        <f>IF(Calculations!$BQ90='Macro References'!Q$86,Calculations!$AT90,"")</f>
        <v/>
      </c>
      <c r="R117" s="17" t="str">
        <f>IF(Calculations!$BQ90='Macro References'!R$86,Calculations!$AT90,"")</f>
        <v/>
      </c>
      <c r="S117" s="17" t="str">
        <f>IF(Calculations!$BQ90='Macro References'!S$86,Calculations!$AT90,"")</f>
        <v/>
      </c>
      <c r="T117" s="17" t="str">
        <f>IF(Calculations!$BQ90='Macro References'!T$86,Calculations!$AT90,"")</f>
        <v/>
      </c>
      <c r="U117" s="17" t="str">
        <f>IF(Calculations!$BQ90='Macro References'!U$86,Calculations!$AT90,"")</f>
        <v/>
      </c>
      <c r="V117" s="17" t="str">
        <f>IF(Calculations!$BQ90='Macro References'!V$86,Calculations!$AT90,"")</f>
        <v/>
      </c>
      <c r="W117" s="17" t="str">
        <f>IF(Calculations!$BQ90='Macro References'!W$86,Calculations!$AT90,"")</f>
        <v/>
      </c>
      <c r="X117" s="17" t="str">
        <f>IF(Calculations!$BQ90='Macro References'!X$86,Calculations!$AT90,"")</f>
        <v/>
      </c>
      <c r="Y117" s="17" t="str">
        <f>IF(Calculations!$BQ90='Macro References'!Y$86,Calculations!$AT90,"")</f>
        <v/>
      </c>
      <c r="Z117" s="17" t="str">
        <f>IF(Calculations!$BQ90='Macro References'!Z$86,Calculations!$AT90,"")</f>
        <v/>
      </c>
      <c r="AA117" s="17" t="str">
        <f>IF(Calculations!$BQ90='Macro References'!AA$86,Calculations!$AT90,"")</f>
        <v/>
      </c>
      <c r="AB117" s="17" t="str">
        <f>IF(Calculations!$BQ90='Macro References'!AB$86,Calculations!$AT90,"")</f>
        <v/>
      </c>
      <c r="AC117" s="17" t="str">
        <f>IF(Calculations!$BQ90='Macro References'!AC$86,Calculations!$AT90,"")</f>
        <v/>
      </c>
      <c r="AD117" s="17" t="str">
        <f>IF(Calculations!$BQ90='Macro References'!AD$86,Calculations!$AT90,"")</f>
        <v/>
      </c>
      <c r="AE117" s="17" t="str">
        <f>IF(Calculations!$BQ90='Macro References'!AE$86,Calculations!$AT90,"")</f>
        <v/>
      </c>
    </row>
    <row r="118" spans="1:31" x14ac:dyDescent="0.2">
      <c r="A118">
        <v>13</v>
      </c>
      <c r="B118" s="17" t="str">
        <f>IF(Calculations!$BQ91='Macro References'!B$86,Calculations!$AT91,"")</f>
        <v/>
      </c>
      <c r="C118" s="17" t="str">
        <f>IF(Calculations!$BQ91='Macro References'!C$86,Calculations!$AT91,"")</f>
        <v/>
      </c>
      <c r="D118" s="17" t="str">
        <f>IF(Calculations!$BQ91='Macro References'!D$86,Calculations!$AT91,"")</f>
        <v/>
      </c>
      <c r="E118" s="17" t="str">
        <f>IF(Calculations!$BQ91='Macro References'!E$86,Calculations!$AT91,"")</f>
        <v/>
      </c>
      <c r="F118" s="17" t="str">
        <f>IF(Calculations!$BQ91='Macro References'!F$86,Calculations!$AT91,"")</f>
        <v/>
      </c>
      <c r="G118" s="17" t="str">
        <f>IF(Calculations!$BQ91='Macro References'!G$86,Calculations!$AT91,"")</f>
        <v/>
      </c>
      <c r="H118" s="17" t="str">
        <f>IF(Calculations!$BQ91='Macro References'!H$86,Calculations!$AT91,"")</f>
        <v/>
      </c>
      <c r="I118" s="17" t="str">
        <f>IF(Calculations!$BQ91='Macro References'!I$86,Calculations!$AT91,"")</f>
        <v/>
      </c>
      <c r="J118" s="17" t="str">
        <f>IF(Calculations!$BQ91='Macro References'!J$86,Calculations!$AT91,"")</f>
        <v/>
      </c>
      <c r="K118" s="17" t="str">
        <f>IF(Calculations!$BQ91='Macro References'!K$86,Calculations!$AT91,"")</f>
        <v/>
      </c>
      <c r="L118" s="17" t="str">
        <f>IF(Calculations!$BQ91='Macro References'!L$86,Calculations!$AT91,"")</f>
        <v/>
      </c>
      <c r="M118" s="17" t="str">
        <f>IF(Calculations!$BQ91='Macro References'!M$86,Calculations!$AT91,"")</f>
        <v/>
      </c>
      <c r="N118" s="17" t="str">
        <f>IF(Calculations!$BQ91='Macro References'!N$86,Calculations!$AT91,"")</f>
        <v/>
      </c>
      <c r="O118" s="17" t="str">
        <f>IF(Calculations!$BQ91='Macro References'!O$86,Calculations!$AT91,"")</f>
        <v/>
      </c>
      <c r="P118" s="17" t="str">
        <f>IF(Calculations!$BQ91='Macro References'!P$86,Calculations!$AT91,"")</f>
        <v/>
      </c>
      <c r="Q118" s="17" t="str">
        <f>IF(Calculations!$BQ91='Macro References'!Q$86,Calculations!$AT91,"")</f>
        <v/>
      </c>
      <c r="R118" s="17" t="str">
        <f>IF(Calculations!$BQ91='Macro References'!R$86,Calculations!$AT91,"")</f>
        <v/>
      </c>
      <c r="S118" s="17" t="str">
        <f>IF(Calculations!$BQ91='Macro References'!S$86,Calculations!$AT91,"")</f>
        <v/>
      </c>
      <c r="T118" s="17" t="str">
        <f>IF(Calculations!$BQ91='Macro References'!T$86,Calculations!$AT91,"")</f>
        <v/>
      </c>
      <c r="U118" s="17" t="str">
        <f>IF(Calculations!$BQ91='Macro References'!U$86,Calculations!$AT91,"")</f>
        <v/>
      </c>
      <c r="V118" s="17" t="str">
        <f>IF(Calculations!$BQ91='Macro References'!V$86,Calculations!$AT91,"")</f>
        <v/>
      </c>
      <c r="W118" s="17" t="str">
        <f>IF(Calculations!$BQ91='Macro References'!W$86,Calculations!$AT91,"")</f>
        <v/>
      </c>
      <c r="X118" s="17" t="str">
        <f>IF(Calculations!$BQ91='Macro References'!X$86,Calculations!$AT91,"")</f>
        <v/>
      </c>
      <c r="Y118" s="17" t="str">
        <f>IF(Calculations!$BQ91='Macro References'!Y$86,Calculations!$AT91,"")</f>
        <v/>
      </c>
      <c r="Z118" s="17" t="str">
        <f>IF(Calculations!$BQ91='Macro References'!Z$86,Calculations!$AT91,"")</f>
        <v/>
      </c>
      <c r="AA118" s="17" t="str">
        <f>IF(Calculations!$BQ91='Macro References'!AA$86,Calculations!$AT91,"")</f>
        <v/>
      </c>
      <c r="AB118" s="17" t="str">
        <f>IF(Calculations!$BQ91='Macro References'!AB$86,Calculations!$AT91,"")</f>
        <v/>
      </c>
      <c r="AC118" s="17" t="str">
        <f>IF(Calculations!$BQ91='Macro References'!AC$86,Calculations!$AT91,"")</f>
        <v/>
      </c>
      <c r="AD118" s="17" t="str">
        <f>IF(Calculations!$BQ91='Macro References'!AD$86,Calculations!$AT91,"")</f>
        <v/>
      </c>
      <c r="AE118" s="17" t="str">
        <f>IF(Calculations!$BQ91='Macro References'!AE$86,Calculations!$AT91,"")</f>
        <v/>
      </c>
    </row>
    <row r="119" spans="1:31" x14ac:dyDescent="0.2">
      <c r="A119">
        <v>14</v>
      </c>
      <c r="B119" s="17" t="str">
        <f>IF(Calculations!$BQ92='Macro References'!B$86,Calculations!$AT92,"")</f>
        <v/>
      </c>
      <c r="C119" s="17" t="str">
        <f>IF(Calculations!$BQ92='Macro References'!C$86,Calculations!$AT92,"")</f>
        <v/>
      </c>
      <c r="D119" s="17" t="str">
        <f>IF(Calculations!$BQ92='Macro References'!D$86,Calculations!$AT92,"")</f>
        <v/>
      </c>
      <c r="E119" s="17" t="str">
        <f>IF(Calculations!$BQ92='Macro References'!E$86,Calculations!$AT92,"")</f>
        <v/>
      </c>
      <c r="F119" s="17" t="str">
        <f>IF(Calculations!$BQ92='Macro References'!F$86,Calculations!$AT92,"")</f>
        <v/>
      </c>
      <c r="G119" s="17" t="str">
        <f>IF(Calculations!$BQ92='Macro References'!G$86,Calculations!$AT92,"")</f>
        <v/>
      </c>
      <c r="H119" s="17" t="str">
        <f>IF(Calculations!$BQ92='Macro References'!H$86,Calculations!$AT92,"")</f>
        <v/>
      </c>
      <c r="I119" s="17" t="str">
        <f>IF(Calculations!$BQ92='Macro References'!I$86,Calculations!$AT92,"")</f>
        <v/>
      </c>
      <c r="J119" s="17" t="str">
        <f>IF(Calculations!$BQ92='Macro References'!J$86,Calculations!$AT92,"")</f>
        <v/>
      </c>
      <c r="K119" s="17" t="str">
        <f>IF(Calculations!$BQ92='Macro References'!K$86,Calculations!$AT92,"")</f>
        <v/>
      </c>
      <c r="L119" s="17" t="str">
        <f>IF(Calculations!$BQ92='Macro References'!L$86,Calculations!$AT92,"")</f>
        <v/>
      </c>
      <c r="M119" s="17" t="str">
        <f>IF(Calculations!$BQ92='Macro References'!M$86,Calculations!$AT92,"")</f>
        <v/>
      </c>
      <c r="N119" s="17" t="str">
        <f>IF(Calculations!$BQ92='Macro References'!N$86,Calculations!$AT92,"")</f>
        <v/>
      </c>
      <c r="O119" s="17" t="str">
        <f>IF(Calculations!$BQ92='Macro References'!O$86,Calculations!$AT92,"")</f>
        <v/>
      </c>
      <c r="P119" s="17" t="str">
        <f>IF(Calculations!$BQ92='Macro References'!P$86,Calculations!$AT92,"")</f>
        <v/>
      </c>
      <c r="Q119" s="17" t="str">
        <f>IF(Calculations!$BQ92='Macro References'!Q$86,Calculations!$AT92,"")</f>
        <v/>
      </c>
      <c r="R119" s="17" t="str">
        <f>IF(Calculations!$BQ92='Macro References'!R$86,Calculations!$AT92,"")</f>
        <v/>
      </c>
      <c r="S119" s="17" t="str">
        <f>IF(Calculations!$BQ92='Macro References'!S$86,Calculations!$AT92,"")</f>
        <v/>
      </c>
      <c r="T119" s="17" t="str">
        <f>IF(Calculations!$BQ92='Macro References'!T$86,Calculations!$AT92,"")</f>
        <v/>
      </c>
      <c r="U119" s="17" t="str">
        <f>IF(Calculations!$BQ92='Macro References'!U$86,Calculations!$AT92,"")</f>
        <v/>
      </c>
      <c r="V119" s="17" t="str">
        <f>IF(Calculations!$BQ92='Macro References'!V$86,Calculations!$AT92,"")</f>
        <v/>
      </c>
      <c r="W119" s="17" t="str">
        <f>IF(Calculations!$BQ92='Macro References'!W$86,Calculations!$AT92,"")</f>
        <v/>
      </c>
      <c r="X119" s="17" t="str">
        <f>IF(Calculations!$BQ92='Macro References'!X$86,Calculations!$AT92,"")</f>
        <v/>
      </c>
      <c r="Y119" s="17" t="str">
        <f>IF(Calculations!$BQ92='Macro References'!Y$86,Calculations!$AT92,"")</f>
        <v/>
      </c>
      <c r="Z119" s="17" t="str">
        <f>IF(Calculations!$BQ92='Macro References'!Z$86,Calculations!$AT92,"")</f>
        <v/>
      </c>
      <c r="AA119" s="17" t="str">
        <f>IF(Calculations!$BQ92='Macro References'!AA$86,Calculations!$AT92,"")</f>
        <v/>
      </c>
      <c r="AB119" s="17" t="str">
        <f>IF(Calculations!$BQ92='Macro References'!AB$86,Calculations!$AT92,"")</f>
        <v/>
      </c>
      <c r="AC119" s="17" t="str">
        <f>IF(Calculations!$BQ92='Macro References'!AC$86,Calculations!$AT92,"")</f>
        <v/>
      </c>
      <c r="AD119" s="17" t="str">
        <f>IF(Calculations!$BQ92='Macro References'!AD$86,Calculations!$AT92,"")</f>
        <v/>
      </c>
      <c r="AE119" s="17" t="str">
        <f>IF(Calculations!$BQ92='Macro References'!AE$86,Calculations!$AT92,"")</f>
        <v/>
      </c>
    </row>
    <row r="120" spans="1:31" x14ac:dyDescent="0.2">
      <c r="A120">
        <v>15</v>
      </c>
      <c r="B120" s="17" t="str">
        <f>IF(Calculations!$BQ93='Macro References'!B$86,Calculations!$AT93,"")</f>
        <v/>
      </c>
      <c r="C120" s="17" t="str">
        <f>IF(Calculations!$BQ93='Macro References'!C$86,Calculations!$AT93,"")</f>
        <v/>
      </c>
      <c r="D120" s="17" t="str">
        <f>IF(Calculations!$BQ93='Macro References'!D$86,Calculations!$AT93,"")</f>
        <v/>
      </c>
      <c r="E120" s="17" t="str">
        <f>IF(Calculations!$BQ93='Macro References'!E$86,Calculations!$AT93,"")</f>
        <v/>
      </c>
      <c r="F120" s="17" t="str">
        <f>IF(Calculations!$BQ93='Macro References'!F$86,Calculations!$AT93,"")</f>
        <v/>
      </c>
      <c r="G120" s="17" t="str">
        <f>IF(Calculations!$BQ93='Macro References'!G$86,Calculations!$AT93,"")</f>
        <v/>
      </c>
      <c r="H120" s="17" t="str">
        <f>IF(Calculations!$BQ93='Macro References'!H$86,Calculations!$AT93,"")</f>
        <v/>
      </c>
      <c r="I120" s="17" t="str">
        <f>IF(Calculations!$BQ93='Macro References'!I$86,Calculations!$AT93,"")</f>
        <v/>
      </c>
      <c r="J120" s="17" t="str">
        <f>IF(Calculations!$BQ93='Macro References'!J$86,Calculations!$AT93,"")</f>
        <v/>
      </c>
      <c r="K120" s="17" t="str">
        <f>IF(Calculations!$BQ93='Macro References'!K$86,Calculations!$AT93,"")</f>
        <v/>
      </c>
      <c r="L120" s="17" t="str">
        <f>IF(Calculations!$BQ93='Macro References'!L$86,Calculations!$AT93,"")</f>
        <v/>
      </c>
      <c r="M120" s="17" t="str">
        <f>IF(Calculations!$BQ93='Macro References'!M$86,Calculations!$AT93,"")</f>
        <v/>
      </c>
      <c r="N120" s="17" t="str">
        <f>IF(Calculations!$BQ93='Macro References'!N$86,Calculations!$AT93,"")</f>
        <v/>
      </c>
      <c r="O120" s="17" t="str">
        <f>IF(Calculations!$BQ93='Macro References'!O$86,Calculations!$AT93,"")</f>
        <v/>
      </c>
      <c r="P120" s="17" t="str">
        <f>IF(Calculations!$BQ93='Macro References'!P$86,Calculations!$AT93,"")</f>
        <v/>
      </c>
      <c r="Q120" s="17" t="str">
        <f>IF(Calculations!$BQ93='Macro References'!Q$86,Calculations!$AT93,"")</f>
        <v/>
      </c>
      <c r="R120" s="17" t="str">
        <f>IF(Calculations!$BQ93='Macro References'!R$86,Calculations!$AT93,"")</f>
        <v/>
      </c>
      <c r="S120" s="17" t="str">
        <f>IF(Calculations!$BQ93='Macro References'!S$86,Calculations!$AT93,"")</f>
        <v/>
      </c>
      <c r="T120" s="17" t="str">
        <f>IF(Calculations!$BQ93='Macro References'!T$86,Calculations!$AT93,"")</f>
        <v/>
      </c>
      <c r="U120" s="17" t="str">
        <f>IF(Calculations!$BQ93='Macro References'!U$86,Calculations!$AT93,"")</f>
        <v/>
      </c>
      <c r="V120" s="17" t="str">
        <f>IF(Calculations!$BQ93='Macro References'!V$86,Calculations!$AT93,"")</f>
        <v/>
      </c>
      <c r="W120" s="17" t="str">
        <f>IF(Calculations!$BQ93='Macro References'!W$86,Calculations!$AT93,"")</f>
        <v/>
      </c>
      <c r="X120" s="17" t="str">
        <f>IF(Calculations!$BQ93='Macro References'!X$86,Calculations!$AT93,"")</f>
        <v/>
      </c>
      <c r="Y120" s="17" t="str">
        <f>IF(Calculations!$BQ93='Macro References'!Y$86,Calculations!$AT93,"")</f>
        <v/>
      </c>
      <c r="Z120" s="17" t="str">
        <f>IF(Calculations!$BQ93='Macro References'!Z$86,Calculations!$AT93,"")</f>
        <v/>
      </c>
      <c r="AA120" s="17" t="str">
        <f>IF(Calculations!$BQ93='Macro References'!AA$86,Calculations!$AT93,"")</f>
        <v/>
      </c>
      <c r="AB120" s="17" t="str">
        <f>IF(Calculations!$BQ93='Macro References'!AB$86,Calculations!$AT93,"")</f>
        <v/>
      </c>
      <c r="AC120" s="17" t="str">
        <f>IF(Calculations!$BQ93='Macro References'!AC$86,Calculations!$AT93,"")</f>
        <v/>
      </c>
      <c r="AD120" s="17" t="str">
        <f>IF(Calculations!$BQ93='Macro References'!AD$86,Calculations!$AT93,"")</f>
        <v/>
      </c>
      <c r="AE120" s="17" t="str">
        <f>IF(Calculations!$BQ93='Macro References'!AE$86,Calculations!$AT93,"")</f>
        <v/>
      </c>
    </row>
    <row r="121" spans="1:31" x14ac:dyDescent="0.2">
      <c r="A121">
        <v>16</v>
      </c>
      <c r="B121" s="17" t="str">
        <f>IF(Calculations!$BQ94='Macro References'!B$86,Calculations!$AT94,"")</f>
        <v/>
      </c>
      <c r="C121" s="17" t="str">
        <f>IF(Calculations!$BQ94='Macro References'!C$86,Calculations!$AT94,"")</f>
        <v/>
      </c>
      <c r="D121" s="17" t="str">
        <f>IF(Calculations!$BQ94='Macro References'!D$86,Calculations!$AT94,"")</f>
        <v/>
      </c>
      <c r="E121" s="17" t="str">
        <f>IF(Calculations!$BQ94='Macro References'!E$86,Calculations!$AT94,"")</f>
        <v/>
      </c>
      <c r="F121" s="17" t="str">
        <f>IF(Calculations!$BQ94='Macro References'!F$86,Calculations!$AT94,"")</f>
        <v/>
      </c>
      <c r="G121" s="17" t="str">
        <f>IF(Calculations!$BQ94='Macro References'!G$86,Calculations!$AT94,"")</f>
        <v/>
      </c>
      <c r="H121" s="17" t="str">
        <f>IF(Calculations!$BQ94='Macro References'!H$86,Calculations!$AT94,"")</f>
        <v/>
      </c>
      <c r="I121" s="17" t="str">
        <f>IF(Calculations!$BQ94='Macro References'!I$86,Calculations!$AT94,"")</f>
        <v/>
      </c>
      <c r="J121" s="17" t="str">
        <f>IF(Calculations!$BQ94='Macro References'!J$86,Calculations!$AT94,"")</f>
        <v/>
      </c>
      <c r="K121" s="17" t="str">
        <f>IF(Calculations!$BQ94='Macro References'!K$86,Calculations!$AT94,"")</f>
        <v/>
      </c>
      <c r="L121" s="17" t="str">
        <f>IF(Calculations!$BQ94='Macro References'!L$86,Calculations!$AT94,"")</f>
        <v/>
      </c>
      <c r="M121" s="17" t="str">
        <f>IF(Calculations!$BQ94='Macro References'!M$86,Calculations!$AT94,"")</f>
        <v/>
      </c>
      <c r="N121" s="17" t="str">
        <f>IF(Calculations!$BQ94='Macro References'!N$86,Calculations!$AT94,"")</f>
        <v/>
      </c>
      <c r="O121" s="17" t="str">
        <f>IF(Calculations!$BQ94='Macro References'!O$86,Calculations!$AT94,"")</f>
        <v/>
      </c>
      <c r="P121" s="17" t="str">
        <f>IF(Calculations!$BQ94='Macro References'!P$86,Calculations!$AT94,"")</f>
        <v/>
      </c>
      <c r="Q121" s="17" t="str">
        <f>IF(Calculations!$BQ94='Macro References'!Q$86,Calculations!$AT94,"")</f>
        <v/>
      </c>
      <c r="R121" s="17" t="str">
        <f>IF(Calculations!$BQ94='Macro References'!R$86,Calculations!$AT94,"")</f>
        <v/>
      </c>
      <c r="S121" s="17" t="str">
        <f>IF(Calculations!$BQ94='Macro References'!S$86,Calculations!$AT94,"")</f>
        <v/>
      </c>
      <c r="T121" s="17" t="str">
        <f>IF(Calculations!$BQ94='Macro References'!T$86,Calculations!$AT94,"")</f>
        <v/>
      </c>
      <c r="U121" s="17" t="str">
        <f>IF(Calculations!$BQ94='Macro References'!U$86,Calculations!$AT94,"")</f>
        <v/>
      </c>
      <c r="V121" s="17" t="str">
        <f>IF(Calculations!$BQ94='Macro References'!V$86,Calculations!$AT94,"")</f>
        <v/>
      </c>
      <c r="W121" s="17" t="str">
        <f>IF(Calculations!$BQ94='Macro References'!W$86,Calculations!$AT94,"")</f>
        <v/>
      </c>
      <c r="X121" s="17" t="str">
        <f>IF(Calculations!$BQ94='Macro References'!X$86,Calculations!$AT94,"")</f>
        <v/>
      </c>
      <c r="Y121" s="17" t="str">
        <f>IF(Calculations!$BQ94='Macro References'!Y$86,Calculations!$AT94,"")</f>
        <v/>
      </c>
      <c r="Z121" s="17" t="str">
        <f>IF(Calculations!$BQ94='Macro References'!Z$86,Calculations!$AT94,"")</f>
        <v/>
      </c>
      <c r="AA121" s="17" t="str">
        <f>IF(Calculations!$BQ94='Macro References'!AA$86,Calculations!$AT94,"")</f>
        <v/>
      </c>
      <c r="AB121" s="17" t="str">
        <f>IF(Calculations!$BQ94='Macro References'!AB$86,Calculations!$AT94,"")</f>
        <v/>
      </c>
      <c r="AC121" s="17" t="str">
        <f>IF(Calculations!$BQ94='Macro References'!AC$86,Calculations!$AT94,"")</f>
        <v/>
      </c>
      <c r="AD121" s="17" t="str">
        <f>IF(Calculations!$BQ94='Macro References'!AD$86,Calculations!$AT94,"")</f>
        <v/>
      </c>
      <c r="AE121" s="17" t="str">
        <f>IF(Calculations!$BQ94='Macro References'!AE$86,Calculations!$AT94,"")</f>
        <v/>
      </c>
    </row>
    <row r="122" spans="1:31" x14ac:dyDescent="0.2">
      <c r="A122">
        <v>17</v>
      </c>
      <c r="B122" s="17" t="str">
        <f>IF(Calculations!$BQ95='Macro References'!B$86,Calculations!$AT95,"")</f>
        <v/>
      </c>
      <c r="C122" s="17" t="str">
        <f>IF(Calculations!$BQ95='Macro References'!C$86,Calculations!$AT95,"")</f>
        <v/>
      </c>
      <c r="D122" s="17" t="str">
        <f>IF(Calculations!$BQ95='Macro References'!D$86,Calculations!$AT95,"")</f>
        <v/>
      </c>
      <c r="E122" s="17" t="str">
        <f>IF(Calculations!$BQ95='Macro References'!E$86,Calculations!$AT95,"")</f>
        <v/>
      </c>
      <c r="F122" s="17" t="str">
        <f>IF(Calculations!$BQ95='Macro References'!F$86,Calculations!$AT95,"")</f>
        <v/>
      </c>
      <c r="G122" s="17" t="str">
        <f>IF(Calculations!$BQ95='Macro References'!G$86,Calculations!$AT95,"")</f>
        <v/>
      </c>
      <c r="H122" s="17" t="str">
        <f>IF(Calculations!$BQ95='Macro References'!H$86,Calculations!$AT95,"")</f>
        <v/>
      </c>
      <c r="I122" s="17" t="str">
        <f>IF(Calculations!$BQ95='Macro References'!I$86,Calculations!$AT95,"")</f>
        <v/>
      </c>
      <c r="J122" s="17" t="str">
        <f>IF(Calculations!$BQ95='Macro References'!J$86,Calculations!$AT95,"")</f>
        <v/>
      </c>
      <c r="K122" s="17" t="str">
        <f>IF(Calculations!$BQ95='Macro References'!K$86,Calculations!$AT95,"")</f>
        <v/>
      </c>
      <c r="L122" s="17" t="str">
        <f>IF(Calculations!$BQ95='Macro References'!L$86,Calculations!$AT95,"")</f>
        <v/>
      </c>
      <c r="M122" s="17" t="str">
        <f>IF(Calculations!$BQ95='Macro References'!M$86,Calculations!$AT95,"")</f>
        <v/>
      </c>
      <c r="N122" s="17" t="str">
        <f>IF(Calculations!$BQ95='Macro References'!N$86,Calculations!$AT95,"")</f>
        <v/>
      </c>
      <c r="O122" s="17" t="str">
        <f>IF(Calculations!$BQ95='Macro References'!O$86,Calculations!$AT95,"")</f>
        <v/>
      </c>
      <c r="P122" s="17" t="str">
        <f>IF(Calculations!$BQ95='Macro References'!P$86,Calculations!$AT95,"")</f>
        <v/>
      </c>
      <c r="Q122" s="17" t="str">
        <f>IF(Calculations!$BQ95='Macro References'!Q$86,Calculations!$AT95,"")</f>
        <v/>
      </c>
      <c r="R122" s="17" t="str">
        <f>IF(Calculations!$BQ95='Macro References'!R$86,Calculations!$AT95,"")</f>
        <v/>
      </c>
      <c r="S122" s="17" t="str">
        <f>IF(Calculations!$BQ95='Macro References'!S$86,Calculations!$AT95,"")</f>
        <v/>
      </c>
      <c r="T122" s="17" t="str">
        <f>IF(Calculations!$BQ95='Macro References'!T$86,Calculations!$AT95,"")</f>
        <v/>
      </c>
      <c r="U122" s="17" t="str">
        <f>IF(Calculations!$BQ95='Macro References'!U$86,Calculations!$AT95,"")</f>
        <v/>
      </c>
      <c r="V122" s="17" t="str">
        <f>IF(Calculations!$BQ95='Macro References'!V$86,Calculations!$AT95,"")</f>
        <v/>
      </c>
      <c r="W122" s="17" t="str">
        <f>IF(Calculations!$BQ95='Macro References'!W$86,Calculations!$AT95,"")</f>
        <v/>
      </c>
      <c r="X122" s="17" t="str">
        <f>IF(Calculations!$BQ95='Macro References'!X$86,Calculations!$AT95,"")</f>
        <v/>
      </c>
      <c r="Y122" s="17" t="str">
        <f>IF(Calculations!$BQ95='Macro References'!Y$86,Calculations!$AT95,"")</f>
        <v/>
      </c>
      <c r="Z122" s="17" t="str">
        <f>IF(Calculations!$BQ95='Macro References'!Z$86,Calculations!$AT95,"")</f>
        <v/>
      </c>
      <c r="AA122" s="17" t="str">
        <f>IF(Calculations!$BQ95='Macro References'!AA$86,Calculations!$AT95,"")</f>
        <v/>
      </c>
      <c r="AB122" s="17" t="str">
        <f>IF(Calculations!$BQ95='Macro References'!AB$86,Calculations!$AT95,"")</f>
        <v/>
      </c>
      <c r="AC122" s="17" t="str">
        <f>IF(Calculations!$BQ95='Macro References'!AC$86,Calculations!$AT95,"")</f>
        <v/>
      </c>
      <c r="AD122" s="17" t="str">
        <f>IF(Calculations!$BQ95='Macro References'!AD$86,Calculations!$AT95,"")</f>
        <v/>
      </c>
      <c r="AE122" s="17" t="str">
        <f>IF(Calculations!$BQ95='Macro References'!AE$86,Calculations!$AT95,"")</f>
        <v/>
      </c>
    </row>
    <row r="123" spans="1:31" x14ac:dyDescent="0.2">
      <c r="A123">
        <v>18</v>
      </c>
      <c r="B123" s="17" t="str">
        <f>IF(Calculations!$BQ96='Macro References'!B$86,Calculations!$AT96,"")</f>
        <v/>
      </c>
      <c r="C123" s="17" t="str">
        <f>IF(Calculations!$BQ96='Macro References'!C$86,Calculations!$AT96,"")</f>
        <v/>
      </c>
      <c r="D123" s="17" t="str">
        <f>IF(Calculations!$BQ96='Macro References'!D$86,Calculations!$AT96,"")</f>
        <v/>
      </c>
      <c r="E123" s="17" t="str">
        <f>IF(Calculations!$BQ96='Macro References'!E$86,Calculations!$AT96,"")</f>
        <v/>
      </c>
      <c r="F123" s="17" t="str">
        <f>IF(Calculations!$BQ96='Macro References'!F$86,Calculations!$AT96,"")</f>
        <v/>
      </c>
      <c r="G123" s="17" t="str">
        <f>IF(Calculations!$BQ96='Macro References'!G$86,Calculations!$AT96,"")</f>
        <v/>
      </c>
      <c r="H123" s="17" t="str">
        <f>IF(Calculations!$BQ96='Macro References'!H$86,Calculations!$AT96,"")</f>
        <v/>
      </c>
      <c r="I123" s="17" t="str">
        <f>IF(Calculations!$BQ96='Macro References'!I$86,Calculations!$AT96,"")</f>
        <v/>
      </c>
      <c r="J123" s="17" t="str">
        <f>IF(Calculations!$BQ96='Macro References'!J$86,Calculations!$AT96,"")</f>
        <v/>
      </c>
      <c r="K123" s="17" t="str">
        <f>IF(Calculations!$BQ96='Macro References'!K$86,Calculations!$AT96,"")</f>
        <v/>
      </c>
      <c r="L123" s="17" t="str">
        <f>IF(Calculations!$BQ96='Macro References'!L$86,Calculations!$AT96,"")</f>
        <v/>
      </c>
      <c r="M123" s="17" t="str">
        <f>IF(Calculations!$BQ96='Macro References'!M$86,Calculations!$AT96,"")</f>
        <v/>
      </c>
      <c r="N123" s="17" t="str">
        <f>IF(Calculations!$BQ96='Macro References'!N$86,Calculations!$AT96,"")</f>
        <v/>
      </c>
      <c r="O123" s="17" t="str">
        <f>IF(Calculations!$BQ96='Macro References'!O$86,Calculations!$AT96,"")</f>
        <v/>
      </c>
      <c r="P123" s="17" t="str">
        <f>IF(Calculations!$BQ96='Macro References'!P$86,Calculations!$AT96,"")</f>
        <v/>
      </c>
      <c r="Q123" s="17" t="str">
        <f>IF(Calculations!$BQ96='Macro References'!Q$86,Calculations!$AT96,"")</f>
        <v/>
      </c>
      <c r="R123" s="17" t="str">
        <f>IF(Calculations!$BQ96='Macro References'!R$86,Calculations!$AT96,"")</f>
        <v/>
      </c>
      <c r="S123" s="17" t="str">
        <f>IF(Calculations!$BQ96='Macro References'!S$86,Calculations!$AT96,"")</f>
        <v/>
      </c>
      <c r="T123" s="17" t="str">
        <f>IF(Calculations!$BQ96='Macro References'!T$86,Calculations!$AT96,"")</f>
        <v/>
      </c>
      <c r="U123" s="17" t="str">
        <f>IF(Calculations!$BQ96='Macro References'!U$86,Calculations!$AT96,"")</f>
        <v/>
      </c>
      <c r="V123" s="17" t="str">
        <f>IF(Calculations!$BQ96='Macro References'!V$86,Calculations!$AT96,"")</f>
        <v/>
      </c>
      <c r="W123" s="17" t="str">
        <f>IF(Calculations!$BQ96='Macro References'!W$86,Calculations!$AT96,"")</f>
        <v/>
      </c>
      <c r="X123" s="17" t="str">
        <f>IF(Calculations!$BQ96='Macro References'!X$86,Calculations!$AT96,"")</f>
        <v/>
      </c>
      <c r="Y123" s="17" t="str">
        <f>IF(Calculations!$BQ96='Macro References'!Y$86,Calculations!$AT96,"")</f>
        <v/>
      </c>
      <c r="Z123" s="17" t="str">
        <f>IF(Calculations!$BQ96='Macro References'!Z$86,Calculations!$AT96,"")</f>
        <v/>
      </c>
      <c r="AA123" s="17" t="str">
        <f>IF(Calculations!$BQ96='Macro References'!AA$86,Calculations!$AT96,"")</f>
        <v/>
      </c>
      <c r="AB123" s="17" t="str">
        <f>IF(Calculations!$BQ96='Macro References'!AB$86,Calculations!$AT96,"")</f>
        <v/>
      </c>
      <c r="AC123" s="17" t="str">
        <f>IF(Calculations!$BQ96='Macro References'!AC$86,Calculations!$AT96,"")</f>
        <v/>
      </c>
      <c r="AD123" s="17" t="str">
        <f>IF(Calculations!$BQ96='Macro References'!AD$86,Calculations!$AT96,"")</f>
        <v/>
      </c>
      <c r="AE123" s="17" t="str">
        <f>IF(Calculations!$BQ96='Macro References'!AE$86,Calculations!$AT96,"")</f>
        <v/>
      </c>
    </row>
    <row r="125" spans="1:31" ht="15" x14ac:dyDescent="0.25">
      <c r="A125" s="117" t="s">
        <v>763</v>
      </c>
      <c r="B125">
        <f>MAX(B87:B104,B106:B123)</f>
        <v>0</v>
      </c>
      <c r="C125">
        <f t="shared" ref="C125:AE125" si="4">MAX(C87:C104,C106:C123)</f>
        <v>0</v>
      </c>
      <c r="D125">
        <f t="shared" si="4"/>
        <v>0</v>
      </c>
      <c r="E125">
        <f t="shared" si="4"/>
        <v>0</v>
      </c>
      <c r="F125">
        <f t="shared" si="4"/>
        <v>0</v>
      </c>
      <c r="G125">
        <f t="shared" si="4"/>
        <v>0</v>
      </c>
      <c r="H125">
        <f t="shared" si="4"/>
        <v>0</v>
      </c>
      <c r="I125">
        <f t="shared" si="4"/>
        <v>0</v>
      </c>
      <c r="J125">
        <f t="shared" si="4"/>
        <v>0</v>
      </c>
      <c r="K125">
        <f t="shared" si="4"/>
        <v>0</v>
      </c>
      <c r="L125">
        <f t="shared" si="4"/>
        <v>0</v>
      </c>
      <c r="M125">
        <f t="shared" si="4"/>
        <v>0</v>
      </c>
      <c r="N125">
        <f t="shared" si="4"/>
        <v>0</v>
      </c>
      <c r="O125">
        <f t="shared" si="4"/>
        <v>0</v>
      </c>
      <c r="P125">
        <f t="shared" si="4"/>
        <v>0</v>
      </c>
      <c r="Q125">
        <f t="shared" si="4"/>
        <v>0</v>
      </c>
      <c r="R125">
        <f t="shared" si="4"/>
        <v>0</v>
      </c>
      <c r="S125">
        <f t="shared" si="4"/>
        <v>0</v>
      </c>
      <c r="T125">
        <f t="shared" si="4"/>
        <v>0</v>
      </c>
      <c r="U125">
        <f t="shared" si="4"/>
        <v>0</v>
      </c>
      <c r="V125">
        <f t="shared" si="4"/>
        <v>0</v>
      </c>
      <c r="W125">
        <f t="shared" si="4"/>
        <v>0</v>
      </c>
      <c r="X125">
        <f t="shared" si="4"/>
        <v>0</v>
      </c>
      <c r="Y125">
        <f t="shared" si="4"/>
        <v>0</v>
      </c>
      <c r="Z125">
        <f t="shared" si="4"/>
        <v>0</v>
      </c>
      <c r="AA125">
        <f t="shared" si="4"/>
        <v>0</v>
      </c>
      <c r="AB125">
        <f t="shared" si="4"/>
        <v>0</v>
      </c>
      <c r="AC125">
        <f t="shared" si="4"/>
        <v>0</v>
      </c>
      <c r="AD125">
        <f t="shared" si="4"/>
        <v>0</v>
      </c>
      <c r="AE125">
        <f t="shared" si="4"/>
        <v>0</v>
      </c>
    </row>
    <row r="126" spans="1:31" ht="15" x14ac:dyDescent="0.25">
      <c r="A126" s="117" t="s">
        <v>764</v>
      </c>
      <c r="B126" t="str">
        <f>IFERROR(INDEX(Calculations!$AQ$60:$AT$96,MATCH(MAX(B87:B104,B106:B123),(B87:B123),0),1),"")</f>
        <v/>
      </c>
      <c r="C126" t="str">
        <f>IFERROR(INDEX(Calculations!$AQ$60:$AT$96,MATCH(MAX(C87:C104,C106:C123),(C87:C123),0),1),"")</f>
        <v/>
      </c>
      <c r="D126" t="str">
        <f>IFERROR(INDEX(Calculations!$AQ$60:$AT$96,MATCH(MAX(D87:D104,D106:D123),(D87:D123),0),1),"")</f>
        <v/>
      </c>
      <c r="E126" t="str">
        <f>IFERROR(INDEX(Calculations!$AQ$60:$AT$96,MATCH(MAX(E87:E104,E106:E123),(E87:E123),0),1),"")</f>
        <v/>
      </c>
      <c r="F126" t="str">
        <f>IFERROR(INDEX(Calculations!$AQ$60:$AT$96,MATCH(MAX(F87:F104,F106:F123),(F87:F123),0),1),"")</f>
        <v/>
      </c>
      <c r="G126" t="str">
        <f>IFERROR(INDEX(Calculations!$AQ$60:$AT$96,MATCH(MAX(G87:G104,G106:G123),(G87:G123),0),1),"")</f>
        <v/>
      </c>
      <c r="H126" t="str">
        <f>IFERROR(INDEX(Calculations!$AQ$60:$AT$96,MATCH(MAX(H87:H104,H106:H123),(H87:H123),0),1),"")</f>
        <v/>
      </c>
      <c r="I126" t="str">
        <f>IFERROR(INDEX(Calculations!$AQ$60:$AT$96,MATCH(MAX(I87:I104,I106:I123),(I87:I123),0),1),"")</f>
        <v/>
      </c>
      <c r="J126" t="str">
        <f>IFERROR(INDEX(Calculations!$AQ$60:$AT$96,MATCH(MAX(J87:J104,J106:J123),(J87:J123),0),1),"")</f>
        <v/>
      </c>
      <c r="K126" t="str">
        <f>IFERROR(INDEX(Calculations!$AQ$60:$AT$96,MATCH(MAX(K87:K104,K106:K123),(K87:K123),0),1),"")</f>
        <v/>
      </c>
      <c r="L126" t="str">
        <f>IFERROR(INDEX(Calculations!$AQ$60:$AT$96,MATCH(MAX(L87:L104,L106:L123),(L87:L123),0),1),"")</f>
        <v/>
      </c>
      <c r="M126" t="str">
        <f>IFERROR(INDEX(Calculations!$AQ$60:$AT$96,MATCH(MAX(M87:M104,M106:M123),(M87:M123),0),1),"")</f>
        <v/>
      </c>
      <c r="N126" t="str">
        <f>IFERROR(INDEX(Calculations!$AQ$60:$AT$96,MATCH(MAX(N87:N104,N106:N123),(N87:N123),0),1),"")</f>
        <v/>
      </c>
      <c r="O126" t="str">
        <f>IFERROR(INDEX(Calculations!$AQ$60:$AT$96,MATCH(MAX(O87:O104,O106:O123),(O87:O123),0),1),"")</f>
        <v/>
      </c>
      <c r="P126" t="str">
        <f>IFERROR(INDEX(Calculations!$AQ$60:$AT$96,MATCH(MAX(P87:P104,P106:P123),(P87:P123),0),1),"")</f>
        <v/>
      </c>
      <c r="Q126" t="str">
        <f>IFERROR(INDEX(Calculations!$AQ$60:$AT$96,MATCH(MAX(Q87:Q104,Q106:Q123),(Q87:Q123),0),1),"")</f>
        <v/>
      </c>
      <c r="R126" t="str">
        <f>IFERROR(INDEX(Calculations!$AQ$60:$AT$96,MATCH(MAX(R87:R104,R106:R123),(R87:R123),0),1),"")</f>
        <v/>
      </c>
      <c r="S126" t="str">
        <f>IFERROR(INDEX(Calculations!$AQ$60:$AT$96,MATCH(MAX(S87:S104,S106:S123),(S87:S123),0),1),"")</f>
        <v/>
      </c>
      <c r="T126" t="str">
        <f>IFERROR(INDEX(Calculations!$AQ$60:$AT$96,MATCH(MAX(T87:T104,T106:T123),(T87:T123),0),1),"")</f>
        <v/>
      </c>
      <c r="U126" t="str">
        <f>IFERROR(INDEX(Calculations!$AQ$60:$AT$96,MATCH(MAX(U87:U104,U106:U123),(U87:U123),0),1),"")</f>
        <v/>
      </c>
      <c r="V126" t="str">
        <f>IFERROR(INDEX(Calculations!$AQ$60:$AT$96,MATCH(MAX(V87:V104,V106:V123),(V87:V123),0),1),"")</f>
        <v/>
      </c>
      <c r="W126" t="str">
        <f>IFERROR(INDEX(Calculations!$AQ$60:$AT$96,MATCH(MAX(W87:W104,W106:W123),(W87:W123),0),1),"")</f>
        <v/>
      </c>
      <c r="X126" t="str">
        <f>IFERROR(INDEX(Calculations!$AQ$60:$AT$96,MATCH(MAX(X87:X104,X106:X123),(X87:X123),0),1),"")</f>
        <v/>
      </c>
      <c r="Y126" t="str">
        <f>IFERROR(INDEX(Calculations!$AQ$60:$AT$96,MATCH(MAX(Y87:Y104,Y106:Y123),(Y87:Y123),0),1),"")</f>
        <v/>
      </c>
      <c r="Z126" t="str">
        <f>IFERROR(INDEX(Calculations!$AQ$60:$AT$96,MATCH(MAX(Z87:Z104,Z106:Z123),(Z87:Z123),0),1),"")</f>
        <v/>
      </c>
      <c r="AA126" t="str">
        <f>IFERROR(INDEX(Calculations!$AQ$60:$AT$96,MATCH(MAX(AA87:AA104,AA106:AA123),(AA87:AA123),0),1),"")</f>
        <v/>
      </c>
      <c r="AB126" t="str">
        <f>IFERROR(INDEX(Calculations!$AQ$60:$AT$96,MATCH(MAX(AB87:AB104,AB106:AB123),(AB87:AB123),0),1),"")</f>
        <v/>
      </c>
      <c r="AC126" t="str">
        <f>IFERROR(INDEX(Calculations!$AQ$60:$AT$96,MATCH(MAX(AC87:AC104,AC106:AC123),(AC87:AC123),0),1),"")</f>
        <v/>
      </c>
      <c r="AD126" t="str">
        <f>IFERROR(INDEX(Calculations!$AQ$60:$AT$96,MATCH(MAX(AD87:AD104,AD106:AD123),(AD87:AD123),0),1),"")</f>
        <v/>
      </c>
      <c r="AE126" t="str">
        <f>IFERROR(INDEX(Calculations!$AQ$60:$AT$96,MATCH(MAX(AE87:AE104,AE106:AE123),(AE87:AE123),0),1),"")</f>
        <v/>
      </c>
    </row>
    <row r="127" spans="1:31" ht="15" x14ac:dyDescent="0.25">
      <c r="A127" t="e">
        <f>MATCH("Yes",Calculations!CP60:CP96,0)</f>
        <v>#N/A</v>
      </c>
      <c r="B127" s="395" t="s">
        <v>765</v>
      </c>
    </row>
    <row r="128" spans="1:31" ht="15" x14ac:dyDescent="0.25">
      <c r="B128" s="395" t="s">
        <v>766</v>
      </c>
    </row>
    <row r="129" spans="1:2" ht="15" x14ac:dyDescent="0.25">
      <c r="A129" t="b">
        <v>1</v>
      </c>
      <c r="B129" s="395" t="s">
        <v>767</v>
      </c>
    </row>
    <row r="130" spans="1:2" ht="15" x14ac:dyDescent="0.25">
      <c r="A130" t="b">
        <v>0</v>
      </c>
      <c r="B130" s="395" t="s">
        <v>768</v>
      </c>
    </row>
    <row r="131" spans="1:2" ht="15" x14ac:dyDescent="0.25">
      <c r="B131" s="395" t="s">
        <v>769</v>
      </c>
    </row>
    <row r="132" spans="1:2" ht="15" x14ac:dyDescent="0.25">
      <c r="A132" t="b">
        <v>1</v>
      </c>
      <c r="B132" s="395" t="s">
        <v>770</v>
      </c>
    </row>
    <row r="133" spans="1:2" ht="15" x14ac:dyDescent="0.25">
      <c r="A133" t="s">
        <v>5285</v>
      </c>
      <c r="B133" s="395" t="s">
        <v>771</v>
      </c>
    </row>
    <row r="134" spans="1:2" ht="15" x14ac:dyDescent="0.25">
      <c r="A134" s="49" t="b">
        <v>0</v>
      </c>
      <c r="B134" s="395" t="s">
        <v>772</v>
      </c>
    </row>
    <row r="135" spans="1:2" ht="15" x14ac:dyDescent="0.25">
      <c r="B135" s="395" t="s">
        <v>773</v>
      </c>
    </row>
    <row r="136" spans="1:2" ht="15" x14ac:dyDescent="0.25">
      <c r="A136" t="b">
        <v>0</v>
      </c>
      <c r="B136" s="395" t="s">
        <v>774</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41" width="17.4257812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v>3</v>
      </c>
      <c r="H1">
        <v>4</v>
      </c>
      <c r="I1">
        <v>5</v>
      </c>
      <c r="J1">
        <v>6</v>
      </c>
      <c r="K1">
        <v>7</v>
      </c>
      <c r="L1">
        <v>8</v>
      </c>
      <c r="M1">
        <v>9</v>
      </c>
      <c r="N1">
        <v>10</v>
      </c>
      <c r="O1">
        <v>11</v>
      </c>
      <c r="P1">
        <v>12</v>
      </c>
      <c r="Q1">
        <v>13</v>
      </c>
      <c r="R1">
        <v>14</v>
      </c>
      <c r="S1">
        <v>15</v>
      </c>
      <c r="T1">
        <v>16</v>
      </c>
      <c r="U1">
        <v>17</v>
      </c>
      <c r="V1">
        <v>18</v>
      </c>
      <c r="W1">
        <v>19</v>
      </c>
      <c r="X1">
        <v>20</v>
      </c>
      <c r="Y1">
        <v>21</v>
      </c>
      <c r="Z1">
        <v>22</v>
      </c>
      <c r="AA1">
        <v>23</v>
      </c>
      <c r="AB1">
        <v>24</v>
      </c>
      <c r="AC1">
        <v>25</v>
      </c>
      <c r="AD1">
        <v>26</v>
      </c>
      <c r="AE1">
        <v>27</v>
      </c>
      <c r="AF1">
        <v>28</v>
      </c>
      <c r="AG1">
        <v>29</v>
      </c>
      <c r="AH1">
        <v>30</v>
      </c>
      <c r="AI1">
        <v>31</v>
      </c>
      <c r="AJ1">
        <v>32</v>
      </c>
      <c r="AK1">
        <v>33</v>
      </c>
      <c r="AL1">
        <v>34</v>
      </c>
      <c r="AM1">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2"/>
      <c r="C3" s="553" t="s">
        <v>6</v>
      </c>
      <c r="D3" s="553"/>
      <c r="E3" s="553"/>
      <c r="F3" s="553"/>
      <c r="G3" s="553" t="s">
        <v>72</v>
      </c>
      <c r="H3" s="553"/>
      <c r="I3" s="553"/>
      <c r="J3" s="553"/>
      <c r="K3" s="553" t="s">
        <v>8</v>
      </c>
      <c r="L3" s="553"/>
      <c r="M3" s="553"/>
      <c r="N3" s="553"/>
      <c r="O3" s="553" t="s">
        <v>9</v>
      </c>
      <c r="P3" s="553"/>
      <c r="Q3" s="553"/>
      <c r="R3" s="553"/>
      <c r="S3" s="553" t="s">
        <v>73</v>
      </c>
      <c r="T3" s="553"/>
      <c r="U3" s="553"/>
      <c r="V3" s="553"/>
      <c r="W3" s="553" t="s">
        <v>11</v>
      </c>
      <c r="X3" s="553"/>
      <c r="Y3" s="553"/>
      <c r="Z3" s="553"/>
      <c r="AA3" s="553" t="s">
        <v>12</v>
      </c>
      <c r="AB3" s="553"/>
      <c r="AC3" s="553"/>
      <c r="AD3" s="553"/>
      <c r="AE3" s="553" t="s">
        <v>76</v>
      </c>
      <c r="AF3" s="553"/>
      <c r="AG3" s="553"/>
      <c r="AH3" s="553"/>
      <c r="AI3" s="13" t="s">
        <v>775</v>
      </c>
      <c r="AJ3" s="13" t="s">
        <v>776</v>
      </c>
      <c r="AK3" s="662" t="s">
        <v>777</v>
      </c>
      <c r="AL3" s="662"/>
      <c r="AM3" s="114" t="s">
        <v>778</v>
      </c>
      <c r="AN3" s="329" t="s">
        <v>779</v>
      </c>
      <c r="AO3" s="329" t="s">
        <v>780</v>
      </c>
      <c r="AP3" s="329" t="s">
        <v>781</v>
      </c>
      <c r="AQ3" s="329" t="s">
        <v>782</v>
      </c>
      <c r="AR3" s="230" t="s">
        <v>783</v>
      </c>
      <c r="AS3" s="329" t="s">
        <v>784</v>
      </c>
      <c r="AT3" s="329" t="s">
        <v>785</v>
      </c>
    </row>
    <row r="4" spans="1:46" ht="16.5" customHeight="1" x14ac:dyDescent="0.2">
      <c r="B4" s="2"/>
      <c r="C4" s="539" t="str">
        <f>IF(OR(C5=0,C5=""),"",IFERROR(VLOOKUP($B4,Input!$B$8:$AL$17,C$2,FALSE),0))</f>
        <v/>
      </c>
      <c r="D4" s="660"/>
      <c r="E4" s="661" t="str">
        <f>IF(G4="","",C4-G4)</f>
        <v/>
      </c>
      <c r="F4" s="550"/>
      <c r="G4" s="561"/>
      <c r="H4" s="562"/>
      <c r="I4" s="562"/>
      <c r="J4" s="563"/>
      <c r="K4" s="561"/>
      <c r="L4" s="562"/>
      <c r="M4" s="562"/>
      <c r="N4" s="563"/>
      <c r="O4" s="537" t="str">
        <f>IF(C4=0,O5,IFERROR(VLOOKUP($B4,Input!$B$8:$AL$17,O$2,FALSE),""))</f>
        <v/>
      </c>
      <c r="P4" s="537"/>
      <c r="Q4" s="537"/>
      <c r="R4" s="537"/>
      <c r="S4" s="561"/>
      <c r="T4" s="562"/>
      <c r="U4" s="562"/>
      <c r="V4" s="563"/>
      <c r="W4" s="561"/>
      <c r="X4" s="562"/>
      <c r="Y4" s="562"/>
      <c r="Z4" s="563"/>
      <c r="AA4" s="537" t="str">
        <f>IF(C4=0,AA5,IFERROR(VLOOKUP($B4,Input!$B$8:$AL$17,AA$2,FALSE),""))</f>
        <v/>
      </c>
      <c r="AB4" s="537"/>
      <c r="AC4" s="537"/>
      <c r="AD4" s="537"/>
      <c r="AE4" s="537" t="str">
        <f>IF(C4=0,AE5,IFERROR(VLOOKUP($B4,Input!$B$8:$AL$17,AE$2,FALSE),""))</f>
        <v/>
      </c>
      <c r="AF4" s="537"/>
      <c r="AG4" s="537"/>
      <c r="AH4" s="537"/>
      <c r="AI4" s="13"/>
      <c r="AJ4" t="str">
        <f>AA5</f>
        <v/>
      </c>
      <c r="AK4" t="s">
        <v>786</v>
      </c>
      <c r="AL4" t="s">
        <v>787</v>
      </c>
      <c r="AM4" s="130"/>
      <c r="AN4" s="130"/>
      <c r="AO4" s="130"/>
      <c r="AP4" s="130"/>
      <c r="AQ4" s="130"/>
      <c r="AR4" s="130"/>
      <c r="AS4" s="130"/>
      <c r="AT4" s="248"/>
    </row>
    <row r="5" spans="1:46" x14ac:dyDescent="0.2">
      <c r="B5" s="3">
        <v>10</v>
      </c>
      <c r="C5" s="539" t="str">
        <f>IF(OR(C6=0,C6=""),"",IFERROR(VLOOKUP($B5,Input!$B$8:$AL$17,C$2,FALSE),0))</f>
        <v/>
      </c>
      <c r="D5" s="660"/>
      <c r="E5" s="661" t="str">
        <f t="shared" ref="E5:E14" si="0">IF(G5="","",C5-G5)</f>
        <v/>
      </c>
      <c r="F5" s="550"/>
      <c r="G5" s="537" t="str">
        <f>IFERROR(VLOOKUP($B5,Input!$B$8:$AL$17,G$2,FALSE),"")</f>
        <v/>
      </c>
      <c r="H5" s="537"/>
      <c r="I5" s="537"/>
      <c r="J5" s="537"/>
      <c r="K5" s="537" t="str">
        <f>IFERROR(VLOOKUP($B5,Input!$B$8:$AL$17,K$2,FALSE),"")</f>
        <v/>
      </c>
      <c r="L5" s="537"/>
      <c r="M5" s="537"/>
      <c r="N5" s="537"/>
      <c r="O5" s="537" t="str">
        <f>IF(C5=0,O6,IFERROR(VLOOKUP($B5,Input!$B$8:$AL$17,O$2,FALSE),""))</f>
        <v/>
      </c>
      <c r="P5" s="537"/>
      <c r="Q5" s="537"/>
      <c r="R5" s="537"/>
      <c r="S5" s="537" t="str">
        <f>IFERROR(VLOOKUP($B5,Input!$B$8:$AL$17,S$2,FALSE),"")</f>
        <v/>
      </c>
      <c r="T5" s="537"/>
      <c r="U5" s="537"/>
      <c r="V5" s="537"/>
      <c r="W5" s="537" t="str">
        <f>IFERROR(VLOOKUP($B5,Input!$B$8:$AL$17,W$2,FALSE),"")</f>
        <v/>
      </c>
      <c r="X5" s="537"/>
      <c r="Y5" s="537"/>
      <c r="Z5" s="537"/>
      <c r="AA5" s="537" t="str">
        <f>IF(C5=0,AA6,IFERROR(VLOOKUP($B5,Input!$B$8:$AL$17,AA$2,FALSE),""))</f>
        <v/>
      </c>
      <c r="AB5" s="537"/>
      <c r="AC5" s="537"/>
      <c r="AD5" s="537"/>
      <c r="AE5" s="537" t="str">
        <f>IF(C5=0,AE6,IFERROR(VLOOKUP($B5,Input!$B$8:$AL$17,AE$2,FALSE),""))</f>
        <v/>
      </c>
      <c r="AF5" s="537"/>
      <c r="AG5" s="537"/>
      <c r="AH5" s="537"/>
      <c r="AI5" t="str">
        <f t="shared" ref="AI5:AI14" si="1">IF(OR(K6="",C5=""),"n/a",C5-K6)</f>
        <v>n/a</v>
      </c>
      <c r="AJ5" s="15" t="str">
        <f>IF(Sh_10="","",(Bd_10-Td_10)/(Sh_10*12))</f>
        <v/>
      </c>
      <c r="AK5" s="15">
        <f>IF(AI5="n/a",0,AI5)</f>
        <v>0</v>
      </c>
      <c r="AL5">
        <f>IF(AK5&gt;0,C5,0)</f>
        <v>0</v>
      </c>
      <c r="AM5" s="130" t="str">
        <f>IF(AND(Input!AE17="Auto",Rev="H"),1.5*St_10,IF(AND(Input!$AE$17="Auto",OR(Rev="F",Rev="G")),4*St_10,Input!$AE$17))</f>
        <v/>
      </c>
      <c r="AN5" s="130" t="e">
        <f t="shared" ref="AN5:AN13" si="2">W5-(2*AA5)</f>
        <v>#VALUE!</v>
      </c>
      <c r="AO5" s="130" t="e">
        <f t="shared" ref="AO5:AO13" si="3">K5*12</f>
        <v>#VALUE!</v>
      </c>
      <c r="AP5" s="130" t="e">
        <f t="shared" ref="AP5:AP13" si="4">1.5*AN5</f>
        <v>#VALUE!</v>
      </c>
      <c r="AQ5" s="130" t="e">
        <f t="shared" ref="AQ5:AQ13" si="5">IF(K5&lt;&gt;0,IF(AP5&gt;AO5,"Yes","No"),"N/A")</f>
        <v>#VALUE!</v>
      </c>
      <c r="AR5" s="130" t="e">
        <f t="shared" ref="AR5:AR13" si="6">IF(K5=0,"N/A",AO5/AN5)</f>
        <v>#VALUE!</v>
      </c>
      <c r="AS5" s="130" t="e">
        <f t="shared" ref="AS5:AS13" si="7">IF(AR5&gt;=1.5,1,IF(AR5=1,0.67,IF(AR5&lt;1,"Insufficient",(((AR5-1)*(1-0.67))/(1.5-1))+0.67)))</f>
        <v>#VALUE!</v>
      </c>
      <c r="AT5" s="130" t="e">
        <f>IF(AS5="Insufficient","Insufficient",AS5*VLOOKUP(AE5,Materials[],2,FALSE))</f>
        <v>#VALUE!</v>
      </c>
    </row>
    <row r="6" spans="1:46" x14ac:dyDescent="0.2">
      <c r="B6" s="3">
        <v>9</v>
      </c>
      <c r="C6" s="539" t="str">
        <f>IF(OR(C7=0,C7=""),"",IFERROR(VLOOKUP($B6,Input!$B$8:$AL$17,C$2,FALSE),0))</f>
        <v/>
      </c>
      <c r="D6" s="660"/>
      <c r="E6" s="661" t="str">
        <f t="shared" si="0"/>
        <v/>
      </c>
      <c r="F6" s="550"/>
      <c r="G6" s="537" t="str">
        <f>IFERROR(VLOOKUP($B6,Input!$B$8:$AL$17,G$2,FALSE),"")</f>
        <v/>
      </c>
      <c r="H6" s="537"/>
      <c r="I6" s="537"/>
      <c r="J6" s="537"/>
      <c r="K6" s="537" t="str">
        <f>IFERROR(VLOOKUP($B6,Input!$B$8:$AL$17,K$2,FALSE),"")</f>
        <v/>
      </c>
      <c r="L6" s="537"/>
      <c r="M6" s="537"/>
      <c r="N6" s="537"/>
      <c r="O6" s="537" t="str">
        <f>IF(C6=0,O7,IFERROR(VLOOKUP($B6,Input!$B$8:$AL$17,O$2,FALSE),""))</f>
        <v/>
      </c>
      <c r="P6" s="537"/>
      <c r="Q6" s="537"/>
      <c r="R6" s="537"/>
      <c r="S6" s="537" t="str">
        <f>IFERROR(VLOOKUP($B6,Input!$B$8:$AL$17,S$2,FALSE),"")</f>
        <v/>
      </c>
      <c r="T6" s="537"/>
      <c r="U6" s="537"/>
      <c r="V6" s="537"/>
      <c r="W6" s="537" t="str">
        <f>IFERROR(VLOOKUP($B6,Input!$B$8:$AL$17,W$2,FALSE),"")</f>
        <v/>
      </c>
      <c r="X6" s="537"/>
      <c r="Y6" s="537"/>
      <c r="Z6" s="537"/>
      <c r="AA6" s="537" t="str">
        <f>IF(C6=0,AA7,IFERROR(VLOOKUP($B6,Input!$B$8:$AL$17,AA$2,FALSE),""))</f>
        <v/>
      </c>
      <c r="AB6" s="537"/>
      <c r="AC6" s="537"/>
      <c r="AD6" s="537"/>
      <c r="AE6" s="537" t="str">
        <f>IF(C6=0,AE7,IFERROR(VLOOKUP($B6,Input!$B$8:$AL$17,AE$2,FALSE),""))</f>
        <v/>
      </c>
      <c r="AF6" s="537"/>
      <c r="AG6" s="537"/>
      <c r="AH6" s="537"/>
      <c r="AI6" t="str">
        <f t="shared" si="1"/>
        <v>n/a</v>
      </c>
      <c r="AJ6" s="15" t="str">
        <f>IF(Sh_9="","",(Bd_9-Td_9)/(Sh_9*12))</f>
        <v/>
      </c>
      <c r="AK6" s="15">
        <f t="shared" ref="AK6:AK14" si="8">IF(AI6="n/a",0,AI6)</f>
        <v>0</v>
      </c>
      <c r="AL6">
        <f t="shared" ref="AL6:AL14" si="9">IF(AK6&gt;0,C6,0)</f>
        <v>0</v>
      </c>
      <c r="AM6" s="130" t="str">
        <f>IF(AND(Input!AE16="Auto",Rev="H"),1.5*St_9,IF(AND(Input!$AE$16="Auto",OR(Rev="F",Rev="G")),4*St_9,Input!$AE$16))</f>
        <v/>
      </c>
      <c r="AN6" s="130" t="e">
        <f t="shared" si="2"/>
        <v>#VALUE!</v>
      </c>
      <c r="AO6" s="130" t="e">
        <f t="shared" si="3"/>
        <v>#VALUE!</v>
      </c>
      <c r="AP6" s="130" t="e">
        <f t="shared" si="4"/>
        <v>#VALUE!</v>
      </c>
      <c r="AQ6" s="130" t="e">
        <f t="shared" si="5"/>
        <v>#VALUE!</v>
      </c>
      <c r="AR6" s="130" t="e">
        <f t="shared" si="6"/>
        <v>#VALUE!</v>
      </c>
      <c r="AS6" s="130" t="e">
        <f t="shared" si="7"/>
        <v>#VALUE!</v>
      </c>
      <c r="AT6" s="130" t="e">
        <f>IF(AS6="Insufficient","Insufficient",AS6*VLOOKUP(AE6,Materials[],2,FALSE))</f>
        <v>#VALUE!</v>
      </c>
    </row>
    <row r="7" spans="1:46" x14ac:dyDescent="0.2">
      <c r="B7" s="3">
        <v>8</v>
      </c>
      <c r="C7" s="539" t="str">
        <f>IF(OR(C8=0,C8=""),"",IFERROR(VLOOKUP($B7,Input!$B$8:$AL$17,C$2,FALSE),0))</f>
        <v/>
      </c>
      <c r="D7" s="660"/>
      <c r="E7" s="661" t="str">
        <f t="shared" si="0"/>
        <v/>
      </c>
      <c r="F7" s="550"/>
      <c r="G7" s="537" t="str">
        <f>IFERROR(VLOOKUP($B7,Input!$B$8:$AL$17,G$2,FALSE),"")</f>
        <v/>
      </c>
      <c r="H7" s="537"/>
      <c r="I7" s="537"/>
      <c r="J7" s="537"/>
      <c r="K7" s="537" t="str">
        <f>IFERROR(VLOOKUP($B7,Input!$B$8:$AL$17,K$2,FALSE),"")</f>
        <v/>
      </c>
      <c r="L7" s="537"/>
      <c r="M7" s="537"/>
      <c r="N7" s="537"/>
      <c r="O7" s="537" t="str">
        <f>IF(C7=0,O8,IFERROR(VLOOKUP($B7,Input!$B$8:$AL$17,O$2,FALSE),""))</f>
        <v/>
      </c>
      <c r="P7" s="537"/>
      <c r="Q7" s="537"/>
      <c r="R7" s="537"/>
      <c r="S7" s="537" t="str">
        <f>IFERROR(VLOOKUP($B7,Input!$B$8:$AL$17,S$2,FALSE),"")</f>
        <v/>
      </c>
      <c r="T7" s="537"/>
      <c r="U7" s="537"/>
      <c r="V7" s="537"/>
      <c r="W7" s="537" t="str">
        <f>IFERROR(VLOOKUP($B7,Input!$B$8:$AL$17,W$2,FALSE),"")</f>
        <v/>
      </c>
      <c r="X7" s="537"/>
      <c r="Y7" s="537"/>
      <c r="Z7" s="537"/>
      <c r="AA7" s="537" t="str">
        <f>IF(C7=0,AA8,IFERROR(VLOOKUP($B7,Input!$B$8:$AL$17,AA$2,FALSE),""))</f>
        <v/>
      </c>
      <c r="AB7" s="537"/>
      <c r="AC7" s="537"/>
      <c r="AD7" s="537"/>
      <c r="AE7" s="537" t="str">
        <f>IF(C7=0,AE8,IFERROR(VLOOKUP($B7,Input!$B$8:$AL$17,AE$2,FALSE),""))</f>
        <v/>
      </c>
      <c r="AF7" s="537"/>
      <c r="AG7" s="537"/>
      <c r="AH7" s="537"/>
      <c r="AI7" t="str">
        <f t="shared" si="1"/>
        <v>n/a</v>
      </c>
      <c r="AJ7" s="15" t="str">
        <f>IF(Sh_8="","",(Bd_8-Td_8)/(Sh_8*12))</f>
        <v/>
      </c>
      <c r="AK7" s="15">
        <f t="shared" si="8"/>
        <v>0</v>
      </c>
      <c r="AL7">
        <f t="shared" si="9"/>
        <v>0</v>
      </c>
      <c r="AM7" s="130" t="str">
        <f>IF(AND(Input!AE15="Auto",Rev="H"),1.5*St_8,IF(AND(Input!$AE$15="Auto",OR(Rev="F",Rev="G")),4*St_8,Input!$AE$15))</f>
        <v/>
      </c>
      <c r="AN7" s="130" t="e">
        <f t="shared" si="2"/>
        <v>#VALUE!</v>
      </c>
      <c r="AO7" s="130" t="e">
        <f t="shared" si="3"/>
        <v>#VALUE!</v>
      </c>
      <c r="AP7" s="130" t="e">
        <f t="shared" si="4"/>
        <v>#VALUE!</v>
      </c>
      <c r="AQ7" s="130" t="e">
        <f t="shared" si="5"/>
        <v>#VALUE!</v>
      </c>
      <c r="AR7" s="130" t="e">
        <f t="shared" si="6"/>
        <v>#VALUE!</v>
      </c>
      <c r="AS7" s="130" t="e">
        <f t="shared" si="7"/>
        <v>#VALUE!</v>
      </c>
      <c r="AT7" s="130" t="e">
        <f>IF(AS7="Insufficient","Insufficient",AS7*VLOOKUP(AE7,Materials[],2,FALSE))</f>
        <v>#VALUE!</v>
      </c>
    </row>
    <row r="8" spans="1:46" x14ac:dyDescent="0.2">
      <c r="B8" s="3">
        <v>7</v>
      </c>
      <c r="C8" s="539" t="str">
        <f>IF(OR(C9=0,C9=""),"",IFERROR(VLOOKUP($B8,Input!$B$8:$AL$17,C$2,FALSE),0))</f>
        <v/>
      </c>
      <c r="D8" s="660"/>
      <c r="E8" s="661" t="str">
        <f t="shared" si="0"/>
        <v/>
      </c>
      <c r="F8" s="550"/>
      <c r="G8" s="537" t="str">
        <f>IFERROR(VLOOKUP($B8,Input!$B$8:$AL$17,G$2,FALSE),"")</f>
        <v/>
      </c>
      <c r="H8" s="537"/>
      <c r="I8" s="537"/>
      <c r="J8" s="537"/>
      <c r="K8" s="537" t="str">
        <f>IFERROR(VLOOKUP($B8,Input!$B$8:$AL$17,K$2,FALSE),"")</f>
        <v/>
      </c>
      <c r="L8" s="537"/>
      <c r="M8" s="537"/>
      <c r="N8" s="537"/>
      <c r="O8" s="537" t="str">
        <f>IF(C8=0,O9,IFERROR(VLOOKUP($B8,Input!$B$8:$AL$17,O$2,FALSE),""))</f>
        <v/>
      </c>
      <c r="P8" s="537"/>
      <c r="Q8" s="537"/>
      <c r="R8" s="537"/>
      <c r="S8" s="537" t="str">
        <f>IFERROR(VLOOKUP($B8,Input!$B$8:$AL$17,S$2,FALSE),"")</f>
        <v/>
      </c>
      <c r="T8" s="537"/>
      <c r="U8" s="537"/>
      <c r="V8" s="537"/>
      <c r="W8" s="537" t="str">
        <f>IFERROR(VLOOKUP($B8,Input!$B$8:$AL$17,W$2,FALSE),"")</f>
        <v/>
      </c>
      <c r="X8" s="537"/>
      <c r="Y8" s="537"/>
      <c r="Z8" s="537"/>
      <c r="AA8" s="537" t="str">
        <f>IF(C8=0,AA9,IFERROR(VLOOKUP($B8,Input!$B$8:$AL$17,AA$2,FALSE),""))</f>
        <v/>
      </c>
      <c r="AB8" s="537"/>
      <c r="AC8" s="537"/>
      <c r="AD8" s="537"/>
      <c r="AE8" s="537" t="str">
        <f>IF(C8=0,AE9,IFERROR(VLOOKUP($B8,Input!$B$8:$AL$17,AE$2,FALSE),""))</f>
        <v/>
      </c>
      <c r="AF8" s="537"/>
      <c r="AG8" s="537"/>
      <c r="AH8" s="537"/>
      <c r="AI8" t="str">
        <f t="shared" si="1"/>
        <v>n/a</v>
      </c>
      <c r="AJ8" s="15" t="str">
        <f>IF(Sh_7="","",(Bd_7-Td_7)/(Sh_7*12))</f>
        <v/>
      </c>
      <c r="AK8" s="15">
        <f t="shared" si="8"/>
        <v>0</v>
      </c>
      <c r="AL8">
        <f t="shared" si="9"/>
        <v>0</v>
      </c>
      <c r="AM8" s="130" t="str">
        <f>IF(AND(Input!AE14="Auto",Rev="H"),1.5*St_7,IF(AND(Input!$AE$14="Auto",OR(Rev="F",Rev="G")),4*St_7,Input!$AE$14))</f>
        <v/>
      </c>
      <c r="AN8" s="130" t="e">
        <f t="shared" si="2"/>
        <v>#VALUE!</v>
      </c>
      <c r="AO8" s="130" t="e">
        <f t="shared" si="3"/>
        <v>#VALUE!</v>
      </c>
      <c r="AP8" s="130" t="e">
        <f t="shared" si="4"/>
        <v>#VALUE!</v>
      </c>
      <c r="AQ8" s="130" t="e">
        <f t="shared" si="5"/>
        <v>#VALUE!</v>
      </c>
      <c r="AR8" s="130" t="e">
        <f t="shared" si="6"/>
        <v>#VALUE!</v>
      </c>
      <c r="AS8" s="130" t="e">
        <f t="shared" si="7"/>
        <v>#VALUE!</v>
      </c>
      <c r="AT8" s="130" t="e">
        <f>IF(AS8="Insufficient","Insufficient",AS8*VLOOKUP(AE8,Materials[],2,FALSE))</f>
        <v>#VALUE!</v>
      </c>
    </row>
    <row r="9" spans="1:46" x14ac:dyDescent="0.2">
      <c r="B9" s="3">
        <v>6</v>
      </c>
      <c r="C9" s="539" t="str">
        <f>IF(OR(C10=0,C10=""),"",IFERROR(VLOOKUP($B9,Input!$B$8:$AL$17,C$2,FALSE),0))</f>
        <v/>
      </c>
      <c r="D9" s="660"/>
      <c r="E9" s="661" t="str">
        <f t="shared" si="0"/>
        <v/>
      </c>
      <c r="F9" s="550"/>
      <c r="G9" s="537" t="str">
        <f>IFERROR(VLOOKUP($B9,Input!$B$8:$AL$17,G$2,FALSE),"")</f>
        <v/>
      </c>
      <c r="H9" s="537"/>
      <c r="I9" s="537"/>
      <c r="J9" s="537"/>
      <c r="K9" s="537" t="str">
        <f>IFERROR(VLOOKUP($B9,Input!$B$8:$AL$17,K$2,FALSE),"")</f>
        <v/>
      </c>
      <c r="L9" s="537"/>
      <c r="M9" s="537"/>
      <c r="N9" s="537"/>
      <c r="O9" s="537" t="str">
        <f>IF(C9=0,O10,IFERROR(VLOOKUP($B9,Input!$B$8:$AL$17,O$2,FALSE),""))</f>
        <v/>
      </c>
      <c r="P9" s="537"/>
      <c r="Q9" s="537"/>
      <c r="R9" s="537"/>
      <c r="S9" s="537" t="str">
        <f>IFERROR(VLOOKUP($B9,Input!$B$8:$AL$17,S$2,FALSE),"")</f>
        <v/>
      </c>
      <c r="T9" s="537"/>
      <c r="U9" s="537"/>
      <c r="V9" s="537"/>
      <c r="W9" s="537" t="str">
        <f>IFERROR(VLOOKUP($B9,Input!$B$8:$AL$17,W$2,FALSE),"")</f>
        <v/>
      </c>
      <c r="X9" s="537"/>
      <c r="Y9" s="537"/>
      <c r="Z9" s="537"/>
      <c r="AA9" s="537" t="str">
        <f>IF(C9=0,AA10,IFERROR(VLOOKUP($B9,Input!$B$8:$AL$17,AA$2,FALSE),""))</f>
        <v/>
      </c>
      <c r="AB9" s="537"/>
      <c r="AC9" s="537"/>
      <c r="AD9" s="537"/>
      <c r="AE9" s="537" t="str">
        <f>IF(C9=0,AE10,IFERROR(VLOOKUP($B9,Input!$B$8:$AL$17,AE$2,FALSE),""))</f>
        <v/>
      </c>
      <c r="AF9" s="537"/>
      <c r="AG9" s="537"/>
      <c r="AH9" s="537"/>
      <c r="AI9" t="str">
        <f t="shared" si="1"/>
        <v>n/a</v>
      </c>
      <c r="AJ9" s="15" t="str">
        <f>IF(Sh_6="","",(Bd_6-Td_6)/(Sh_6*12))</f>
        <v/>
      </c>
      <c r="AK9" s="15">
        <f t="shared" si="8"/>
        <v>0</v>
      </c>
      <c r="AL9">
        <f t="shared" si="9"/>
        <v>0</v>
      </c>
      <c r="AM9" s="130" t="str">
        <f>IF(AND(Input!AE13="Auto",Rev="H"),1.5*St_6,IF(AND(Input!$AE$13="Auto",OR(Rev="F",Rev="G")),4*St_6,Input!$AE$13))</f>
        <v/>
      </c>
      <c r="AN9" s="130" t="e">
        <f t="shared" si="2"/>
        <v>#VALUE!</v>
      </c>
      <c r="AO9" s="130" t="e">
        <f t="shared" si="3"/>
        <v>#VALUE!</v>
      </c>
      <c r="AP9" s="130" t="e">
        <f t="shared" si="4"/>
        <v>#VALUE!</v>
      </c>
      <c r="AQ9" s="130" t="e">
        <f t="shared" si="5"/>
        <v>#VALUE!</v>
      </c>
      <c r="AR9" s="130" t="e">
        <f t="shared" si="6"/>
        <v>#VALUE!</v>
      </c>
      <c r="AS9" s="130" t="e">
        <f t="shared" si="7"/>
        <v>#VALUE!</v>
      </c>
      <c r="AT9" s="130" t="e">
        <f>IF(AS9="Insufficient","Insufficient",AS9*VLOOKUP(AE9,Materials[],2,FALSE))</f>
        <v>#VALUE!</v>
      </c>
    </row>
    <row r="10" spans="1:46" x14ac:dyDescent="0.2">
      <c r="B10" s="3">
        <v>5</v>
      </c>
      <c r="C10" s="539" t="str">
        <f>IF(OR(C11=0,C11=""),"",IFERROR(VLOOKUP($B10,Input!$B$8:$AL$17,C$2,FALSE),0))</f>
        <v/>
      </c>
      <c r="D10" s="660"/>
      <c r="E10" s="661" t="str">
        <f t="shared" si="0"/>
        <v/>
      </c>
      <c r="F10" s="550"/>
      <c r="G10" s="537" t="str">
        <f>IFERROR(VLOOKUP($B10,Input!$B$8:$AL$17,G$2,FALSE),"")</f>
        <v/>
      </c>
      <c r="H10" s="537"/>
      <c r="I10" s="537"/>
      <c r="J10" s="537"/>
      <c r="K10" s="537" t="str">
        <f>IFERROR(VLOOKUP($B10,Input!$B$8:$AL$17,K$2,FALSE),"")</f>
        <v/>
      </c>
      <c r="L10" s="537"/>
      <c r="M10" s="537"/>
      <c r="N10" s="537"/>
      <c r="O10" s="537" t="str">
        <f>IF(C10=0,O11,IFERROR(VLOOKUP($B10,Input!$B$8:$AL$17,O$2,FALSE),""))</f>
        <v/>
      </c>
      <c r="P10" s="537"/>
      <c r="Q10" s="537"/>
      <c r="R10" s="537"/>
      <c r="S10" s="537" t="str">
        <f>IFERROR(VLOOKUP($B10,Input!$B$8:$AL$17,S$2,FALSE),"")</f>
        <v/>
      </c>
      <c r="T10" s="537"/>
      <c r="U10" s="537"/>
      <c r="V10" s="537"/>
      <c r="W10" s="537" t="str">
        <f>IFERROR(VLOOKUP($B10,Input!$B$8:$AL$17,W$2,FALSE),"")</f>
        <v/>
      </c>
      <c r="X10" s="537"/>
      <c r="Y10" s="537"/>
      <c r="Z10" s="537"/>
      <c r="AA10" s="537" t="str">
        <f>IF(C10=0,AA11,IFERROR(VLOOKUP($B10,Input!$B$8:$AL$17,AA$2,FALSE),""))</f>
        <v/>
      </c>
      <c r="AB10" s="537"/>
      <c r="AC10" s="537"/>
      <c r="AD10" s="537"/>
      <c r="AE10" s="537" t="str">
        <f>IF(C10=0,AE11,IFERROR(VLOOKUP($B10,Input!$B$8:$AL$17,AE$2,FALSE),""))</f>
        <v/>
      </c>
      <c r="AF10" s="537"/>
      <c r="AG10" s="537"/>
      <c r="AH10" s="537"/>
      <c r="AI10" t="str">
        <f t="shared" si="1"/>
        <v>n/a</v>
      </c>
      <c r="AJ10" s="15" t="str">
        <f>IF(Sh_5="","",(Bd_5-Td_5)/(Sh_5*12))</f>
        <v/>
      </c>
      <c r="AK10" s="15">
        <f t="shared" si="8"/>
        <v>0</v>
      </c>
      <c r="AL10">
        <f t="shared" si="9"/>
        <v>0</v>
      </c>
      <c r="AM10" s="130" t="str">
        <f>IF(AND(Input!AE12="Auto",Rev="H"),1.5*St_5,IF(AND(Input!$AE$12="Auto",OR(Rev="F",Rev="G")),4*St_5,Input!$AE$12))</f>
        <v/>
      </c>
      <c r="AN10" s="130" t="e">
        <f t="shared" si="2"/>
        <v>#VALUE!</v>
      </c>
      <c r="AO10" s="130" t="e">
        <f t="shared" si="3"/>
        <v>#VALUE!</v>
      </c>
      <c r="AP10" s="130" t="e">
        <f t="shared" si="4"/>
        <v>#VALUE!</v>
      </c>
      <c r="AQ10" s="130" t="e">
        <f t="shared" si="5"/>
        <v>#VALUE!</v>
      </c>
      <c r="AR10" s="130" t="e">
        <f t="shared" si="6"/>
        <v>#VALUE!</v>
      </c>
      <c r="AS10" s="130" t="e">
        <f t="shared" si="7"/>
        <v>#VALUE!</v>
      </c>
      <c r="AT10" s="130" t="e">
        <f>IF(AS10="Insufficient","Insufficient",AS10*VLOOKUP(AE10,Materials[],2,FALSE))</f>
        <v>#VALUE!</v>
      </c>
    </row>
    <row r="11" spans="1:46" x14ac:dyDescent="0.2">
      <c r="A11" t="s">
        <v>788</v>
      </c>
      <c r="B11" s="3">
        <v>4</v>
      </c>
      <c r="C11" s="539" t="str">
        <f>IF(OR(C12=0,C12=""),"",IFERROR(VLOOKUP($B11,Input!$B$8:$AL$17,C$2,FALSE),0))</f>
        <v/>
      </c>
      <c r="D11" s="660"/>
      <c r="E11" s="661" t="str">
        <f t="shared" si="0"/>
        <v/>
      </c>
      <c r="F11" s="550"/>
      <c r="G11" s="537" t="str">
        <f>IFERROR(VLOOKUP($B11,Input!$B$8:$AL$17,G$2,FALSE),"")</f>
        <v/>
      </c>
      <c r="H11" s="537"/>
      <c r="I11" s="537"/>
      <c r="J11" s="537"/>
      <c r="K11" s="537" t="str">
        <f>IFERROR(VLOOKUP($B11,Input!$B$8:$AL$17,K$2,FALSE),"")</f>
        <v/>
      </c>
      <c r="L11" s="537"/>
      <c r="M11" s="537"/>
      <c r="N11" s="537"/>
      <c r="O11" s="537" t="str">
        <f>IF(C11=0,O12,IFERROR(VLOOKUP($B11,Input!$B$8:$AL$17,O$2,FALSE),""))</f>
        <v/>
      </c>
      <c r="P11" s="537"/>
      <c r="Q11" s="537"/>
      <c r="R11" s="537"/>
      <c r="S11" s="537" t="str">
        <f>IFERROR(VLOOKUP($B11,Input!$B$8:$AL$17,S$2,FALSE),"")</f>
        <v/>
      </c>
      <c r="T11" s="537"/>
      <c r="U11" s="537"/>
      <c r="V11" s="537"/>
      <c r="W11" s="537" t="str">
        <f>IFERROR(VLOOKUP($B11,Input!$B$8:$AL$17,W$2,FALSE),"")</f>
        <v/>
      </c>
      <c r="X11" s="537"/>
      <c r="Y11" s="537"/>
      <c r="Z11" s="537"/>
      <c r="AA11" s="537" t="str">
        <f>IF(C11=0,AA12,IFERROR(VLOOKUP($B11,Input!$B$8:$AL$17,AA$2,FALSE),""))</f>
        <v/>
      </c>
      <c r="AB11" s="537"/>
      <c r="AC11" s="537"/>
      <c r="AD11" s="537"/>
      <c r="AE11" s="537" t="str">
        <f>IF(C11=0,AE12,IFERROR(VLOOKUP($B11,Input!$B$8:$AL$17,AE$2,FALSE),""))</f>
        <v/>
      </c>
      <c r="AF11" s="537"/>
      <c r="AG11" s="537"/>
      <c r="AH11" s="537"/>
      <c r="AI11" t="str">
        <f>IF(OR(K12="",C11=""),"n/a",C11-K12)</f>
        <v>n/a</v>
      </c>
      <c r="AJ11" s="15" t="str">
        <f>IF(Sh_4="","",(Bd_4-Td_4)/(Sh_4*12))</f>
        <v/>
      </c>
      <c r="AK11" s="15">
        <f t="shared" si="8"/>
        <v>0</v>
      </c>
      <c r="AL11">
        <f t="shared" si="9"/>
        <v>0</v>
      </c>
      <c r="AM11" s="130" t="str">
        <f>IF(AND(Input!AE11="Auto",Rev="H"),1.5*St_4,IF(AND(Input!$AE$11="Auto",OR(Rev="F",Rev="G")),4*St_4,Input!$AE$11))</f>
        <v/>
      </c>
      <c r="AN11" s="130" t="e">
        <f>W11-(2*AA11)</f>
        <v>#VALUE!</v>
      </c>
      <c r="AO11" s="130" t="e">
        <f t="shared" si="3"/>
        <v>#VALUE!</v>
      </c>
      <c r="AP11" s="130" t="e">
        <f t="shared" si="4"/>
        <v>#VALUE!</v>
      </c>
      <c r="AQ11" s="130" t="e">
        <f t="shared" si="5"/>
        <v>#VALUE!</v>
      </c>
      <c r="AR11" s="130" t="e">
        <f t="shared" si="6"/>
        <v>#VALUE!</v>
      </c>
      <c r="AS11" s="130" t="e">
        <f t="shared" si="7"/>
        <v>#VALUE!</v>
      </c>
      <c r="AT11" s="130" t="e">
        <f>IF(AS11="Insufficient","Insufficient",AS11*VLOOKUP(AE11,Materials[],2,FALSE))</f>
        <v>#VALUE!</v>
      </c>
    </row>
    <row r="12" spans="1:46" x14ac:dyDescent="0.2">
      <c r="B12" s="3">
        <v>3</v>
      </c>
      <c r="C12" s="539" t="str">
        <f>IF(OR(C13=0,C13=""),"",IFERROR(VLOOKUP($B12,Input!$B$8:$AL$17,C$2,FALSE),0))</f>
        <v/>
      </c>
      <c r="D12" s="660"/>
      <c r="E12" s="661" t="str">
        <f t="shared" si="0"/>
        <v/>
      </c>
      <c r="F12" s="550"/>
      <c r="G12" s="537" t="str">
        <f>IFERROR(VLOOKUP($B12,Input!$B$8:$AL$17,G$2,FALSE),"")</f>
        <v/>
      </c>
      <c r="H12" s="537"/>
      <c r="I12" s="537"/>
      <c r="J12" s="537"/>
      <c r="K12" s="537" t="str">
        <f>IFERROR(VLOOKUP($B12,Input!$B$8:$AL$17,K$2,FALSE),"")</f>
        <v/>
      </c>
      <c r="L12" s="537"/>
      <c r="M12" s="537"/>
      <c r="N12" s="537"/>
      <c r="O12" s="537" t="str">
        <f>IF(C12=0,O13,IFERROR(VLOOKUP($B12,Input!$B$8:$AL$17,O$2,FALSE),""))</f>
        <v/>
      </c>
      <c r="P12" s="537"/>
      <c r="Q12" s="537"/>
      <c r="R12" s="537"/>
      <c r="S12" s="537" t="str">
        <f>IFERROR(VLOOKUP($B12,Input!$B$8:$AL$17,S$2,FALSE),"")</f>
        <v/>
      </c>
      <c r="T12" s="537"/>
      <c r="U12" s="537"/>
      <c r="V12" s="537"/>
      <c r="W12" s="537" t="str">
        <f>IFERROR(VLOOKUP($B12,Input!$B$8:$AL$17,W$2,FALSE),"")</f>
        <v/>
      </c>
      <c r="X12" s="537"/>
      <c r="Y12" s="537"/>
      <c r="Z12" s="537"/>
      <c r="AA12" s="537" t="str">
        <f>IF(C12=0,AA13,IFERROR(VLOOKUP($B12,Input!$B$8:$AL$17,AA$2,FALSE),""))</f>
        <v/>
      </c>
      <c r="AB12" s="537"/>
      <c r="AC12" s="537"/>
      <c r="AD12" s="537"/>
      <c r="AE12" s="537" t="str">
        <f>IF(C12=0,AE13,IFERROR(VLOOKUP($B12,Input!$B$8:$AL$17,AE$2,FALSE),""))</f>
        <v/>
      </c>
      <c r="AF12" s="537"/>
      <c r="AG12" s="537"/>
      <c r="AH12" s="537"/>
      <c r="AI12" t="str">
        <f t="shared" si="1"/>
        <v>n/a</v>
      </c>
      <c r="AJ12" s="15" t="str">
        <f>IF(Sh_3="","",(Bd_3-Td_3)/(Sh_3*12))</f>
        <v/>
      </c>
      <c r="AK12" s="15">
        <f t="shared" si="8"/>
        <v>0</v>
      </c>
      <c r="AL12">
        <f t="shared" si="9"/>
        <v>0</v>
      </c>
      <c r="AM12" s="130" t="str">
        <f>IF(AND(Input!AE10="Auto",Rev="H"),1.5*St_3,IF(AND(Input!$AE$10="Auto",OR(Rev="F",Rev="G")),4*St_3,Input!$AE$10))</f>
        <v/>
      </c>
      <c r="AN12" s="130" t="e">
        <f t="shared" si="2"/>
        <v>#VALUE!</v>
      </c>
      <c r="AO12" s="130" t="e">
        <f t="shared" si="3"/>
        <v>#VALUE!</v>
      </c>
      <c r="AP12" s="130" t="e">
        <f t="shared" si="4"/>
        <v>#VALUE!</v>
      </c>
      <c r="AQ12" s="130" t="e">
        <f t="shared" si="5"/>
        <v>#VALUE!</v>
      </c>
      <c r="AR12" s="130" t="e">
        <f t="shared" si="6"/>
        <v>#VALUE!</v>
      </c>
      <c r="AS12" s="130" t="e">
        <f t="shared" si="7"/>
        <v>#VALUE!</v>
      </c>
      <c r="AT12" s="130" t="e">
        <f>IF(AS12="Insufficient","Insufficient",AS12*VLOOKUP(AE12,Materials[],2,FALSE))</f>
        <v>#VALUE!</v>
      </c>
    </row>
    <row r="13" spans="1:46" x14ac:dyDescent="0.2">
      <c r="B13" s="3">
        <v>2</v>
      </c>
      <c r="C13" s="539" t="str">
        <f>IF(OR(C14=0,C14=""),"",IFERROR(VLOOKUP($B13,Input!$B$8:$AL$17,C$2,FALSE),0))</f>
        <v/>
      </c>
      <c r="D13" s="660"/>
      <c r="E13" s="661" t="str">
        <f t="shared" si="0"/>
        <v/>
      </c>
      <c r="F13" s="550"/>
      <c r="G13" s="537" t="str">
        <f>IFERROR(VLOOKUP($B13,Input!$B$8:$AL$17,G$2,FALSE),"")</f>
        <v/>
      </c>
      <c r="H13" s="537"/>
      <c r="I13" s="537"/>
      <c r="J13" s="537"/>
      <c r="K13" s="537" t="str">
        <f>IFERROR(VLOOKUP($B13,Input!$B$8:$AL$17,K$2,FALSE),"")</f>
        <v/>
      </c>
      <c r="L13" s="537"/>
      <c r="M13" s="537"/>
      <c r="N13" s="537"/>
      <c r="O13" s="537" t="str">
        <f>IF(C13=0,O14,IFERROR(VLOOKUP($B13,Input!$B$8:$AL$17,O$2,FALSE),""))</f>
        <v/>
      </c>
      <c r="P13" s="537"/>
      <c r="Q13" s="537"/>
      <c r="R13" s="537"/>
      <c r="S13" s="537" t="str">
        <f>IFERROR(VLOOKUP($B13,Input!$B$8:$AL$17,S$2,FALSE),"")</f>
        <v/>
      </c>
      <c r="T13" s="537"/>
      <c r="U13" s="537"/>
      <c r="V13" s="537"/>
      <c r="W13" s="537" t="str">
        <f>IFERROR(VLOOKUP($B13,Input!$B$8:$AL$17,W$2,FALSE),"")</f>
        <v/>
      </c>
      <c r="X13" s="537"/>
      <c r="Y13" s="537"/>
      <c r="Z13" s="537"/>
      <c r="AA13" s="537" t="str">
        <f>IF(C13=0,AA14,IFERROR(VLOOKUP($B13,Input!$B$8:$AL$17,AA$2,FALSE),""))</f>
        <v/>
      </c>
      <c r="AB13" s="537"/>
      <c r="AC13" s="537"/>
      <c r="AD13" s="537"/>
      <c r="AE13" s="537" t="str">
        <f>IF(C13=0,AE14,IFERROR(VLOOKUP($B13,Input!$B$8:$AL$17,AE$2,FALSE),""))</f>
        <v/>
      </c>
      <c r="AF13" s="537"/>
      <c r="AG13" s="537"/>
      <c r="AH13" s="537"/>
      <c r="AI13" t="str">
        <f t="shared" si="1"/>
        <v>n/a</v>
      </c>
      <c r="AJ13" s="15" t="str">
        <f>IF(Sh_2="","",(Bd_2-Td_2)/(Sh_2*12))</f>
        <v/>
      </c>
      <c r="AK13" s="15">
        <f t="shared" si="8"/>
        <v>0</v>
      </c>
      <c r="AL13">
        <f t="shared" si="9"/>
        <v>0</v>
      </c>
      <c r="AM13" s="130" t="str">
        <f>IF(AND(Input!AE9="Auto",Rev="H"),1.5*St_2,IF(AND(Input!$AE$9="Auto",OR(Rev="F",Rev="G")),4*St_2,Input!$AE$9))</f>
        <v/>
      </c>
      <c r="AN13" s="130" t="e">
        <f t="shared" si="2"/>
        <v>#VALUE!</v>
      </c>
      <c r="AO13" s="130" t="e">
        <f t="shared" si="3"/>
        <v>#VALUE!</v>
      </c>
      <c r="AP13" s="130" t="e">
        <f t="shared" si="4"/>
        <v>#VALUE!</v>
      </c>
      <c r="AQ13" s="130" t="e">
        <f t="shared" si="5"/>
        <v>#VALUE!</v>
      </c>
      <c r="AR13" s="130" t="e">
        <f t="shared" si="6"/>
        <v>#VALUE!</v>
      </c>
      <c r="AS13" s="130" t="e">
        <f t="shared" si="7"/>
        <v>#VALUE!</v>
      </c>
      <c r="AT13" s="130" t="e">
        <f>IF(AS13="Insufficient","Insufficient",AS13*VLOOKUP(AE13,Materials[],2,FALSE))</f>
        <v>#VALUE!</v>
      </c>
    </row>
    <row r="14" spans="1:46" x14ac:dyDescent="0.2">
      <c r="B14" s="3">
        <v>1</v>
      </c>
      <c r="C14" s="539" t="str">
        <f>IFERROR(VLOOKUP($B14,Input!$B$8:$AL$17,C$2,FALSE),"")</f>
        <v/>
      </c>
      <c r="D14" s="660"/>
      <c r="E14" s="661" t="str">
        <f t="shared" si="0"/>
        <v/>
      </c>
      <c r="F14" s="550"/>
      <c r="G14" s="537" t="str">
        <f>IFERROR(VLOOKUP($B14,Input!$B$8:$AL$17,G$2,FALSE),"")</f>
        <v/>
      </c>
      <c r="H14" s="537"/>
      <c r="I14" s="537"/>
      <c r="J14" s="537"/>
      <c r="K14" s="537" t="str">
        <f>IFERROR(VLOOKUP($B14,Input!$B$8:$AL$17,K$2,FALSE),"")</f>
        <v/>
      </c>
      <c r="L14" s="537"/>
      <c r="M14" s="537"/>
      <c r="N14" s="537"/>
      <c r="O14" s="537" t="str">
        <f>IFERROR(VLOOKUP($B14,Input!$B$8:$AL$17,O$2,FALSE),"")</f>
        <v/>
      </c>
      <c r="P14" s="537"/>
      <c r="Q14" s="537"/>
      <c r="R14" s="537"/>
      <c r="S14" s="537" t="str">
        <f>IFERROR(VLOOKUP($B14,Input!$B$8:$AL$17,S$2,FALSE),"")</f>
        <v/>
      </c>
      <c r="T14" s="537"/>
      <c r="U14" s="537"/>
      <c r="V14" s="537"/>
      <c r="W14" s="537" t="str">
        <f>IFERROR(VLOOKUP($B14,Input!$B$8:$AL$17,W$2,FALSE),"")</f>
        <v/>
      </c>
      <c r="X14" s="537"/>
      <c r="Y14" s="537"/>
      <c r="Z14" s="537"/>
      <c r="AA14" s="537" t="str">
        <f>IFERROR(VLOOKUP($B14,Input!$B$8:$AL$17,AA$2,FALSE),"")</f>
        <v/>
      </c>
      <c r="AB14" s="537"/>
      <c r="AC14" s="537"/>
      <c r="AD14" s="537"/>
      <c r="AE14" s="537" t="str">
        <f>IFERROR(VLOOKUP($B14,Input!$B$8:$AL$17,AE$2,FALSE),"")</f>
        <v/>
      </c>
      <c r="AF14" s="537"/>
      <c r="AG14" s="537"/>
      <c r="AH14" s="537"/>
      <c r="AI14" t="str">
        <f t="shared" si="1"/>
        <v>n/a</v>
      </c>
      <c r="AJ14" s="15" t="str">
        <f>IF(Sh_1="","",(Bd_1-Td_1)/(Sh_1*12))</f>
        <v/>
      </c>
      <c r="AK14" s="15">
        <f t="shared" si="8"/>
        <v>0</v>
      </c>
      <c r="AL14">
        <f t="shared" si="9"/>
        <v>0</v>
      </c>
      <c r="AM14" s="130" t="str">
        <f>IF(AND(Input!AE8="Auto",Rev="H"),1.5*St_1,IF(AND(Input!$AE$8="Auto",OR(Rev="F",Rev="G")),4*St_1,Input!$AE$8))</f>
        <v/>
      </c>
      <c r="AN14" s="130" t="e">
        <f>W14-(2*AA14)</f>
        <v>#VALUE!</v>
      </c>
      <c r="AO14" s="130" t="e">
        <f>K14*12</f>
        <v>#VALUE!</v>
      </c>
      <c r="AP14" s="130" t="e">
        <f>1.5*AN14</f>
        <v>#VALUE!</v>
      </c>
      <c r="AQ14" s="130" t="e">
        <f>IF(K14&lt;&gt;0,IF(AP14&gt;AO14,"Yes","No"),"N/A")</f>
        <v>#VALUE!</v>
      </c>
      <c r="AR14" s="130" t="e">
        <f>IF(K14=0,"N/A",AO14/AN14)</f>
        <v>#VALUE!</v>
      </c>
      <c r="AS14" s="130" t="e">
        <f>IF(AR14&gt;=1.5,1,IF(AR14=1,0.67,IF(AR14&lt;1,"Insufficient",(((AR14-1)*(1-0.67))/(1.5-1))+0.67)))</f>
        <v>#VALUE!</v>
      </c>
      <c r="AT14" s="130"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23665"/>
  <sheetViews>
    <sheetView workbookViewId="0">
      <selection sqref="A1:A1048576"/>
    </sheetView>
  </sheetViews>
  <sheetFormatPr defaultRowHeight="12.75" x14ac:dyDescent="0.2"/>
  <cols>
    <col min="1" max="1" width="81.140625" bestFit="1" customWidth="1"/>
  </cols>
  <sheetData>
    <row r="1" spans="1:1" x14ac:dyDescent="0.2">
      <c r="A1" t="s">
        <v>789</v>
      </c>
    </row>
    <row r="2" spans="1:1" x14ac:dyDescent="0.2">
      <c r="A2" t="s">
        <v>2624</v>
      </c>
    </row>
    <row r="3" spans="1:1" x14ac:dyDescent="0.2">
      <c r="A3" t="s">
        <v>790</v>
      </c>
    </row>
    <row r="4" spans="1:1" x14ac:dyDescent="0.2">
      <c r="A4" t="s">
        <v>791</v>
      </c>
    </row>
    <row r="5" spans="1:1" x14ac:dyDescent="0.2">
      <c r="A5" t="s">
        <v>792</v>
      </c>
    </row>
    <row r="6" spans="1:1" x14ac:dyDescent="0.2">
      <c r="A6" t="s">
        <v>793</v>
      </c>
    </row>
    <row r="7" spans="1:1" x14ac:dyDescent="0.2">
      <c r="A7" t="s">
        <v>2625</v>
      </c>
    </row>
    <row r="8" spans="1:1" x14ac:dyDescent="0.2">
      <c r="A8" t="s">
        <v>2626</v>
      </c>
    </row>
    <row r="9" spans="1:1" x14ac:dyDescent="0.2">
      <c r="A9" t="s">
        <v>2627</v>
      </c>
    </row>
    <row r="10" spans="1:1" x14ac:dyDescent="0.2">
      <c r="A10" t="s">
        <v>2628</v>
      </c>
    </row>
    <row r="11" spans="1:1" x14ac:dyDescent="0.2">
      <c r="A11" t="s">
        <v>2629</v>
      </c>
    </row>
    <row r="12" spans="1:1" x14ac:dyDescent="0.2">
      <c r="A12" t="s">
        <v>2630</v>
      </c>
    </row>
    <row r="13" spans="1:1" x14ac:dyDescent="0.2">
      <c r="A13" t="s">
        <v>794</v>
      </c>
    </row>
    <row r="14" spans="1:1" x14ac:dyDescent="0.2">
      <c r="A14" t="s">
        <v>795</v>
      </c>
    </row>
    <row r="15" spans="1:1" x14ac:dyDescent="0.2">
      <c r="A15" t="s">
        <v>796</v>
      </c>
    </row>
    <row r="16" spans="1:1" x14ac:dyDescent="0.2">
      <c r="A16" t="s">
        <v>2631</v>
      </c>
    </row>
    <row r="17" spans="1:1" x14ac:dyDescent="0.2">
      <c r="A17" t="s">
        <v>797</v>
      </c>
    </row>
    <row r="18" spans="1:1" x14ac:dyDescent="0.2">
      <c r="A18" t="s">
        <v>2632</v>
      </c>
    </row>
    <row r="19" spans="1:1" x14ac:dyDescent="0.2">
      <c r="A19" t="s">
        <v>798</v>
      </c>
    </row>
    <row r="20" spans="1:1" x14ac:dyDescent="0.2">
      <c r="A20" t="s">
        <v>826</v>
      </c>
    </row>
    <row r="21" spans="1:1" x14ac:dyDescent="0.2">
      <c r="A21" t="s">
        <v>2633</v>
      </c>
    </row>
    <row r="22" spans="1:1" x14ac:dyDescent="0.2">
      <c r="A22" t="s">
        <v>828</v>
      </c>
    </row>
    <row r="23" spans="1:1" x14ac:dyDescent="0.2">
      <c r="A23" t="s">
        <v>799</v>
      </c>
    </row>
    <row r="24" spans="1:1" x14ac:dyDescent="0.2">
      <c r="A24" t="s">
        <v>2634</v>
      </c>
    </row>
    <row r="25" spans="1:1" x14ac:dyDescent="0.2">
      <c r="A25" t="s">
        <v>800</v>
      </c>
    </row>
    <row r="26" spans="1:1" x14ac:dyDescent="0.2">
      <c r="A26" t="s">
        <v>2635</v>
      </c>
    </row>
    <row r="27" spans="1:1" x14ac:dyDescent="0.2">
      <c r="A27" t="s">
        <v>2636</v>
      </c>
    </row>
    <row r="28" spans="1:1" x14ac:dyDescent="0.2">
      <c r="A28" t="s">
        <v>2637</v>
      </c>
    </row>
    <row r="29" spans="1:1" x14ac:dyDescent="0.2">
      <c r="A29" t="s">
        <v>801</v>
      </c>
    </row>
    <row r="30" spans="1:1" x14ac:dyDescent="0.2">
      <c r="A30" t="s">
        <v>802</v>
      </c>
    </row>
    <row r="31" spans="1:1" x14ac:dyDescent="0.2">
      <c r="A31" t="s">
        <v>803</v>
      </c>
    </row>
    <row r="32" spans="1:1" x14ac:dyDescent="0.2">
      <c r="A32" t="s">
        <v>804</v>
      </c>
    </row>
    <row r="33" spans="1:1" x14ac:dyDescent="0.2">
      <c r="A33" t="s">
        <v>805</v>
      </c>
    </row>
    <row r="34" spans="1:1" x14ac:dyDescent="0.2">
      <c r="A34" t="s">
        <v>806</v>
      </c>
    </row>
    <row r="35" spans="1:1" x14ac:dyDescent="0.2">
      <c r="A35" t="s">
        <v>807</v>
      </c>
    </row>
    <row r="36" spans="1:1" x14ac:dyDescent="0.2">
      <c r="A36" t="s">
        <v>840</v>
      </c>
    </row>
    <row r="37" spans="1:1" x14ac:dyDescent="0.2">
      <c r="A37" t="s">
        <v>808</v>
      </c>
    </row>
    <row r="38" spans="1:1" x14ac:dyDescent="0.2">
      <c r="A38" t="s">
        <v>809</v>
      </c>
    </row>
    <row r="39" spans="1:1" x14ac:dyDescent="0.2">
      <c r="A39" t="s">
        <v>810</v>
      </c>
    </row>
    <row r="40" spans="1:1" x14ac:dyDescent="0.2">
      <c r="A40" t="s">
        <v>2638</v>
      </c>
    </row>
    <row r="41" spans="1:1" x14ac:dyDescent="0.2">
      <c r="A41" t="s">
        <v>811</v>
      </c>
    </row>
    <row r="42" spans="1:1" x14ac:dyDescent="0.2">
      <c r="A42" t="s">
        <v>812</v>
      </c>
    </row>
    <row r="43" spans="1:1" x14ac:dyDescent="0.2">
      <c r="A43" t="s">
        <v>813</v>
      </c>
    </row>
    <row r="44" spans="1:1" x14ac:dyDescent="0.2">
      <c r="A44" t="s">
        <v>848</v>
      </c>
    </row>
    <row r="45" spans="1:1" x14ac:dyDescent="0.2">
      <c r="A45" t="s">
        <v>814</v>
      </c>
    </row>
    <row r="46" spans="1:1" x14ac:dyDescent="0.2">
      <c r="A46" t="s">
        <v>850</v>
      </c>
    </row>
    <row r="47" spans="1:1" x14ac:dyDescent="0.2">
      <c r="A47" t="s">
        <v>815</v>
      </c>
    </row>
    <row r="48" spans="1:1" x14ac:dyDescent="0.2">
      <c r="A48" t="s">
        <v>852</v>
      </c>
    </row>
    <row r="49" spans="1:1" x14ac:dyDescent="0.2">
      <c r="A49" t="s">
        <v>816</v>
      </c>
    </row>
    <row r="50" spans="1:1" x14ac:dyDescent="0.2">
      <c r="A50" t="s">
        <v>817</v>
      </c>
    </row>
    <row r="51" spans="1:1" x14ac:dyDescent="0.2">
      <c r="A51" t="s">
        <v>818</v>
      </c>
    </row>
    <row r="52" spans="1:1" x14ac:dyDescent="0.2">
      <c r="A52" t="s">
        <v>855</v>
      </c>
    </row>
    <row r="53" spans="1:1" x14ac:dyDescent="0.2">
      <c r="A53" t="s">
        <v>819</v>
      </c>
    </row>
    <row r="54" spans="1:1" x14ac:dyDescent="0.2">
      <c r="A54" t="s">
        <v>2639</v>
      </c>
    </row>
    <row r="55" spans="1:1" x14ac:dyDescent="0.2">
      <c r="A55" t="s">
        <v>820</v>
      </c>
    </row>
    <row r="56" spans="1:1" x14ac:dyDescent="0.2">
      <c r="A56" t="s">
        <v>821</v>
      </c>
    </row>
    <row r="57" spans="1:1" x14ac:dyDescent="0.2">
      <c r="A57" t="s">
        <v>822</v>
      </c>
    </row>
    <row r="58" spans="1:1" x14ac:dyDescent="0.2">
      <c r="A58" t="s">
        <v>823</v>
      </c>
    </row>
    <row r="59" spans="1:1" x14ac:dyDescent="0.2">
      <c r="A59" t="s">
        <v>824</v>
      </c>
    </row>
    <row r="60" spans="1:1" x14ac:dyDescent="0.2">
      <c r="A60" t="s">
        <v>825</v>
      </c>
    </row>
    <row r="61" spans="1:1" x14ac:dyDescent="0.2">
      <c r="A61" t="s">
        <v>826</v>
      </c>
    </row>
    <row r="62" spans="1:1" x14ac:dyDescent="0.2">
      <c r="A62" t="s">
        <v>827</v>
      </c>
    </row>
    <row r="63" spans="1:1" x14ac:dyDescent="0.2">
      <c r="A63" t="s">
        <v>828</v>
      </c>
    </row>
    <row r="64" spans="1:1" x14ac:dyDescent="0.2">
      <c r="A64" t="s">
        <v>829</v>
      </c>
    </row>
    <row r="65" spans="1:1" x14ac:dyDescent="0.2">
      <c r="A65" t="s">
        <v>830</v>
      </c>
    </row>
    <row r="66" spans="1:1" x14ac:dyDescent="0.2">
      <c r="A66" t="s">
        <v>831</v>
      </c>
    </row>
    <row r="67" spans="1:1" x14ac:dyDescent="0.2">
      <c r="A67" t="s">
        <v>832</v>
      </c>
    </row>
    <row r="68" spans="1:1" x14ac:dyDescent="0.2">
      <c r="A68" t="s">
        <v>833</v>
      </c>
    </row>
    <row r="69" spans="1:1" x14ac:dyDescent="0.2">
      <c r="A69" t="s">
        <v>834</v>
      </c>
    </row>
    <row r="70" spans="1:1" x14ac:dyDescent="0.2">
      <c r="A70" t="s">
        <v>835</v>
      </c>
    </row>
    <row r="71" spans="1:1" x14ac:dyDescent="0.2">
      <c r="A71" t="s">
        <v>802</v>
      </c>
    </row>
    <row r="72" spans="1:1" x14ac:dyDescent="0.2">
      <c r="A72" t="s">
        <v>836</v>
      </c>
    </row>
    <row r="73" spans="1:1" x14ac:dyDescent="0.2">
      <c r="A73" t="s">
        <v>837</v>
      </c>
    </row>
    <row r="74" spans="1:1" x14ac:dyDescent="0.2">
      <c r="A74" t="s">
        <v>838</v>
      </c>
    </row>
    <row r="75" spans="1:1" x14ac:dyDescent="0.2">
      <c r="A75" t="s">
        <v>839</v>
      </c>
    </row>
    <row r="76" spans="1:1" x14ac:dyDescent="0.2">
      <c r="A76" t="s">
        <v>807</v>
      </c>
    </row>
    <row r="77" spans="1:1" x14ac:dyDescent="0.2">
      <c r="A77" t="s">
        <v>840</v>
      </c>
    </row>
    <row r="78" spans="1:1" x14ac:dyDescent="0.2">
      <c r="A78" t="s">
        <v>841</v>
      </c>
    </row>
    <row r="79" spans="1:1" x14ac:dyDescent="0.2">
      <c r="A79" t="s">
        <v>842</v>
      </c>
    </row>
    <row r="80" spans="1:1" x14ac:dyDescent="0.2">
      <c r="A80" t="s">
        <v>843</v>
      </c>
    </row>
    <row r="81" spans="1:1" x14ac:dyDescent="0.2">
      <c r="A81" t="s">
        <v>844</v>
      </c>
    </row>
    <row r="82" spans="1:1" x14ac:dyDescent="0.2">
      <c r="A82" t="s">
        <v>845</v>
      </c>
    </row>
    <row r="83" spans="1:1" x14ac:dyDescent="0.2">
      <c r="A83" t="s">
        <v>846</v>
      </c>
    </row>
    <row r="84" spans="1:1" x14ac:dyDescent="0.2">
      <c r="A84" t="s">
        <v>847</v>
      </c>
    </row>
    <row r="85" spans="1:1" x14ac:dyDescent="0.2">
      <c r="A85" t="s">
        <v>848</v>
      </c>
    </row>
    <row r="86" spans="1:1" x14ac:dyDescent="0.2">
      <c r="A86" t="s">
        <v>849</v>
      </c>
    </row>
    <row r="87" spans="1:1" x14ac:dyDescent="0.2">
      <c r="A87" t="s">
        <v>850</v>
      </c>
    </row>
    <row r="88" spans="1:1" x14ac:dyDescent="0.2">
      <c r="A88" t="s">
        <v>851</v>
      </c>
    </row>
    <row r="89" spans="1:1" x14ac:dyDescent="0.2">
      <c r="A89" t="s">
        <v>852</v>
      </c>
    </row>
    <row r="90" spans="1:1" x14ac:dyDescent="0.2">
      <c r="A90" t="s">
        <v>853</v>
      </c>
    </row>
    <row r="91" spans="1:1" x14ac:dyDescent="0.2">
      <c r="A91" t="s">
        <v>854</v>
      </c>
    </row>
    <row r="92" spans="1:1" x14ac:dyDescent="0.2">
      <c r="A92" t="s">
        <v>2640</v>
      </c>
    </row>
    <row r="93" spans="1:1" x14ac:dyDescent="0.2">
      <c r="A93" t="s">
        <v>855</v>
      </c>
    </row>
    <row r="94" spans="1:1" x14ac:dyDescent="0.2">
      <c r="A94" t="s">
        <v>856</v>
      </c>
    </row>
    <row r="95" spans="1:1" x14ac:dyDescent="0.2">
      <c r="A95" t="s">
        <v>857</v>
      </c>
    </row>
    <row r="96" spans="1:1" x14ac:dyDescent="0.2">
      <c r="A96" t="s">
        <v>858</v>
      </c>
    </row>
    <row r="97" spans="1:1" x14ac:dyDescent="0.2">
      <c r="A97" t="s">
        <v>859</v>
      </c>
    </row>
    <row r="98" spans="1:1" x14ac:dyDescent="0.2">
      <c r="A98" t="s">
        <v>860</v>
      </c>
    </row>
    <row r="99" spans="1:1" x14ac:dyDescent="0.2">
      <c r="A99" t="s">
        <v>861</v>
      </c>
    </row>
    <row r="100" spans="1:1" x14ac:dyDescent="0.2">
      <c r="A100" t="s">
        <v>862</v>
      </c>
    </row>
    <row r="101" spans="1:1" x14ac:dyDescent="0.2">
      <c r="A101" t="s">
        <v>863</v>
      </c>
    </row>
    <row r="102" spans="1:1" x14ac:dyDescent="0.2">
      <c r="A102" t="s">
        <v>864</v>
      </c>
    </row>
    <row r="103" spans="1:1" x14ac:dyDescent="0.2">
      <c r="A103" t="s">
        <v>865</v>
      </c>
    </row>
    <row r="104" spans="1:1" x14ac:dyDescent="0.2">
      <c r="A104" t="s">
        <v>866</v>
      </c>
    </row>
    <row r="105" spans="1:1" x14ac:dyDescent="0.2">
      <c r="A105" t="s">
        <v>867</v>
      </c>
    </row>
    <row r="106" spans="1:1" x14ac:dyDescent="0.2">
      <c r="A106" t="s">
        <v>868</v>
      </c>
    </row>
    <row r="107" spans="1:1" x14ac:dyDescent="0.2">
      <c r="A107" t="s">
        <v>869</v>
      </c>
    </row>
    <row r="108" spans="1:1" x14ac:dyDescent="0.2">
      <c r="A108" t="s">
        <v>870</v>
      </c>
    </row>
    <row r="109" spans="1:1" x14ac:dyDescent="0.2">
      <c r="A109" t="s">
        <v>871</v>
      </c>
    </row>
    <row r="110" spans="1:1" x14ac:dyDescent="0.2">
      <c r="A110" t="s">
        <v>2641</v>
      </c>
    </row>
    <row r="111" spans="1:1" x14ac:dyDescent="0.2">
      <c r="A111" t="s">
        <v>2642</v>
      </c>
    </row>
    <row r="112" spans="1:1" x14ac:dyDescent="0.2">
      <c r="A112" t="s">
        <v>2643</v>
      </c>
    </row>
    <row r="113" spans="1:1" x14ac:dyDescent="0.2">
      <c r="A113" t="s">
        <v>2644</v>
      </c>
    </row>
    <row r="114" spans="1:1" x14ac:dyDescent="0.2">
      <c r="A114" t="s">
        <v>2645</v>
      </c>
    </row>
    <row r="115" spans="1:1" x14ac:dyDescent="0.2">
      <c r="A115" t="s">
        <v>2646</v>
      </c>
    </row>
    <row r="116" spans="1:1" x14ac:dyDescent="0.2">
      <c r="A116" t="s">
        <v>2647</v>
      </c>
    </row>
    <row r="117" spans="1:1" x14ac:dyDescent="0.2">
      <c r="A117" t="s">
        <v>2648</v>
      </c>
    </row>
    <row r="118" spans="1:1" x14ac:dyDescent="0.2">
      <c r="A118" t="s">
        <v>872</v>
      </c>
    </row>
    <row r="119" spans="1:1" x14ac:dyDescent="0.2">
      <c r="A119" t="s">
        <v>873</v>
      </c>
    </row>
    <row r="120" spans="1:1" x14ac:dyDescent="0.2">
      <c r="A120" t="s">
        <v>874</v>
      </c>
    </row>
    <row r="121" spans="1:1" x14ac:dyDescent="0.2">
      <c r="A121" t="s">
        <v>875</v>
      </c>
    </row>
    <row r="122" spans="1:1" x14ac:dyDescent="0.2">
      <c r="A122" t="s">
        <v>876</v>
      </c>
    </row>
    <row r="123" spans="1:1" x14ac:dyDescent="0.2">
      <c r="A123" t="s">
        <v>877</v>
      </c>
    </row>
    <row r="124" spans="1:1" x14ac:dyDescent="0.2">
      <c r="A124" t="s">
        <v>878</v>
      </c>
    </row>
    <row r="125" spans="1:1" x14ac:dyDescent="0.2">
      <c r="A125" t="s">
        <v>879</v>
      </c>
    </row>
    <row r="126" spans="1:1" x14ac:dyDescent="0.2">
      <c r="A126" t="s">
        <v>2649</v>
      </c>
    </row>
    <row r="127" spans="1:1" x14ac:dyDescent="0.2">
      <c r="A127" t="s">
        <v>880</v>
      </c>
    </row>
    <row r="128" spans="1:1" x14ac:dyDescent="0.2">
      <c r="A128" t="s">
        <v>881</v>
      </c>
    </row>
    <row r="129" spans="1:1" x14ac:dyDescent="0.2">
      <c r="A129" t="s">
        <v>882</v>
      </c>
    </row>
    <row r="130" spans="1:1" x14ac:dyDescent="0.2">
      <c r="A130" t="s">
        <v>883</v>
      </c>
    </row>
    <row r="131" spans="1:1" x14ac:dyDescent="0.2">
      <c r="A131" t="s">
        <v>884</v>
      </c>
    </row>
    <row r="132" spans="1:1" x14ac:dyDescent="0.2">
      <c r="A132" t="s">
        <v>885</v>
      </c>
    </row>
    <row r="133" spans="1:1" x14ac:dyDescent="0.2">
      <c r="A133" t="s">
        <v>886</v>
      </c>
    </row>
    <row r="134" spans="1:1" x14ac:dyDescent="0.2">
      <c r="A134" t="s">
        <v>887</v>
      </c>
    </row>
    <row r="135" spans="1:1" x14ac:dyDescent="0.2">
      <c r="A135" t="s">
        <v>888</v>
      </c>
    </row>
    <row r="136" spans="1:1" x14ac:dyDescent="0.2">
      <c r="A136" t="s">
        <v>889</v>
      </c>
    </row>
    <row r="137" spans="1:1" x14ac:dyDescent="0.2">
      <c r="A137" t="s">
        <v>890</v>
      </c>
    </row>
    <row r="138" spans="1:1" x14ac:dyDescent="0.2">
      <c r="A138" t="s">
        <v>891</v>
      </c>
    </row>
    <row r="139" spans="1:1" x14ac:dyDescent="0.2">
      <c r="A139" t="s">
        <v>892</v>
      </c>
    </row>
    <row r="140" spans="1:1" x14ac:dyDescent="0.2">
      <c r="A140" t="s">
        <v>893</v>
      </c>
    </row>
    <row r="141" spans="1:1" x14ac:dyDescent="0.2">
      <c r="A141" t="s">
        <v>2650</v>
      </c>
    </row>
    <row r="142" spans="1:1" x14ac:dyDescent="0.2">
      <c r="A142" t="s">
        <v>894</v>
      </c>
    </row>
    <row r="143" spans="1:1" x14ac:dyDescent="0.2">
      <c r="A143" t="s">
        <v>895</v>
      </c>
    </row>
    <row r="144" spans="1:1" x14ac:dyDescent="0.2">
      <c r="A144" t="s">
        <v>896</v>
      </c>
    </row>
    <row r="145" spans="1:1" x14ac:dyDescent="0.2">
      <c r="A145" t="s">
        <v>897</v>
      </c>
    </row>
    <row r="146" spans="1:1" x14ac:dyDescent="0.2">
      <c r="A146" t="s">
        <v>898</v>
      </c>
    </row>
    <row r="147" spans="1:1" x14ac:dyDescent="0.2">
      <c r="A147" t="s">
        <v>899</v>
      </c>
    </row>
    <row r="148" spans="1:1" x14ac:dyDescent="0.2">
      <c r="A148" t="s">
        <v>900</v>
      </c>
    </row>
    <row r="149" spans="1:1" x14ac:dyDescent="0.2">
      <c r="A149" t="s">
        <v>901</v>
      </c>
    </row>
    <row r="150" spans="1:1" x14ac:dyDescent="0.2">
      <c r="A150" t="s">
        <v>902</v>
      </c>
    </row>
    <row r="151" spans="1:1" x14ac:dyDescent="0.2">
      <c r="A151" t="s">
        <v>903</v>
      </c>
    </row>
    <row r="152" spans="1:1" x14ac:dyDescent="0.2">
      <c r="A152" t="s">
        <v>904</v>
      </c>
    </row>
    <row r="153" spans="1:1" x14ac:dyDescent="0.2">
      <c r="A153" t="s">
        <v>905</v>
      </c>
    </row>
    <row r="154" spans="1:1" x14ac:dyDescent="0.2">
      <c r="A154" t="s">
        <v>906</v>
      </c>
    </row>
    <row r="155" spans="1:1" x14ac:dyDescent="0.2">
      <c r="A155" t="s">
        <v>907</v>
      </c>
    </row>
    <row r="156" spans="1:1" x14ac:dyDescent="0.2">
      <c r="A156" t="s">
        <v>908</v>
      </c>
    </row>
    <row r="157" spans="1:1" x14ac:dyDescent="0.2">
      <c r="A157" t="s">
        <v>2651</v>
      </c>
    </row>
    <row r="158" spans="1:1" x14ac:dyDescent="0.2">
      <c r="A158" t="s">
        <v>909</v>
      </c>
    </row>
    <row r="159" spans="1:1" x14ac:dyDescent="0.2">
      <c r="A159" t="s">
        <v>910</v>
      </c>
    </row>
    <row r="160" spans="1:1" x14ac:dyDescent="0.2">
      <c r="A160" t="s">
        <v>911</v>
      </c>
    </row>
    <row r="161" spans="1:1" x14ac:dyDescent="0.2">
      <c r="A161" t="s">
        <v>912</v>
      </c>
    </row>
    <row r="162" spans="1:1" x14ac:dyDescent="0.2">
      <c r="A162" t="s">
        <v>913</v>
      </c>
    </row>
    <row r="163" spans="1:1" x14ac:dyDescent="0.2">
      <c r="A163" t="s">
        <v>914</v>
      </c>
    </row>
    <row r="164" spans="1:1" x14ac:dyDescent="0.2">
      <c r="A164" t="s">
        <v>915</v>
      </c>
    </row>
    <row r="165" spans="1:1" x14ac:dyDescent="0.2">
      <c r="A165" t="s">
        <v>916</v>
      </c>
    </row>
    <row r="166" spans="1:1" x14ac:dyDescent="0.2">
      <c r="A166" t="s">
        <v>2652</v>
      </c>
    </row>
    <row r="167" spans="1:1" x14ac:dyDescent="0.2">
      <c r="A167" t="s">
        <v>917</v>
      </c>
    </row>
    <row r="168" spans="1:1" x14ac:dyDescent="0.2">
      <c r="A168" t="s">
        <v>916</v>
      </c>
    </row>
    <row r="169" spans="1:1" x14ac:dyDescent="0.2">
      <c r="A169" t="s">
        <v>2653</v>
      </c>
    </row>
    <row r="170" spans="1:1" x14ac:dyDescent="0.2">
      <c r="A170" t="s">
        <v>2654</v>
      </c>
    </row>
    <row r="171" spans="1:1" x14ac:dyDescent="0.2">
      <c r="A171" t="s">
        <v>916</v>
      </c>
    </row>
    <row r="172" spans="1:1" x14ac:dyDescent="0.2">
      <c r="A172" t="s">
        <v>918</v>
      </c>
    </row>
    <row r="173" spans="1:1" x14ac:dyDescent="0.2">
      <c r="A173" t="s">
        <v>919</v>
      </c>
    </row>
    <row r="174" spans="1:1" x14ac:dyDescent="0.2">
      <c r="A174" t="s">
        <v>920</v>
      </c>
    </row>
    <row r="175" spans="1:1" x14ac:dyDescent="0.2">
      <c r="A175" t="s">
        <v>921</v>
      </c>
    </row>
    <row r="176" spans="1:1" x14ac:dyDescent="0.2">
      <c r="A176" t="s">
        <v>922</v>
      </c>
    </row>
    <row r="177" spans="1:1" x14ac:dyDescent="0.2">
      <c r="A177" t="s">
        <v>923</v>
      </c>
    </row>
    <row r="178" spans="1:1" x14ac:dyDescent="0.2">
      <c r="A178" t="s">
        <v>2655</v>
      </c>
    </row>
    <row r="179" spans="1:1" x14ac:dyDescent="0.2">
      <c r="A179" t="s">
        <v>2656</v>
      </c>
    </row>
    <row r="180" spans="1:1" x14ac:dyDescent="0.2">
      <c r="A180" t="s">
        <v>2657</v>
      </c>
    </row>
    <row r="181" spans="1:1" x14ac:dyDescent="0.2">
      <c r="A181" t="s">
        <v>2658</v>
      </c>
    </row>
    <row r="182" spans="1:1" x14ac:dyDescent="0.2">
      <c r="A182" t="s">
        <v>2659</v>
      </c>
    </row>
    <row r="183" spans="1:1" x14ac:dyDescent="0.2">
      <c r="A183" t="s">
        <v>2660</v>
      </c>
    </row>
    <row r="184" spans="1:1" x14ac:dyDescent="0.2">
      <c r="A184" t="s">
        <v>2661</v>
      </c>
    </row>
    <row r="185" spans="1:1" x14ac:dyDescent="0.2">
      <c r="A185" t="s">
        <v>2662</v>
      </c>
    </row>
    <row r="186" spans="1:1" x14ac:dyDescent="0.2">
      <c r="A186" t="s">
        <v>2662</v>
      </c>
    </row>
    <row r="187" spans="1:1" x14ac:dyDescent="0.2">
      <c r="A187" t="s">
        <v>2663</v>
      </c>
    </row>
    <row r="188" spans="1:1" x14ac:dyDescent="0.2">
      <c r="A188" t="s">
        <v>924</v>
      </c>
    </row>
    <row r="189" spans="1:1" x14ac:dyDescent="0.2">
      <c r="A189" t="s">
        <v>2664</v>
      </c>
    </row>
    <row r="190" spans="1:1" x14ac:dyDescent="0.2">
      <c r="A190" t="s">
        <v>2665</v>
      </c>
    </row>
    <row r="191" spans="1:1" x14ac:dyDescent="0.2">
      <c r="A191" t="s">
        <v>2666</v>
      </c>
    </row>
    <row r="192" spans="1:1" x14ac:dyDescent="0.2">
      <c r="A192" t="s">
        <v>2667</v>
      </c>
    </row>
    <row r="193" spans="1:1" x14ac:dyDescent="0.2">
      <c r="A193" t="s">
        <v>2668</v>
      </c>
    </row>
    <row r="194" spans="1:1" x14ac:dyDescent="0.2">
      <c r="A194" t="s">
        <v>2669</v>
      </c>
    </row>
    <row r="195" spans="1:1" x14ac:dyDescent="0.2">
      <c r="A195" t="s">
        <v>2670</v>
      </c>
    </row>
    <row r="196" spans="1:1" x14ac:dyDescent="0.2">
      <c r="A196" t="s">
        <v>2671</v>
      </c>
    </row>
    <row r="197" spans="1:1" x14ac:dyDescent="0.2">
      <c r="A197" t="s">
        <v>2672</v>
      </c>
    </row>
    <row r="198" spans="1:1" x14ac:dyDescent="0.2">
      <c r="A198" t="s">
        <v>2673</v>
      </c>
    </row>
    <row r="199" spans="1:1" x14ac:dyDescent="0.2">
      <c r="A199" t="s">
        <v>2674</v>
      </c>
    </row>
    <row r="200" spans="1:1" x14ac:dyDescent="0.2">
      <c r="A200" t="s">
        <v>925</v>
      </c>
    </row>
    <row r="201" spans="1:1" x14ac:dyDescent="0.2">
      <c r="A201" t="s">
        <v>2675</v>
      </c>
    </row>
    <row r="202" spans="1:1" x14ac:dyDescent="0.2">
      <c r="A202" t="s">
        <v>2676</v>
      </c>
    </row>
    <row r="203" spans="1:1" x14ac:dyDescent="0.2">
      <c r="A203" t="s">
        <v>2677</v>
      </c>
    </row>
    <row r="204" spans="1:1" x14ac:dyDescent="0.2">
      <c r="A204" t="s">
        <v>2678</v>
      </c>
    </row>
    <row r="205" spans="1:1" x14ac:dyDescent="0.2">
      <c r="A205" t="s">
        <v>2679</v>
      </c>
    </row>
    <row r="206" spans="1:1" x14ac:dyDescent="0.2">
      <c r="A206" t="s">
        <v>926</v>
      </c>
    </row>
    <row r="207" spans="1:1" x14ac:dyDescent="0.2">
      <c r="A207" t="s">
        <v>2680</v>
      </c>
    </row>
    <row r="208" spans="1:1" x14ac:dyDescent="0.2">
      <c r="A208" t="s">
        <v>2681</v>
      </c>
    </row>
    <row r="209" spans="1:1" x14ac:dyDescent="0.2">
      <c r="A209" t="s">
        <v>927</v>
      </c>
    </row>
    <row r="210" spans="1:1" x14ac:dyDescent="0.2">
      <c r="A210" t="s">
        <v>928</v>
      </c>
    </row>
    <row r="211" spans="1:1" x14ac:dyDescent="0.2">
      <c r="A211" t="s">
        <v>2682</v>
      </c>
    </row>
    <row r="212" spans="1:1" x14ac:dyDescent="0.2">
      <c r="A212" t="s">
        <v>2683</v>
      </c>
    </row>
    <row r="213" spans="1:1" x14ac:dyDescent="0.2">
      <c r="A213" t="s">
        <v>2684</v>
      </c>
    </row>
    <row r="214" spans="1:1" x14ac:dyDescent="0.2">
      <c r="A214" t="s">
        <v>2685</v>
      </c>
    </row>
    <row r="215" spans="1:1" x14ac:dyDescent="0.2">
      <c r="A215" t="s">
        <v>2686</v>
      </c>
    </row>
    <row r="216" spans="1:1" x14ac:dyDescent="0.2">
      <c r="A216" t="s">
        <v>2687</v>
      </c>
    </row>
    <row r="217" spans="1:1" x14ac:dyDescent="0.2">
      <c r="A217" t="s">
        <v>2688</v>
      </c>
    </row>
    <row r="218" spans="1:1" x14ac:dyDescent="0.2">
      <c r="A218" t="s">
        <v>2689</v>
      </c>
    </row>
    <row r="219" spans="1:1" x14ac:dyDescent="0.2">
      <c r="A219" t="s">
        <v>2690</v>
      </c>
    </row>
    <row r="220" spans="1:1" x14ac:dyDescent="0.2">
      <c r="A220" t="s">
        <v>2691</v>
      </c>
    </row>
    <row r="221" spans="1:1" x14ac:dyDescent="0.2">
      <c r="A221" t="s">
        <v>2692</v>
      </c>
    </row>
    <row r="222" spans="1:1" x14ac:dyDescent="0.2">
      <c r="A222" t="s">
        <v>2693</v>
      </c>
    </row>
    <row r="223" spans="1:1" x14ac:dyDescent="0.2">
      <c r="A223" t="s">
        <v>2694</v>
      </c>
    </row>
    <row r="224" spans="1:1" x14ac:dyDescent="0.2">
      <c r="A224" t="s">
        <v>2695</v>
      </c>
    </row>
    <row r="225" spans="1:1" x14ac:dyDescent="0.2">
      <c r="A225" t="s">
        <v>2696</v>
      </c>
    </row>
    <row r="226" spans="1:1" x14ac:dyDescent="0.2">
      <c r="A226" t="s">
        <v>2697</v>
      </c>
    </row>
    <row r="227" spans="1:1" x14ac:dyDescent="0.2">
      <c r="A227" t="s">
        <v>2698</v>
      </c>
    </row>
    <row r="228" spans="1:1" x14ac:dyDescent="0.2">
      <c r="A228" t="s">
        <v>2699</v>
      </c>
    </row>
    <row r="229" spans="1:1" x14ac:dyDescent="0.2">
      <c r="A229" t="s">
        <v>2700</v>
      </c>
    </row>
    <row r="230" spans="1:1" x14ac:dyDescent="0.2">
      <c r="A230" t="s">
        <v>2701</v>
      </c>
    </row>
    <row r="231" spans="1:1" x14ac:dyDescent="0.2">
      <c r="A231" t="s">
        <v>2699</v>
      </c>
    </row>
    <row r="232" spans="1:1" x14ac:dyDescent="0.2">
      <c r="A232" t="s">
        <v>2700</v>
      </c>
    </row>
    <row r="233" spans="1:1" x14ac:dyDescent="0.2">
      <c r="A233" t="s">
        <v>2701</v>
      </c>
    </row>
    <row r="234" spans="1:1" x14ac:dyDescent="0.2">
      <c r="A234" t="s">
        <v>2699</v>
      </c>
    </row>
    <row r="235" spans="1:1" x14ac:dyDescent="0.2">
      <c r="A235" t="s">
        <v>2700</v>
      </c>
    </row>
    <row r="236" spans="1:1" x14ac:dyDescent="0.2">
      <c r="A236" t="s">
        <v>2701</v>
      </c>
    </row>
    <row r="237" spans="1:1" x14ac:dyDescent="0.2">
      <c r="A237" t="s">
        <v>2702</v>
      </c>
    </row>
    <row r="238" spans="1:1" x14ac:dyDescent="0.2">
      <c r="A238" t="s">
        <v>2703</v>
      </c>
    </row>
    <row r="239" spans="1:1" x14ac:dyDescent="0.2">
      <c r="A239" t="s">
        <v>2702</v>
      </c>
    </row>
    <row r="240" spans="1:1" x14ac:dyDescent="0.2">
      <c r="A240" t="s">
        <v>2703</v>
      </c>
    </row>
    <row r="241" spans="1:1" x14ac:dyDescent="0.2">
      <c r="A241" t="s">
        <v>2702</v>
      </c>
    </row>
    <row r="242" spans="1:1" x14ac:dyDescent="0.2">
      <c r="A242" t="s">
        <v>2703</v>
      </c>
    </row>
    <row r="243" spans="1:1" x14ac:dyDescent="0.2">
      <c r="A243" t="s">
        <v>2704</v>
      </c>
    </row>
    <row r="244" spans="1:1" x14ac:dyDescent="0.2">
      <c r="A244" t="s">
        <v>2704</v>
      </c>
    </row>
    <row r="245" spans="1:1" x14ac:dyDescent="0.2">
      <c r="A245" t="s">
        <v>2705</v>
      </c>
    </row>
    <row r="246" spans="1:1" x14ac:dyDescent="0.2">
      <c r="A246" t="s">
        <v>2706</v>
      </c>
    </row>
    <row r="247" spans="1:1" x14ac:dyDescent="0.2">
      <c r="A247" t="s">
        <v>2706</v>
      </c>
    </row>
    <row r="248" spans="1:1" x14ac:dyDescent="0.2">
      <c r="A248" t="s">
        <v>2706</v>
      </c>
    </row>
    <row r="249" spans="1:1" x14ac:dyDescent="0.2">
      <c r="A249" t="s">
        <v>2707</v>
      </c>
    </row>
    <row r="250" spans="1:1" x14ac:dyDescent="0.2">
      <c r="A250" t="s">
        <v>2708</v>
      </c>
    </row>
    <row r="251" spans="1:1" x14ac:dyDescent="0.2">
      <c r="A251" t="s">
        <v>2708</v>
      </c>
    </row>
    <row r="252" spans="1:1" x14ac:dyDescent="0.2">
      <c r="A252" t="s">
        <v>2708</v>
      </c>
    </row>
    <row r="253" spans="1:1" x14ac:dyDescent="0.2">
      <c r="A253" t="s">
        <v>2709</v>
      </c>
    </row>
    <row r="254" spans="1:1" x14ac:dyDescent="0.2">
      <c r="A254" t="s">
        <v>2709</v>
      </c>
    </row>
    <row r="255" spans="1:1" x14ac:dyDescent="0.2">
      <c r="A255" t="s">
        <v>2709</v>
      </c>
    </row>
    <row r="256" spans="1:1" x14ac:dyDescent="0.2">
      <c r="A256" t="s">
        <v>2710</v>
      </c>
    </row>
    <row r="257" spans="1:1" x14ac:dyDescent="0.2">
      <c r="A257" t="s">
        <v>2711</v>
      </c>
    </row>
    <row r="258" spans="1:1" x14ac:dyDescent="0.2">
      <c r="A258" t="s">
        <v>2712</v>
      </c>
    </row>
    <row r="259" spans="1:1" x14ac:dyDescent="0.2">
      <c r="A259" t="s">
        <v>2712</v>
      </c>
    </row>
    <row r="260" spans="1:1" x14ac:dyDescent="0.2">
      <c r="A260" t="s">
        <v>2712</v>
      </c>
    </row>
    <row r="261" spans="1:1" x14ac:dyDescent="0.2">
      <c r="A261" t="s">
        <v>2713</v>
      </c>
    </row>
    <row r="262" spans="1:1" x14ac:dyDescent="0.2">
      <c r="A262" t="s">
        <v>2713</v>
      </c>
    </row>
    <row r="263" spans="1:1" x14ac:dyDescent="0.2">
      <c r="A263" t="s">
        <v>2713</v>
      </c>
    </row>
    <row r="264" spans="1:1" x14ac:dyDescent="0.2">
      <c r="A264" t="s">
        <v>2714</v>
      </c>
    </row>
    <row r="265" spans="1:1" x14ac:dyDescent="0.2">
      <c r="A265" t="s">
        <v>2714</v>
      </c>
    </row>
    <row r="266" spans="1:1" x14ac:dyDescent="0.2">
      <c r="A266" t="s">
        <v>2714</v>
      </c>
    </row>
    <row r="267" spans="1:1" x14ac:dyDescent="0.2">
      <c r="A267" t="s">
        <v>2715</v>
      </c>
    </row>
    <row r="268" spans="1:1" x14ac:dyDescent="0.2">
      <c r="A268" t="s">
        <v>2715</v>
      </c>
    </row>
    <row r="269" spans="1:1" x14ac:dyDescent="0.2">
      <c r="A269" t="s">
        <v>2716</v>
      </c>
    </row>
    <row r="270" spans="1:1" x14ac:dyDescent="0.2">
      <c r="A270" t="s">
        <v>2716</v>
      </c>
    </row>
    <row r="271" spans="1:1" x14ac:dyDescent="0.2">
      <c r="A271" t="s">
        <v>2715</v>
      </c>
    </row>
    <row r="272" spans="1:1" x14ac:dyDescent="0.2">
      <c r="A272" t="s">
        <v>2716</v>
      </c>
    </row>
    <row r="273" spans="1:1" x14ac:dyDescent="0.2">
      <c r="A273" t="s">
        <v>2717</v>
      </c>
    </row>
    <row r="274" spans="1:1" x14ac:dyDescent="0.2">
      <c r="A274" t="s">
        <v>2717</v>
      </c>
    </row>
    <row r="275" spans="1:1" x14ac:dyDescent="0.2">
      <c r="A275" t="s">
        <v>2718</v>
      </c>
    </row>
    <row r="276" spans="1:1" x14ac:dyDescent="0.2">
      <c r="A276" t="s">
        <v>2718</v>
      </c>
    </row>
    <row r="277" spans="1:1" x14ac:dyDescent="0.2">
      <c r="A277" t="s">
        <v>2717</v>
      </c>
    </row>
    <row r="278" spans="1:1" x14ac:dyDescent="0.2">
      <c r="A278" t="s">
        <v>2719</v>
      </c>
    </row>
    <row r="279" spans="1:1" x14ac:dyDescent="0.2">
      <c r="A279" t="s">
        <v>2720</v>
      </c>
    </row>
    <row r="280" spans="1:1" x14ac:dyDescent="0.2">
      <c r="A280" t="s">
        <v>2721</v>
      </c>
    </row>
    <row r="281" spans="1:1" x14ac:dyDescent="0.2">
      <c r="A281" t="s">
        <v>2721</v>
      </c>
    </row>
    <row r="282" spans="1:1" x14ac:dyDescent="0.2">
      <c r="A282" t="s">
        <v>2721</v>
      </c>
    </row>
    <row r="283" spans="1:1" x14ac:dyDescent="0.2">
      <c r="A283" t="s">
        <v>2722</v>
      </c>
    </row>
    <row r="284" spans="1:1" x14ac:dyDescent="0.2">
      <c r="A284" t="s">
        <v>2723</v>
      </c>
    </row>
    <row r="285" spans="1:1" x14ac:dyDescent="0.2">
      <c r="A285" t="s">
        <v>2724</v>
      </c>
    </row>
    <row r="286" spans="1:1" x14ac:dyDescent="0.2">
      <c r="A286" t="s">
        <v>2724</v>
      </c>
    </row>
    <row r="287" spans="1:1" x14ac:dyDescent="0.2">
      <c r="A287" t="s">
        <v>2725</v>
      </c>
    </row>
    <row r="288" spans="1:1" x14ac:dyDescent="0.2">
      <c r="A288" t="s">
        <v>2722</v>
      </c>
    </row>
    <row r="289" spans="1:1" x14ac:dyDescent="0.2">
      <c r="A289" t="s">
        <v>2723</v>
      </c>
    </row>
    <row r="290" spans="1:1" x14ac:dyDescent="0.2">
      <c r="A290" t="s">
        <v>2725</v>
      </c>
    </row>
    <row r="291" spans="1:1" x14ac:dyDescent="0.2">
      <c r="A291" t="s">
        <v>2724</v>
      </c>
    </row>
    <row r="292" spans="1:1" x14ac:dyDescent="0.2">
      <c r="A292" t="s">
        <v>2725</v>
      </c>
    </row>
    <row r="293" spans="1:1" x14ac:dyDescent="0.2">
      <c r="A293" t="s">
        <v>2722</v>
      </c>
    </row>
    <row r="294" spans="1:1" x14ac:dyDescent="0.2">
      <c r="A294" t="s">
        <v>2723</v>
      </c>
    </row>
    <row r="295" spans="1:1" x14ac:dyDescent="0.2">
      <c r="A295" t="s">
        <v>2726</v>
      </c>
    </row>
    <row r="296" spans="1:1" x14ac:dyDescent="0.2">
      <c r="A296" t="s">
        <v>2727</v>
      </c>
    </row>
    <row r="297" spans="1:1" x14ac:dyDescent="0.2">
      <c r="A297" t="s">
        <v>2727</v>
      </c>
    </row>
    <row r="298" spans="1:1" x14ac:dyDescent="0.2">
      <c r="A298" t="s">
        <v>2727</v>
      </c>
    </row>
    <row r="299" spans="1:1" x14ac:dyDescent="0.2">
      <c r="A299" t="s">
        <v>2728</v>
      </c>
    </row>
    <row r="300" spans="1:1" x14ac:dyDescent="0.2">
      <c r="A300" t="s">
        <v>2729</v>
      </c>
    </row>
    <row r="301" spans="1:1" x14ac:dyDescent="0.2">
      <c r="A301" t="s">
        <v>2730</v>
      </c>
    </row>
    <row r="302" spans="1:1" x14ac:dyDescent="0.2">
      <c r="A302" t="s">
        <v>2731</v>
      </c>
    </row>
    <row r="303" spans="1:1" x14ac:dyDescent="0.2">
      <c r="A303" t="s">
        <v>2731</v>
      </c>
    </row>
    <row r="304" spans="1:1" x14ac:dyDescent="0.2">
      <c r="A304" t="s">
        <v>2731</v>
      </c>
    </row>
    <row r="305" spans="1:1" x14ac:dyDescent="0.2">
      <c r="A305" t="s">
        <v>2732</v>
      </c>
    </row>
    <row r="306" spans="1:1" x14ac:dyDescent="0.2">
      <c r="A306" t="s">
        <v>2732</v>
      </c>
    </row>
    <row r="307" spans="1:1" x14ac:dyDescent="0.2">
      <c r="A307" t="s">
        <v>2732</v>
      </c>
    </row>
    <row r="308" spans="1:1" x14ac:dyDescent="0.2">
      <c r="A308" t="s">
        <v>2732</v>
      </c>
    </row>
    <row r="309" spans="1:1" x14ac:dyDescent="0.2">
      <c r="A309" t="s">
        <v>2732</v>
      </c>
    </row>
    <row r="310" spans="1:1" x14ac:dyDescent="0.2">
      <c r="A310" t="s">
        <v>2732</v>
      </c>
    </row>
    <row r="311" spans="1:1" x14ac:dyDescent="0.2">
      <c r="A311" t="s">
        <v>2733</v>
      </c>
    </row>
    <row r="312" spans="1:1" x14ac:dyDescent="0.2">
      <c r="A312" t="s">
        <v>2734</v>
      </c>
    </row>
    <row r="313" spans="1:1" x14ac:dyDescent="0.2">
      <c r="A313" t="s">
        <v>2735</v>
      </c>
    </row>
    <row r="314" spans="1:1" x14ac:dyDescent="0.2">
      <c r="A314" t="s">
        <v>2736</v>
      </c>
    </row>
    <row r="315" spans="1:1" x14ac:dyDescent="0.2">
      <c r="A315" t="s">
        <v>929</v>
      </c>
    </row>
    <row r="316" spans="1:1" x14ac:dyDescent="0.2">
      <c r="A316" t="s">
        <v>930</v>
      </c>
    </row>
    <row r="317" spans="1:1" x14ac:dyDescent="0.2">
      <c r="A317" t="s">
        <v>931</v>
      </c>
    </row>
    <row r="318" spans="1:1" x14ac:dyDescent="0.2">
      <c r="A318" t="s">
        <v>932</v>
      </c>
    </row>
    <row r="319" spans="1:1" x14ac:dyDescent="0.2">
      <c r="A319" t="s">
        <v>933</v>
      </c>
    </row>
    <row r="320" spans="1:1" x14ac:dyDescent="0.2">
      <c r="A320" t="s">
        <v>2737</v>
      </c>
    </row>
    <row r="321" spans="1:1" x14ac:dyDescent="0.2">
      <c r="A321" t="s">
        <v>2738</v>
      </c>
    </row>
    <row r="322" spans="1:1" x14ac:dyDescent="0.2">
      <c r="A322" t="s">
        <v>2739</v>
      </c>
    </row>
    <row r="323" spans="1:1" x14ac:dyDescent="0.2">
      <c r="A323" t="s">
        <v>2740</v>
      </c>
    </row>
    <row r="324" spans="1:1" x14ac:dyDescent="0.2">
      <c r="A324" t="s">
        <v>2741</v>
      </c>
    </row>
    <row r="325" spans="1:1" x14ac:dyDescent="0.2">
      <c r="A325" t="s">
        <v>2742</v>
      </c>
    </row>
    <row r="326" spans="1:1" x14ac:dyDescent="0.2">
      <c r="A326" t="s">
        <v>2743</v>
      </c>
    </row>
    <row r="327" spans="1:1" x14ac:dyDescent="0.2">
      <c r="A327" t="s">
        <v>2744</v>
      </c>
    </row>
    <row r="328" spans="1:1" x14ac:dyDescent="0.2">
      <c r="A328" t="s">
        <v>2745</v>
      </c>
    </row>
    <row r="329" spans="1:1" x14ac:dyDescent="0.2">
      <c r="A329" t="s">
        <v>2746</v>
      </c>
    </row>
    <row r="330" spans="1:1" x14ac:dyDescent="0.2">
      <c r="A330" t="s">
        <v>934</v>
      </c>
    </row>
    <row r="331" spans="1:1" x14ac:dyDescent="0.2">
      <c r="A331" t="s">
        <v>935</v>
      </c>
    </row>
    <row r="332" spans="1:1" x14ac:dyDescent="0.2">
      <c r="A332" t="s">
        <v>936</v>
      </c>
    </row>
    <row r="333" spans="1:1" x14ac:dyDescent="0.2">
      <c r="A333" t="s">
        <v>2747</v>
      </c>
    </row>
    <row r="334" spans="1:1" x14ac:dyDescent="0.2">
      <c r="A334" t="s">
        <v>2748</v>
      </c>
    </row>
    <row r="335" spans="1:1" x14ac:dyDescent="0.2">
      <c r="A335" t="s">
        <v>2749</v>
      </c>
    </row>
    <row r="336" spans="1:1" x14ac:dyDescent="0.2">
      <c r="A336" t="s">
        <v>2750</v>
      </c>
    </row>
    <row r="337" spans="1:1" x14ac:dyDescent="0.2">
      <c r="A337" t="s">
        <v>937</v>
      </c>
    </row>
    <row r="338" spans="1:1" x14ac:dyDescent="0.2">
      <c r="A338" t="s">
        <v>938</v>
      </c>
    </row>
    <row r="339" spans="1:1" x14ac:dyDescent="0.2">
      <c r="A339" t="s">
        <v>939</v>
      </c>
    </row>
    <row r="340" spans="1:1" x14ac:dyDescent="0.2">
      <c r="A340" t="s">
        <v>940</v>
      </c>
    </row>
    <row r="341" spans="1:1" x14ac:dyDescent="0.2">
      <c r="A341" t="s">
        <v>941</v>
      </c>
    </row>
    <row r="342" spans="1:1" x14ac:dyDescent="0.2">
      <c r="A342" t="s">
        <v>942</v>
      </c>
    </row>
    <row r="343" spans="1:1" x14ac:dyDescent="0.2">
      <c r="A343" t="s">
        <v>943</v>
      </c>
    </row>
    <row r="344" spans="1:1" x14ac:dyDescent="0.2">
      <c r="A344" t="s">
        <v>944</v>
      </c>
    </row>
    <row r="345" spans="1:1" x14ac:dyDescent="0.2">
      <c r="A345" t="s">
        <v>2751</v>
      </c>
    </row>
    <row r="346" spans="1:1" x14ac:dyDescent="0.2">
      <c r="A346" t="s">
        <v>945</v>
      </c>
    </row>
    <row r="347" spans="1:1" x14ac:dyDescent="0.2">
      <c r="A347" t="s">
        <v>946</v>
      </c>
    </row>
    <row r="348" spans="1:1" x14ac:dyDescent="0.2">
      <c r="A348" t="s">
        <v>2752</v>
      </c>
    </row>
    <row r="349" spans="1:1" x14ac:dyDescent="0.2">
      <c r="A349" t="s">
        <v>2753</v>
      </c>
    </row>
    <row r="350" spans="1:1" x14ac:dyDescent="0.2">
      <c r="A350" t="s">
        <v>2754</v>
      </c>
    </row>
    <row r="351" spans="1:1" x14ac:dyDescent="0.2">
      <c r="A351" t="s">
        <v>2755</v>
      </c>
    </row>
    <row r="352" spans="1:1" x14ac:dyDescent="0.2">
      <c r="A352" t="s">
        <v>947</v>
      </c>
    </row>
    <row r="353" spans="1:1" x14ac:dyDescent="0.2">
      <c r="A353" t="s">
        <v>2756</v>
      </c>
    </row>
    <row r="354" spans="1:1" x14ac:dyDescent="0.2">
      <c r="A354" t="s">
        <v>2757</v>
      </c>
    </row>
    <row r="355" spans="1:1" x14ac:dyDescent="0.2">
      <c r="A355" t="s">
        <v>948</v>
      </c>
    </row>
    <row r="356" spans="1:1" x14ac:dyDescent="0.2">
      <c r="A356" t="s">
        <v>949</v>
      </c>
    </row>
    <row r="357" spans="1:1" x14ac:dyDescent="0.2">
      <c r="A357" t="s">
        <v>950</v>
      </c>
    </row>
    <row r="358" spans="1:1" x14ac:dyDescent="0.2">
      <c r="A358" t="s">
        <v>951</v>
      </c>
    </row>
    <row r="359" spans="1:1" x14ac:dyDescent="0.2">
      <c r="A359" t="s">
        <v>952</v>
      </c>
    </row>
    <row r="360" spans="1:1" x14ac:dyDescent="0.2">
      <c r="A360" t="s">
        <v>953</v>
      </c>
    </row>
    <row r="361" spans="1:1" x14ac:dyDescent="0.2">
      <c r="A361" t="s">
        <v>954</v>
      </c>
    </row>
    <row r="362" spans="1:1" x14ac:dyDescent="0.2">
      <c r="A362" t="s">
        <v>955</v>
      </c>
    </row>
    <row r="363" spans="1:1" x14ac:dyDescent="0.2">
      <c r="A363" t="s">
        <v>956</v>
      </c>
    </row>
    <row r="364" spans="1:1" x14ac:dyDescent="0.2">
      <c r="A364" t="s">
        <v>957</v>
      </c>
    </row>
    <row r="365" spans="1:1" x14ac:dyDescent="0.2">
      <c r="A365" t="s">
        <v>958</v>
      </c>
    </row>
    <row r="366" spans="1:1" x14ac:dyDescent="0.2">
      <c r="A366" t="s">
        <v>959</v>
      </c>
    </row>
    <row r="367" spans="1:1" x14ac:dyDescent="0.2">
      <c r="A367" t="s">
        <v>960</v>
      </c>
    </row>
    <row r="368" spans="1:1" x14ac:dyDescent="0.2">
      <c r="A368" t="s">
        <v>961</v>
      </c>
    </row>
    <row r="369" spans="1:1" x14ac:dyDescent="0.2">
      <c r="A369" t="s">
        <v>962</v>
      </c>
    </row>
    <row r="370" spans="1:1" x14ac:dyDescent="0.2">
      <c r="A370" t="s">
        <v>963</v>
      </c>
    </row>
    <row r="371" spans="1:1" x14ac:dyDescent="0.2">
      <c r="A371" t="s">
        <v>964</v>
      </c>
    </row>
    <row r="372" spans="1:1" x14ac:dyDescent="0.2">
      <c r="A372" t="s">
        <v>965</v>
      </c>
    </row>
    <row r="373" spans="1:1" x14ac:dyDescent="0.2">
      <c r="A373" t="s">
        <v>966</v>
      </c>
    </row>
    <row r="374" spans="1:1" x14ac:dyDescent="0.2">
      <c r="A374" t="s">
        <v>967</v>
      </c>
    </row>
    <row r="375" spans="1:1" x14ac:dyDescent="0.2">
      <c r="A375" t="s">
        <v>968</v>
      </c>
    </row>
    <row r="376" spans="1:1" x14ac:dyDescent="0.2">
      <c r="A376" t="s">
        <v>969</v>
      </c>
    </row>
    <row r="377" spans="1:1" x14ac:dyDescent="0.2">
      <c r="A377" t="s">
        <v>2758</v>
      </c>
    </row>
    <row r="378" spans="1:1" x14ac:dyDescent="0.2">
      <c r="A378" t="s">
        <v>970</v>
      </c>
    </row>
    <row r="379" spans="1:1" x14ac:dyDescent="0.2">
      <c r="A379" t="s">
        <v>971</v>
      </c>
    </row>
    <row r="380" spans="1:1" x14ac:dyDescent="0.2">
      <c r="A380" t="s">
        <v>972</v>
      </c>
    </row>
    <row r="381" spans="1:1" x14ac:dyDescent="0.2">
      <c r="A381" t="s">
        <v>973</v>
      </c>
    </row>
    <row r="382" spans="1:1" x14ac:dyDescent="0.2">
      <c r="A382" t="s">
        <v>974</v>
      </c>
    </row>
    <row r="383" spans="1:1" x14ac:dyDescent="0.2">
      <c r="A383" t="s">
        <v>975</v>
      </c>
    </row>
    <row r="384" spans="1:1" x14ac:dyDescent="0.2">
      <c r="A384" t="s">
        <v>976</v>
      </c>
    </row>
    <row r="385" spans="1:1" x14ac:dyDescent="0.2">
      <c r="A385" t="s">
        <v>977</v>
      </c>
    </row>
    <row r="386" spans="1:1" x14ac:dyDescent="0.2">
      <c r="A386" t="s">
        <v>978</v>
      </c>
    </row>
    <row r="387" spans="1:1" x14ac:dyDescent="0.2">
      <c r="A387" t="s">
        <v>979</v>
      </c>
    </row>
    <row r="388" spans="1:1" x14ac:dyDescent="0.2">
      <c r="A388" t="s">
        <v>980</v>
      </c>
    </row>
    <row r="389" spans="1:1" x14ac:dyDescent="0.2">
      <c r="A389" t="s">
        <v>981</v>
      </c>
    </row>
    <row r="390" spans="1:1" x14ac:dyDescent="0.2">
      <c r="A390" t="s">
        <v>982</v>
      </c>
    </row>
    <row r="391" spans="1:1" x14ac:dyDescent="0.2">
      <c r="A391" t="s">
        <v>983</v>
      </c>
    </row>
    <row r="392" spans="1:1" x14ac:dyDescent="0.2">
      <c r="A392" t="s">
        <v>984</v>
      </c>
    </row>
    <row r="393" spans="1:1" x14ac:dyDescent="0.2">
      <c r="A393" t="s">
        <v>985</v>
      </c>
    </row>
    <row r="394" spans="1:1" x14ac:dyDescent="0.2">
      <c r="A394" t="s">
        <v>986</v>
      </c>
    </row>
    <row r="395" spans="1:1" x14ac:dyDescent="0.2">
      <c r="A395" t="s">
        <v>987</v>
      </c>
    </row>
    <row r="396" spans="1:1" x14ac:dyDescent="0.2">
      <c r="A396" t="s">
        <v>988</v>
      </c>
    </row>
    <row r="397" spans="1:1" x14ac:dyDescent="0.2">
      <c r="A397" t="s">
        <v>989</v>
      </c>
    </row>
    <row r="398" spans="1:1" x14ac:dyDescent="0.2">
      <c r="A398" t="s">
        <v>2759</v>
      </c>
    </row>
    <row r="399" spans="1:1" x14ac:dyDescent="0.2">
      <c r="A399" t="s">
        <v>990</v>
      </c>
    </row>
    <row r="400" spans="1:1" x14ac:dyDescent="0.2">
      <c r="A400" t="s">
        <v>991</v>
      </c>
    </row>
    <row r="401" spans="1:1" x14ac:dyDescent="0.2">
      <c r="A401" t="s">
        <v>992</v>
      </c>
    </row>
    <row r="402" spans="1:1" x14ac:dyDescent="0.2">
      <c r="A402" t="s">
        <v>993</v>
      </c>
    </row>
    <row r="403" spans="1:1" x14ac:dyDescent="0.2">
      <c r="A403" t="s">
        <v>994</v>
      </c>
    </row>
    <row r="404" spans="1:1" x14ac:dyDescent="0.2">
      <c r="A404" t="s">
        <v>995</v>
      </c>
    </row>
    <row r="405" spans="1:1" x14ac:dyDescent="0.2">
      <c r="A405" t="s">
        <v>996</v>
      </c>
    </row>
    <row r="406" spans="1:1" x14ac:dyDescent="0.2">
      <c r="A406" t="s">
        <v>997</v>
      </c>
    </row>
    <row r="407" spans="1:1" x14ac:dyDescent="0.2">
      <c r="A407" t="s">
        <v>998</v>
      </c>
    </row>
    <row r="408" spans="1:1" x14ac:dyDescent="0.2">
      <c r="A408" t="s">
        <v>999</v>
      </c>
    </row>
    <row r="409" spans="1:1" x14ac:dyDescent="0.2">
      <c r="A409" t="s">
        <v>1000</v>
      </c>
    </row>
    <row r="410" spans="1:1" x14ac:dyDescent="0.2">
      <c r="A410" t="s">
        <v>1001</v>
      </c>
    </row>
    <row r="411" spans="1:1" x14ac:dyDescent="0.2">
      <c r="A411" t="s">
        <v>1002</v>
      </c>
    </row>
    <row r="412" spans="1:1" x14ac:dyDescent="0.2">
      <c r="A412" t="s">
        <v>1003</v>
      </c>
    </row>
    <row r="413" spans="1:1" x14ac:dyDescent="0.2">
      <c r="A413" t="s">
        <v>1004</v>
      </c>
    </row>
    <row r="414" spans="1:1" x14ac:dyDescent="0.2">
      <c r="A414" t="s">
        <v>1005</v>
      </c>
    </row>
    <row r="415" spans="1:1" x14ac:dyDescent="0.2">
      <c r="A415" t="s">
        <v>1006</v>
      </c>
    </row>
    <row r="416" spans="1:1" x14ac:dyDescent="0.2">
      <c r="A416" t="s">
        <v>1007</v>
      </c>
    </row>
    <row r="417" spans="1:1" x14ac:dyDescent="0.2">
      <c r="A417" t="s">
        <v>2760</v>
      </c>
    </row>
    <row r="418" spans="1:1" x14ac:dyDescent="0.2">
      <c r="A418" t="s">
        <v>2761</v>
      </c>
    </row>
    <row r="419" spans="1:1" x14ac:dyDescent="0.2">
      <c r="A419" t="s">
        <v>1008</v>
      </c>
    </row>
    <row r="420" spans="1:1" x14ac:dyDescent="0.2">
      <c r="A420" t="s">
        <v>1009</v>
      </c>
    </row>
    <row r="421" spans="1:1" x14ac:dyDescent="0.2">
      <c r="A421" t="s">
        <v>1010</v>
      </c>
    </row>
    <row r="422" spans="1:1" x14ac:dyDescent="0.2">
      <c r="A422" t="s">
        <v>1011</v>
      </c>
    </row>
    <row r="423" spans="1:1" x14ac:dyDescent="0.2">
      <c r="A423" t="s">
        <v>1012</v>
      </c>
    </row>
    <row r="424" spans="1:1" x14ac:dyDescent="0.2">
      <c r="A424" t="s">
        <v>1013</v>
      </c>
    </row>
    <row r="425" spans="1:1" x14ac:dyDescent="0.2">
      <c r="A425" t="s">
        <v>1014</v>
      </c>
    </row>
    <row r="426" spans="1:1" x14ac:dyDescent="0.2">
      <c r="A426" t="s">
        <v>1015</v>
      </c>
    </row>
    <row r="427" spans="1:1" x14ac:dyDescent="0.2">
      <c r="A427" t="s">
        <v>1016</v>
      </c>
    </row>
    <row r="428" spans="1:1" x14ac:dyDescent="0.2">
      <c r="A428" t="s">
        <v>1017</v>
      </c>
    </row>
    <row r="429" spans="1:1" x14ac:dyDescent="0.2">
      <c r="A429" t="s">
        <v>1018</v>
      </c>
    </row>
    <row r="430" spans="1:1" x14ac:dyDescent="0.2">
      <c r="A430" t="s">
        <v>1019</v>
      </c>
    </row>
    <row r="431" spans="1:1" x14ac:dyDescent="0.2">
      <c r="A431" t="s">
        <v>1020</v>
      </c>
    </row>
    <row r="432" spans="1:1" x14ac:dyDescent="0.2">
      <c r="A432" t="s">
        <v>1021</v>
      </c>
    </row>
    <row r="433" spans="1:1" x14ac:dyDescent="0.2">
      <c r="A433" t="s">
        <v>1022</v>
      </c>
    </row>
    <row r="434" spans="1:1" x14ac:dyDescent="0.2">
      <c r="A434" t="s">
        <v>1023</v>
      </c>
    </row>
    <row r="435" spans="1:1" x14ac:dyDescent="0.2">
      <c r="A435" t="s">
        <v>1024</v>
      </c>
    </row>
    <row r="436" spans="1:1" x14ac:dyDescent="0.2">
      <c r="A436" t="s">
        <v>1025</v>
      </c>
    </row>
    <row r="437" spans="1:1" x14ac:dyDescent="0.2">
      <c r="A437" t="s">
        <v>1026</v>
      </c>
    </row>
    <row r="438" spans="1:1" x14ac:dyDescent="0.2">
      <c r="A438" t="s">
        <v>1027</v>
      </c>
    </row>
    <row r="439" spans="1:1" x14ac:dyDescent="0.2">
      <c r="A439" t="s">
        <v>1028</v>
      </c>
    </row>
    <row r="440" spans="1:1" x14ac:dyDescent="0.2">
      <c r="A440" t="s">
        <v>1029</v>
      </c>
    </row>
    <row r="441" spans="1:1" x14ac:dyDescent="0.2">
      <c r="A441" t="s">
        <v>2762</v>
      </c>
    </row>
    <row r="442" spans="1:1" x14ac:dyDescent="0.2">
      <c r="A442" t="s">
        <v>1030</v>
      </c>
    </row>
    <row r="443" spans="1:1" x14ac:dyDescent="0.2">
      <c r="A443" t="s">
        <v>1031</v>
      </c>
    </row>
    <row r="444" spans="1:1" x14ac:dyDescent="0.2">
      <c r="A444" t="s">
        <v>2763</v>
      </c>
    </row>
    <row r="445" spans="1:1" x14ac:dyDescent="0.2">
      <c r="A445" t="s">
        <v>1032</v>
      </c>
    </row>
    <row r="446" spans="1:1" x14ac:dyDescent="0.2">
      <c r="A446" t="s">
        <v>1033</v>
      </c>
    </row>
    <row r="447" spans="1:1" x14ac:dyDescent="0.2">
      <c r="A447" t="s">
        <v>1034</v>
      </c>
    </row>
    <row r="448" spans="1:1" x14ac:dyDescent="0.2">
      <c r="A448" t="s">
        <v>1035</v>
      </c>
    </row>
    <row r="449" spans="1:1" x14ac:dyDescent="0.2">
      <c r="A449" t="s">
        <v>1036</v>
      </c>
    </row>
    <row r="450" spans="1:1" x14ac:dyDescent="0.2">
      <c r="A450" t="s">
        <v>1037</v>
      </c>
    </row>
    <row r="451" spans="1:1" x14ac:dyDescent="0.2">
      <c r="A451" t="s">
        <v>1038</v>
      </c>
    </row>
    <row r="452" spans="1:1" x14ac:dyDescent="0.2">
      <c r="A452" t="s">
        <v>1039</v>
      </c>
    </row>
    <row r="453" spans="1:1" x14ac:dyDescent="0.2">
      <c r="A453" t="s">
        <v>1040</v>
      </c>
    </row>
    <row r="454" spans="1:1" x14ac:dyDescent="0.2">
      <c r="A454" t="s">
        <v>2764</v>
      </c>
    </row>
    <row r="455" spans="1:1" x14ac:dyDescent="0.2">
      <c r="A455" t="s">
        <v>1041</v>
      </c>
    </row>
    <row r="456" spans="1:1" x14ac:dyDescent="0.2">
      <c r="A456" t="s">
        <v>1042</v>
      </c>
    </row>
    <row r="457" spans="1:1" x14ac:dyDescent="0.2">
      <c r="A457" t="s">
        <v>1043</v>
      </c>
    </row>
    <row r="458" spans="1:1" x14ac:dyDescent="0.2">
      <c r="A458" t="s">
        <v>1044</v>
      </c>
    </row>
    <row r="459" spans="1:1" x14ac:dyDescent="0.2">
      <c r="A459" t="s">
        <v>1045</v>
      </c>
    </row>
    <row r="460" spans="1:1" x14ac:dyDescent="0.2">
      <c r="A460" t="s">
        <v>1046</v>
      </c>
    </row>
    <row r="461" spans="1:1" x14ac:dyDescent="0.2">
      <c r="A461" t="s">
        <v>2765</v>
      </c>
    </row>
    <row r="462" spans="1:1" x14ac:dyDescent="0.2">
      <c r="A462" t="s">
        <v>1047</v>
      </c>
    </row>
    <row r="463" spans="1:1" x14ac:dyDescent="0.2">
      <c r="A463" t="s">
        <v>1048</v>
      </c>
    </row>
    <row r="464" spans="1:1" x14ac:dyDescent="0.2">
      <c r="A464" t="s">
        <v>1049</v>
      </c>
    </row>
    <row r="465" spans="1:1" x14ac:dyDescent="0.2">
      <c r="A465" t="s">
        <v>1050</v>
      </c>
    </row>
    <row r="466" spans="1:1" x14ac:dyDescent="0.2">
      <c r="A466" t="s">
        <v>1051</v>
      </c>
    </row>
    <row r="467" spans="1:1" x14ac:dyDescent="0.2">
      <c r="A467" t="s">
        <v>2766</v>
      </c>
    </row>
    <row r="468" spans="1:1" x14ac:dyDescent="0.2">
      <c r="A468" t="s">
        <v>1052</v>
      </c>
    </row>
    <row r="469" spans="1:1" x14ac:dyDescent="0.2">
      <c r="A469" t="s">
        <v>1053</v>
      </c>
    </row>
    <row r="470" spans="1:1" x14ac:dyDescent="0.2">
      <c r="A470" t="s">
        <v>2767</v>
      </c>
    </row>
    <row r="471" spans="1:1" x14ac:dyDescent="0.2">
      <c r="A471" t="s">
        <v>2768</v>
      </c>
    </row>
    <row r="472" spans="1:1" x14ac:dyDescent="0.2">
      <c r="A472" t="s">
        <v>2769</v>
      </c>
    </row>
    <row r="473" spans="1:1" x14ac:dyDescent="0.2">
      <c r="A473" t="s">
        <v>1054</v>
      </c>
    </row>
    <row r="474" spans="1:1" x14ac:dyDescent="0.2">
      <c r="A474" t="s">
        <v>1055</v>
      </c>
    </row>
    <row r="475" spans="1:1" x14ac:dyDescent="0.2">
      <c r="A475" t="s">
        <v>2770</v>
      </c>
    </row>
    <row r="476" spans="1:1" x14ac:dyDescent="0.2">
      <c r="A476" t="s">
        <v>1056</v>
      </c>
    </row>
    <row r="477" spans="1:1" x14ac:dyDescent="0.2">
      <c r="A477" t="s">
        <v>1057</v>
      </c>
    </row>
    <row r="478" spans="1:1" x14ac:dyDescent="0.2">
      <c r="A478" t="s">
        <v>1058</v>
      </c>
    </row>
    <row r="479" spans="1:1" x14ac:dyDescent="0.2">
      <c r="A479" t="s">
        <v>1059</v>
      </c>
    </row>
    <row r="480" spans="1:1" x14ac:dyDescent="0.2">
      <c r="A480" t="s">
        <v>1060</v>
      </c>
    </row>
    <row r="481" spans="1:1" x14ac:dyDescent="0.2">
      <c r="A481" t="s">
        <v>1061</v>
      </c>
    </row>
    <row r="482" spans="1:1" x14ac:dyDescent="0.2">
      <c r="A482" t="s">
        <v>1062</v>
      </c>
    </row>
    <row r="483" spans="1:1" x14ac:dyDescent="0.2">
      <c r="A483" t="s">
        <v>1063</v>
      </c>
    </row>
    <row r="484" spans="1:1" x14ac:dyDescent="0.2">
      <c r="A484" t="s">
        <v>1064</v>
      </c>
    </row>
    <row r="485" spans="1:1" x14ac:dyDescent="0.2">
      <c r="A485" t="s">
        <v>1065</v>
      </c>
    </row>
    <row r="486" spans="1:1" x14ac:dyDescent="0.2">
      <c r="A486" t="s">
        <v>1066</v>
      </c>
    </row>
    <row r="487" spans="1:1" x14ac:dyDescent="0.2">
      <c r="A487" t="s">
        <v>1067</v>
      </c>
    </row>
    <row r="488" spans="1:1" x14ac:dyDescent="0.2">
      <c r="A488" t="s">
        <v>1068</v>
      </c>
    </row>
    <row r="489" spans="1:1" x14ac:dyDescent="0.2">
      <c r="A489" t="s">
        <v>1069</v>
      </c>
    </row>
    <row r="490" spans="1:1" x14ac:dyDescent="0.2">
      <c r="A490" t="s">
        <v>1070</v>
      </c>
    </row>
    <row r="491" spans="1:1" x14ac:dyDescent="0.2">
      <c r="A491" t="s">
        <v>1071</v>
      </c>
    </row>
    <row r="492" spans="1:1" x14ac:dyDescent="0.2">
      <c r="A492" t="s">
        <v>1072</v>
      </c>
    </row>
    <row r="493" spans="1:1" x14ac:dyDescent="0.2">
      <c r="A493" t="s">
        <v>1073</v>
      </c>
    </row>
    <row r="494" spans="1:1" x14ac:dyDescent="0.2">
      <c r="A494" t="s">
        <v>1074</v>
      </c>
    </row>
    <row r="495" spans="1:1" x14ac:dyDescent="0.2">
      <c r="A495" t="s">
        <v>1075</v>
      </c>
    </row>
    <row r="496" spans="1:1" x14ac:dyDescent="0.2">
      <c r="A496" t="s">
        <v>1076</v>
      </c>
    </row>
    <row r="497" spans="1:1" x14ac:dyDescent="0.2">
      <c r="A497" t="s">
        <v>1077</v>
      </c>
    </row>
    <row r="498" spans="1:1" x14ac:dyDescent="0.2">
      <c r="A498" t="s">
        <v>1078</v>
      </c>
    </row>
    <row r="499" spans="1:1" x14ac:dyDescent="0.2">
      <c r="A499" t="s">
        <v>1079</v>
      </c>
    </row>
    <row r="500" spans="1:1" x14ac:dyDescent="0.2">
      <c r="A500" t="s">
        <v>1080</v>
      </c>
    </row>
    <row r="501" spans="1:1" x14ac:dyDescent="0.2">
      <c r="A501" t="s">
        <v>1081</v>
      </c>
    </row>
    <row r="502" spans="1:1" x14ac:dyDescent="0.2">
      <c r="A502" t="s">
        <v>1082</v>
      </c>
    </row>
    <row r="503" spans="1:1" x14ac:dyDescent="0.2">
      <c r="A503" t="s">
        <v>1083</v>
      </c>
    </row>
    <row r="504" spans="1:1" x14ac:dyDescent="0.2">
      <c r="A504" t="s">
        <v>2771</v>
      </c>
    </row>
    <row r="505" spans="1:1" x14ac:dyDescent="0.2">
      <c r="A505" t="s">
        <v>2772</v>
      </c>
    </row>
    <row r="506" spans="1:1" x14ac:dyDescent="0.2">
      <c r="A506" t="s">
        <v>2773</v>
      </c>
    </row>
    <row r="507" spans="1:1" x14ac:dyDescent="0.2">
      <c r="A507" t="s">
        <v>2774</v>
      </c>
    </row>
    <row r="508" spans="1:1" x14ac:dyDescent="0.2">
      <c r="A508" t="s">
        <v>2775</v>
      </c>
    </row>
    <row r="509" spans="1:1" x14ac:dyDescent="0.2">
      <c r="A509" t="s">
        <v>2776</v>
      </c>
    </row>
    <row r="510" spans="1:1" x14ac:dyDescent="0.2">
      <c r="A510" t="s">
        <v>1084</v>
      </c>
    </row>
    <row r="511" spans="1:1" x14ac:dyDescent="0.2">
      <c r="A511" t="s">
        <v>1085</v>
      </c>
    </row>
    <row r="512" spans="1:1" x14ac:dyDescent="0.2">
      <c r="A512" t="s">
        <v>1086</v>
      </c>
    </row>
    <row r="513" spans="1:1" x14ac:dyDescent="0.2">
      <c r="A513" t="s">
        <v>1087</v>
      </c>
    </row>
    <row r="514" spans="1:1" x14ac:dyDescent="0.2">
      <c r="A514" t="s">
        <v>1088</v>
      </c>
    </row>
    <row r="515" spans="1:1" x14ac:dyDescent="0.2">
      <c r="A515" t="s">
        <v>1089</v>
      </c>
    </row>
    <row r="516" spans="1:1" x14ac:dyDescent="0.2">
      <c r="A516" t="s">
        <v>1090</v>
      </c>
    </row>
    <row r="517" spans="1:1" x14ac:dyDescent="0.2">
      <c r="A517" t="s">
        <v>1091</v>
      </c>
    </row>
    <row r="518" spans="1:1" x14ac:dyDescent="0.2">
      <c r="A518" t="s">
        <v>1092</v>
      </c>
    </row>
    <row r="519" spans="1:1" x14ac:dyDescent="0.2">
      <c r="A519" t="s">
        <v>1093</v>
      </c>
    </row>
    <row r="520" spans="1:1" x14ac:dyDescent="0.2">
      <c r="A520" t="s">
        <v>1094</v>
      </c>
    </row>
    <row r="521" spans="1:1" x14ac:dyDescent="0.2">
      <c r="A521" t="s">
        <v>1095</v>
      </c>
    </row>
    <row r="522" spans="1:1" x14ac:dyDescent="0.2">
      <c r="A522" t="s">
        <v>1096</v>
      </c>
    </row>
    <row r="523" spans="1:1" x14ac:dyDescent="0.2">
      <c r="A523" t="s">
        <v>1097</v>
      </c>
    </row>
    <row r="524" spans="1:1" x14ac:dyDescent="0.2">
      <c r="A524" t="s">
        <v>1098</v>
      </c>
    </row>
    <row r="525" spans="1:1" x14ac:dyDescent="0.2">
      <c r="A525" t="s">
        <v>1099</v>
      </c>
    </row>
    <row r="526" spans="1:1" x14ac:dyDescent="0.2">
      <c r="A526" t="s">
        <v>1100</v>
      </c>
    </row>
    <row r="527" spans="1:1" x14ac:dyDescent="0.2">
      <c r="A527" t="s">
        <v>1101</v>
      </c>
    </row>
    <row r="528" spans="1:1" x14ac:dyDescent="0.2">
      <c r="A528" t="s">
        <v>1102</v>
      </c>
    </row>
    <row r="529" spans="1:1" x14ac:dyDescent="0.2">
      <c r="A529" t="s">
        <v>1103</v>
      </c>
    </row>
    <row r="530" spans="1:1" x14ac:dyDescent="0.2">
      <c r="A530" t="s">
        <v>1104</v>
      </c>
    </row>
    <row r="531" spans="1:1" x14ac:dyDescent="0.2">
      <c r="A531" t="s">
        <v>1105</v>
      </c>
    </row>
    <row r="532" spans="1:1" x14ac:dyDescent="0.2">
      <c r="A532" t="s">
        <v>1106</v>
      </c>
    </row>
    <row r="533" spans="1:1" x14ac:dyDescent="0.2">
      <c r="A533" t="s">
        <v>1107</v>
      </c>
    </row>
    <row r="534" spans="1:1" x14ac:dyDescent="0.2">
      <c r="A534" t="s">
        <v>1108</v>
      </c>
    </row>
    <row r="535" spans="1:1" x14ac:dyDescent="0.2">
      <c r="A535" t="s">
        <v>1109</v>
      </c>
    </row>
    <row r="536" spans="1:1" x14ac:dyDescent="0.2">
      <c r="A536" t="s">
        <v>1110</v>
      </c>
    </row>
    <row r="537" spans="1:1" x14ac:dyDescent="0.2">
      <c r="A537" t="s">
        <v>1111</v>
      </c>
    </row>
    <row r="538" spans="1:1" x14ac:dyDescent="0.2">
      <c r="A538" t="s">
        <v>1112</v>
      </c>
    </row>
    <row r="539" spans="1:1" x14ac:dyDescent="0.2">
      <c r="A539" t="s">
        <v>1113</v>
      </c>
    </row>
    <row r="540" spans="1:1" x14ac:dyDescent="0.2">
      <c r="A540" t="s">
        <v>1114</v>
      </c>
    </row>
    <row r="541" spans="1:1" x14ac:dyDescent="0.2">
      <c r="A541" t="s">
        <v>1115</v>
      </c>
    </row>
    <row r="542" spans="1:1" x14ac:dyDescent="0.2">
      <c r="A542" t="s">
        <v>1116</v>
      </c>
    </row>
    <row r="543" spans="1:1" x14ac:dyDescent="0.2">
      <c r="A543" t="s">
        <v>1117</v>
      </c>
    </row>
    <row r="544" spans="1:1" x14ac:dyDescent="0.2">
      <c r="A544" t="s">
        <v>1118</v>
      </c>
    </row>
    <row r="545" spans="1:1" x14ac:dyDescent="0.2">
      <c r="A545" t="s">
        <v>1119</v>
      </c>
    </row>
    <row r="546" spans="1:1" x14ac:dyDescent="0.2">
      <c r="A546" t="s">
        <v>1120</v>
      </c>
    </row>
    <row r="547" spans="1:1" x14ac:dyDescent="0.2">
      <c r="A547" t="s">
        <v>1288</v>
      </c>
    </row>
    <row r="548" spans="1:1" x14ac:dyDescent="0.2">
      <c r="A548" t="s">
        <v>2777</v>
      </c>
    </row>
    <row r="549" spans="1:1" x14ac:dyDescent="0.2">
      <c r="A549" t="s">
        <v>2778</v>
      </c>
    </row>
    <row r="550" spans="1:1" x14ac:dyDescent="0.2">
      <c r="A550" t="s">
        <v>2779</v>
      </c>
    </row>
    <row r="551" spans="1:1" x14ac:dyDescent="0.2">
      <c r="A551" t="s">
        <v>2780</v>
      </c>
    </row>
    <row r="552" spans="1:1" x14ac:dyDescent="0.2">
      <c r="A552" t="s">
        <v>1289</v>
      </c>
    </row>
    <row r="553" spans="1:1" x14ac:dyDescent="0.2">
      <c r="A553" t="s">
        <v>2781</v>
      </c>
    </row>
    <row r="554" spans="1:1" x14ac:dyDescent="0.2">
      <c r="A554" t="s">
        <v>1121</v>
      </c>
    </row>
    <row r="555" spans="1:1" x14ac:dyDescent="0.2">
      <c r="A555" t="s">
        <v>1122</v>
      </c>
    </row>
    <row r="556" spans="1:1" x14ac:dyDescent="0.2">
      <c r="A556" t="s">
        <v>1123</v>
      </c>
    </row>
    <row r="557" spans="1:1" x14ac:dyDescent="0.2">
      <c r="A557" t="s">
        <v>1124</v>
      </c>
    </row>
    <row r="558" spans="1:1" x14ac:dyDescent="0.2">
      <c r="A558" t="s">
        <v>1125</v>
      </c>
    </row>
    <row r="559" spans="1:1" x14ac:dyDescent="0.2">
      <c r="A559" t="s">
        <v>1126</v>
      </c>
    </row>
    <row r="560" spans="1:1" x14ac:dyDescent="0.2">
      <c r="A560" t="s">
        <v>1127</v>
      </c>
    </row>
    <row r="561" spans="1:1" x14ac:dyDescent="0.2">
      <c r="A561" t="s">
        <v>1128</v>
      </c>
    </row>
    <row r="562" spans="1:1" x14ac:dyDescent="0.2">
      <c r="A562" t="s">
        <v>1129</v>
      </c>
    </row>
    <row r="563" spans="1:1" x14ac:dyDescent="0.2">
      <c r="A563" t="s">
        <v>1130</v>
      </c>
    </row>
    <row r="564" spans="1:1" x14ac:dyDescent="0.2">
      <c r="A564" t="s">
        <v>1131</v>
      </c>
    </row>
    <row r="565" spans="1:1" x14ac:dyDescent="0.2">
      <c r="A565" t="s">
        <v>1132</v>
      </c>
    </row>
    <row r="566" spans="1:1" x14ac:dyDescent="0.2">
      <c r="A566" t="s">
        <v>1133</v>
      </c>
    </row>
    <row r="567" spans="1:1" x14ac:dyDescent="0.2">
      <c r="A567" t="s">
        <v>1134</v>
      </c>
    </row>
    <row r="568" spans="1:1" x14ac:dyDescent="0.2">
      <c r="A568" t="s">
        <v>1135</v>
      </c>
    </row>
    <row r="569" spans="1:1" x14ac:dyDescent="0.2">
      <c r="A569" t="s">
        <v>1136</v>
      </c>
    </row>
    <row r="570" spans="1:1" x14ac:dyDescent="0.2">
      <c r="A570" t="s">
        <v>1137</v>
      </c>
    </row>
    <row r="571" spans="1:1" x14ac:dyDescent="0.2">
      <c r="A571" t="s">
        <v>1138</v>
      </c>
    </row>
    <row r="572" spans="1:1" x14ac:dyDescent="0.2">
      <c r="A572" t="s">
        <v>1139</v>
      </c>
    </row>
    <row r="573" spans="1:1" x14ac:dyDescent="0.2">
      <c r="A573" t="s">
        <v>1140</v>
      </c>
    </row>
    <row r="574" spans="1:1" x14ac:dyDescent="0.2">
      <c r="A574" t="s">
        <v>1141</v>
      </c>
    </row>
    <row r="575" spans="1:1" x14ac:dyDescent="0.2">
      <c r="A575" t="s">
        <v>1142</v>
      </c>
    </row>
    <row r="576" spans="1:1" x14ac:dyDescent="0.2">
      <c r="A576" t="s">
        <v>1143</v>
      </c>
    </row>
    <row r="577" spans="1:1" x14ac:dyDescent="0.2">
      <c r="A577" t="s">
        <v>1144</v>
      </c>
    </row>
    <row r="578" spans="1:1" x14ac:dyDescent="0.2">
      <c r="A578" t="s">
        <v>1145</v>
      </c>
    </row>
    <row r="579" spans="1:1" x14ac:dyDescent="0.2">
      <c r="A579" t="s">
        <v>1146</v>
      </c>
    </row>
    <row r="580" spans="1:1" x14ac:dyDescent="0.2">
      <c r="A580" t="s">
        <v>1147</v>
      </c>
    </row>
    <row r="581" spans="1:1" x14ac:dyDescent="0.2">
      <c r="A581" t="s">
        <v>1148</v>
      </c>
    </row>
    <row r="582" spans="1:1" x14ac:dyDescent="0.2">
      <c r="A582" t="s">
        <v>1149</v>
      </c>
    </row>
    <row r="583" spans="1:1" x14ac:dyDescent="0.2">
      <c r="A583" t="s">
        <v>1150</v>
      </c>
    </row>
    <row r="584" spans="1:1" x14ac:dyDescent="0.2">
      <c r="A584" t="s">
        <v>1151</v>
      </c>
    </row>
    <row r="585" spans="1:1" x14ac:dyDescent="0.2">
      <c r="A585" t="s">
        <v>1152</v>
      </c>
    </row>
    <row r="586" spans="1:1" x14ac:dyDescent="0.2">
      <c r="A586" t="s">
        <v>1153</v>
      </c>
    </row>
    <row r="587" spans="1:1" x14ac:dyDescent="0.2">
      <c r="A587" t="s">
        <v>1154</v>
      </c>
    </row>
    <row r="588" spans="1:1" x14ac:dyDescent="0.2">
      <c r="A588" t="s">
        <v>1155</v>
      </c>
    </row>
    <row r="589" spans="1:1" x14ac:dyDescent="0.2">
      <c r="A589" t="s">
        <v>1156</v>
      </c>
    </row>
    <row r="590" spans="1:1" x14ac:dyDescent="0.2">
      <c r="A590" t="s">
        <v>1157</v>
      </c>
    </row>
    <row r="591" spans="1:1" x14ac:dyDescent="0.2">
      <c r="A591" t="s">
        <v>1158</v>
      </c>
    </row>
    <row r="592" spans="1:1" x14ac:dyDescent="0.2">
      <c r="A592" t="s">
        <v>1159</v>
      </c>
    </row>
    <row r="593" spans="1:1" x14ac:dyDescent="0.2">
      <c r="A593" t="s">
        <v>1160</v>
      </c>
    </row>
    <row r="594" spans="1:1" x14ac:dyDescent="0.2">
      <c r="A594" t="s">
        <v>1161</v>
      </c>
    </row>
    <row r="595" spans="1:1" x14ac:dyDescent="0.2">
      <c r="A595" t="s">
        <v>1162</v>
      </c>
    </row>
    <row r="596" spans="1:1" x14ac:dyDescent="0.2">
      <c r="A596" t="s">
        <v>1163</v>
      </c>
    </row>
    <row r="597" spans="1:1" x14ac:dyDescent="0.2">
      <c r="A597" t="s">
        <v>1164</v>
      </c>
    </row>
    <row r="598" spans="1:1" x14ac:dyDescent="0.2">
      <c r="A598" t="s">
        <v>1165</v>
      </c>
    </row>
    <row r="599" spans="1:1" x14ac:dyDescent="0.2">
      <c r="A599" t="s">
        <v>1166</v>
      </c>
    </row>
    <row r="600" spans="1:1" x14ac:dyDescent="0.2">
      <c r="A600" t="s">
        <v>1167</v>
      </c>
    </row>
    <row r="601" spans="1:1" x14ac:dyDescent="0.2">
      <c r="A601" t="s">
        <v>1168</v>
      </c>
    </row>
    <row r="602" spans="1:1" x14ac:dyDescent="0.2">
      <c r="A602" t="s">
        <v>1169</v>
      </c>
    </row>
    <row r="603" spans="1:1" x14ac:dyDescent="0.2">
      <c r="A603" t="s">
        <v>1170</v>
      </c>
    </row>
    <row r="604" spans="1:1" x14ac:dyDescent="0.2">
      <c r="A604" t="s">
        <v>1171</v>
      </c>
    </row>
    <row r="605" spans="1:1" x14ac:dyDescent="0.2">
      <c r="A605" t="s">
        <v>1172</v>
      </c>
    </row>
    <row r="606" spans="1:1" x14ac:dyDescent="0.2">
      <c r="A606" t="s">
        <v>1173</v>
      </c>
    </row>
    <row r="607" spans="1:1" x14ac:dyDescent="0.2">
      <c r="A607" t="s">
        <v>1174</v>
      </c>
    </row>
    <row r="608" spans="1:1" x14ac:dyDescent="0.2">
      <c r="A608" t="s">
        <v>1175</v>
      </c>
    </row>
    <row r="609" spans="1:1" x14ac:dyDescent="0.2">
      <c r="A609" t="s">
        <v>1176</v>
      </c>
    </row>
    <row r="610" spans="1:1" x14ac:dyDescent="0.2">
      <c r="A610" t="s">
        <v>1177</v>
      </c>
    </row>
    <row r="611" spans="1:1" x14ac:dyDescent="0.2">
      <c r="A611" t="s">
        <v>1178</v>
      </c>
    </row>
    <row r="612" spans="1:1" x14ac:dyDescent="0.2">
      <c r="A612" t="s">
        <v>1179</v>
      </c>
    </row>
    <row r="613" spans="1:1" x14ac:dyDescent="0.2">
      <c r="A613" t="s">
        <v>1180</v>
      </c>
    </row>
    <row r="614" spans="1:1" x14ac:dyDescent="0.2">
      <c r="A614" t="s">
        <v>1181</v>
      </c>
    </row>
    <row r="615" spans="1:1" x14ac:dyDescent="0.2">
      <c r="A615" t="s">
        <v>1182</v>
      </c>
    </row>
    <row r="616" spans="1:1" x14ac:dyDescent="0.2">
      <c r="A616" t="s">
        <v>1183</v>
      </c>
    </row>
    <row r="617" spans="1:1" x14ac:dyDescent="0.2">
      <c r="A617" t="s">
        <v>1184</v>
      </c>
    </row>
    <row r="618" spans="1:1" x14ac:dyDescent="0.2">
      <c r="A618" t="s">
        <v>1185</v>
      </c>
    </row>
    <row r="619" spans="1:1" x14ac:dyDescent="0.2">
      <c r="A619" t="s">
        <v>1186</v>
      </c>
    </row>
    <row r="620" spans="1:1" x14ac:dyDescent="0.2">
      <c r="A620" t="s">
        <v>1187</v>
      </c>
    </row>
    <row r="621" spans="1:1" x14ac:dyDescent="0.2">
      <c r="A621" t="s">
        <v>1188</v>
      </c>
    </row>
    <row r="622" spans="1:1" x14ac:dyDescent="0.2">
      <c r="A622" t="s">
        <v>1189</v>
      </c>
    </row>
    <row r="623" spans="1:1" x14ac:dyDescent="0.2">
      <c r="A623" t="s">
        <v>1190</v>
      </c>
    </row>
    <row r="624" spans="1:1" x14ac:dyDescent="0.2">
      <c r="A624" t="s">
        <v>1191</v>
      </c>
    </row>
    <row r="625" spans="1:1" x14ac:dyDescent="0.2">
      <c r="A625" t="s">
        <v>1192</v>
      </c>
    </row>
    <row r="626" spans="1:1" x14ac:dyDescent="0.2">
      <c r="A626" t="s">
        <v>1193</v>
      </c>
    </row>
    <row r="627" spans="1:1" x14ac:dyDescent="0.2">
      <c r="A627" t="s">
        <v>1194</v>
      </c>
    </row>
    <row r="628" spans="1:1" x14ac:dyDescent="0.2">
      <c r="A628" t="s">
        <v>1195</v>
      </c>
    </row>
    <row r="629" spans="1:1" x14ac:dyDescent="0.2">
      <c r="A629" t="s">
        <v>1196</v>
      </c>
    </row>
    <row r="630" spans="1:1" x14ac:dyDescent="0.2">
      <c r="A630" t="s">
        <v>1197</v>
      </c>
    </row>
    <row r="631" spans="1:1" x14ac:dyDescent="0.2">
      <c r="A631" t="s">
        <v>1198</v>
      </c>
    </row>
    <row r="632" spans="1:1" x14ac:dyDescent="0.2">
      <c r="A632" t="s">
        <v>1199</v>
      </c>
    </row>
    <row r="633" spans="1:1" x14ac:dyDescent="0.2">
      <c r="A633" t="s">
        <v>1200</v>
      </c>
    </row>
    <row r="634" spans="1:1" x14ac:dyDescent="0.2">
      <c r="A634" t="s">
        <v>1201</v>
      </c>
    </row>
    <row r="635" spans="1:1" x14ac:dyDescent="0.2">
      <c r="A635" t="s">
        <v>1202</v>
      </c>
    </row>
    <row r="636" spans="1:1" x14ac:dyDescent="0.2">
      <c r="A636" t="s">
        <v>1203</v>
      </c>
    </row>
    <row r="637" spans="1:1" x14ac:dyDescent="0.2">
      <c r="A637" t="s">
        <v>1204</v>
      </c>
    </row>
    <row r="638" spans="1:1" x14ac:dyDescent="0.2">
      <c r="A638" t="s">
        <v>1205</v>
      </c>
    </row>
    <row r="639" spans="1:1" x14ac:dyDescent="0.2">
      <c r="A639" t="s">
        <v>1206</v>
      </c>
    </row>
    <row r="640" spans="1:1" x14ac:dyDescent="0.2">
      <c r="A640" t="s">
        <v>1207</v>
      </c>
    </row>
    <row r="641" spans="1:1" x14ac:dyDescent="0.2">
      <c r="A641" t="s">
        <v>1208</v>
      </c>
    </row>
    <row r="642" spans="1:1" x14ac:dyDescent="0.2">
      <c r="A642" t="s">
        <v>1209</v>
      </c>
    </row>
    <row r="643" spans="1:1" x14ac:dyDescent="0.2">
      <c r="A643" t="s">
        <v>1210</v>
      </c>
    </row>
    <row r="644" spans="1:1" x14ac:dyDescent="0.2">
      <c r="A644" t="s">
        <v>1211</v>
      </c>
    </row>
    <row r="645" spans="1:1" x14ac:dyDescent="0.2">
      <c r="A645" t="s">
        <v>1212</v>
      </c>
    </row>
    <row r="646" spans="1:1" x14ac:dyDescent="0.2">
      <c r="A646" t="s">
        <v>1213</v>
      </c>
    </row>
    <row r="647" spans="1:1" x14ac:dyDescent="0.2">
      <c r="A647" t="s">
        <v>1214</v>
      </c>
    </row>
    <row r="648" spans="1:1" x14ac:dyDescent="0.2">
      <c r="A648" t="s">
        <v>1215</v>
      </c>
    </row>
    <row r="649" spans="1:1" x14ac:dyDescent="0.2">
      <c r="A649" t="s">
        <v>1216</v>
      </c>
    </row>
    <row r="650" spans="1:1" x14ac:dyDescent="0.2">
      <c r="A650" t="s">
        <v>1217</v>
      </c>
    </row>
    <row r="651" spans="1:1" x14ac:dyDescent="0.2">
      <c r="A651" t="s">
        <v>1218</v>
      </c>
    </row>
    <row r="652" spans="1:1" x14ac:dyDescent="0.2">
      <c r="A652" t="s">
        <v>1219</v>
      </c>
    </row>
    <row r="653" spans="1:1" x14ac:dyDescent="0.2">
      <c r="A653" t="s">
        <v>1220</v>
      </c>
    </row>
    <row r="654" spans="1:1" x14ac:dyDescent="0.2">
      <c r="A654" t="s">
        <v>1221</v>
      </c>
    </row>
    <row r="655" spans="1:1" x14ac:dyDescent="0.2">
      <c r="A655" t="s">
        <v>1222</v>
      </c>
    </row>
    <row r="656" spans="1:1" x14ac:dyDescent="0.2">
      <c r="A656" t="s">
        <v>1223</v>
      </c>
    </row>
    <row r="657" spans="1:1" x14ac:dyDescent="0.2">
      <c r="A657" t="s">
        <v>1224</v>
      </c>
    </row>
    <row r="658" spans="1:1" x14ac:dyDescent="0.2">
      <c r="A658" t="s">
        <v>1225</v>
      </c>
    </row>
    <row r="659" spans="1:1" x14ac:dyDescent="0.2">
      <c r="A659" t="s">
        <v>1226</v>
      </c>
    </row>
    <row r="660" spans="1:1" x14ac:dyDescent="0.2">
      <c r="A660" t="s">
        <v>1227</v>
      </c>
    </row>
    <row r="661" spans="1:1" x14ac:dyDescent="0.2">
      <c r="A661" t="s">
        <v>1228</v>
      </c>
    </row>
    <row r="662" spans="1:1" x14ac:dyDescent="0.2">
      <c r="A662" t="s">
        <v>1229</v>
      </c>
    </row>
    <row r="663" spans="1:1" x14ac:dyDescent="0.2">
      <c r="A663" t="s">
        <v>1230</v>
      </c>
    </row>
    <row r="664" spans="1:1" x14ac:dyDescent="0.2">
      <c r="A664" t="s">
        <v>1231</v>
      </c>
    </row>
    <row r="665" spans="1:1" x14ac:dyDescent="0.2">
      <c r="A665" t="s">
        <v>1232</v>
      </c>
    </row>
    <row r="666" spans="1:1" x14ac:dyDescent="0.2">
      <c r="A666" t="s">
        <v>1233</v>
      </c>
    </row>
    <row r="667" spans="1:1" x14ac:dyDescent="0.2">
      <c r="A667" t="s">
        <v>1234</v>
      </c>
    </row>
    <row r="668" spans="1:1" x14ac:dyDescent="0.2">
      <c r="A668" t="s">
        <v>1235</v>
      </c>
    </row>
    <row r="669" spans="1:1" x14ac:dyDescent="0.2">
      <c r="A669" t="s">
        <v>1236</v>
      </c>
    </row>
    <row r="670" spans="1:1" x14ac:dyDescent="0.2">
      <c r="A670" t="s">
        <v>1237</v>
      </c>
    </row>
    <row r="671" spans="1:1" x14ac:dyDescent="0.2">
      <c r="A671" t="s">
        <v>1238</v>
      </c>
    </row>
    <row r="672" spans="1:1" x14ac:dyDescent="0.2">
      <c r="A672" t="s">
        <v>1239</v>
      </c>
    </row>
    <row r="673" spans="1:1" x14ac:dyDescent="0.2">
      <c r="A673" t="s">
        <v>1240</v>
      </c>
    </row>
    <row r="674" spans="1:1" x14ac:dyDescent="0.2">
      <c r="A674" t="s">
        <v>1241</v>
      </c>
    </row>
    <row r="675" spans="1:1" x14ac:dyDescent="0.2">
      <c r="A675" t="s">
        <v>1242</v>
      </c>
    </row>
    <row r="676" spans="1:1" x14ac:dyDescent="0.2">
      <c r="A676" t="s">
        <v>1243</v>
      </c>
    </row>
    <row r="677" spans="1:1" x14ac:dyDescent="0.2">
      <c r="A677" t="s">
        <v>1244</v>
      </c>
    </row>
    <row r="678" spans="1:1" x14ac:dyDescent="0.2">
      <c r="A678" t="s">
        <v>1245</v>
      </c>
    </row>
    <row r="679" spans="1:1" x14ac:dyDescent="0.2">
      <c r="A679" t="s">
        <v>1246</v>
      </c>
    </row>
    <row r="680" spans="1:1" x14ac:dyDescent="0.2">
      <c r="A680" t="s">
        <v>1247</v>
      </c>
    </row>
    <row r="681" spans="1:1" x14ac:dyDescent="0.2">
      <c r="A681" t="s">
        <v>1248</v>
      </c>
    </row>
    <row r="682" spans="1:1" x14ac:dyDescent="0.2">
      <c r="A682" t="s">
        <v>1249</v>
      </c>
    </row>
    <row r="683" spans="1:1" x14ac:dyDescent="0.2">
      <c r="A683" t="s">
        <v>1250</v>
      </c>
    </row>
    <row r="684" spans="1:1" x14ac:dyDescent="0.2">
      <c r="A684" t="s">
        <v>1251</v>
      </c>
    </row>
    <row r="685" spans="1:1" x14ac:dyDescent="0.2">
      <c r="A685" t="s">
        <v>1252</v>
      </c>
    </row>
    <row r="686" spans="1:1" x14ac:dyDescent="0.2">
      <c r="A686" t="s">
        <v>1253</v>
      </c>
    </row>
    <row r="687" spans="1:1" x14ac:dyDescent="0.2">
      <c r="A687" t="s">
        <v>1254</v>
      </c>
    </row>
    <row r="688" spans="1:1" x14ac:dyDescent="0.2">
      <c r="A688" t="s">
        <v>1255</v>
      </c>
    </row>
    <row r="689" spans="1:1" x14ac:dyDescent="0.2">
      <c r="A689" t="s">
        <v>1256</v>
      </c>
    </row>
    <row r="690" spans="1:1" x14ac:dyDescent="0.2">
      <c r="A690" t="s">
        <v>1257</v>
      </c>
    </row>
    <row r="691" spans="1:1" x14ac:dyDescent="0.2">
      <c r="A691" t="s">
        <v>1258</v>
      </c>
    </row>
    <row r="692" spans="1:1" x14ac:dyDescent="0.2">
      <c r="A692" t="s">
        <v>1259</v>
      </c>
    </row>
    <row r="693" spans="1:1" x14ac:dyDescent="0.2">
      <c r="A693" t="s">
        <v>1260</v>
      </c>
    </row>
    <row r="694" spans="1:1" x14ac:dyDescent="0.2">
      <c r="A694" t="s">
        <v>1261</v>
      </c>
    </row>
    <row r="695" spans="1:1" x14ac:dyDescent="0.2">
      <c r="A695" t="s">
        <v>1262</v>
      </c>
    </row>
    <row r="696" spans="1:1" x14ac:dyDescent="0.2">
      <c r="A696" t="s">
        <v>1263</v>
      </c>
    </row>
    <row r="697" spans="1:1" x14ac:dyDescent="0.2">
      <c r="A697" t="s">
        <v>1264</v>
      </c>
    </row>
    <row r="698" spans="1:1" x14ac:dyDescent="0.2">
      <c r="A698" t="s">
        <v>1265</v>
      </c>
    </row>
    <row r="699" spans="1:1" x14ac:dyDescent="0.2">
      <c r="A699" t="s">
        <v>1266</v>
      </c>
    </row>
    <row r="700" spans="1:1" x14ac:dyDescent="0.2">
      <c r="A700" t="s">
        <v>1267</v>
      </c>
    </row>
    <row r="701" spans="1:1" x14ac:dyDescent="0.2">
      <c r="A701" t="s">
        <v>1268</v>
      </c>
    </row>
    <row r="702" spans="1:1" x14ac:dyDescent="0.2">
      <c r="A702" t="s">
        <v>1269</v>
      </c>
    </row>
    <row r="703" spans="1:1" x14ac:dyDescent="0.2">
      <c r="A703" t="s">
        <v>1270</v>
      </c>
    </row>
    <row r="704" spans="1:1" x14ac:dyDescent="0.2">
      <c r="A704" t="s">
        <v>1271</v>
      </c>
    </row>
    <row r="705" spans="1:1" x14ac:dyDescent="0.2">
      <c r="A705" t="s">
        <v>1272</v>
      </c>
    </row>
    <row r="706" spans="1:1" x14ac:dyDescent="0.2">
      <c r="A706" t="s">
        <v>1273</v>
      </c>
    </row>
    <row r="707" spans="1:1" x14ac:dyDescent="0.2">
      <c r="A707" t="s">
        <v>1274</v>
      </c>
    </row>
    <row r="708" spans="1:1" x14ac:dyDescent="0.2">
      <c r="A708" t="s">
        <v>1275</v>
      </c>
    </row>
    <row r="709" spans="1:1" x14ac:dyDescent="0.2">
      <c r="A709" t="s">
        <v>1276</v>
      </c>
    </row>
    <row r="710" spans="1:1" x14ac:dyDescent="0.2">
      <c r="A710" t="s">
        <v>1277</v>
      </c>
    </row>
    <row r="711" spans="1:1" x14ac:dyDescent="0.2">
      <c r="A711" t="s">
        <v>1278</v>
      </c>
    </row>
    <row r="712" spans="1:1" x14ac:dyDescent="0.2">
      <c r="A712" t="s">
        <v>1279</v>
      </c>
    </row>
    <row r="713" spans="1:1" x14ac:dyDescent="0.2">
      <c r="A713" t="s">
        <v>1280</v>
      </c>
    </row>
    <row r="714" spans="1:1" x14ac:dyDescent="0.2">
      <c r="A714" t="s">
        <v>1281</v>
      </c>
    </row>
    <row r="715" spans="1:1" x14ac:dyDescent="0.2">
      <c r="A715" t="s">
        <v>1282</v>
      </c>
    </row>
    <row r="716" spans="1:1" x14ac:dyDescent="0.2">
      <c r="A716" t="s">
        <v>1283</v>
      </c>
    </row>
    <row r="717" spans="1:1" x14ac:dyDescent="0.2">
      <c r="A717" t="s">
        <v>1284</v>
      </c>
    </row>
    <row r="718" spans="1:1" x14ac:dyDescent="0.2">
      <c r="A718" t="s">
        <v>1285</v>
      </c>
    </row>
    <row r="719" spans="1:1" x14ac:dyDescent="0.2">
      <c r="A719" t="s">
        <v>1286</v>
      </c>
    </row>
    <row r="720" spans="1:1" x14ac:dyDescent="0.2">
      <c r="A720" t="s">
        <v>1287</v>
      </c>
    </row>
    <row r="721" spans="1:1" x14ac:dyDescent="0.2">
      <c r="A721" t="s">
        <v>1053</v>
      </c>
    </row>
    <row r="722" spans="1:1" x14ac:dyDescent="0.2">
      <c r="A722" t="s">
        <v>2782</v>
      </c>
    </row>
    <row r="723" spans="1:1" x14ac:dyDescent="0.2">
      <c r="A723" t="s">
        <v>2768</v>
      </c>
    </row>
    <row r="724" spans="1:1" x14ac:dyDescent="0.2">
      <c r="A724" t="s">
        <v>2769</v>
      </c>
    </row>
    <row r="725" spans="1:1" x14ac:dyDescent="0.2">
      <c r="A725" t="s">
        <v>1054</v>
      </c>
    </row>
    <row r="726" spans="1:1" x14ac:dyDescent="0.2">
      <c r="A726" t="s">
        <v>1055</v>
      </c>
    </row>
    <row r="727" spans="1:1" x14ac:dyDescent="0.2">
      <c r="A727" t="s">
        <v>2770</v>
      </c>
    </row>
    <row r="728" spans="1:1" x14ac:dyDescent="0.2">
      <c r="A728" t="s">
        <v>1056</v>
      </c>
    </row>
    <row r="729" spans="1:1" x14ac:dyDescent="0.2">
      <c r="A729" t="s">
        <v>1057</v>
      </c>
    </row>
    <row r="730" spans="1:1" x14ac:dyDescent="0.2">
      <c r="A730" t="s">
        <v>1058</v>
      </c>
    </row>
    <row r="731" spans="1:1" x14ac:dyDescent="0.2">
      <c r="A731" t="s">
        <v>1059</v>
      </c>
    </row>
    <row r="732" spans="1:1" x14ac:dyDescent="0.2">
      <c r="A732" t="s">
        <v>1060</v>
      </c>
    </row>
    <row r="733" spans="1:1" x14ac:dyDescent="0.2">
      <c r="A733" t="s">
        <v>1061</v>
      </c>
    </row>
    <row r="734" spans="1:1" x14ac:dyDescent="0.2">
      <c r="A734" t="s">
        <v>1062</v>
      </c>
    </row>
    <row r="735" spans="1:1" x14ac:dyDescent="0.2">
      <c r="A735" t="s">
        <v>1063</v>
      </c>
    </row>
    <row r="736" spans="1:1" x14ac:dyDescent="0.2">
      <c r="A736" t="s">
        <v>1064</v>
      </c>
    </row>
    <row r="737" spans="1:1" x14ac:dyDescent="0.2">
      <c r="A737" t="s">
        <v>1065</v>
      </c>
    </row>
    <row r="738" spans="1:1" x14ac:dyDescent="0.2">
      <c r="A738" t="s">
        <v>1066</v>
      </c>
    </row>
    <row r="739" spans="1:1" x14ac:dyDescent="0.2">
      <c r="A739" t="s">
        <v>1067</v>
      </c>
    </row>
    <row r="740" spans="1:1" x14ac:dyDescent="0.2">
      <c r="A740" t="s">
        <v>1068</v>
      </c>
    </row>
    <row r="741" spans="1:1" x14ac:dyDescent="0.2">
      <c r="A741" t="s">
        <v>1069</v>
      </c>
    </row>
    <row r="742" spans="1:1" x14ac:dyDescent="0.2">
      <c r="A742" t="s">
        <v>1070</v>
      </c>
    </row>
    <row r="743" spans="1:1" x14ac:dyDescent="0.2">
      <c r="A743" t="s">
        <v>1071</v>
      </c>
    </row>
    <row r="744" spans="1:1" x14ac:dyDescent="0.2">
      <c r="A744" t="s">
        <v>1072</v>
      </c>
    </row>
    <row r="745" spans="1:1" x14ac:dyDescent="0.2">
      <c r="A745" t="s">
        <v>1073</v>
      </c>
    </row>
    <row r="746" spans="1:1" x14ac:dyDescent="0.2">
      <c r="A746" t="s">
        <v>1074</v>
      </c>
    </row>
    <row r="747" spans="1:1" x14ac:dyDescent="0.2">
      <c r="A747" t="s">
        <v>1075</v>
      </c>
    </row>
    <row r="748" spans="1:1" x14ac:dyDescent="0.2">
      <c r="A748" t="s">
        <v>1076</v>
      </c>
    </row>
    <row r="749" spans="1:1" x14ac:dyDescent="0.2">
      <c r="A749" t="s">
        <v>1077</v>
      </c>
    </row>
    <row r="750" spans="1:1" x14ac:dyDescent="0.2">
      <c r="A750" t="s">
        <v>1078</v>
      </c>
    </row>
    <row r="751" spans="1:1" x14ac:dyDescent="0.2">
      <c r="A751" t="s">
        <v>1079</v>
      </c>
    </row>
    <row r="752" spans="1:1" x14ac:dyDescent="0.2">
      <c r="A752" t="s">
        <v>1080</v>
      </c>
    </row>
    <row r="753" spans="1:1" x14ac:dyDescent="0.2">
      <c r="A753" t="s">
        <v>1081</v>
      </c>
    </row>
    <row r="754" spans="1:1" x14ac:dyDescent="0.2">
      <c r="A754" t="s">
        <v>1082</v>
      </c>
    </row>
    <row r="755" spans="1:1" x14ac:dyDescent="0.2">
      <c r="A755" t="s">
        <v>1083</v>
      </c>
    </row>
    <row r="756" spans="1:1" x14ac:dyDescent="0.2">
      <c r="A756" t="s">
        <v>2771</v>
      </c>
    </row>
    <row r="757" spans="1:1" x14ac:dyDescent="0.2">
      <c r="A757" t="s">
        <v>2772</v>
      </c>
    </row>
    <row r="758" spans="1:1" x14ac:dyDescent="0.2">
      <c r="A758" t="s">
        <v>2773</v>
      </c>
    </row>
    <row r="759" spans="1:1" x14ac:dyDescent="0.2">
      <c r="A759" t="s">
        <v>2774</v>
      </c>
    </row>
    <row r="760" spans="1:1" x14ac:dyDescent="0.2">
      <c r="A760" t="s">
        <v>2775</v>
      </c>
    </row>
    <row r="761" spans="1:1" x14ac:dyDescent="0.2">
      <c r="A761" t="s">
        <v>2776</v>
      </c>
    </row>
    <row r="762" spans="1:1" x14ac:dyDescent="0.2">
      <c r="A762" t="s">
        <v>1084</v>
      </c>
    </row>
    <row r="763" spans="1:1" x14ac:dyDescent="0.2">
      <c r="A763" t="s">
        <v>1085</v>
      </c>
    </row>
    <row r="764" spans="1:1" x14ac:dyDescent="0.2">
      <c r="A764" t="s">
        <v>1086</v>
      </c>
    </row>
    <row r="765" spans="1:1" x14ac:dyDescent="0.2">
      <c r="A765" t="s">
        <v>1087</v>
      </c>
    </row>
    <row r="766" spans="1:1" x14ac:dyDescent="0.2">
      <c r="A766" t="s">
        <v>1088</v>
      </c>
    </row>
    <row r="767" spans="1:1" x14ac:dyDescent="0.2">
      <c r="A767" t="s">
        <v>1089</v>
      </c>
    </row>
    <row r="768" spans="1:1" x14ac:dyDescent="0.2">
      <c r="A768" t="s">
        <v>1090</v>
      </c>
    </row>
    <row r="769" spans="1:1" x14ac:dyDescent="0.2">
      <c r="A769" t="s">
        <v>1091</v>
      </c>
    </row>
    <row r="770" spans="1:1" x14ac:dyDescent="0.2">
      <c r="A770" t="s">
        <v>1092</v>
      </c>
    </row>
    <row r="771" spans="1:1" x14ac:dyDescent="0.2">
      <c r="A771" t="s">
        <v>1093</v>
      </c>
    </row>
    <row r="772" spans="1:1" x14ac:dyDescent="0.2">
      <c r="A772" t="s">
        <v>1094</v>
      </c>
    </row>
    <row r="773" spans="1:1" x14ac:dyDescent="0.2">
      <c r="A773" t="s">
        <v>1095</v>
      </c>
    </row>
    <row r="774" spans="1:1" x14ac:dyDescent="0.2">
      <c r="A774" t="s">
        <v>1096</v>
      </c>
    </row>
    <row r="775" spans="1:1" x14ac:dyDescent="0.2">
      <c r="A775" t="s">
        <v>1097</v>
      </c>
    </row>
    <row r="776" spans="1:1" x14ac:dyDescent="0.2">
      <c r="A776" t="s">
        <v>1098</v>
      </c>
    </row>
    <row r="777" spans="1:1" x14ac:dyDescent="0.2">
      <c r="A777" t="s">
        <v>1099</v>
      </c>
    </row>
    <row r="778" spans="1:1" x14ac:dyDescent="0.2">
      <c r="A778" t="s">
        <v>1100</v>
      </c>
    </row>
    <row r="779" spans="1:1" x14ac:dyDescent="0.2">
      <c r="A779" t="s">
        <v>1101</v>
      </c>
    </row>
    <row r="780" spans="1:1" x14ac:dyDescent="0.2">
      <c r="A780" t="s">
        <v>1102</v>
      </c>
    </row>
    <row r="781" spans="1:1" x14ac:dyDescent="0.2">
      <c r="A781" t="s">
        <v>1103</v>
      </c>
    </row>
    <row r="782" spans="1:1" x14ac:dyDescent="0.2">
      <c r="A782" t="s">
        <v>1104</v>
      </c>
    </row>
    <row r="783" spans="1:1" x14ac:dyDescent="0.2">
      <c r="A783" t="s">
        <v>1105</v>
      </c>
    </row>
    <row r="784" spans="1:1" x14ac:dyDescent="0.2">
      <c r="A784" t="s">
        <v>1106</v>
      </c>
    </row>
    <row r="785" spans="1:1" x14ac:dyDescent="0.2">
      <c r="A785" t="s">
        <v>1107</v>
      </c>
    </row>
    <row r="786" spans="1:1" x14ac:dyDescent="0.2">
      <c r="A786" t="s">
        <v>1108</v>
      </c>
    </row>
    <row r="787" spans="1:1" x14ac:dyDescent="0.2">
      <c r="A787" t="s">
        <v>1109</v>
      </c>
    </row>
    <row r="788" spans="1:1" x14ac:dyDescent="0.2">
      <c r="A788" t="s">
        <v>1110</v>
      </c>
    </row>
    <row r="789" spans="1:1" x14ac:dyDescent="0.2">
      <c r="A789" t="s">
        <v>1111</v>
      </c>
    </row>
    <row r="790" spans="1:1" x14ac:dyDescent="0.2">
      <c r="A790" t="s">
        <v>1112</v>
      </c>
    </row>
    <row r="791" spans="1:1" x14ac:dyDescent="0.2">
      <c r="A791" t="s">
        <v>1113</v>
      </c>
    </row>
    <row r="792" spans="1:1" x14ac:dyDescent="0.2">
      <c r="A792" t="s">
        <v>1114</v>
      </c>
    </row>
    <row r="793" spans="1:1" x14ac:dyDescent="0.2">
      <c r="A793" t="s">
        <v>1115</v>
      </c>
    </row>
    <row r="794" spans="1:1" x14ac:dyDescent="0.2">
      <c r="A794" t="s">
        <v>1116</v>
      </c>
    </row>
    <row r="795" spans="1:1" x14ac:dyDescent="0.2">
      <c r="A795" t="s">
        <v>1117</v>
      </c>
    </row>
    <row r="796" spans="1:1" x14ac:dyDescent="0.2">
      <c r="A796" t="s">
        <v>1118</v>
      </c>
    </row>
    <row r="797" spans="1:1" x14ac:dyDescent="0.2">
      <c r="A797" t="s">
        <v>1119</v>
      </c>
    </row>
    <row r="798" spans="1:1" x14ac:dyDescent="0.2">
      <c r="A798" t="s">
        <v>1120</v>
      </c>
    </row>
    <row r="799" spans="1:1" x14ac:dyDescent="0.2">
      <c r="A799" t="s">
        <v>1288</v>
      </c>
    </row>
    <row r="800" spans="1:1" x14ac:dyDescent="0.2">
      <c r="A800" t="s">
        <v>2783</v>
      </c>
    </row>
    <row r="801" spans="1:1" x14ac:dyDescent="0.2">
      <c r="A801" t="s">
        <v>2784</v>
      </c>
    </row>
    <row r="802" spans="1:1" x14ac:dyDescent="0.2">
      <c r="A802" t="s">
        <v>2779</v>
      </c>
    </row>
    <row r="803" spans="1:1" x14ac:dyDescent="0.2">
      <c r="A803" t="s">
        <v>2780</v>
      </c>
    </row>
    <row r="804" spans="1:1" x14ac:dyDescent="0.2">
      <c r="A804" t="s">
        <v>1289</v>
      </c>
    </row>
    <row r="805" spans="1:1" x14ac:dyDescent="0.2">
      <c r="A805" t="s">
        <v>2781</v>
      </c>
    </row>
    <row r="806" spans="1:1" x14ac:dyDescent="0.2">
      <c r="A806" t="s">
        <v>1121</v>
      </c>
    </row>
    <row r="807" spans="1:1" x14ac:dyDescent="0.2">
      <c r="A807" t="s">
        <v>1122</v>
      </c>
    </row>
    <row r="808" spans="1:1" x14ac:dyDescent="0.2">
      <c r="A808" t="s">
        <v>1123</v>
      </c>
    </row>
    <row r="809" spans="1:1" x14ac:dyDescent="0.2">
      <c r="A809" t="s">
        <v>1124</v>
      </c>
    </row>
    <row r="810" spans="1:1" x14ac:dyDescent="0.2">
      <c r="A810" t="s">
        <v>1125</v>
      </c>
    </row>
    <row r="811" spans="1:1" x14ac:dyDescent="0.2">
      <c r="A811" t="s">
        <v>1126</v>
      </c>
    </row>
    <row r="812" spans="1:1" x14ac:dyDescent="0.2">
      <c r="A812" t="s">
        <v>1127</v>
      </c>
    </row>
    <row r="813" spans="1:1" x14ac:dyDescent="0.2">
      <c r="A813" t="s">
        <v>1128</v>
      </c>
    </row>
    <row r="814" spans="1:1" x14ac:dyDescent="0.2">
      <c r="A814" t="s">
        <v>1129</v>
      </c>
    </row>
    <row r="815" spans="1:1" x14ac:dyDescent="0.2">
      <c r="A815" t="s">
        <v>1130</v>
      </c>
    </row>
    <row r="816" spans="1:1" x14ac:dyDescent="0.2">
      <c r="A816" t="s">
        <v>1131</v>
      </c>
    </row>
    <row r="817" spans="1:1" x14ac:dyDescent="0.2">
      <c r="A817" t="s">
        <v>1132</v>
      </c>
    </row>
    <row r="818" spans="1:1" x14ac:dyDescent="0.2">
      <c r="A818" t="s">
        <v>1133</v>
      </c>
    </row>
    <row r="819" spans="1:1" x14ac:dyDescent="0.2">
      <c r="A819" t="s">
        <v>1134</v>
      </c>
    </row>
    <row r="820" spans="1:1" x14ac:dyDescent="0.2">
      <c r="A820" t="s">
        <v>1135</v>
      </c>
    </row>
    <row r="821" spans="1:1" x14ac:dyDescent="0.2">
      <c r="A821" t="s">
        <v>1136</v>
      </c>
    </row>
    <row r="822" spans="1:1" x14ac:dyDescent="0.2">
      <c r="A822" t="s">
        <v>1137</v>
      </c>
    </row>
    <row r="823" spans="1:1" x14ac:dyDescent="0.2">
      <c r="A823" t="s">
        <v>1138</v>
      </c>
    </row>
    <row r="824" spans="1:1" x14ac:dyDescent="0.2">
      <c r="A824" t="s">
        <v>1139</v>
      </c>
    </row>
    <row r="825" spans="1:1" x14ac:dyDescent="0.2">
      <c r="A825" t="s">
        <v>1140</v>
      </c>
    </row>
    <row r="826" spans="1:1" x14ac:dyDescent="0.2">
      <c r="A826" t="s">
        <v>1141</v>
      </c>
    </row>
    <row r="827" spans="1:1" x14ac:dyDescent="0.2">
      <c r="A827" t="s">
        <v>1142</v>
      </c>
    </row>
    <row r="828" spans="1:1" x14ac:dyDescent="0.2">
      <c r="A828" t="s">
        <v>1143</v>
      </c>
    </row>
    <row r="829" spans="1:1" x14ac:dyDescent="0.2">
      <c r="A829" t="s">
        <v>1144</v>
      </c>
    </row>
    <row r="830" spans="1:1" x14ac:dyDescent="0.2">
      <c r="A830" t="s">
        <v>1145</v>
      </c>
    </row>
    <row r="831" spans="1:1" x14ac:dyDescent="0.2">
      <c r="A831" t="s">
        <v>1146</v>
      </c>
    </row>
    <row r="832" spans="1:1" x14ac:dyDescent="0.2">
      <c r="A832" t="s">
        <v>1147</v>
      </c>
    </row>
    <row r="833" spans="1:1" x14ac:dyDescent="0.2">
      <c r="A833" t="s">
        <v>1148</v>
      </c>
    </row>
    <row r="834" spans="1:1" x14ac:dyDescent="0.2">
      <c r="A834" t="s">
        <v>1149</v>
      </c>
    </row>
    <row r="835" spans="1:1" x14ac:dyDescent="0.2">
      <c r="A835" t="s">
        <v>1150</v>
      </c>
    </row>
    <row r="836" spans="1:1" x14ac:dyDescent="0.2">
      <c r="A836" t="s">
        <v>1151</v>
      </c>
    </row>
    <row r="837" spans="1:1" x14ac:dyDescent="0.2">
      <c r="A837" t="s">
        <v>1152</v>
      </c>
    </row>
    <row r="838" spans="1:1" x14ac:dyDescent="0.2">
      <c r="A838" t="s">
        <v>1153</v>
      </c>
    </row>
    <row r="839" spans="1:1" x14ac:dyDescent="0.2">
      <c r="A839" t="s">
        <v>1154</v>
      </c>
    </row>
    <row r="840" spans="1:1" x14ac:dyDescent="0.2">
      <c r="A840" t="s">
        <v>1155</v>
      </c>
    </row>
    <row r="841" spans="1:1" x14ac:dyDescent="0.2">
      <c r="A841" t="s">
        <v>1156</v>
      </c>
    </row>
    <row r="842" spans="1:1" x14ac:dyDescent="0.2">
      <c r="A842" t="s">
        <v>1157</v>
      </c>
    </row>
    <row r="843" spans="1:1" x14ac:dyDescent="0.2">
      <c r="A843" t="s">
        <v>1158</v>
      </c>
    </row>
    <row r="844" spans="1:1" x14ac:dyDescent="0.2">
      <c r="A844" t="s">
        <v>1159</v>
      </c>
    </row>
    <row r="845" spans="1:1" x14ac:dyDescent="0.2">
      <c r="A845" t="s">
        <v>1160</v>
      </c>
    </row>
    <row r="846" spans="1:1" x14ac:dyDescent="0.2">
      <c r="A846" t="s">
        <v>1161</v>
      </c>
    </row>
    <row r="847" spans="1:1" x14ac:dyDescent="0.2">
      <c r="A847" t="s">
        <v>1162</v>
      </c>
    </row>
    <row r="848" spans="1:1" x14ac:dyDescent="0.2">
      <c r="A848" t="s">
        <v>1163</v>
      </c>
    </row>
    <row r="849" spans="1:1" x14ac:dyDescent="0.2">
      <c r="A849" t="s">
        <v>1164</v>
      </c>
    </row>
    <row r="850" spans="1:1" x14ac:dyDescent="0.2">
      <c r="A850" t="s">
        <v>1165</v>
      </c>
    </row>
    <row r="851" spans="1:1" x14ac:dyDescent="0.2">
      <c r="A851" t="s">
        <v>1166</v>
      </c>
    </row>
    <row r="852" spans="1:1" x14ac:dyDescent="0.2">
      <c r="A852" t="s">
        <v>1167</v>
      </c>
    </row>
    <row r="853" spans="1:1" x14ac:dyDescent="0.2">
      <c r="A853" t="s">
        <v>1168</v>
      </c>
    </row>
    <row r="854" spans="1:1" x14ac:dyDescent="0.2">
      <c r="A854" t="s">
        <v>1169</v>
      </c>
    </row>
    <row r="855" spans="1:1" x14ac:dyDescent="0.2">
      <c r="A855" t="s">
        <v>1170</v>
      </c>
    </row>
    <row r="856" spans="1:1" x14ac:dyDescent="0.2">
      <c r="A856" t="s">
        <v>1171</v>
      </c>
    </row>
    <row r="857" spans="1:1" x14ac:dyDescent="0.2">
      <c r="A857" t="s">
        <v>1172</v>
      </c>
    </row>
    <row r="858" spans="1:1" x14ac:dyDescent="0.2">
      <c r="A858" t="s">
        <v>1173</v>
      </c>
    </row>
    <row r="859" spans="1:1" x14ac:dyDescent="0.2">
      <c r="A859" t="s">
        <v>1174</v>
      </c>
    </row>
    <row r="860" spans="1:1" x14ac:dyDescent="0.2">
      <c r="A860" t="s">
        <v>1175</v>
      </c>
    </row>
    <row r="861" spans="1:1" x14ac:dyDescent="0.2">
      <c r="A861" t="s">
        <v>1176</v>
      </c>
    </row>
    <row r="862" spans="1:1" x14ac:dyDescent="0.2">
      <c r="A862" t="s">
        <v>1177</v>
      </c>
    </row>
    <row r="863" spans="1:1" x14ac:dyDescent="0.2">
      <c r="A863" t="s">
        <v>1178</v>
      </c>
    </row>
    <row r="864" spans="1:1" x14ac:dyDescent="0.2">
      <c r="A864" t="s">
        <v>1179</v>
      </c>
    </row>
    <row r="865" spans="1:1" x14ac:dyDescent="0.2">
      <c r="A865" t="s">
        <v>1180</v>
      </c>
    </row>
    <row r="866" spans="1:1" x14ac:dyDescent="0.2">
      <c r="A866" t="s">
        <v>1181</v>
      </c>
    </row>
    <row r="867" spans="1:1" x14ac:dyDescent="0.2">
      <c r="A867" t="s">
        <v>1182</v>
      </c>
    </row>
    <row r="868" spans="1:1" x14ac:dyDescent="0.2">
      <c r="A868" t="s">
        <v>1183</v>
      </c>
    </row>
    <row r="869" spans="1:1" x14ac:dyDescent="0.2">
      <c r="A869" t="s">
        <v>1184</v>
      </c>
    </row>
    <row r="870" spans="1:1" x14ac:dyDescent="0.2">
      <c r="A870" t="s">
        <v>1185</v>
      </c>
    </row>
    <row r="871" spans="1:1" x14ac:dyDescent="0.2">
      <c r="A871" t="s">
        <v>1186</v>
      </c>
    </row>
    <row r="872" spans="1:1" x14ac:dyDescent="0.2">
      <c r="A872" t="s">
        <v>1187</v>
      </c>
    </row>
    <row r="873" spans="1:1" x14ac:dyDescent="0.2">
      <c r="A873" t="s">
        <v>1188</v>
      </c>
    </row>
    <row r="874" spans="1:1" x14ac:dyDescent="0.2">
      <c r="A874" t="s">
        <v>1189</v>
      </c>
    </row>
    <row r="875" spans="1:1" x14ac:dyDescent="0.2">
      <c r="A875" t="s">
        <v>1190</v>
      </c>
    </row>
    <row r="876" spans="1:1" x14ac:dyDescent="0.2">
      <c r="A876" t="s">
        <v>1191</v>
      </c>
    </row>
    <row r="877" spans="1:1" x14ac:dyDescent="0.2">
      <c r="A877" t="s">
        <v>1192</v>
      </c>
    </row>
    <row r="878" spans="1:1" x14ac:dyDescent="0.2">
      <c r="A878" t="s">
        <v>1193</v>
      </c>
    </row>
    <row r="879" spans="1:1" x14ac:dyDescent="0.2">
      <c r="A879" t="s">
        <v>1194</v>
      </c>
    </row>
    <row r="880" spans="1:1" x14ac:dyDescent="0.2">
      <c r="A880" t="s">
        <v>1195</v>
      </c>
    </row>
    <row r="881" spans="1:1" x14ac:dyDescent="0.2">
      <c r="A881" t="s">
        <v>1196</v>
      </c>
    </row>
    <row r="882" spans="1:1" x14ac:dyDescent="0.2">
      <c r="A882" t="s">
        <v>1197</v>
      </c>
    </row>
    <row r="883" spans="1:1" x14ac:dyDescent="0.2">
      <c r="A883" t="s">
        <v>1198</v>
      </c>
    </row>
    <row r="884" spans="1:1" x14ac:dyDescent="0.2">
      <c r="A884" t="s">
        <v>1199</v>
      </c>
    </row>
    <row r="885" spans="1:1" x14ac:dyDescent="0.2">
      <c r="A885" t="s">
        <v>1200</v>
      </c>
    </row>
    <row r="886" spans="1:1" x14ac:dyDescent="0.2">
      <c r="A886" t="s">
        <v>1201</v>
      </c>
    </row>
    <row r="887" spans="1:1" x14ac:dyDescent="0.2">
      <c r="A887" t="s">
        <v>1202</v>
      </c>
    </row>
    <row r="888" spans="1:1" x14ac:dyDescent="0.2">
      <c r="A888" t="s">
        <v>1203</v>
      </c>
    </row>
    <row r="889" spans="1:1" x14ac:dyDescent="0.2">
      <c r="A889" t="s">
        <v>1204</v>
      </c>
    </row>
    <row r="890" spans="1:1" x14ac:dyDescent="0.2">
      <c r="A890" t="s">
        <v>1205</v>
      </c>
    </row>
    <row r="891" spans="1:1" x14ac:dyDescent="0.2">
      <c r="A891" t="s">
        <v>1206</v>
      </c>
    </row>
    <row r="892" spans="1:1" x14ac:dyDescent="0.2">
      <c r="A892" t="s">
        <v>1207</v>
      </c>
    </row>
    <row r="893" spans="1:1" x14ac:dyDescent="0.2">
      <c r="A893" t="s">
        <v>1208</v>
      </c>
    </row>
    <row r="894" spans="1:1" x14ac:dyDescent="0.2">
      <c r="A894" t="s">
        <v>1209</v>
      </c>
    </row>
    <row r="895" spans="1:1" x14ac:dyDescent="0.2">
      <c r="A895" t="s">
        <v>1210</v>
      </c>
    </row>
    <row r="896" spans="1:1" x14ac:dyDescent="0.2">
      <c r="A896" t="s">
        <v>1211</v>
      </c>
    </row>
    <row r="897" spans="1:1" x14ac:dyDescent="0.2">
      <c r="A897" t="s">
        <v>1212</v>
      </c>
    </row>
    <row r="898" spans="1:1" x14ac:dyDescent="0.2">
      <c r="A898" t="s">
        <v>1213</v>
      </c>
    </row>
    <row r="899" spans="1:1" x14ac:dyDescent="0.2">
      <c r="A899" t="s">
        <v>1214</v>
      </c>
    </row>
    <row r="900" spans="1:1" x14ac:dyDescent="0.2">
      <c r="A900" t="s">
        <v>1215</v>
      </c>
    </row>
    <row r="901" spans="1:1" x14ac:dyDescent="0.2">
      <c r="A901" t="s">
        <v>1216</v>
      </c>
    </row>
    <row r="902" spans="1:1" x14ac:dyDescent="0.2">
      <c r="A902" t="s">
        <v>1217</v>
      </c>
    </row>
    <row r="903" spans="1:1" x14ac:dyDescent="0.2">
      <c r="A903" t="s">
        <v>1218</v>
      </c>
    </row>
    <row r="904" spans="1:1" x14ac:dyDescent="0.2">
      <c r="A904" t="s">
        <v>1219</v>
      </c>
    </row>
    <row r="905" spans="1:1" x14ac:dyDescent="0.2">
      <c r="A905" t="s">
        <v>1220</v>
      </c>
    </row>
    <row r="906" spans="1:1" x14ac:dyDescent="0.2">
      <c r="A906" t="s">
        <v>1221</v>
      </c>
    </row>
    <row r="907" spans="1:1" x14ac:dyDescent="0.2">
      <c r="A907" t="s">
        <v>1222</v>
      </c>
    </row>
    <row r="908" spans="1:1" x14ac:dyDescent="0.2">
      <c r="A908" t="s">
        <v>1223</v>
      </c>
    </row>
    <row r="909" spans="1:1" x14ac:dyDescent="0.2">
      <c r="A909" t="s">
        <v>1224</v>
      </c>
    </row>
    <row r="910" spans="1:1" x14ac:dyDescent="0.2">
      <c r="A910" t="s">
        <v>1225</v>
      </c>
    </row>
    <row r="911" spans="1:1" x14ac:dyDescent="0.2">
      <c r="A911" t="s">
        <v>1226</v>
      </c>
    </row>
    <row r="912" spans="1:1" x14ac:dyDescent="0.2">
      <c r="A912" t="s">
        <v>1227</v>
      </c>
    </row>
    <row r="913" spans="1:1" x14ac:dyDescent="0.2">
      <c r="A913" t="s">
        <v>1228</v>
      </c>
    </row>
    <row r="914" spans="1:1" x14ac:dyDescent="0.2">
      <c r="A914" t="s">
        <v>1229</v>
      </c>
    </row>
    <row r="915" spans="1:1" x14ac:dyDescent="0.2">
      <c r="A915" t="s">
        <v>1230</v>
      </c>
    </row>
    <row r="916" spans="1:1" x14ac:dyDescent="0.2">
      <c r="A916" t="s">
        <v>1231</v>
      </c>
    </row>
    <row r="917" spans="1:1" x14ac:dyDescent="0.2">
      <c r="A917" t="s">
        <v>1232</v>
      </c>
    </row>
    <row r="918" spans="1:1" x14ac:dyDescent="0.2">
      <c r="A918" t="s">
        <v>1233</v>
      </c>
    </row>
    <row r="919" spans="1:1" x14ac:dyDescent="0.2">
      <c r="A919" t="s">
        <v>1234</v>
      </c>
    </row>
    <row r="920" spans="1:1" x14ac:dyDescent="0.2">
      <c r="A920" t="s">
        <v>1235</v>
      </c>
    </row>
    <row r="921" spans="1:1" x14ac:dyDescent="0.2">
      <c r="A921" t="s">
        <v>1236</v>
      </c>
    </row>
    <row r="922" spans="1:1" x14ac:dyDescent="0.2">
      <c r="A922" t="s">
        <v>1237</v>
      </c>
    </row>
    <row r="923" spans="1:1" x14ac:dyDescent="0.2">
      <c r="A923" t="s">
        <v>1238</v>
      </c>
    </row>
    <row r="924" spans="1:1" x14ac:dyDescent="0.2">
      <c r="A924" t="s">
        <v>1239</v>
      </c>
    </row>
    <row r="925" spans="1:1" x14ac:dyDescent="0.2">
      <c r="A925" t="s">
        <v>1240</v>
      </c>
    </row>
    <row r="926" spans="1:1" x14ac:dyDescent="0.2">
      <c r="A926" t="s">
        <v>1241</v>
      </c>
    </row>
    <row r="927" spans="1:1" x14ac:dyDescent="0.2">
      <c r="A927" t="s">
        <v>1242</v>
      </c>
    </row>
    <row r="928" spans="1:1" x14ac:dyDescent="0.2">
      <c r="A928" t="s">
        <v>1243</v>
      </c>
    </row>
    <row r="929" spans="1:1" x14ac:dyDescent="0.2">
      <c r="A929" t="s">
        <v>1244</v>
      </c>
    </row>
    <row r="930" spans="1:1" x14ac:dyDescent="0.2">
      <c r="A930" t="s">
        <v>1245</v>
      </c>
    </row>
    <row r="931" spans="1:1" x14ac:dyDescent="0.2">
      <c r="A931" t="s">
        <v>1246</v>
      </c>
    </row>
    <row r="932" spans="1:1" x14ac:dyDescent="0.2">
      <c r="A932" t="s">
        <v>1247</v>
      </c>
    </row>
    <row r="933" spans="1:1" x14ac:dyDescent="0.2">
      <c r="A933" t="s">
        <v>1248</v>
      </c>
    </row>
    <row r="934" spans="1:1" x14ac:dyDescent="0.2">
      <c r="A934" t="s">
        <v>1249</v>
      </c>
    </row>
    <row r="935" spans="1:1" x14ac:dyDescent="0.2">
      <c r="A935" t="s">
        <v>1250</v>
      </c>
    </row>
    <row r="936" spans="1:1" x14ac:dyDescent="0.2">
      <c r="A936" t="s">
        <v>1251</v>
      </c>
    </row>
    <row r="937" spans="1:1" x14ac:dyDescent="0.2">
      <c r="A937" t="s">
        <v>1252</v>
      </c>
    </row>
    <row r="938" spans="1:1" x14ac:dyDescent="0.2">
      <c r="A938" t="s">
        <v>1253</v>
      </c>
    </row>
    <row r="939" spans="1:1" x14ac:dyDescent="0.2">
      <c r="A939" t="s">
        <v>1254</v>
      </c>
    </row>
    <row r="940" spans="1:1" x14ac:dyDescent="0.2">
      <c r="A940" t="s">
        <v>1255</v>
      </c>
    </row>
    <row r="941" spans="1:1" x14ac:dyDescent="0.2">
      <c r="A941" t="s">
        <v>1256</v>
      </c>
    </row>
    <row r="942" spans="1:1" x14ac:dyDescent="0.2">
      <c r="A942" t="s">
        <v>1257</v>
      </c>
    </row>
    <row r="943" spans="1:1" x14ac:dyDescent="0.2">
      <c r="A943" t="s">
        <v>1258</v>
      </c>
    </row>
    <row r="944" spans="1:1" x14ac:dyDescent="0.2">
      <c r="A944" t="s">
        <v>1259</v>
      </c>
    </row>
    <row r="945" spans="1:1" x14ac:dyDescent="0.2">
      <c r="A945" t="s">
        <v>1260</v>
      </c>
    </row>
    <row r="946" spans="1:1" x14ac:dyDescent="0.2">
      <c r="A946" t="s">
        <v>1261</v>
      </c>
    </row>
    <row r="947" spans="1:1" x14ac:dyDescent="0.2">
      <c r="A947" t="s">
        <v>1262</v>
      </c>
    </row>
    <row r="948" spans="1:1" x14ac:dyDescent="0.2">
      <c r="A948" t="s">
        <v>1263</v>
      </c>
    </row>
    <row r="949" spans="1:1" x14ac:dyDescent="0.2">
      <c r="A949" t="s">
        <v>1264</v>
      </c>
    </row>
    <row r="950" spans="1:1" x14ac:dyDescent="0.2">
      <c r="A950" t="s">
        <v>1265</v>
      </c>
    </row>
    <row r="951" spans="1:1" x14ac:dyDescent="0.2">
      <c r="A951" t="s">
        <v>1266</v>
      </c>
    </row>
    <row r="952" spans="1:1" x14ac:dyDescent="0.2">
      <c r="A952" t="s">
        <v>1267</v>
      </c>
    </row>
    <row r="953" spans="1:1" x14ac:dyDescent="0.2">
      <c r="A953" t="s">
        <v>1268</v>
      </c>
    </row>
    <row r="954" spans="1:1" x14ac:dyDescent="0.2">
      <c r="A954" t="s">
        <v>1269</v>
      </c>
    </row>
    <row r="955" spans="1:1" x14ac:dyDescent="0.2">
      <c r="A955" t="s">
        <v>1270</v>
      </c>
    </row>
    <row r="956" spans="1:1" x14ac:dyDescent="0.2">
      <c r="A956" t="s">
        <v>1271</v>
      </c>
    </row>
    <row r="957" spans="1:1" x14ac:dyDescent="0.2">
      <c r="A957" t="s">
        <v>1272</v>
      </c>
    </row>
    <row r="958" spans="1:1" x14ac:dyDescent="0.2">
      <c r="A958" t="s">
        <v>1273</v>
      </c>
    </row>
    <row r="959" spans="1:1" x14ac:dyDescent="0.2">
      <c r="A959" t="s">
        <v>1274</v>
      </c>
    </row>
    <row r="960" spans="1:1" x14ac:dyDescent="0.2">
      <c r="A960" t="s">
        <v>1275</v>
      </c>
    </row>
    <row r="961" spans="1:1" x14ac:dyDescent="0.2">
      <c r="A961" t="s">
        <v>1276</v>
      </c>
    </row>
    <row r="962" spans="1:1" x14ac:dyDescent="0.2">
      <c r="A962" t="s">
        <v>1277</v>
      </c>
    </row>
    <row r="963" spans="1:1" x14ac:dyDescent="0.2">
      <c r="A963" t="s">
        <v>1278</v>
      </c>
    </row>
    <row r="964" spans="1:1" x14ac:dyDescent="0.2">
      <c r="A964" t="s">
        <v>1279</v>
      </c>
    </row>
    <row r="965" spans="1:1" x14ac:dyDescent="0.2">
      <c r="A965" t="s">
        <v>1280</v>
      </c>
    </row>
    <row r="966" spans="1:1" x14ac:dyDescent="0.2">
      <c r="A966" t="s">
        <v>1281</v>
      </c>
    </row>
    <row r="967" spans="1:1" x14ac:dyDescent="0.2">
      <c r="A967" t="s">
        <v>1282</v>
      </c>
    </row>
    <row r="968" spans="1:1" x14ac:dyDescent="0.2">
      <c r="A968" t="s">
        <v>1283</v>
      </c>
    </row>
    <row r="969" spans="1:1" x14ac:dyDescent="0.2">
      <c r="A969" t="s">
        <v>1284</v>
      </c>
    </row>
    <row r="970" spans="1:1" x14ac:dyDescent="0.2">
      <c r="A970" t="s">
        <v>1285</v>
      </c>
    </row>
    <row r="971" spans="1:1" x14ac:dyDescent="0.2">
      <c r="A971" t="s">
        <v>1286</v>
      </c>
    </row>
    <row r="972" spans="1:1" x14ac:dyDescent="0.2">
      <c r="A972" t="s">
        <v>1290</v>
      </c>
    </row>
    <row r="973" spans="1:1" x14ac:dyDescent="0.2">
      <c r="A973" t="s">
        <v>1053</v>
      </c>
    </row>
    <row r="974" spans="1:1" x14ac:dyDescent="0.2">
      <c r="A974" t="s">
        <v>2785</v>
      </c>
    </row>
    <row r="975" spans="1:1" x14ac:dyDescent="0.2">
      <c r="A975" t="s">
        <v>2768</v>
      </c>
    </row>
    <row r="976" spans="1:1" x14ac:dyDescent="0.2">
      <c r="A976" t="s">
        <v>2769</v>
      </c>
    </row>
    <row r="977" spans="1:1" x14ac:dyDescent="0.2">
      <c r="A977" t="s">
        <v>1054</v>
      </c>
    </row>
    <row r="978" spans="1:1" x14ac:dyDescent="0.2">
      <c r="A978" t="s">
        <v>1055</v>
      </c>
    </row>
    <row r="979" spans="1:1" x14ac:dyDescent="0.2">
      <c r="A979" t="s">
        <v>2770</v>
      </c>
    </row>
    <row r="980" spans="1:1" x14ac:dyDescent="0.2">
      <c r="A980" t="s">
        <v>1056</v>
      </c>
    </row>
    <row r="981" spans="1:1" x14ac:dyDescent="0.2">
      <c r="A981" t="s">
        <v>1057</v>
      </c>
    </row>
    <row r="982" spans="1:1" x14ac:dyDescent="0.2">
      <c r="A982" t="s">
        <v>1058</v>
      </c>
    </row>
    <row r="983" spans="1:1" x14ac:dyDescent="0.2">
      <c r="A983" t="s">
        <v>1059</v>
      </c>
    </row>
    <row r="984" spans="1:1" x14ac:dyDescent="0.2">
      <c r="A984" t="s">
        <v>1060</v>
      </c>
    </row>
    <row r="985" spans="1:1" x14ac:dyDescent="0.2">
      <c r="A985" t="s">
        <v>1061</v>
      </c>
    </row>
    <row r="986" spans="1:1" x14ac:dyDescent="0.2">
      <c r="A986" t="s">
        <v>1062</v>
      </c>
    </row>
    <row r="987" spans="1:1" x14ac:dyDescent="0.2">
      <c r="A987" t="s">
        <v>1063</v>
      </c>
    </row>
    <row r="988" spans="1:1" x14ac:dyDescent="0.2">
      <c r="A988" t="s">
        <v>1064</v>
      </c>
    </row>
    <row r="989" spans="1:1" x14ac:dyDescent="0.2">
      <c r="A989" t="s">
        <v>1065</v>
      </c>
    </row>
    <row r="990" spans="1:1" x14ac:dyDescent="0.2">
      <c r="A990" t="s">
        <v>1066</v>
      </c>
    </row>
    <row r="991" spans="1:1" x14ac:dyDescent="0.2">
      <c r="A991" t="s">
        <v>1067</v>
      </c>
    </row>
    <row r="992" spans="1:1" x14ac:dyDescent="0.2">
      <c r="A992" t="s">
        <v>1068</v>
      </c>
    </row>
    <row r="993" spans="1:1" x14ac:dyDescent="0.2">
      <c r="A993" t="s">
        <v>1069</v>
      </c>
    </row>
    <row r="994" spans="1:1" x14ac:dyDescent="0.2">
      <c r="A994" t="s">
        <v>1070</v>
      </c>
    </row>
    <row r="995" spans="1:1" x14ac:dyDescent="0.2">
      <c r="A995" t="s">
        <v>1071</v>
      </c>
    </row>
    <row r="996" spans="1:1" x14ac:dyDescent="0.2">
      <c r="A996" t="s">
        <v>1072</v>
      </c>
    </row>
    <row r="997" spans="1:1" x14ac:dyDescent="0.2">
      <c r="A997" t="s">
        <v>1073</v>
      </c>
    </row>
    <row r="998" spans="1:1" x14ac:dyDescent="0.2">
      <c r="A998" t="s">
        <v>1074</v>
      </c>
    </row>
    <row r="999" spans="1:1" x14ac:dyDescent="0.2">
      <c r="A999" t="s">
        <v>1075</v>
      </c>
    </row>
    <row r="1000" spans="1:1" x14ac:dyDescent="0.2">
      <c r="A1000" t="s">
        <v>1076</v>
      </c>
    </row>
    <row r="1001" spans="1:1" x14ac:dyDescent="0.2">
      <c r="A1001" t="s">
        <v>1077</v>
      </c>
    </row>
    <row r="1002" spans="1:1" x14ac:dyDescent="0.2">
      <c r="A1002" t="s">
        <v>1078</v>
      </c>
    </row>
    <row r="1003" spans="1:1" x14ac:dyDescent="0.2">
      <c r="A1003" t="s">
        <v>1079</v>
      </c>
    </row>
    <row r="1004" spans="1:1" x14ac:dyDescent="0.2">
      <c r="A1004" t="s">
        <v>1080</v>
      </c>
    </row>
    <row r="1005" spans="1:1" x14ac:dyDescent="0.2">
      <c r="A1005" t="s">
        <v>1081</v>
      </c>
    </row>
    <row r="1006" spans="1:1" x14ac:dyDescent="0.2">
      <c r="A1006" t="s">
        <v>1082</v>
      </c>
    </row>
    <row r="1007" spans="1:1" x14ac:dyDescent="0.2">
      <c r="A1007" t="s">
        <v>1083</v>
      </c>
    </row>
    <row r="1008" spans="1:1" x14ac:dyDescent="0.2">
      <c r="A1008" t="s">
        <v>2771</v>
      </c>
    </row>
    <row r="1009" spans="1:1" x14ac:dyDescent="0.2">
      <c r="A1009" t="s">
        <v>2772</v>
      </c>
    </row>
    <row r="1010" spans="1:1" x14ac:dyDescent="0.2">
      <c r="A1010" t="s">
        <v>2773</v>
      </c>
    </row>
    <row r="1011" spans="1:1" x14ac:dyDescent="0.2">
      <c r="A1011" t="s">
        <v>2774</v>
      </c>
    </row>
    <row r="1012" spans="1:1" x14ac:dyDescent="0.2">
      <c r="A1012" t="s">
        <v>2775</v>
      </c>
    </row>
    <row r="1013" spans="1:1" x14ac:dyDescent="0.2">
      <c r="A1013" t="s">
        <v>2776</v>
      </c>
    </row>
    <row r="1014" spans="1:1" x14ac:dyDescent="0.2">
      <c r="A1014" t="s">
        <v>1084</v>
      </c>
    </row>
    <row r="1015" spans="1:1" x14ac:dyDescent="0.2">
      <c r="A1015" t="s">
        <v>1085</v>
      </c>
    </row>
    <row r="1016" spans="1:1" x14ac:dyDescent="0.2">
      <c r="A1016" t="s">
        <v>1086</v>
      </c>
    </row>
    <row r="1017" spans="1:1" x14ac:dyDescent="0.2">
      <c r="A1017" t="s">
        <v>1087</v>
      </c>
    </row>
    <row r="1018" spans="1:1" x14ac:dyDescent="0.2">
      <c r="A1018" t="s">
        <v>1088</v>
      </c>
    </row>
    <row r="1019" spans="1:1" x14ac:dyDescent="0.2">
      <c r="A1019" t="s">
        <v>1089</v>
      </c>
    </row>
    <row r="1020" spans="1:1" x14ac:dyDescent="0.2">
      <c r="A1020" t="s">
        <v>1090</v>
      </c>
    </row>
    <row r="1021" spans="1:1" x14ac:dyDescent="0.2">
      <c r="A1021" t="s">
        <v>1091</v>
      </c>
    </row>
    <row r="1022" spans="1:1" x14ac:dyDescent="0.2">
      <c r="A1022" t="s">
        <v>1092</v>
      </c>
    </row>
    <row r="1023" spans="1:1" x14ac:dyDescent="0.2">
      <c r="A1023" t="s">
        <v>1093</v>
      </c>
    </row>
    <row r="1024" spans="1:1" x14ac:dyDescent="0.2">
      <c r="A1024" t="s">
        <v>1094</v>
      </c>
    </row>
    <row r="1025" spans="1:1" x14ac:dyDescent="0.2">
      <c r="A1025" t="s">
        <v>1095</v>
      </c>
    </row>
    <row r="1026" spans="1:1" x14ac:dyDescent="0.2">
      <c r="A1026" t="s">
        <v>1096</v>
      </c>
    </row>
    <row r="1027" spans="1:1" x14ac:dyDescent="0.2">
      <c r="A1027" t="s">
        <v>1097</v>
      </c>
    </row>
    <row r="1028" spans="1:1" x14ac:dyDescent="0.2">
      <c r="A1028" t="s">
        <v>1098</v>
      </c>
    </row>
    <row r="1029" spans="1:1" x14ac:dyDescent="0.2">
      <c r="A1029" t="s">
        <v>1099</v>
      </c>
    </row>
    <row r="1030" spans="1:1" x14ac:dyDescent="0.2">
      <c r="A1030" t="s">
        <v>1100</v>
      </c>
    </row>
    <row r="1031" spans="1:1" x14ac:dyDescent="0.2">
      <c r="A1031" t="s">
        <v>1101</v>
      </c>
    </row>
    <row r="1032" spans="1:1" x14ac:dyDescent="0.2">
      <c r="A1032" t="s">
        <v>1102</v>
      </c>
    </row>
    <row r="1033" spans="1:1" x14ac:dyDescent="0.2">
      <c r="A1033" t="s">
        <v>1103</v>
      </c>
    </row>
    <row r="1034" spans="1:1" x14ac:dyDescent="0.2">
      <c r="A1034" t="s">
        <v>1104</v>
      </c>
    </row>
    <row r="1035" spans="1:1" x14ac:dyDescent="0.2">
      <c r="A1035" t="s">
        <v>1105</v>
      </c>
    </row>
    <row r="1036" spans="1:1" x14ac:dyDescent="0.2">
      <c r="A1036" t="s">
        <v>1106</v>
      </c>
    </row>
    <row r="1037" spans="1:1" x14ac:dyDescent="0.2">
      <c r="A1037" t="s">
        <v>1107</v>
      </c>
    </row>
    <row r="1038" spans="1:1" x14ac:dyDescent="0.2">
      <c r="A1038" t="s">
        <v>1108</v>
      </c>
    </row>
    <row r="1039" spans="1:1" x14ac:dyDescent="0.2">
      <c r="A1039" t="s">
        <v>1109</v>
      </c>
    </row>
    <row r="1040" spans="1:1" x14ac:dyDescent="0.2">
      <c r="A1040" t="s">
        <v>1110</v>
      </c>
    </row>
    <row r="1041" spans="1:1" x14ac:dyDescent="0.2">
      <c r="A1041" t="s">
        <v>1111</v>
      </c>
    </row>
    <row r="1042" spans="1:1" x14ac:dyDescent="0.2">
      <c r="A1042" t="s">
        <v>1112</v>
      </c>
    </row>
    <row r="1043" spans="1:1" x14ac:dyDescent="0.2">
      <c r="A1043" t="s">
        <v>1113</v>
      </c>
    </row>
    <row r="1044" spans="1:1" x14ac:dyDescent="0.2">
      <c r="A1044" t="s">
        <v>1114</v>
      </c>
    </row>
    <row r="1045" spans="1:1" x14ac:dyDescent="0.2">
      <c r="A1045" t="s">
        <v>1115</v>
      </c>
    </row>
    <row r="1046" spans="1:1" x14ac:dyDescent="0.2">
      <c r="A1046" t="s">
        <v>1116</v>
      </c>
    </row>
    <row r="1047" spans="1:1" x14ac:dyDescent="0.2">
      <c r="A1047" t="s">
        <v>1117</v>
      </c>
    </row>
    <row r="1048" spans="1:1" x14ac:dyDescent="0.2">
      <c r="A1048" t="s">
        <v>1118</v>
      </c>
    </row>
    <row r="1049" spans="1:1" x14ac:dyDescent="0.2">
      <c r="A1049" t="s">
        <v>1119</v>
      </c>
    </row>
    <row r="1050" spans="1:1" x14ac:dyDescent="0.2">
      <c r="A1050" t="s">
        <v>1120</v>
      </c>
    </row>
    <row r="1051" spans="1:1" x14ac:dyDescent="0.2">
      <c r="A1051" t="s">
        <v>1288</v>
      </c>
    </row>
    <row r="1052" spans="1:1" x14ac:dyDescent="0.2">
      <c r="A1052" t="s">
        <v>2786</v>
      </c>
    </row>
    <row r="1053" spans="1:1" x14ac:dyDescent="0.2">
      <c r="A1053" t="s">
        <v>2787</v>
      </c>
    </row>
    <row r="1054" spans="1:1" x14ac:dyDescent="0.2">
      <c r="A1054" t="s">
        <v>2779</v>
      </c>
    </row>
    <row r="1055" spans="1:1" x14ac:dyDescent="0.2">
      <c r="A1055" t="s">
        <v>2780</v>
      </c>
    </row>
    <row r="1056" spans="1:1" x14ac:dyDescent="0.2">
      <c r="A1056" t="s">
        <v>1289</v>
      </c>
    </row>
    <row r="1057" spans="1:1" x14ac:dyDescent="0.2">
      <c r="A1057" t="s">
        <v>2781</v>
      </c>
    </row>
    <row r="1058" spans="1:1" x14ac:dyDescent="0.2">
      <c r="A1058" t="s">
        <v>1121</v>
      </c>
    </row>
    <row r="1059" spans="1:1" x14ac:dyDescent="0.2">
      <c r="A1059" t="s">
        <v>1122</v>
      </c>
    </row>
    <row r="1060" spans="1:1" x14ac:dyDescent="0.2">
      <c r="A1060" t="s">
        <v>1123</v>
      </c>
    </row>
    <row r="1061" spans="1:1" x14ac:dyDescent="0.2">
      <c r="A1061" t="s">
        <v>1124</v>
      </c>
    </row>
    <row r="1062" spans="1:1" x14ac:dyDescent="0.2">
      <c r="A1062" t="s">
        <v>1125</v>
      </c>
    </row>
    <row r="1063" spans="1:1" x14ac:dyDescent="0.2">
      <c r="A1063" t="s">
        <v>1126</v>
      </c>
    </row>
    <row r="1064" spans="1:1" x14ac:dyDescent="0.2">
      <c r="A1064" t="s">
        <v>1127</v>
      </c>
    </row>
    <row r="1065" spans="1:1" x14ac:dyDescent="0.2">
      <c r="A1065" t="s">
        <v>1128</v>
      </c>
    </row>
    <row r="1066" spans="1:1" x14ac:dyDescent="0.2">
      <c r="A1066" t="s">
        <v>1129</v>
      </c>
    </row>
    <row r="1067" spans="1:1" x14ac:dyDescent="0.2">
      <c r="A1067" t="s">
        <v>1130</v>
      </c>
    </row>
    <row r="1068" spans="1:1" x14ac:dyDescent="0.2">
      <c r="A1068" t="s">
        <v>1131</v>
      </c>
    </row>
    <row r="1069" spans="1:1" x14ac:dyDescent="0.2">
      <c r="A1069" t="s">
        <v>1132</v>
      </c>
    </row>
    <row r="1070" spans="1:1" x14ac:dyDescent="0.2">
      <c r="A1070" t="s">
        <v>1133</v>
      </c>
    </row>
    <row r="1071" spans="1:1" x14ac:dyDescent="0.2">
      <c r="A1071" t="s">
        <v>1134</v>
      </c>
    </row>
    <row r="1072" spans="1:1" x14ac:dyDescent="0.2">
      <c r="A1072" t="s">
        <v>1135</v>
      </c>
    </row>
    <row r="1073" spans="1:1" x14ac:dyDescent="0.2">
      <c r="A1073" t="s">
        <v>1136</v>
      </c>
    </row>
    <row r="1074" spans="1:1" x14ac:dyDescent="0.2">
      <c r="A1074" t="s">
        <v>1137</v>
      </c>
    </row>
    <row r="1075" spans="1:1" x14ac:dyDescent="0.2">
      <c r="A1075" t="s">
        <v>1138</v>
      </c>
    </row>
    <row r="1076" spans="1:1" x14ac:dyDescent="0.2">
      <c r="A1076" t="s">
        <v>1139</v>
      </c>
    </row>
    <row r="1077" spans="1:1" x14ac:dyDescent="0.2">
      <c r="A1077" t="s">
        <v>1140</v>
      </c>
    </row>
    <row r="1078" spans="1:1" x14ac:dyDescent="0.2">
      <c r="A1078" t="s">
        <v>1141</v>
      </c>
    </row>
    <row r="1079" spans="1:1" x14ac:dyDescent="0.2">
      <c r="A1079" t="s">
        <v>1142</v>
      </c>
    </row>
    <row r="1080" spans="1:1" x14ac:dyDescent="0.2">
      <c r="A1080" t="s">
        <v>1143</v>
      </c>
    </row>
    <row r="1081" spans="1:1" x14ac:dyDescent="0.2">
      <c r="A1081" t="s">
        <v>1144</v>
      </c>
    </row>
    <row r="1082" spans="1:1" x14ac:dyDescent="0.2">
      <c r="A1082" t="s">
        <v>1145</v>
      </c>
    </row>
    <row r="1083" spans="1:1" x14ac:dyDescent="0.2">
      <c r="A1083" t="s">
        <v>1146</v>
      </c>
    </row>
    <row r="1084" spans="1:1" x14ac:dyDescent="0.2">
      <c r="A1084" t="s">
        <v>1147</v>
      </c>
    </row>
    <row r="1085" spans="1:1" x14ac:dyDescent="0.2">
      <c r="A1085" t="s">
        <v>1148</v>
      </c>
    </row>
    <row r="1086" spans="1:1" x14ac:dyDescent="0.2">
      <c r="A1086" t="s">
        <v>1149</v>
      </c>
    </row>
    <row r="1087" spans="1:1" x14ac:dyDescent="0.2">
      <c r="A1087" t="s">
        <v>1150</v>
      </c>
    </row>
    <row r="1088" spans="1:1" x14ac:dyDescent="0.2">
      <c r="A1088" t="s">
        <v>1151</v>
      </c>
    </row>
    <row r="1089" spans="1:1" x14ac:dyDescent="0.2">
      <c r="A1089" t="s">
        <v>1152</v>
      </c>
    </row>
    <row r="1090" spans="1:1" x14ac:dyDescent="0.2">
      <c r="A1090" t="s">
        <v>1153</v>
      </c>
    </row>
    <row r="1091" spans="1:1" x14ac:dyDescent="0.2">
      <c r="A1091" t="s">
        <v>1154</v>
      </c>
    </row>
    <row r="1092" spans="1:1" x14ac:dyDescent="0.2">
      <c r="A1092" t="s">
        <v>1155</v>
      </c>
    </row>
    <row r="1093" spans="1:1" x14ac:dyDescent="0.2">
      <c r="A1093" t="s">
        <v>1156</v>
      </c>
    </row>
    <row r="1094" spans="1:1" x14ac:dyDescent="0.2">
      <c r="A1094" t="s">
        <v>1157</v>
      </c>
    </row>
    <row r="1095" spans="1:1" x14ac:dyDescent="0.2">
      <c r="A1095" t="s">
        <v>1158</v>
      </c>
    </row>
    <row r="1096" spans="1:1" x14ac:dyDescent="0.2">
      <c r="A1096" t="s">
        <v>1159</v>
      </c>
    </row>
    <row r="1097" spans="1:1" x14ac:dyDescent="0.2">
      <c r="A1097" t="s">
        <v>1160</v>
      </c>
    </row>
    <row r="1098" spans="1:1" x14ac:dyDescent="0.2">
      <c r="A1098" t="s">
        <v>1161</v>
      </c>
    </row>
    <row r="1099" spans="1:1" x14ac:dyDescent="0.2">
      <c r="A1099" t="s">
        <v>1162</v>
      </c>
    </row>
    <row r="1100" spans="1:1" x14ac:dyDescent="0.2">
      <c r="A1100" t="s">
        <v>1163</v>
      </c>
    </row>
    <row r="1101" spans="1:1" x14ac:dyDescent="0.2">
      <c r="A1101" t="s">
        <v>1164</v>
      </c>
    </row>
    <row r="1102" spans="1:1" x14ac:dyDescent="0.2">
      <c r="A1102" t="s">
        <v>1165</v>
      </c>
    </row>
    <row r="1103" spans="1:1" x14ac:dyDescent="0.2">
      <c r="A1103" t="s">
        <v>1166</v>
      </c>
    </row>
    <row r="1104" spans="1:1" x14ac:dyDescent="0.2">
      <c r="A1104" t="s">
        <v>1167</v>
      </c>
    </row>
    <row r="1105" spans="1:1" x14ac:dyDescent="0.2">
      <c r="A1105" t="s">
        <v>1168</v>
      </c>
    </row>
    <row r="1106" spans="1:1" x14ac:dyDescent="0.2">
      <c r="A1106" t="s">
        <v>1169</v>
      </c>
    </row>
    <row r="1107" spans="1:1" x14ac:dyDescent="0.2">
      <c r="A1107" t="s">
        <v>1170</v>
      </c>
    </row>
    <row r="1108" spans="1:1" x14ac:dyDescent="0.2">
      <c r="A1108" t="s">
        <v>1171</v>
      </c>
    </row>
    <row r="1109" spans="1:1" x14ac:dyDescent="0.2">
      <c r="A1109" t="s">
        <v>1172</v>
      </c>
    </row>
    <row r="1110" spans="1:1" x14ac:dyDescent="0.2">
      <c r="A1110" t="s">
        <v>1173</v>
      </c>
    </row>
    <row r="1111" spans="1:1" x14ac:dyDescent="0.2">
      <c r="A1111" t="s">
        <v>1174</v>
      </c>
    </row>
    <row r="1112" spans="1:1" x14ac:dyDescent="0.2">
      <c r="A1112" t="s">
        <v>1175</v>
      </c>
    </row>
    <row r="1113" spans="1:1" x14ac:dyDescent="0.2">
      <c r="A1113" t="s">
        <v>1176</v>
      </c>
    </row>
    <row r="1114" spans="1:1" x14ac:dyDescent="0.2">
      <c r="A1114" t="s">
        <v>1177</v>
      </c>
    </row>
    <row r="1115" spans="1:1" x14ac:dyDescent="0.2">
      <c r="A1115" t="s">
        <v>1178</v>
      </c>
    </row>
    <row r="1116" spans="1:1" x14ac:dyDescent="0.2">
      <c r="A1116" t="s">
        <v>1179</v>
      </c>
    </row>
    <row r="1117" spans="1:1" x14ac:dyDescent="0.2">
      <c r="A1117" t="s">
        <v>1180</v>
      </c>
    </row>
    <row r="1118" spans="1:1" x14ac:dyDescent="0.2">
      <c r="A1118" t="s">
        <v>1181</v>
      </c>
    </row>
    <row r="1119" spans="1:1" x14ac:dyDescent="0.2">
      <c r="A1119" t="s">
        <v>1182</v>
      </c>
    </row>
    <row r="1120" spans="1:1" x14ac:dyDescent="0.2">
      <c r="A1120" t="s">
        <v>1183</v>
      </c>
    </row>
    <row r="1121" spans="1:1" x14ac:dyDescent="0.2">
      <c r="A1121" t="s">
        <v>1184</v>
      </c>
    </row>
    <row r="1122" spans="1:1" x14ac:dyDescent="0.2">
      <c r="A1122" t="s">
        <v>1185</v>
      </c>
    </row>
    <row r="1123" spans="1:1" x14ac:dyDescent="0.2">
      <c r="A1123" t="s">
        <v>1186</v>
      </c>
    </row>
    <row r="1124" spans="1:1" x14ac:dyDescent="0.2">
      <c r="A1124" t="s">
        <v>1187</v>
      </c>
    </row>
    <row r="1125" spans="1:1" x14ac:dyDescent="0.2">
      <c r="A1125" t="s">
        <v>1188</v>
      </c>
    </row>
    <row r="1126" spans="1:1" x14ac:dyDescent="0.2">
      <c r="A1126" t="s">
        <v>1189</v>
      </c>
    </row>
    <row r="1127" spans="1:1" x14ac:dyDescent="0.2">
      <c r="A1127" t="s">
        <v>1190</v>
      </c>
    </row>
    <row r="1128" spans="1:1" x14ac:dyDescent="0.2">
      <c r="A1128" t="s">
        <v>1191</v>
      </c>
    </row>
    <row r="1129" spans="1:1" x14ac:dyDescent="0.2">
      <c r="A1129" t="s">
        <v>1192</v>
      </c>
    </row>
    <row r="1130" spans="1:1" x14ac:dyDescent="0.2">
      <c r="A1130" t="s">
        <v>1193</v>
      </c>
    </row>
    <row r="1131" spans="1:1" x14ac:dyDescent="0.2">
      <c r="A1131" t="s">
        <v>1194</v>
      </c>
    </row>
    <row r="1132" spans="1:1" x14ac:dyDescent="0.2">
      <c r="A1132" t="s">
        <v>1195</v>
      </c>
    </row>
    <row r="1133" spans="1:1" x14ac:dyDescent="0.2">
      <c r="A1133" t="s">
        <v>1196</v>
      </c>
    </row>
    <row r="1134" spans="1:1" x14ac:dyDescent="0.2">
      <c r="A1134" t="s">
        <v>1197</v>
      </c>
    </row>
    <row r="1135" spans="1:1" x14ac:dyDescent="0.2">
      <c r="A1135" t="s">
        <v>1198</v>
      </c>
    </row>
    <row r="1136" spans="1:1" x14ac:dyDescent="0.2">
      <c r="A1136" t="s">
        <v>1199</v>
      </c>
    </row>
    <row r="1137" spans="1:1" x14ac:dyDescent="0.2">
      <c r="A1137" t="s">
        <v>1200</v>
      </c>
    </row>
    <row r="1138" spans="1:1" x14ac:dyDescent="0.2">
      <c r="A1138" t="s">
        <v>1201</v>
      </c>
    </row>
    <row r="1139" spans="1:1" x14ac:dyDescent="0.2">
      <c r="A1139" t="s">
        <v>1202</v>
      </c>
    </row>
    <row r="1140" spans="1:1" x14ac:dyDescent="0.2">
      <c r="A1140" t="s">
        <v>1203</v>
      </c>
    </row>
    <row r="1141" spans="1:1" x14ac:dyDescent="0.2">
      <c r="A1141" t="s">
        <v>1204</v>
      </c>
    </row>
    <row r="1142" spans="1:1" x14ac:dyDescent="0.2">
      <c r="A1142" t="s">
        <v>1205</v>
      </c>
    </row>
    <row r="1143" spans="1:1" x14ac:dyDescent="0.2">
      <c r="A1143" t="s">
        <v>1206</v>
      </c>
    </row>
    <row r="1144" spans="1:1" x14ac:dyDescent="0.2">
      <c r="A1144" t="s">
        <v>1207</v>
      </c>
    </row>
    <row r="1145" spans="1:1" x14ac:dyDescent="0.2">
      <c r="A1145" t="s">
        <v>1208</v>
      </c>
    </row>
    <row r="1146" spans="1:1" x14ac:dyDescent="0.2">
      <c r="A1146" t="s">
        <v>1209</v>
      </c>
    </row>
    <row r="1147" spans="1:1" x14ac:dyDescent="0.2">
      <c r="A1147" t="s">
        <v>1210</v>
      </c>
    </row>
    <row r="1148" spans="1:1" x14ac:dyDescent="0.2">
      <c r="A1148" t="s">
        <v>1211</v>
      </c>
    </row>
    <row r="1149" spans="1:1" x14ac:dyDescent="0.2">
      <c r="A1149" t="s">
        <v>1212</v>
      </c>
    </row>
    <row r="1150" spans="1:1" x14ac:dyDescent="0.2">
      <c r="A1150" t="s">
        <v>1213</v>
      </c>
    </row>
    <row r="1151" spans="1:1" x14ac:dyDescent="0.2">
      <c r="A1151" t="s">
        <v>1214</v>
      </c>
    </row>
    <row r="1152" spans="1:1" x14ac:dyDescent="0.2">
      <c r="A1152" t="s">
        <v>1215</v>
      </c>
    </row>
    <row r="1153" spans="1:1" x14ac:dyDescent="0.2">
      <c r="A1153" t="s">
        <v>1216</v>
      </c>
    </row>
    <row r="1154" spans="1:1" x14ac:dyDescent="0.2">
      <c r="A1154" t="s">
        <v>1217</v>
      </c>
    </row>
    <row r="1155" spans="1:1" x14ac:dyDescent="0.2">
      <c r="A1155" t="s">
        <v>1218</v>
      </c>
    </row>
    <row r="1156" spans="1:1" x14ac:dyDescent="0.2">
      <c r="A1156" t="s">
        <v>1219</v>
      </c>
    </row>
    <row r="1157" spans="1:1" x14ac:dyDescent="0.2">
      <c r="A1157" t="s">
        <v>1220</v>
      </c>
    </row>
    <row r="1158" spans="1:1" x14ac:dyDescent="0.2">
      <c r="A1158" t="s">
        <v>1221</v>
      </c>
    </row>
    <row r="1159" spans="1:1" x14ac:dyDescent="0.2">
      <c r="A1159" t="s">
        <v>1222</v>
      </c>
    </row>
    <row r="1160" spans="1:1" x14ac:dyDescent="0.2">
      <c r="A1160" t="s">
        <v>1223</v>
      </c>
    </row>
    <row r="1161" spans="1:1" x14ac:dyDescent="0.2">
      <c r="A1161" t="s">
        <v>1224</v>
      </c>
    </row>
    <row r="1162" spans="1:1" x14ac:dyDescent="0.2">
      <c r="A1162" t="s">
        <v>1225</v>
      </c>
    </row>
    <row r="1163" spans="1:1" x14ac:dyDescent="0.2">
      <c r="A1163" t="s">
        <v>1226</v>
      </c>
    </row>
    <row r="1164" spans="1:1" x14ac:dyDescent="0.2">
      <c r="A1164" t="s">
        <v>1227</v>
      </c>
    </row>
    <row r="1165" spans="1:1" x14ac:dyDescent="0.2">
      <c r="A1165" t="s">
        <v>1228</v>
      </c>
    </row>
    <row r="1166" spans="1:1" x14ac:dyDescent="0.2">
      <c r="A1166" t="s">
        <v>1229</v>
      </c>
    </row>
    <row r="1167" spans="1:1" x14ac:dyDescent="0.2">
      <c r="A1167" t="s">
        <v>1230</v>
      </c>
    </row>
    <row r="1168" spans="1:1" x14ac:dyDescent="0.2">
      <c r="A1168" t="s">
        <v>1231</v>
      </c>
    </row>
    <row r="1169" spans="1:1" x14ac:dyDescent="0.2">
      <c r="A1169" t="s">
        <v>1232</v>
      </c>
    </row>
    <row r="1170" spans="1:1" x14ac:dyDescent="0.2">
      <c r="A1170" t="s">
        <v>1233</v>
      </c>
    </row>
    <row r="1171" spans="1:1" x14ac:dyDescent="0.2">
      <c r="A1171" t="s">
        <v>1234</v>
      </c>
    </row>
    <row r="1172" spans="1:1" x14ac:dyDescent="0.2">
      <c r="A1172" t="s">
        <v>1235</v>
      </c>
    </row>
    <row r="1173" spans="1:1" x14ac:dyDescent="0.2">
      <c r="A1173" t="s">
        <v>1236</v>
      </c>
    </row>
    <row r="1174" spans="1:1" x14ac:dyDescent="0.2">
      <c r="A1174" t="s">
        <v>1237</v>
      </c>
    </row>
    <row r="1175" spans="1:1" x14ac:dyDescent="0.2">
      <c r="A1175" t="s">
        <v>1238</v>
      </c>
    </row>
    <row r="1176" spans="1:1" x14ac:dyDescent="0.2">
      <c r="A1176" t="s">
        <v>1239</v>
      </c>
    </row>
    <row r="1177" spans="1:1" x14ac:dyDescent="0.2">
      <c r="A1177" t="s">
        <v>1240</v>
      </c>
    </row>
    <row r="1178" spans="1:1" x14ac:dyDescent="0.2">
      <c r="A1178" t="s">
        <v>1241</v>
      </c>
    </row>
    <row r="1179" spans="1:1" x14ac:dyDescent="0.2">
      <c r="A1179" t="s">
        <v>1242</v>
      </c>
    </row>
    <row r="1180" spans="1:1" x14ac:dyDescent="0.2">
      <c r="A1180" t="s">
        <v>1243</v>
      </c>
    </row>
    <row r="1181" spans="1:1" x14ac:dyDescent="0.2">
      <c r="A1181" t="s">
        <v>1244</v>
      </c>
    </row>
    <row r="1182" spans="1:1" x14ac:dyDescent="0.2">
      <c r="A1182" t="s">
        <v>1245</v>
      </c>
    </row>
    <row r="1183" spans="1:1" x14ac:dyDescent="0.2">
      <c r="A1183" t="s">
        <v>1246</v>
      </c>
    </row>
    <row r="1184" spans="1:1" x14ac:dyDescent="0.2">
      <c r="A1184" t="s">
        <v>1247</v>
      </c>
    </row>
    <row r="1185" spans="1:1" x14ac:dyDescent="0.2">
      <c r="A1185" t="s">
        <v>1248</v>
      </c>
    </row>
    <row r="1186" spans="1:1" x14ac:dyDescent="0.2">
      <c r="A1186" t="s">
        <v>1249</v>
      </c>
    </row>
    <row r="1187" spans="1:1" x14ac:dyDescent="0.2">
      <c r="A1187" t="s">
        <v>1250</v>
      </c>
    </row>
    <row r="1188" spans="1:1" x14ac:dyDescent="0.2">
      <c r="A1188" t="s">
        <v>1251</v>
      </c>
    </row>
    <row r="1189" spans="1:1" x14ac:dyDescent="0.2">
      <c r="A1189" t="s">
        <v>1252</v>
      </c>
    </row>
    <row r="1190" spans="1:1" x14ac:dyDescent="0.2">
      <c r="A1190" t="s">
        <v>1253</v>
      </c>
    </row>
    <row r="1191" spans="1:1" x14ac:dyDescent="0.2">
      <c r="A1191" t="s">
        <v>1254</v>
      </c>
    </row>
    <row r="1192" spans="1:1" x14ac:dyDescent="0.2">
      <c r="A1192" t="s">
        <v>1255</v>
      </c>
    </row>
    <row r="1193" spans="1:1" x14ac:dyDescent="0.2">
      <c r="A1193" t="s">
        <v>1256</v>
      </c>
    </row>
    <row r="1194" spans="1:1" x14ac:dyDescent="0.2">
      <c r="A1194" t="s">
        <v>1257</v>
      </c>
    </row>
    <row r="1195" spans="1:1" x14ac:dyDescent="0.2">
      <c r="A1195" t="s">
        <v>1258</v>
      </c>
    </row>
    <row r="1196" spans="1:1" x14ac:dyDescent="0.2">
      <c r="A1196" t="s">
        <v>1259</v>
      </c>
    </row>
    <row r="1197" spans="1:1" x14ac:dyDescent="0.2">
      <c r="A1197" t="s">
        <v>1260</v>
      </c>
    </row>
    <row r="1198" spans="1:1" x14ac:dyDescent="0.2">
      <c r="A1198" t="s">
        <v>1261</v>
      </c>
    </row>
    <row r="1199" spans="1:1" x14ac:dyDescent="0.2">
      <c r="A1199" t="s">
        <v>1262</v>
      </c>
    </row>
    <row r="1200" spans="1:1" x14ac:dyDescent="0.2">
      <c r="A1200" t="s">
        <v>1263</v>
      </c>
    </row>
    <row r="1201" spans="1:1" x14ac:dyDescent="0.2">
      <c r="A1201" t="s">
        <v>1264</v>
      </c>
    </row>
    <row r="1202" spans="1:1" x14ac:dyDescent="0.2">
      <c r="A1202" t="s">
        <v>1265</v>
      </c>
    </row>
    <row r="1203" spans="1:1" x14ac:dyDescent="0.2">
      <c r="A1203" t="s">
        <v>1266</v>
      </c>
    </row>
    <row r="1204" spans="1:1" x14ac:dyDescent="0.2">
      <c r="A1204" t="s">
        <v>1267</v>
      </c>
    </row>
    <row r="1205" spans="1:1" x14ac:dyDescent="0.2">
      <c r="A1205" t="s">
        <v>1268</v>
      </c>
    </row>
    <row r="1206" spans="1:1" x14ac:dyDescent="0.2">
      <c r="A1206" t="s">
        <v>1269</v>
      </c>
    </row>
    <row r="1207" spans="1:1" x14ac:dyDescent="0.2">
      <c r="A1207" t="s">
        <v>1270</v>
      </c>
    </row>
    <row r="1208" spans="1:1" x14ac:dyDescent="0.2">
      <c r="A1208" t="s">
        <v>1271</v>
      </c>
    </row>
    <row r="1209" spans="1:1" x14ac:dyDescent="0.2">
      <c r="A1209" t="s">
        <v>1272</v>
      </c>
    </row>
    <row r="1210" spans="1:1" x14ac:dyDescent="0.2">
      <c r="A1210" t="s">
        <v>1273</v>
      </c>
    </row>
    <row r="1211" spans="1:1" x14ac:dyDescent="0.2">
      <c r="A1211" t="s">
        <v>1274</v>
      </c>
    </row>
    <row r="1212" spans="1:1" x14ac:dyDescent="0.2">
      <c r="A1212" t="s">
        <v>1275</v>
      </c>
    </row>
    <row r="1213" spans="1:1" x14ac:dyDescent="0.2">
      <c r="A1213" t="s">
        <v>1276</v>
      </c>
    </row>
    <row r="1214" spans="1:1" x14ac:dyDescent="0.2">
      <c r="A1214" t="s">
        <v>1277</v>
      </c>
    </row>
    <row r="1215" spans="1:1" x14ac:dyDescent="0.2">
      <c r="A1215" t="s">
        <v>1278</v>
      </c>
    </row>
    <row r="1216" spans="1:1" x14ac:dyDescent="0.2">
      <c r="A1216" t="s">
        <v>1279</v>
      </c>
    </row>
    <row r="1217" spans="1:1" x14ac:dyDescent="0.2">
      <c r="A1217" t="s">
        <v>1280</v>
      </c>
    </row>
    <row r="1218" spans="1:1" x14ac:dyDescent="0.2">
      <c r="A1218" t="s">
        <v>1281</v>
      </c>
    </row>
    <row r="1219" spans="1:1" x14ac:dyDescent="0.2">
      <c r="A1219" t="s">
        <v>1282</v>
      </c>
    </row>
    <row r="1220" spans="1:1" x14ac:dyDescent="0.2">
      <c r="A1220" t="s">
        <v>1283</v>
      </c>
    </row>
    <row r="1221" spans="1:1" x14ac:dyDescent="0.2">
      <c r="A1221" t="s">
        <v>1284</v>
      </c>
    </row>
    <row r="1222" spans="1:1" x14ac:dyDescent="0.2">
      <c r="A1222" t="s">
        <v>1285</v>
      </c>
    </row>
    <row r="1223" spans="1:1" x14ac:dyDescent="0.2">
      <c r="A1223" t="s">
        <v>1286</v>
      </c>
    </row>
    <row r="1224" spans="1:1" x14ac:dyDescent="0.2">
      <c r="A1224" t="s">
        <v>2788</v>
      </c>
    </row>
    <row r="1225" spans="1:1" x14ac:dyDescent="0.2">
      <c r="A1225" t="s">
        <v>1053</v>
      </c>
    </row>
    <row r="1226" spans="1:1" x14ac:dyDescent="0.2">
      <c r="A1226" t="s">
        <v>2789</v>
      </c>
    </row>
    <row r="1227" spans="1:1" x14ac:dyDescent="0.2">
      <c r="A1227" t="s">
        <v>2768</v>
      </c>
    </row>
    <row r="1228" spans="1:1" x14ac:dyDescent="0.2">
      <c r="A1228" t="s">
        <v>2769</v>
      </c>
    </row>
    <row r="1229" spans="1:1" x14ac:dyDescent="0.2">
      <c r="A1229" t="s">
        <v>1054</v>
      </c>
    </row>
    <row r="1230" spans="1:1" x14ac:dyDescent="0.2">
      <c r="A1230" t="s">
        <v>1055</v>
      </c>
    </row>
    <row r="1231" spans="1:1" x14ac:dyDescent="0.2">
      <c r="A1231" t="s">
        <v>2770</v>
      </c>
    </row>
    <row r="1232" spans="1:1" x14ac:dyDescent="0.2">
      <c r="A1232" t="s">
        <v>1056</v>
      </c>
    </row>
    <row r="1233" spans="1:1" x14ac:dyDescent="0.2">
      <c r="A1233" t="s">
        <v>1057</v>
      </c>
    </row>
    <row r="1234" spans="1:1" x14ac:dyDescent="0.2">
      <c r="A1234" t="s">
        <v>1058</v>
      </c>
    </row>
    <row r="1235" spans="1:1" x14ac:dyDescent="0.2">
      <c r="A1235" t="s">
        <v>1059</v>
      </c>
    </row>
    <row r="1236" spans="1:1" x14ac:dyDescent="0.2">
      <c r="A1236" t="s">
        <v>1060</v>
      </c>
    </row>
    <row r="1237" spans="1:1" x14ac:dyDescent="0.2">
      <c r="A1237" t="s">
        <v>1061</v>
      </c>
    </row>
    <row r="1238" spans="1:1" x14ac:dyDescent="0.2">
      <c r="A1238" t="s">
        <v>1062</v>
      </c>
    </row>
    <row r="1239" spans="1:1" x14ac:dyDescent="0.2">
      <c r="A1239" t="s">
        <v>1063</v>
      </c>
    </row>
    <row r="1240" spans="1:1" x14ac:dyDescent="0.2">
      <c r="A1240" t="s">
        <v>1064</v>
      </c>
    </row>
    <row r="1241" spans="1:1" x14ac:dyDescent="0.2">
      <c r="A1241" t="s">
        <v>1065</v>
      </c>
    </row>
    <row r="1242" spans="1:1" x14ac:dyDescent="0.2">
      <c r="A1242" t="s">
        <v>1066</v>
      </c>
    </row>
    <row r="1243" spans="1:1" x14ac:dyDescent="0.2">
      <c r="A1243" t="s">
        <v>1067</v>
      </c>
    </row>
    <row r="1244" spans="1:1" x14ac:dyDescent="0.2">
      <c r="A1244" t="s">
        <v>1068</v>
      </c>
    </row>
    <row r="1245" spans="1:1" x14ac:dyDescent="0.2">
      <c r="A1245" t="s">
        <v>1069</v>
      </c>
    </row>
    <row r="1246" spans="1:1" x14ac:dyDescent="0.2">
      <c r="A1246" t="s">
        <v>1070</v>
      </c>
    </row>
    <row r="1247" spans="1:1" x14ac:dyDescent="0.2">
      <c r="A1247" t="s">
        <v>1071</v>
      </c>
    </row>
    <row r="1248" spans="1:1" x14ac:dyDescent="0.2">
      <c r="A1248" t="s">
        <v>1072</v>
      </c>
    </row>
    <row r="1249" spans="1:1" x14ac:dyDescent="0.2">
      <c r="A1249" t="s">
        <v>1073</v>
      </c>
    </row>
    <row r="1250" spans="1:1" x14ac:dyDescent="0.2">
      <c r="A1250" t="s">
        <v>1074</v>
      </c>
    </row>
    <row r="1251" spans="1:1" x14ac:dyDescent="0.2">
      <c r="A1251" t="s">
        <v>1075</v>
      </c>
    </row>
    <row r="1252" spans="1:1" x14ac:dyDescent="0.2">
      <c r="A1252" t="s">
        <v>1076</v>
      </c>
    </row>
    <row r="1253" spans="1:1" x14ac:dyDescent="0.2">
      <c r="A1253" t="s">
        <v>1077</v>
      </c>
    </row>
    <row r="1254" spans="1:1" x14ac:dyDescent="0.2">
      <c r="A1254" t="s">
        <v>1078</v>
      </c>
    </row>
    <row r="1255" spans="1:1" x14ac:dyDescent="0.2">
      <c r="A1255" t="s">
        <v>1079</v>
      </c>
    </row>
    <row r="1256" spans="1:1" x14ac:dyDescent="0.2">
      <c r="A1256" t="s">
        <v>1080</v>
      </c>
    </row>
    <row r="1257" spans="1:1" x14ac:dyDescent="0.2">
      <c r="A1257" t="s">
        <v>1081</v>
      </c>
    </row>
    <row r="1258" spans="1:1" x14ac:dyDescent="0.2">
      <c r="A1258" t="s">
        <v>1082</v>
      </c>
    </row>
    <row r="1259" spans="1:1" x14ac:dyDescent="0.2">
      <c r="A1259" t="s">
        <v>1083</v>
      </c>
    </row>
    <row r="1260" spans="1:1" x14ac:dyDescent="0.2">
      <c r="A1260" t="s">
        <v>2771</v>
      </c>
    </row>
    <row r="1261" spans="1:1" x14ac:dyDescent="0.2">
      <c r="A1261" t="s">
        <v>2772</v>
      </c>
    </row>
    <row r="1262" spans="1:1" x14ac:dyDescent="0.2">
      <c r="A1262" t="s">
        <v>2773</v>
      </c>
    </row>
    <row r="1263" spans="1:1" x14ac:dyDescent="0.2">
      <c r="A1263" t="s">
        <v>2774</v>
      </c>
    </row>
    <row r="1264" spans="1:1" x14ac:dyDescent="0.2">
      <c r="A1264" t="s">
        <v>2775</v>
      </c>
    </row>
    <row r="1265" spans="1:1" x14ac:dyDescent="0.2">
      <c r="A1265" t="s">
        <v>2776</v>
      </c>
    </row>
    <row r="1266" spans="1:1" x14ac:dyDescent="0.2">
      <c r="A1266" t="s">
        <v>1084</v>
      </c>
    </row>
    <row r="1267" spans="1:1" x14ac:dyDescent="0.2">
      <c r="A1267" t="s">
        <v>1085</v>
      </c>
    </row>
    <row r="1268" spans="1:1" x14ac:dyDescent="0.2">
      <c r="A1268" t="s">
        <v>1086</v>
      </c>
    </row>
    <row r="1269" spans="1:1" x14ac:dyDescent="0.2">
      <c r="A1269" t="s">
        <v>1087</v>
      </c>
    </row>
    <row r="1270" spans="1:1" x14ac:dyDescent="0.2">
      <c r="A1270" t="s">
        <v>1088</v>
      </c>
    </row>
    <row r="1271" spans="1:1" x14ac:dyDescent="0.2">
      <c r="A1271" t="s">
        <v>1089</v>
      </c>
    </row>
    <row r="1272" spans="1:1" x14ac:dyDescent="0.2">
      <c r="A1272" t="s">
        <v>1090</v>
      </c>
    </row>
    <row r="1273" spans="1:1" x14ac:dyDescent="0.2">
      <c r="A1273" t="s">
        <v>1091</v>
      </c>
    </row>
    <row r="1274" spans="1:1" x14ac:dyDescent="0.2">
      <c r="A1274" t="s">
        <v>1092</v>
      </c>
    </row>
    <row r="1275" spans="1:1" x14ac:dyDescent="0.2">
      <c r="A1275" t="s">
        <v>1093</v>
      </c>
    </row>
    <row r="1276" spans="1:1" x14ac:dyDescent="0.2">
      <c r="A1276" t="s">
        <v>1094</v>
      </c>
    </row>
    <row r="1277" spans="1:1" x14ac:dyDescent="0.2">
      <c r="A1277" t="s">
        <v>1095</v>
      </c>
    </row>
    <row r="1278" spans="1:1" x14ac:dyDescent="0.2">
      <c r="A1278" t="s">
        <v>1096</v>
      </c>
    </row>
    <row r="1279" spans="1:1" x14ac:dyDescent="0.2">
      <c r="A1279" t="s">
        <v>1097</v>
      </c>
    </row>
    <row r="1280" spans="1:1" x14ac:dyDescent="0.2">
      <c r="A1280" t="s">
        <v>1098</v>
      </c>
    </row>
    <row r="1281" spans="1:1" x14ac:dyDescent="0.2">
      <c r="A1281" t="s">
        <v>1099</v>
      </c>
    </row>
    <row r="1282" spans="1:1" x14ac:dyDescent="0.2">
      <c r="A1282" t="s">
        <v>1100</v>
      </c>
    </row>
    <row r="1283" spans="1:1" x14ac:dyDescent="0.2">
      <c r="A1283" t="s">
        <v>1101</v>
      </c>
    </row>
    <row r="1284" spans="1:1" x14ac:dyDescent="0.2">
      <c r="A1284" t="s">
        <v>1102</v>
      </c>
    </row>
    <row r="1285" spans="1:1" x14ac:dyDescent="0.2">
      <c r="A1285" t="s">
        <v>1103</v>
      </c>
    </row>
    <row r="1286" spans="1:1" x14ac:dyDescent="0.2">
      <c r="A1286" t="s">
        <v>1104</v>
      </c>
    </row>
    <row r="1287" spans="1:1" x14ac:dyDescent="0.2">
      <c r="A1287" t="s">
        <v>1105</v>
      </c>
    </row>
    <row r="1288" spans="1:1" x14ac:dyDescent="0.2">
      <c r="A1288" t="s">
        <v>1106</v>
      </c>
    </row>
    <row r="1289" spans="1:1" x14ac:dyDescent="0.2">
      <c r="A1289" t="s">
        <v>1107</v>
      </c>
    </row>
    <row r="1290" spans="1:1" x14ac:dyDescent="0.2">
      <c r="A1290" t="s">
        <v>1108</v>
      </c>
    </row>
    <row r="1291" spans="1:1" x14ac:dyDescent="0.2">
      <c r="A1291" t="s">
        <v>1109</v>
      </c>
    </row>
    <row r="1292" spans="1:1" x14ac:dyDescent="0.2">
      <c r="A1292" t="s">
        <v>1110</v>
      </c>
    </row>
    <row r="1293" spans="1:1" x14ac:dyDescent="0.2">
      <c r="A1293" t="s">
        <v>1111</v>
      </c>
    </row>
    <row r="1294" spans="1:1" x14ac:dyDescent="0.2">
      <c r="A1294" t="s">
        <v>1112</v>
      </c>
    </row>
    <row r="1295" spans="1:1" x14ac:dyDescent="0.2">
      <c r="A1295" t="s">
        <v>1113</v>
      </c>
    </row>
    <row r="1296" spans="1:1" x14ac:dyDescent="0.2">
      <c r="A1296" t="s">
        <v>1114</v>
      </c>
    </row>
    <row r="1297" spans="1:1" x14ac:dyDescent="0.2">
      <c r="A1297" t="s">
        <v>1115</v>
      </c>
    </row>
    <row r="1298" spans="1:1" x14ac:dyDescent="0.2">
      <c r="A1298" t="s">
        <v>1116</v>
      </c>
    </row>
    <row r="1299" spans="1:1" x14ac:dyDescent="0.2">
      <c r="A1299" t="s">
        <v>1117</v>
      </c>
    </row>
    <row r="1300" spans="1:1" x14ac:dyDescent="0.2">
      <c r="A1300" t="s">
        <v>1118</v>
      </c>
    </row>
    <row r="1301" spans="1:1" x14ac:dyDescent="0.2">
      <c r="A1301" t="s">
        <v>1119</v>
      </c>
    </row>
    <row r="1302" spans="1:1" x14ac:dyDescent="0.2">
      <c r="A1302" t="s">
        <v>1120</v>
      </c>
    </row>
    <row r="1303" spans="1:1" x14ac:dyDescent="0.2">
      <c r="A1303" t="s">
        <v>1288</v>
      </c>
    </row>
    <row r="1304" spans="1:1" x14ac:dyDescent="0.2">
      <c r="A1304" t="s">
        <v>2790</v>
      </c>
    </row>
    <row r="1305" spans="1:1" x14ac:dyDescent="0.2">
      <c r="A1305" t="s">
        <v>2791</v>
      </c>
    </row>
    <row r="1306" spans="1:1" x14ac:dyDescent="0.2">
      <c r="A1306" t="s">
        <v>2779</v>
      </c>
    </row>
    <row r="1307" spans="1:1" x14ac:dyDescent="0.2">
      <c r="A1307" t="s">
        <v>2780</v>
      </c>
    </row>
    <row r="1308" spans="1:1" x14ac:dyDescent="0.2">
      <c r="A1308" t="s">
        <v>1289</v>
      </c>
    </row>
    <row r="1309" spans="1:1" x14ac:dyDescent="0.2">
      <c r="A1309" t="s">
        <v>2781</v>
      </c>
    </row>
    <row r="1310" spans="1:1" x14ac:dyDescent="0.2">
      <c r="A1310" t="s">
        <v>1121</v>
      </c>
    </row>
    <row r="1311" spans="1:1" x14ac:dyDescent="0.2">
      <c r="A1311" t="s">
        <v>1122</v>
      </c>
    </row>
    <row r="1312" spans="1:1" x14ac:dyDescent="0.2">
      <c r="A1312" t="s">
        <v>1123</v>
      </c>
    </row>
    <row r="1313" spans="1:1" x14ac:dyDescent="0.2">
      <c r="A1313" t="s">
        <v>1124</v>
      </c>
    </row>
    <row r="1314" spans="1:1" x14ac:dyDescent="0.2">
      <c r="A1314" t="s">
        <v>1125</v>
      </c>
    </row>
    <row r="1315" spans="1:1" x14ac:dyDescent="0.2">
      <c r="A1315" t="s">
        <v>1126</v>
      </c>
    </row>
    <row r="1316" spans="1:1" x14ac:dyDescent="0.2">
      <c r="A1316" t="s">
        <v>1127</v>
      </c>
    </row>
    <row r="1317" spans="1:1" x14ac:dyDescent="0.2">
      <c r="A1317" t="s">
        <v>1128</v>
      </c>
    </row>
    <row r="1318" spans="1:1" x14ac:dyDescent="0.2">
      <c r="A1318" t="s">
        <v>1129</v>
      </c>
    </row>
    <row r="1319" spans="1:1" x14ac:dyDescent="0.2">
      <c r="A1319" t="s">
        <v>1130</v>
      </c>
    </row>
    <row r="1320" spans="1:1" x14ac:dyDescent="0.2">
      <c r="A1320" t="s">
        <v>1131</v>
      </c>
    </row>
    <row r="1321" spans="1:1" x14ac:dyDescent="0.2">
      <c r="A1321" t="s">
        <v>1132</v>
      </c>
    </row>
    <row r="1322" spans="1:1" x14ac:dyDescent="0.2">
      <c r="A1322" t="s">
        <v>1133</v>
      </c>
    </row>
    <row r="1323" spans="1:1" x14ac:dyDescent="0.2">
      <c r="A1323" t="s">
        <v>1134</v>
      </c>
    </row>
    <row r="1324" spans="1:1" x14ac:dyDescent="0.2">
      <c r="A1324" t="s">
        <v>1135</v>
      </c>
    </row>
    <row r="1325" spans="1:1" x14ac:dyDescent="0.2">
      <c r="A1325" t="s">
        <v>1136</v>
      </c>
    </row>
    <row r="1326" spans="1:1" x14ac:dyDescent="0.2">
      <c r="A1326" t="s">
        <v>1137</v>
      </c>
    </row>
    <row r="1327" spans="1:1" x14ac:dyDescent="0.2">
      <c r="A1327" t="s">
        <v>1138</v>
      </c>
    </row>
    <row r="1328" spans="1:1" x14ac:dyDescent="0.2">
      <c r="A1328" t="s">
        <v>1139</v>
      </c>
    </row>
    <row r="1329" spans="1:1" x14ac:dyDescent="0.2">
      <c r="A1329" t="s">
        <v>1140</v>
      </c>
    </row>
    <row r="1330" spans="1:1" x14ac:dyDescent="0.2">
      <c r="A1330" t="s">
        <v>1141</v>
      </c>
    </row>
    <row r="1331" spans="1:1" x14ac:dyDescent="0.2">
      <c r="A1331" t="s">
        <v>1142</v>
      </c>
    </row>
    <row r="1332" spans="1:1" x14ac:dyDescent="0.2">
      <c r="A1332" t="s">
        <v>1143</v>
      </c>
    </row>
    <row r="1333" spans="1:1" x14ac:dyDescent="0.2">
      <c r="A1333" t="s">
        <v>1144</v>
      </c>
    </row>
    <row r="1334" spans="1:1" x14ac:dyDescent="0.2">
      <c r="A1334" t="s">
        <v>1145</v>
      </c>
    </row>
    <row r="1335" spans="1:1" x14ac:dyDescent="0.2">
      <c r="A1335" t="s">
        <v>1146</v>
      </c>
    </row>
    <row r="1336" spans="1:1" x14ac:dyDescent="0.2">
      <c r="A1336" t="s">
        <v>1147</v>
      </c>
    </row>
    <row r="1337" spans="1:1" x14ac:dyDescent="0.2">
      <c r="A1337" t="s">
        <v>1148</v>
      </c>
    </row>
    <row r="1338" spans="1:1" x14ac:dyDescent="0.2">
      <c r="A1338" t="s">
        <v>1149</v>
      </c>
    </row>
    <row r="1339" spans="1:1" x14ac:dyDescent="0.2">
      <c r="A1339" t="s">
        <v>1150</v>
      </c>
    </row>
    <row r="1340" spans="1:1" x14ac:dyDescent="0.2">
      <c r="A1340" t="s">
        <v>1151</v>
      </c>
    </row>
    <row r="1341" spans="1:1" x14ac:dyDescent="0.2">
      <c r="A1341" t="s">
        <v>1152</v>
      </c>
    </row>
    <row r="1342" spans="1:1" x14ac:dyDescent="0.2">
      <c r="A1342" t="s">
        <v>1153</v>
      </c>
    </row>
    <row r="1343" spans="1:1" x14ac:dyDescent="0.2">
      <c r="A1343" t="s">
        <v>1154</v>
      </c>
    </row>
    <row r="1344" spans="1:1" x14ac:dyDescent="0.2">
      <c r="A1344" t="s">
        <v>1155</v>
      </c>
    </row>
    <row r="1345" spans="1:1" x14ac:dyDescent="0.2">
      <c r="A1345" t="s">
        <v>1156</v>
      </c>
    </row>
    <row r="1346" spans="1:1" x14ac:dyDescent="0.2">
      <c r="A1346" t="s">
        <v>1157</v>
      </c>
    </row>
    <row r="1347" spans="1:1" x14ac:dyDescent="0.2">
      <c r="A1347" t="s">
        <v>1158</v>
      </c>
    </row>
    <row r="1348" spans="1:1" x14ac:dyDescent="0.2">
      <c r="A1348" t="s">
        <v>1159</v>
      </c>
    </row>
    <row r="1349" spans="1:1" x14ac:dyDescent="0.2">
      <c r="A1349" t="s">
        <v>1160</v>
      </c>
    </row>
    <row r="1350" spans="1:1" x14ac:dyDescent="0.2">
      <c r="A1350" t="s">
        <v>1161</v>
      </c>
    </row>
    <row r="1351" spans="1:1" x14ac:dyDescent="0.2">
      <c r="A1351" t="s">
        <v>1162</v>
      </c>
    </row>
    <row r="1352" spans="1:1" x14ac:dyDescent="0.2">
      <c r="A1352" t="s">
        <v>1163</v>
      </c>
    </row>
    <row r="1353" spans="1:1" x14ac:dyDescent="0.2">
      <c r="A1353" t="s">
        <v>1164</v>
      </c>
    </row>
    <row r="1354" spans="1:1" x14ac:dyDescent="0.2">
      <c r="A1354" t="s">
        <v>1165</v>
      </c>
    </row>
    <row r="1355" spans="1:1" x14ac:dyDescent="0.2">
      <c r="A1355" t="s">
        <v>1166</v>
      </c>
    </row>
    <row r="1356" spans="1:1" x14ac:dyDescent="0.2">
      <c r="A1356" t="s">
        <v>1167</v>
      </c>
    </row>
    <row r="1357" spans="1:1" x14ac:dyDescent="0.2">
      <c r="A1357" t="s">
        <v>1168</v>
      </c>
    </row>
    <row r="1358" spans="1:1" x14ac:dyDescent="0.2">
      <c r="A1358" t="s">
        <v>1169</v>
      </c>
    </row>
    <row r="1359" spans="1:1" x14ac:dyDescent="0.2">
      <c r="A1359" t="s">
        <v>1170</v>
      </c>
    </row>
    <row r="1360" spans="1:1" x14ac:dyDescent="0.2">
      <c r="A1360" t="s">
        <v>1171</v>
      </c>
    </row>
    <row r="1361" spans="1:1" x14ac:dyDescent="0.2">
      <c r="A1361" t="s">
        <v>1172</v>
      </c>
    </row>
    <row r="1362" spans="1:1" x14ac:dyDescent="0.2">
      <c r="A1362" t="s">
        <v>1173</v>
      </c>
    </row>
    <row r="1363" spans="1:1" x14ac:dyDescent="0.2">
      <c r="A1363" t="s">
        <v>1174</v>
      </c>
    </row>
    <row r="1364" spans="1:1" x14ac:dyDescent="0.2">
      <c r="A1364" t="s">
        <v>1175</v>
      </c>
    </row>
    <row r="1365" spans="1:1" x14ac:dyDescent="0.2">
      <c r="A1365" t="s">
        <v>1176</v>
      </c>
    </row>
    <row r="1366" spans="1:1" x14ac:dyDescent="0.2">
      <c r="A1366" t="s">
        <v>1177</v>
      </c>
    </row>
    <row r="1367" spans="1:1" x14ac:dyDescent="0.2">
      <c r="A1367" t="s">
        <v>1178</v>
      </c>
    </row>
    <row r="1368" spans="1:1" x14ac:dyDescent="0.2">
      <c r="A1368" t="s">
        <v>1179</v>
      </c>
    </row>
    <row r="1369" spans="1:1" x14ac:dyDescent="0.2">
      <c r="A1369" t="s">
        <v>1180</v>
      </c>
    </row>
    <row r="1370" spans="1:1" x14ac:dyDescent="0.2">
      <c r="A1370" t="s">
        <v>1181</v>
      </c>
    </row>
    <row r="1371" spans="1:1" x14ac:dyDescent="0.2">
      <c r="A1371" t="s">
        <v>1182</v>
      </c>
    </row>
    <row r="1372" spans="1:1" x14ac:dyDescent="0.2">
      <c r="A1372" t="s">
        <v>1183</v>
      </c>
    </row>
    <row r="1373" spans="1:1" x14ac:dyDescent="0.2">
      <c r="A1373" t="s">
        <v>1184</v>
      </c>
    </row>
    <row r="1374" spans="1:1" x14ac:dyDescent="0.2">
      <c r="A1374" t="s">
        <v>1185</v>
      </c>
    </row>
    <row r="1375" spans="1:1" x14ac:dyDescent="0.2">
      <c r="A1375" t="s">
        <v>1186</v>
      </c>
    </row>
    <row r="1376" spans="1:1" x14ac:dyDescent="0.2">
      <c r="A1376" t="s">
        <v>1187</v>
      </c>
    </row>
    <row r="1377" spans="1:1" x14ac:dyDescent="0.2">
      <c r="A1377" t="s">
        <v>1188</v>
      </c>
    </row>
    <row r="1378" spans="1:1" x14ac:dyDescent="0.2">
      <c r="A1378" t="s">
        <v>1189</v>
      </c>
    </row>
    <row r="1379" spans="1:1" x14ac:dyDescent="0.2">
      <c r="A1379" t="s">
        <v>1190</v>
      </c>
    </row>
    <row r="1380" spans="1:1" x14ac:dyDescent="0.2">
      <c r="A1380" t="s">
        <v>1191</v>
      </c>
    </row>
    <row r="1381" spans="1:1" x14ac:dyDescent="0.2">
      <c r="A1381" t="s">
        <v>1192</v>
      </c>
    </row>
    <row r="1382" spans="1:1" x14ac:dyDescent="0.2">
      <c r="A1382" t="s">
        <v>1193</v>
      </c>
    </row>
    <row r="1383" spans="1:1" x14ac:dyDescent="0.2">
      <c r="A1383" t="s">
        <v>1194</v>
      </c>
    </row>
    <row r="1384" spans="1:1" x14ac:dyDescent="0.2">
      <c r="A1384" t="s">
        <v>1195</v>
      </c>
    </row>
    <row r="1385" spans="1:1" x14ac:dyDescent="0.2">
      <c r="A1385" t="s">
        <v>1196</v>
      </c>
    </row>
    <row r="1386" spans="1:1" x14ac:dyDescent="0.2">
      <c r="A1386" t="s">
        <v>1197</v>
      </c>
    </row>
    <row r="1387" spans="1:1" x14ac:dyDescent="0.2">
      <c r="A1387" t="s">
        <v>1198</v>
      </c>
    </row>
    <row r="1388" spans="1:1" x14ac:dyDescent="0.2">
      <c r="A1388" t="s">
        <v>1199</v>
      </c>
    </row>
    <row r="1389" spans="1:1" x14ac:dyDescent="0.2">
      <c r="A1389" t="s">
        <v>1200</v>
      </c>
    </row>
    <row r="1390" spans="1:1" x14ac:dyDescent="0.2">
      <c r="A1390" t="s">
        <v>1201</v>
      </c>
    </row>
    <row r="1391" spans="1:1" x14ac:dyDescent="0.2">
      <c r="A1391" t="s">
        <v>1202</v>
      </c>
    </row>
    <row r="1392" spans="1:1" x14ac:dyDescent="0.2">
      <c r="A1392" t="s">
        <v>1203</v>
      </c>
    </row>
    <row r="1393" spans="1:1" x14ac:dyDescent="0.2">
      <c r="A1393" t="s">
        <v>1204</v>
      </c>
    </row>
    <row r="1394" spans="1:1" x14ac:dyDescent="0.2">
      <c r="A1394" t="s">
        <v>1205</v>
      </c>
    </row>
    <row r="1395" spans="1:1" x14ac:dyDescent="0.2">
      <c r="A1395" t="s">
        <v>1206</v>
      </c>
    </row>
    <row r="1396" spans="1:1" x14ac:dyDescent="0.2">
      <c r="A1396" t="s">
        <v>1207</v>
      </c>
    </row>
    <row r="1397" spans="1:1" x14ac:dyDescent="0.2">
      <c r="A1397" t="s">
        <v>1208</v>
      </c>
    </row>
    <row r="1398" spans="1:1" x14ac:dyDescent="0.2">
      <c r="A1398" t="s">
        <v>1209</v>
      </c>
    </row>
    <row r="1399" spans="1:1" x14ac:dyDescent="0.2">
      <c r="A1399" t="s">
        <v>1210</v>
      </c>
    </row>
    <row r="1400" spans="1:1" x14ac:dyDescent="0.2">
      <c r="A1400" t="s">
        <v>1211</v>
      </c>
    </row>
    <row r="1401" spans="1:1" x14ac:dyDescent="0.2">
      <c r="A1401" t="s">
        <v>1212</v>
      </c>
    </row>
    <row r="1402" spans="1:1" x14ac:dyDescent="0.2">
      <c r="A1402" t="s">
        <v>1213</v>
      </c>
    </row>
    <row r="1403" spans="1:1" x14ac:dyDescent="0.2">
      <c r="A1403" t="s">
        <v>1214</v>
      </c>
    </row>
    <row r="1404" spans="1:1" x14ac:dyDescent="0.2">
      <c r="A1404" t="s">
        <v>1215</v>
      </c>
    </row>
    <row r="1405" spans="1:1" x14ac:dyDescent="0.2">
      <c r="A1405" t="s">
        <v>1216</v>
      </c>
    </row>
    <row r="1406" spans="1:1" x14ac:dyDescent="0.2">
      <c r="A1406" t="s">
        <v>1217</v>
      </c>
    </row>
    <row r="1407" spans="1:1" x14ac:dyDescent="0.2">
      <c r="A1407" t="s">
        <v>1218</v>
      </c>
    </row>
    <row r="1408" spans="1:1" x14ac:dyDescent="0.2">
      <c r="A1408" t="s">
        <v>1219</v>
      </c>
    </row>
    <row r="1409" spans="1:1" x14ac:dyDescent="0.2">
      <c r="A1409" t="s">
        <v>1220</v>
      </c>
    </row>
    <row r="1410" spans="1:1" x14ac:dyDescent="0.2">
      <c r="A1410" t="s">
        <v>1221</v>
      </c>
    </row>
    <row r="1411" spans="1:1" x14ac:dyDescent="0.2">
      <c r="A1411" t="s">
        <v>1222</v>
      </c>
    </row>
    <row r="1412" spans="1:1" x14ac:dyDescent="0.2">
      <c r="A1412" t="s">
        <v>1223</v>
      </c>
    </row>
    <row r="1413" spans="1:1" x14ac:dyDescent="0.2">
      <c r="A1413" t="s">
        <v>1224</v>
      </c>
    </row>
    <row r="1414" spans="1:1" x14ac:dyDescent="0.2">
      <c r="A1414" t="s">
        <v>1225</v>
      </c>
    </row>
    <row r="1415" spans="1:1" x14ac:dyDescent="0.2">
      <c r="A1415" t="s">
        <v>1226</v>
      </c>
    </row>
    <row r="1416" spans="1:1" x14ac:dyDescent="0.2">
      <c r="A1416" t="s">
        <v>1227</v>
      </c>
    </row>
    <row r="1417" spans="1:1" x14ac:dyDescent="0.2">
      <c r="A1417" t="s">
        <v>1228</v>
      </c>
    </row>
    <row r="1418" spans="1:1" x14ac:dyDescent="0.2">
      <c r="A1418" t="s">
        <v>1229</v>
      </c>
    </row>
    <row r="1419" spans="1:1" x14ac:dyDescent="0.2">
      <c r="A1419" t="s">
        <v>1230</v>
      </c>
    </row>
    <row r="1420" spans="1:1" x14ac:dyDescent="0.2">
      <c r="A1420" t="s">
        <v>1231</v>
      </c>
    </row>
    <row r="1421" spans="1:1" x14ac:dyDescent="0.2">
      <c r="A1421" t="s">
        <v>1232</v>
      </c>
    </row>
    <row r="1422" spans="1:1" x14ac:dyDescent="0.2">
      <c r="A1422" t="s">
        <v>1233</v>
      </c>
    </row>
    <row r="1423" spans="1:1" x14ac:dyDescent="0.2">
      <c r="A1423" t="s">
        <v>1234</v>
      </c>
    </row>
    <row r="1424" spans="1:1" x14ac:dyDescent="0.2">
      <c r="A1424" t="s">
        <v>1235</v>
      </c>
    </row>
    <row r="1425" spans="1:1" x14ac:dyDescent="0.2">
      <c r="A1425" t="s">
        <v>1236</v>
      </c>
    </row>
    <row r="1426" spans="1:1" x14ac:dyDescent="0.2">
      <c r="A1426" t="s">
        <v>1237</v>
      </c>
    </row>
    <row r="1427" spans="1:1" x14ac:dyDescent="0.2">
      <c r="A1427" t="s">
        <v>1238</v>
      </c>
    </row>
    <row r="1428" spans="1:1" x14ac:dyDescent="0.2">
      <c r="A1428" t="s">
        <v>1239</v>
      </c>
    </row>
    <row r="1429" spans="1:1" x14ac:dyDescent="0.2">
      <c r="A1429" t="s">
        <v>1240</v>
      </c>
    </row>
    <row r="1430" spans="1:1" x14ac:dyDescent="0.2">
      <c r="A1430" t="s">
        <v>1241</v>
      </c>
    </row>
    <row r="1431" spans="1:1" x14ac:dyDescent="0.2">
      <c r="A1431" t="s">
        <v>1242</v>
      </c>
    </row>
    <row r="1432" spans="1:1" x14ac:dyDescent="0.2">
      <c r="A1432" t="s">
        <v>1243</v>
      </c>
    </row>
    <row r="1433" spans="1:1" x14ac:dyDescent="0.2">
      <c r="A1433" t="s">
        <v>1244</v>
      </c>
    </row>
    <row r="1434" spans="1:1" x14ac:dyDescent="0.2">
      <c r="A1434" t="s">
        <v>1245</v>
      </c>
    </row>
    <row r="1435" spans="1:1" x14ac:dyDescent="0.2">
      <c r="A1435" t="s">
        <v>1246</v>
      </c>
    </row>
    <row r="1436" spans="1:1" x14ac:dyDescent="0.2">
      <c r="A1436" t="s">
        <v>1247</v>
      </c>
    </row>
    <row r="1437" spans="1:1" x14ac:dyDescent="0.2">
      <c r="A1437" t="s">
        <v>1248</v>
      </c>
    </row>
    <row r="1438" spans="1:1" x14ac:dyDescent="0.2">
      <c r="A1438" t="s">
        <v>1249</v>
      </c>
    </row>
    <row r="1439" spans="1:1" x14ac:dyDescent="0.2">
      <c r="A1439" t="s">
        <v>1250</v>
      </c>
    </row>
    <row r="1440" spans="1:1" x14ac:dyDescent="0.2">
      <c r="A1440" t="s">
        <v>1251</v>
      </c>
    </row>
    <row r="1441" spans="1:1" x14ac:dyDescent="0.2">
      <c r="A1441" t="s">
        <v>1252</v>
      </c>
    </row>
    <row r="1442" spans="1:1" x14ac:dyDescent="0.2">
      <c r="A1442" t="s">
        <v>1253</v>
      </c>
    </row>
    <row r="1443" spans="1:1" x14ac:dyDescent="0.2">
      <c r="A1443" t="s">
        <v>1254</v>
      </c>
    </row>
    <row r="1444" spans="1:1" x14ac:dyDescent="0.2">
      <c r="A1444" t="s">
        <v>1255</v>
      </c>
    </row>
    <row r="1445" spans="1:1" x14ac:dyDescent="0.2">
      <c r="A1445" t="s">
        <v>1256</v>
      </c>
    </row>
    <row r="1446" spans="1:1" x14ac:dyDescent="0.2">
      <c r="A1446" t="s">
        <v>1257</v>
      </c>
    </row>
    <row r="1447" spans="1:1" x14ac:dyDescent="0.2">
      <c r="A1447" t="s">
        <v>1258</v>
      </c>
    </row>
    <row r="1448" spans="1:1" x14ac:dyDescent="0.2">
      <c r="A1448" t="s">
        <v>1259</v>
      </c>
    </row>
    <row r="1449" spans="1:1" x14ac:dyDescent="0.2">
      <c r="A1449" t="s">
        <v>1260</v>
      </c>
    </row>
    <row r="1450" spans="1:1" x14ac:dyDescent="0.2">
      <c r="A1450" t="s">
        <v>1261</v>
      </c>
    </row>
    <row r="1451" spans="1:1" x14ac:dyDescent="0.2">
      <c r="A1451" t="s">
        <v>1262</v>
      </c>
    </row>
    <row r="1452" spans="1:1" x14ac:dyDescent="0.2">
      <c r="A1452" t="s">
        <v>1263</v>
      </c>
    </row>
    <row r="1453" spans="1:1" x14ac:dyDescent="0.2">
      <c r="A1453" t="s">
        <v>1264</v>
      </c>
    </row>
    <row r="1454" spans="1:1" x14ac:dyDescent="0.2">
      <c r="A1454" t="s">
        <v>1265</v>
      </c>
    </row>
    <row r="1455" spans="1:1" x14ac:dyDescent="0.2">
      <c r="A1455" t="s">
        <v>1266</v>
      </c>
    </row>
    <row r="1456" spans="1:1" x14ac:dyDescent="0.2">
      <c r="A1456" t="s">
        <v>1267</v>
      </c>
    </row>
    <row r="1457" spans="1:1" x14ac:dyDescent="0.2">
      <c r="A1457" t="s">
        <v>1268</v>
      </c>
    </row>
    <row r="1458" spans="1:1" x14ac:dyDescent="0.2">
      <c r="A1458" t="s">
        <v>1269</v>
      </c>
    </row>
    <row r="1459" spans="1:1" x14ac:dyDescent="0.2">
      <c r="A1459" t="s">
        <v>1270</v>
      </c>
    </row>
    <row r="1460" spans="1:1" x14ac:dyDescent="0.2">
      <c r="A1460" t="s">
        <v>1271</v>
      </c>
    </row>
    <row r="1461" spans="1:1" x14ac:dyDescent="0.2">
      <c r="A1461" t="s">
        <v>1272</v>
      </c>
    </row>
    <row r="1462" spans="1:1" x14ac:dyDescent="0.2">
      <c r="A1462" t="s">
        <v>1273</v>
      </c>
    </row>
    <row r="1463" spans="1:1" x14ac:dyDescent="0.2">
      <c r="A1463" t="s">
        <v>1274</v>
      </c>
    </row>
    <row r="1464" spans="1:1" x14ac:dyDescent="0.2">
      <c r="A1464" t="s">
        <v>1275</v>
      </c>
    </row>
    <row r="1465" spans="1:1" x14ac:dyDescent="0.2">
      <c r="A1465" t="s">
        <v>1276</v>
      </c>
    </row>
    <row r="1466" spans="1:1" x14ac:dyDescent="0.2">
      <c r="A1466" t="s">
        <v>1277</v>
      </c>
    </row>
    <row r="1467" spans="1:1" x14ac:dyDescent="0.2">
      <c r="A1467" t="s">
        <v>1278</v>
      </c>
    </row>
    <row r="1468" spans="1:1" x14ac:dyDescent="0.2">
      <c r="A1468" t="s">
        <v>1279</v>
      </c>
    </row>
    <row r="1469" spans="1:1" x14ac:dyDescent="0.2">
      <c r="A1469" t="s">
        <v>1280</v>
      </c>
    </row>
    <row r="1470" spans="1:1" x14ac:dyDescent="0.2">
      <c r="A1470" t="s">
        <v>1281</v>
      </c>
    </row>
    <row r="1471" spans="1:1" x14ac:dyDescent="0.2">
      <c r="A1471" t="s">
        <v>1282</v>
      </c>
    </row>
    <row r="1472" spans="1:1" x14ac:dyDescent="0.2">
      <c r="A1472" t="s">
        <v>1283</v>
      </c>
    </row>
    <row r="1473" spans="1:1" x14ac:dyDescent="0.2">
      <c r="A1473" t="s">
        <v>1284</v>
      </c>
    </row>
    <row r="1474" spans="1:1" x14ac:dyDescent="0.2">
      <c r="A1474" t="s">
        <v>1285</v>
      </c>
    </row>
    <row r="1475" spans="1:1" x14ac:dyDescent="0.2">
      <c r="A1475" t="s">
        <v>1286</v>
      </c>
    </row>
    <row r="1476" spans="1:1" x14ac:dyDescent="0.2">
      <c r="A1476" t="s">
        <v>2792</v>
      </c>
    </row>
    <row r="1477" spans="1:1" x14ac:dyDescent="0.2">
      <c r="A1477" t="s">
        <v>1053</v>
      </c>
    </row>
    <row r="1478" spans="1:1" x14ac:dyDescent="0.2">
      <c r="A1478" t="s">
        <v>2793</v>
      </c>
    </row>
    <row r="1479" spans="1:1" x14ac:dyDescent="0.2">
      <c r="A1479" t="s">
        <v>2768</v>
      </c>
    </row>
    <row r="1480" spans="1:1" x14ac:dyDescent="0.2">
      <c r="A1480" t="s">
        <v>2769</v>
      </c>
    </row>
    <row r="1481" spans="1:1" x14ac:dyDescent="0.2">
      <c r="A1481" t="s">
        <v>1054</v>
      </c>
    </row>
    <row r="1482" spans="1:1" x14ac:dyDescent="0.2">
      <c r="A1482" t="s">
        <v>1055</v>
      </c>
    </row>
    <row r="1483" spans="1:1" x14ac:dyDescent="0.2">
      <c r="A1483" t="s">
        <v>2770</v>
      </c>
    </row>
    <row r="1484" spans="1:1" x14ac:dyDescent="0.2">
      <c r="A1484" t="s">
        <v>1056</v>
      </c>
    </row>
    <row r="1485" spans="1:1" x14ac:dyDescent="0.2">
      <c r="A1485" t="s">
        <v>1057</v>
      </c>
    </row>
    <row r="1486" spans="1:1" x14ac:dyDescent="0.2">
      <c r="A1486" t="s">
        <v>1058</v>
      </c>
    </row>
    <row r="1487" spans="1:1" x14ac:dyDescent="0.2">
      <c r="A1487" t="s">
        <v>1059</v>
      </c>
    </row>
    <row r="1488" spans="1:1" x14ac:dyDescent="0.2">
      <c r="A1488" t="s">
        <v>1060</v>
      </c>
    </row>
    <row r="1489" spans="1:1" x14ac:dyDescent="0.2">
      <c r="A1489" t="s">
        <v>1061</v>
      </c>
    </row>
    <row r="1490" spans="1:1" x14ac:dyDescent="0.2">
      <c r="A1490" t="s">
        <v>1062</v>
      </c>
    </row>
    <row r="1491" spans="1:1" x14ac:dyDescent="0.2">
      <c r="A1491" t="s">
        <v>1063</v>
      </c>
    </row>
    <row r="1492" spans="1:1" x14ac:dyDescent="0.2">
      <c r="A1492" t="s">
        <v>1064</v>
      </c>
    </row>
    <row r="1493" spans="1:1" x14ac:dyDescent="0.2">
      <c r="A1493" t="s">
        <v>1065</v>
      </c>
    </row>
    <row r="1494" spans="1:1" x14ac:dyDescent="0.2">
      <c r="A1494" t="s">
        <v>1066</v>
      </c>
    </row>
    <row r="1495" spans="1:1" x14ac:dyDescent="0.2">
      <c r="A1495" t="s">
        <v>1067</v>
      </c>
    </row>
    <row r="1496" spans="1:1" x14ac:dyDescent="0.2">
      <c r="A1496" t="s">
        <v>1068</v>
      </c>
    </row>
    <row r="1497" spans="1:1" x14ac:dyDescent="0.2">
      <c r="A1497" t="s">
        <v>1069</v>
      </c>
    </row>
    <row r="1498" spans="1:1" x14ac:dyDescent="0.2">
      <c r="A1498" t="s">
        <v>1070</v>
      </c>
    </row>
    <row r="1499" spans="1:1" x14ac:dyDescent="0.2">
      <c r="A1499" t="s">
        <v>1071</v>
      </c>
    </row>
    <row r="1500" spans="1:1" x14ac:dyDescent="0.2">
      <c r="A1500" t="s">
        <v>1072</v>
      </c>
    </row>
    <row r="1501" spans="1:1" x14ac:dyDescent="0.2">
      <c r="A1501" t="s">
        <v>1073</v>
      </c>
    </row>
    <row r="1502" spans="1:1" x14ac:dyDescent="0.2">
      <c r="A1502" t="s">
        <v>1074</v>
      </c>
    </row>
    <row r="1503" spans="1:1" x14ac:dyDescent="0.2">
      <c r="A1503" t="s">
        <v>1075</v>
      </c>
    </row>
    <row r="1504" spans="1:1" x14ac:dyDescent="0.2">
      <c r="A1504" t="s">
        <v>1076</v>
      </c>
    </row>
    <row r="1505" spans="1:1" x14ac:dyDescent="0.2">
      <c r="A1505" t="s">
        <v>1077</v>
      </c>
    </row>
    <row r="1506" spans="1:1" x14ac:dyDescent="0.2">
      <c r="A1506" t="s">
        <v>1078</v>
      </c>
    </row>
    <row r="1507" spans="1:1" x14ac:dyDescent="0.2">
      <c r="A1507" t="s">
        <v>1079</v>
      </c>
    </row>
    <row r="1508" spans="1:1" x14ac:dyDescent="0.2">
      <c r="A1508" t="s">
        <v>1080</v>
      </c>
    </row>
    <row r="1509" spans="1:1" x14ac:dyDescent="0.2">
      <c r="A1509" t="s">
        <v>1081</v>
      </c>
    </row>
    <row r="1510" spans="1:1" x14ac:dyDescent="0.2">
      <c r="A1510" t="s">
        <v>1082</v>
      </c>
    </row>
    <row r="1511" spans="1:1" x14ac:dyDescent="0.2">
      <c r="A1511" t="s">
        <v>1083</v>
      </c>
    </row>
    <row r="1512" spans="1:1" x14ac:dyDescent="0.2">
      <c r="A1512" t="s">
        <v>2771</v>
      </c>
    </row>
    <row r="1513" spans="1:1" x14ac:dyDescent="0.2">
      <c r="A1513" t="s">
        <v>2772</v>
      </c>
    </row>
    <row r="1514" spans="1:1" x14ac:dyDescent="0.2">
      <c r="A1514" t="s">
        <v>2773</v>
      </c>
    </row>
    <row r="1515" spans="1:1" x14ac:dyDescent="0.2">
      <c r="A1515" t="s">
        <v>2774</v>
      </c>
    </row>
    <row r="1516" spans="1:1" x14ac:dyDescent="0.2">
      <c r="A1516" t="s">
        <v>2775</v>
      </c>
    </row>
    <row r="1517" spans="1:1" x14ac:dyDescent="0.2">
      <c r="A1517" t="s">
        <v>2776</v>
      </c>
    </row>
    <row r="1518" spans="1:1" x14ac:dyDescent="0.2">
      <c r="A1518" t="s">
        <v>1084</v>
      </c>
    </row>
    <row r="1519" spans="1:1" x14ac:dyDescent="0.2">
      <c r="A1519" t="s">
        <v>1085</v>
      </c>
    </row>
    <row r="1520" spans="1:1" x14ac:dyDescent="0.2">
      <c r="A1520" t="s">
        <v>1086</v>
      </c>
    </row>
    <row r="1521" spans="1:1" x14ac:dyDescent="0.2">
      <c r="A1521" t="s">
        <v>1087</v>
      </c>
    </row>
    <row r="1522" spans="1:1" x14ac:dyDescent="0.2">
      <c r="A1522" t="s">
        <v>1088</v>
      </c>
    </row>
    <row r="1523" spans="1:1" x14ac:dyDescent="0.2">
      <c r="A1523" t="s">
        <v>1089</v>
      </c>
    </row>
    <row r="1524" spans="1:1" x14ac:dyDescent="0.2">
      <c r="A1524" t="s">
        <v>1090</v>
      </c>
    </row>
    <row r="1525" spans="1:1" x14ac:dyDescent="0.2">
      <c r="A1525" t="s">
        <v>1091</v>
      </c>
    </row>
    <row r="1526" spans="1:1" x14ac:dyDescent="0.2">
      <c r="A1526" t="s">
        <v>1092</v>
      </c>
    </row>
    <row r="1527" spans="1:1" x14ac:dyDescent="0.2">
      <c r="A1527" t="s">
        <v>1093</v>
      </c>
    </row>
    <row r="1528" spans="1:1" x14ac:dyDescent="0.2">
      <c r="A1528" t="s">
        <v>1094</v>
      </c>
    </row>
    <row r="1529" spans="1:1" x14ac:dyDescent="0.2">
      <c r="A1529" t="s">
        <v>1095</v>
      </c>
    </row>
    <row r="1530" spans="1:1" x14ac:dyDescent="0.2">
      <c r="A1530" t="s">
        <v>1096</v>
      </c>
    </row>
    <row r="1531" spans="1:1" x14ac:dyDescent="0.2">
      <c r="A1531" t="s">
        <v>1097</v>
      </c>
    </row>
    <row r="1532" spans="1:1" x14ac:dyDescent="0.2">
      <c r="A1532" t="s">
        <v>1098</v>
      </c>
    </row>
    <row r="1533" spans="1:1" x14ac:dyDescent="0.2">
      <c r="A1533" t="s">
        <v>1099</v>
      </c>
    </row>
    <row r="1534" spans="1:1" x14ac:dyDescent="0.2">
      <c r="A1534" t="s">
        <v>1100</v>
      </c>
    </row>
    <row r="1535" spans="1:1" x14ac:dyDescent="0.2">
      <c r="A1535" t="s">
        <v>1101</v>
      </c>
    </row>
    <row r="1536" spans="1:1" x14ac:dyDescent="0.2">
      <c r="A1536" t="s">
        <v>1102</v>
      </c>
    </row>
    <row r="1537" spans="1:1" x14ac:dyDescent="0.2">
      <c r="A1537" t="s">
        <v>1103</v>
      </c>
    </row>
    <row r="1538" spans="1:1" x14ac:dyDescent="0.2">
      <c r="A1538" t="s">
        <v>1104</v>
      </c>
    </row>
    <row r="1539" spans="1:1" x14ac:dyDescent="0.2">
      <c r="A1539" t="s">
        <v>1105</v>
      </c>
    </row>
    <row r="1540" spans="1:1" x14ac:dyDescent="0.2">
      <c r="A1540" t="s">
        <v>1106</v>
      </c>
    </row>
    <row r="1541" spans="1:1" x14ac:dyDescent="0.2">
      <c r="A1541" t="s">
        <v>1107</v>
      </c>
    </row>
    <row r="1542" spans="1:1" x14ac:dyDescent="0.2">
      <c r="A1542" t="s">
        <v>1108</v>
      </c>
    </row>
    <row r="1543" spans="1:1" x14ac:dyDescent="0.2">
      <c r="A1543" t="s">
        <v>1109</v>
      </c>
    </row>
    <row r="1544" spans="1:1" x14ac:dyDescent="0.2">
      <c r="A1544" t="s">
        <v>1110</v>
      </c>
    </row>
    <row r="1545" spans="1:1" x14ac:dyDescent="0.2">
      <c r="A1545" t="s">
        <v>1111</v>
      </c>
    </row>
    <row r="1546" spans="1:1" x14ac:dyDescent="0.2">
      <c r="A1546" t="s">
        <v>1112</v>
      </c>
    </row>
    <row r="1547" spans="1:1" x14ac:dyDescent="0.2">
      <c r="A1547" t="s">
        <v>1113</v>
      </c>
    </row>
    <row r="1548" spans="1:1" x14ac:dyDescent="0.2">
      <c r="A1548" t="s">
        <v>1114</v>
      </c>
    </row>
    <row r="1549" spans="1:1" x14ac:dyDescent="0.2">
      <c r="A1549" t="s">
        <v>1115</v>
      </c>
    </row>
    <row r="1550" spans="1:1" x14ac:dyDescent="0.2">
      <c r="A1550" t="s">
        <v>1116</v>
      </c>
    </row>
    <row r="1551" spans="1:1" x14ac:dyDescent="0.2">
      <c r="A1551" t="s">
        <v>1117</v>
      </c>
    </row>
    <row r="1552" spans="1:1" x14ac:dyDescent="0.2">
      <c r="A1552" t="s">
        <v>1118</v>
      </c>
    </row>
    <row r="1553" spans="1:1" x14ac:dyDescent="0.2">
      <c r="A1553" t="s">
        <v>1119</v>
      </c>
    </row>
    <row r="1554" spans="1:1" x14ac:dyDescent="0.2">
      <c r="A1554" t="s">
        <v>1120</v>
      </c>
    </row>
    <row r="1555" spans="1:1" x14ac:dyDescent="0.2">
      <c r="A1555" t="s">
        <v>1288</v>
      </c>
    </row>
    <row r="1556" spans="1:1" x14ac:dyDescent="0.2">
      <c r="A1556" t="s">
        <v>2794</v>
      </c>
    </row>
    <row r="1557" spans="1:1" x14ac:dyDescent="0.2">
      <c r="A1557" t="s">
        <v>2795</v>
      </c>
    </row>
    <row r="1558" spans="1:1" x14ac:dyDescent="0.2">
      <c r="A1558" t="s">
        <v>2779</v>
      </c>
    </row>
    <row r="1559" spans="1:1" x14ac:dyDescent="0.2">
      <c r="A1559" t="s">
        <v>2780</v>
      </c>
    </row>
    <row r="1560" spans="1:1" x14ac:dyDescent="0.2">
      <c r="A1560" t="s">
        <v>1289</v>
      </c>
    </row>
    <row r="1561" spans="1:1" x14ac:dyDescent="0.2">
      <c r="A1561" t="s">
        <v>2781</v>
      </c>
    </row>
    <row r="1562" spans="1:1" x14ac:dyDescent="0.2">
      <c r="A1562" t="s">
        <v>1121</v>
      </c>
    </row>
    <row r="1563" spans="1:1" x14ac:dyDescent="0.2">
      <c r="A1563" t="s">
        <v>1122</v>
      </c>
    </row>
    <row r="1564" spans="1:1" x14ac:dyDescent="0.2">
      <c r="A1564" t="s">
        <v>1123</v>
      </c>
    </row>
    <row r="1565" spans="1:1" x14ac:dyDescent="0.2">
      <c r="A1565" t="s">
        <v>1124</v>
      </c>
    </row>
    <row r="1566" spans="1:1" x14ac:dyDescent="0.2">
      <c r="A1566" t="s">
        <v>1125</v>
      </c>
    </row>
    <row r="1567" spans="1:1" x14ac:dyDescent="0.2">
      <c r="A1567" t="s">
        <v>1126</v>
      </c>
    </row>
    <row r="1568" spans="1:1" x14ac:dyDescent="0.2">
      <c r="A1568" t="s">
        <v>1127</v>
      </c>
    </row>
    <row r="1569" spans="1:1" x14ac:dyDescent="0.2">
      <c r="A1569" t="s">
        <v>1128</v>
      </c>
    </row>
    <row r="1570" spans="1:1" x14ac:dyDescent="0.2">
      <c r="A1570" t="s">
        <v>1129</v>
      </c>
    </row>
    <row r="1571" spans="1:1" x14ac:dyDescent="0.2">
      <c r="A1571" t="s">
        <v>1130</v>
      </c>
    </row>
    <row r="1572" spans="1:1" x14ac:dyDescent="0.2">
      <c r="A1572" t="s">
        <v>1131</v>
      </c>
    </row>
    <row r="1573" spans="1:1" x14ac:dyDescent="0.2">
      <c r="A1573" t="s">
        <v>1132</v>
      </c>
    </row>
    <row r="1574" spans="1:1" x14ac:dyDescent="0.2">
      <c r="A1574" t="s">
        <v>1133</v>
      </c>
    </row>
    <row r="1575" spans="1:1" x14ac:dyDescent="0.2">
      <c r="A1575" t="s">
        <v>1134</v>
      </c>
    </row>
    <row r="1576" spans="1:1" x14ac:dyDescent="0.2">
      <c r="A1576" t="s">
        <v>1135</v>
      </c>
    </row>
    <row r="1577" spans="1:1" x14ac:dyDescent="0.2">
      <c r="A1577" t="s">
        <v>1136</v>
      </c>
    </row>
    <row r="1578" spans="1:1" x14ac:dyDescent="0.2">
      <c r="A1578" t="s">
        <v>1137</v>
      </c>
    </row>
    <row r="1579" spans="1:1" x14ac:dyDescent="0.2">
      <c r="A1579" t="s">
        <v>1138</v>
      </c>
    </row>
    <row r="1580" spans="1:1" x14ac:dyDescent="0.2">
      <c r="A1580" t="s">
        <v>1139</v>
      </c>
    </row>
    <row r="1581" spans="1:1" x14ac:dyDescent="0.2">
      <c r="A1581" t="s">
        <v>1140</v>
      </c>
    </row>
    <row r="1582" spans="1:1" x14ac:dyDescent="0.2">
      <c r="A1582" t="s">
        <v>1141</v>
      </c>
    </row>
    <row r="1583" spans="1:1" x14ac:dyDescent="0.2">
      <c r="A1583" t="s">
        <v>1142</v>
      </c>
    </row>
    <row r="1584" spans="1:1" x14ac:dyDescent="0.2">
      <c r="A1584" t="s">
        <v>1143</v>
      </c>
    </row>
    <row r="1585" spans="1:1" x14ac:dyDescent="0.2">
      <c r="A1585" t="s">
        <v>1144</v>
      </c>
    </row>
    <row r="1586" spans="1:1" x14ac:dyDescent="0.2">
      <c r="A1586" t="s">
        <v>1145</v>
      </c>
    </row>
    <row r="1587" spans="1:1" x14ac:dyDescent="0.2">
      <c r="A1587" t="s">
        <v>1146</v>
      </c>
    </row>
    <row r="1588" spans="1:1" x14ac:dyDescent="0.2">
      <c r="A1588" t="s">
        <v>1147</v>
      </c>
    </row>
    <row r="1589" spans="1:1" x14ac:dyDescent="0.2">
      <c r="A1589" t="s">
        <v>1148</v>
      </c>
    </row>
    <row r="1590" spans="1:1" x14ac:dyDescent="0.2">
      <c r="A1590" t="s">
        <v>1149</v>
      </c>
    </row>
    <row r="1591" spans="1:1" x14ac:dyDescent="0.2">
      <c r="A1591" t="s">
        <v>1150</v>
      </c>
    </row>
    <row r="1592" spans="1:1" x14ac:dyDescent="0.2">
      <c r="A1592" t="s">
        <v>1151</v>
      </c>
    </row>
    <row r="1593" spans="1:1" x14ac:dyDescent="0.2">
      <c r="A1593" t="s">
        <v>1152</v>
      </c>
    </row>
    <row r="1594" spans="1:1" x14ac:dyDescent="0.2">
      <c r="A1594" t="s">
        <v>1153</v>
      </c>
    </row>
    <row r="1595" spans="1:1" x14ac:dyDescent="0.2">
      <c r="A1595" t="s">
        <v>1154</v>
      </c>
    </row>
    <row r="1596" spans="1:1" x14ac:dyDescent="0.2">
      <c r="A1596" t="s">
        <v>1155</v>
      </c>
    </row>
    <row r="1597" spans="1:1" x14ac:dyDescent="0.2">
      <c r="A1597" t="s">
        <v>1156</v>
      </c>
    </row>
    <row r="1598" spans="1:1" x14ac:dyDescent="0.2">
      <c r="A1598" t="s">
        <v>1157</v>
      </c>
    </row>
    <row r="1599" spans="1:1" x14ac:dyDescent="0.2">
      <c r="A1599" t="s">
        <v>1158</v>
      </c>
    </row>
    <row r="1600" spans="1:1" x14ac:dyDescent="0.2">
      <c r="A1600" t="s">
        <v>1159</v>
      </c>
    </row>
    <row r="1601" spans="1:1" x14ac:dyDescent="0.2">
      <c r="A1601" t="s">
        <v>1160</v>
      </c>
    </row>
    <row r="1602" spans="1:1" x14ac:dyDescent="0.2">
      <c r="A1602" t="s">
        <v>1161</v>
      </c>
    </row>
    <row r="1603" spans="1:1" x14ac:dyDescent="0.2">
      <c r="A1603" t="s">
        <v>1162</v>
      </c>
    </row>
    <row r="1604" spans="1:1" x14ac:dyDescent="0.2">
      <c r="A1604" t="s">
        <v>1163</v>
      </c>
    </row>
    <row r="1605" spans="1:1" x14ac:dyDescent="0.2">
      <c r="A1605" t="s">
        <v>1164</v>
      </c>
    </row>
    <row r="1606" spans="1:1" x14ac:dyDescent="0.2">
      <c r="A1606" t="s">
        <v>1165</v>
      </c>
    </row>
    <row r="1607" spans="1:1" x14ac:dyDescent="0.2">
      <c r="A1607" t="s">
        <v>1166</v>
      </c>
    </row>
    <row r="1608" spans="1:1" x14ac:dyDescent="0.2">
      <c r="A1608" t="s">
        <v>1167</v>
      </c>
    </row>
    <row r="1609" spans="1:1" x14ac:dyDescent="0.2">
      <c r="A1609" t="s">
        <v>1168</v>
      </c>
    </row>
    <row r="1610" spans="1:1" x14ac:dyDescent="0.2">
      <c r="A1610" t="s">
        <v>1169</v>
      </c>
    </row>
    <row r="1611" spans="1:1" x14ac:dyDescent="0.2">
      <c r="A1611" t="s">
        <v>1170</v>
      </c>
    </row>
    <row r="1612" spans="1:1" x14ac:dyDescent="0.2">
      <c r="A1612" t="s">
        <v>1171</v>
      </c>
    </row>
    <row r="1613" spans="1:1" x14ac:dyDescent="0.2">
      <c r="A1613" t="s">
        <v>1172</v>
      </c>
    </row>
    <row r="1614" spans="1:1" x14ac:dyDescent="0.2">
      <c r="A1614" t="s">
        <v>1173</v>
      </c>
    </row>
    <row r="1615" spans="1:1" x14ac:dyDescent="0.2">
      <c r="A1615" t="s">
        <v>1174</v>
      </c>
    </row>
    <row r="1616" spans="1:1" x14ac:dyDescent="0.2">
      <c r="A1616" t="s">
        <v>1175</v>
      </c>
    </row>
    <row r="1617" spans="1:1" x14ac:dyDescent="0.2">
      <c r="A1617" t="s">
        <v>1176</v>
      </c>
    </row>
    <row r="1618" spans="1:1" x14ac:dyDescent="0.2">
      <c r="A1618" t="s">
        <v>1177</v>
      </c>
    </row>
    <row r="1619" spans="1:1" x14ac:dyDescent="0.2">
      <c r="A1619" t="s">
        <v>1178</v>
      </c>
    </row>
    <row r="1620" spans="1:1" x14ac:dyDescent="0.2">
      <c r="A1620" t="s">
        <v>1179</v>
      </c>
    </row>
    <row r="1621" spans="1:1" x14ac:dyDescent="0.2">
      <c r="A1621" t="s">
        <v>1180</v>
      </c>
    </row>
    <row r="1622" spans="1:1" x14ac:dyDescent="0.2">
      <c r="A1622" t="s">
        <v>1181</v>
      </c>
    </row>
    <row r="1623" spans="1:1" x14ac:dyDescent="0.2">
      <c r="A1623" t="s">
        <v>1182</v>
      </c>
    </row>
    <row r="1624" spans="1:1" x14ac:dyDescent="0.2">
      <c r="A1624" t="s">
        <v>1183</v>
      </c>
    </row>
    <row r="1625" spans="1:1" x14ac:dyDescent="0.2">
      <c r="A1625" t="s">
        <v>1184</v>
      </c>
    </row>
    <row r="1626" spans="1:1" x14ac:dyDescent="0.2">
      <c r="A1626" t="s">
        <v>1185</v>
      </c>
    </row>
    <row r="1627" spans="1:1" x14ac:dyDescent="0.2">
      <c r="A1627" t="s">
        <v>1186</v>
      </c>
    </row>
    <row r="1628" spans="1:1" x14ac:dyDescent="0.2">
      <c r="A1628" t="s">
        <v>1187</v>
      </c>
    </row>
    <row r="1629" spans="1:1" x14ac:dyDescent="0.2">
      <c r="A1629" t="s">
        <v>1188</v>
      </c>
    </row>
    <row r="1630" spans="1:1" x14ac:dyDescent="0.2">
      <c r="A1630" t="s">
        <v>1189</v>
      </c>
    </row>
    <row r="1631" spans="1:1" x14ac:dyDescent="0.2">
      <c r="A1631" t="s">
        <v>1190</v>
      </c>
    </row>
    <row r="1632" spans="1:1" x14ac:dyDescent="0.2">
      <c r="A1632" t="s">
        <v>1191</v>
      </c>
    </row>
    <row r="1633" spans="1:1" x14ac:dyDescent="0.2">
      <c r="A1633" t="s">
        <v>1192</v>
      </c>
    </row>
    <row r="1634" spans="1:1" x14ac:dyDescent="0.2">
      <c r="A1634" t="s">
        <v>1193</v>
      </c>
    </row>
    <row r="1635" spans="1:1" x14ac:dyDescent="0.2">
      <c r="A1635" t="s">
        <v>1194</v>
      </c>
    </row>
    <row r="1636" spans="1:1" x14ac:dyDescent="0.2">
      <c r="A1636" t="s">
        <v>1195</v>
      </c>
    </row>
    <row r="1637" spans="1:1" x14ac:dyDescent="0.2">
      <c r="A1637" t="s">
        <v>1196</v>
      </c>
    </row>
    <row r="1638" spans="1:1" x14ac:dyDescent="0.2">
      <c r="A1638" t="s">
        <v>1197</v>
      </c>
    </row>
    <row r="1639" spans="1:1" x14ac:dyDescent="0.2">
      <c r="A1639" t="s">
        <v>1198</v>
      </c>
    </row>
    <row r="1640" spans="1:1" x14ac:dyDescent="0.2">
      <c r="A1640" t="s">
        <v>1199</v>
      </c>
    </row>
    <row r="1641" spans="1:1" x14ac:dyDescent="0.2">
      <c r="A1641" t="s">
        <v>1200</v>
      </c>
    </row>
    <row r="1642" spans="1:1" x14ac:dyDescent="0.2">
      <c r="A1642" t="s">
        <v>1201</v>
      </c>
    </row>
    <row r="1643" spans="1:1" x14ac:dyDescent="0.2">
      <c r="A1643" t="s">
        <v>1202</v>
      </c>
    </row>
    <row r="1644" spans="1:1" x14ac:dyDescent="0.2">
      <c r="A1644" t="s">
        <v>1203</v>
      </c>
    </row>
    <row r="1645" spans="1:1" x14ac:dyDescent="0.2">
      <c r="A1645" t="s">
        <v>1204</v>
      </c>
    </row>
    <row r="1646" spans="1:1" x14ac:dyDescent="0.2">
      <c r="A1646" t="s">
        <v>1205</v>
      </c>
    </row>
    <row r="1647" spans="1:1" x14ac:dyDescent="0.2">
      <c r="A1647" t="s">
        <v>1206</v>
      </c>
    </row>
    <row r="1648" spans="1:1" x14ac:dyDescent="0.2">
      <c r="A1648" t="s">
        <v>1207</v>
      </c>
    </row>
    <row r="1649" spans="1:1" x14ac:dyDescent="0.2">
      <c r="A1649" t="s">
        <v>1208</v>
      </c>
    </row>
    <row r="1650" spans="1:1" x14ac:dyDescent="0.2">
      <c r="A1650" t="s">
        <v>1209</v>
      </c>
    </row>
    <row r="1651" spans="1:1" x14ac:dyDescent="0.2">
      <c r="A1651" t="s">
        <v>1210</v>
      </c>
    </row>
    <row r="1652" spans="1:1" x14ac:dyDescent="0.2">
      <c r="A1652" t="s">
        <v>1211</v>
      </c>
    </row>
    <row r="1653" spans="1:1" x14ac:dyDescent="0.2">
      <c r="A1653" t="s">
        <v>1212</v>
      </c>
    </row>
    <row r="1654" spans="1:1" x14ac:dyDescent="0.2">
      <c r="A1654" t="s">
        <v>1213</v>
      </c>
    </row>
    <row r="1655" spans="1:1" x14ac:dyDescent="0.2">
      <c r="A1655" t="s">
        <v>1214</v>
      </c>
    </row>
    <row r="1656" spans="1:1" x14ac:dyDescent="0.2">
      <c r="A1656" t="s">
        <v>1215</v>
      </c>
    </row>
    <row r="1657" spans="1:1" x14ac:dyDescent="0.2">
      <c r="A1657" t="s">
        <v>1216</v>
      </c>
    </row>
    <row r="1658" spans="1:1" x14ac:dyDescent="0.2">
      <c r="A1658" t="s">
        <v>1217</v>
      </c>
    </row>
    <row r="1659" spans="1:1" x14ac:dyDescent="0.2">
      <c r="A1659" t="s">
        <v>1218</v>
      </c>
    </row>
    <row r="1660" spans="1:1" x14ac:dyDescent="0.2">
      <c r="A1660" t="s">
        <v>1219</v>
      </c>
    </row>
    <row r="1661" spans="1:1" x14ac:dyDescent="0.2">
      <c r="A1661" t="s">
        <v>1220</v>
      </c>
    </row>
    <row r="1662" spans="1:1" x14ac:dyDescent="0.2">
      <c r="A1662" t="s">
        <v>1221</v>
      </c>
    </row>
    <row r="1663" spans="1:1" x14ac:dyDescent="0.2">
      <c r="A1663" t="s">
        <v>1222</v>
      </c>
    </row>
    <row r="1664" spans="1:1" x14ac:dyDescent="0.2">
      <c r="A1664" t="s">
        <v>1223</v>
      </c>
    </row>
    <row r="1665" spans="1:1" x14ac:dyDescent="0.2">
      <c r="A1665" t="s">
        <v>1224</v>
      </c>
    </row>
    <row r="1666" spans="1:1" x14ac:dyDescent="0.2">
      <c r="A1666" t="s">
        <v>1225</v>
      </c>
    </row>
    <row r="1667" spans="1:1" x14ac:dyDescent="0.2">
      <c r="A1667" t="s">
        <v>1226</v>
      </c>
    </row>
    <row r="1668" spans="1:1" x14ac:dyDescent="0.2">
      <c r="A1668" t="s">
        <v>1227</v>
      </c>
    </row>
    <row r="1669" spans="1:1" x14ac:dyDescent="0.2">
      <c r="A1669" t="s">
        <v>1228</v>
      </c>
    </row>
    <row r="1670" spans="1:1" x14ac:dyDescent="0.2">
      <c r="A1670" t="s">
        <v>1229</v>
      </c>
    </row>
    <row r="1671" spans="1:1" x14ac:dyDescent="0.2">
      <c r="A1671" t="s">
        <v>1230</v>
      </c>
    </row>
    <row r="1672" spans="1:1" x14ac:dyDescent="0.2">
      <c r="A1672" t="s">
        <v>1231</v>
      </c>
    </row>
    <row r="1673" spans="1:1" x14ac:dyDescent="0.2">
      <c r="A1673" t="s">
        <v>1232</v>
      </c>
    </row>
    <row r="1674" spans="1:1" x14ac:dyDescent="0.2">
      <c r="A1674" t="s">
        <v>1233</v>
      </c>
    </row>
    <row r="1675" spans="1:1" x14ac:dyDescent="0.2">
      <c r="A1675" t="s">
        <v>1234</v>
      </c>
    </row>
    <row r="1676" spans="1:1" x14ac:dyDescent="0.2">
      <c r="A1676" t="s">
        <v>1235</v>
      </c>
    </row>
    <row r="1677" spans="1:1" x14ac:dyDescent="0.2">
      <c r="A1677" t="s">
        <v>1236</v>
      </c>
    </row>
    <row r="1678" spans="1:1" x14ac:dyDescent="0.2">
      <c r="A1678" t="s">
        <v>1237</v>
      </c>
    </row>
    <row r="1679" spans="1:1" x14ac:dyDescent="0.2">
      <c r="A1679" t="s">
        <v>1238</v>
      </c>
    </row>
    <row r="1680" spans="1:1" x14ac:dyDescent="0.2">
      <c r="A1680" t="s">
        <v>1239</v>
      </c>
    </row>
    <row r="1681" spans="1:1" x14ac:dyDescent="0.2">
      <c r="A1681" t="s">
        <v>1240</v>
      </c>
    </row>
    <row r="1682" spans="1:1" x14ac:dyDescent="0.2">
      <c r="A1682" t="s">
        <v>1241</v>
      </c>
    </row>
    <row r="1683" spans="1:1" x14ac:dyDescent="0.2">
      <c r="A1683" t="s">
        <v>1242</v>
      </c>
    </row>
    <row r="1684" spans="1:1" x14ac:dyDescent="0.2">
      <c r="A1684" t="s">
        <v>1243</v>
      </c>
    </row>
    <row r="1685" spans="1:1" x14ac:dyDescent="0.2">
      <c r="A1685" t="s">
        <v>1244</v>
      </c>
    </row>
    <row r="1686" spans="1:1" x14ac:dyDescent="0.2">
      <c r="A1686" t="s">
        <v>1245</v>
      </c>
    </row>
    <row r="1687" spans="1:1" x14ac:dyDescent="0.2">
      <c r="A1687" t="s">
        <v>1246</v>
      </c>
    </row>
    <row r="1688" spans="1:1" x14ac:dyDescent="0.2">
      <c r="A1688" t="s">
        <v>1247</v>
      </c>
    </row>
    <row r="1689" spans="1:1" x14ac:dyDescent="0.2">
      <c r="A1689" t="s">
        <v>1248</v>
      </c>
    </row>
    <row r="1690" spans="1:1" x14ac:dyDescent="0.2">
      <c r="A1690" t="s">
        <v>1249</v>
      </c>
    </row>
    <row r="1691" spans="1:1" x14ac:dyDescent="0.2">
      <c r="A1691" t="s">
        <v>1250</v>
      </c>
    </row>
    <row r="1692" spans="1:1" x14ac:dyDescent="0.2">
      <c r="A1692" t="s">
        <v>1251</v>
      </c>
    </row>
    <row r="1693" spans="1:1" x14ac:dyDescent="0.2">
      <c r="A1693" t="s">
        <v>1252</v>
      </c>
    </row>
    <row r="1694" spans="1:1" x14ac:dyDescent="0.2">
      <c r="A1694" t="s">
        <v>1253</v>
      </c>
    </row>
    <row r="1695" spans="1:1" x14ac:dyDescent="0.2">
      <c r="A1695" t="s">
        <v>1254</v>
      </c>
    </row>
    <row r="1696" spans="1:1" x14ac:dyDescent="0.2">
      <c r="A1696" t="s">
        <v>1255</v>
      </c>
    </row>
    <row r="1697" spans="1:1" x14ac:dyDescent="0.2">
      <c r="A1697" t="s">
        <v>1256</v>
      </c>
    </row>
    <row r="1698" spans="1:1" x14ac:dyDescent="0.2">
      <c r="A1698" t="s">
        <v>1257</v>
      </c>
    </row>
    <row r="1699" spans="1:1" x14ac:dyDescent="0.2">
      <c r="A1699" t="s">
        <v>1258</v>
      </c>
    </row>
    <row r="1700" spans="1:1" x14ac:dyDescent="0.2">
      <c r="A1700" t="s">
        <v>1259</v>
      </c>
    </row>
    <row r="1701" spans="1:1" x14ac:dyDescent="0.2">
      <c r="A1701" t="s">
        <v>1260</v>
      </c>
    </row>
    <row r="1702" spans="1:1" x14ac:dyDescent="0.2">
      <c r="A1702" t="s">
        <v>1261</v>
      </c>
    </row>
    <row r="1703" spans="1:1" x14ac:dyDescent="0.2">
      <c r="A1703" t="s">
        <v>1262</v>
      </c>
    </row>
    <row r="1704" spans="1:1" x14ac:dyDescent="0.2">
      <c r="A1704" t="s">
        <v>1263</v>
      </c>
    </row>
    <row r="1705" spans="1:1" x14ac:dyDescent="0.2">
      <c r="A1705" t="s">
        <v>1264</v>
      </c>
    </row>
    <row r="1706" spans="1:1" x14ac:dyDescent="0.2">
      <c r="A1706" t="s">
        <v>1265</v>
      </c>
    </row>
    <row r="1707" spans="1:1" x14ac:dyDescent="0.2">
      <c r="A1707" t="s">
        <v>1266</v>
      </c>
    </row>
    <row r="1708" spans="1:1" x14ac:dyDescent="0.2">
      <c r="A1708" t="s">
        <v>1267</v>
      </c>
    </row>
    <row r="1709" spans="1:1" x14ac:dyDescent="0.2">
      <c r="A1709" t="s">
        <v>1268</v>
      </c>
    </row>
    <row r="1710" spans="1:1" x14ac:dyDescent="0.2">
      <c r="A1710" t="s">
        <v>1269</v>
      </c>
    </row>
    <row r="1711" spans="1:1" x14ac:dyDescent="0.2">
      <c r="A1711" t="s">
        <v>1270</v>
      </c>
    </row>
    <row r="1712" spans="1:1" x14ac:dyDescent="0.2">
      <c r="A1712" t="s">
        <v>1271</v>
      </c>
    </row>
    <row r="1713" spans="1:1" x14ac:dyDescent="0.2">
      <c r="A1713" t="s">
        <v>1272</v>
      </c>
    </row>
    <row r="1714" spans="1:1" x14ac:dyDescent="0.2">
      <c r="A1714" t="s">
        <v>1273</v>
      </c>
    </row>
    <row r="1715" spans="1:1" x14ac:dyDescent="0.2">
      <c r="A1715" t="s">
        <v>1274</v>
      </c>
    </row>
    <row r="1716" spans="1:1" x14ac:dyDescent="0.2">
      <c r="A1716" t="s">
        <v>1275</v>
      </c>
    </row>
    <row r="1717" spans="1:1" x14ac:dyDescent="0.2">
      <c r="A1717" t="s">
        <v>1276</v>
      </c>
    </row>
    <row r="1718" spans="1:1" x14ac:dyDescent="0.2">
      <c r="A1718" t="s">
        <v>1277</v>
      </c>
    </row>
    <row r="1719" spans="1:1" x14ac:dyDescent="0.2">
      <c r="A1719" t="s">
        <v>1278</v>
      </c>
    </row>
    <row r="1720" spans="1:1" x14ac:dyDescent="0.2">
      <c r="A1720" t="s">
        <v>1279</v>
      </c>
    </row>
    <row r="1721" spans="1:1" x14ac:dyDescent="0.2">
      <c r="A1721" t="s">
        <v>1280</v>
      </c>
    </row>
    <row r="1722" spans="1:1" x14ac:dyDescent="0.2">
      <c r="A1722" t="s">
        <v>1281</v>
      </c>
    </row>
    <row r="1723" spans="1:1" x14ac:dyDescent="0.2">
      <c r="A1723" t="s">
        <v>1282</v>
      </c>
    </row>
    <row r="1724" spans="1:1" x14ac:dyDescent="0.2">
      <c r="A1724" t="s">
        <v>1283</v>
      </c>
    </row>
    <row r="1725" spans="1:1" x14ac:dyDescent="0.2">
      <c r="A1725" t="s">
        <v>1284</v>
      </c>
    </row>
    <row r="1726" spans="1:1" x14ac:dyDescent="0.2">
      <c r="A1726" t="s">
        <v>1285</v>
      </c>
    </row>
    <row r="1727" spans="1:1" x14ac:dyDescent="0.2">
      <c r="A1727" t="s">
        <v>1286</v>
      </c>
    </row>
    <row r="1728" spans="1:1" x14ac:dyDescent="0.2">
      <c r="A1728" t="s">
        <v>2796</v>
      </c>
    </row>
    <row r="1729" spans="1:1" x14ac:dyDescent="0.2">
      <c r="A1729" t="s">
        <v>1053</v>
      </c>
    </row>
    <row r="1730" spans="1:1" x14ac:dyDescent="0.2">
      <c r="A1730" t="s">
        <v>2797</v>
      </c>
    </row>
    <row r="1731" spans="1:1" x14ac:dyDescent="0.2">
      <c r="A1731" t="s">
        <v>2768</v>
      </c>
    </row>
    <row r="1732" spans="1:1" x14ac:dyDescent="0.2">
      <c r="A1732" t="s">
        <v>2769</v>
      </c>
    </row>
    <row r="1733" spans="1:1" x14ac:dyDescent="0.2">
      <c r="A1733" t="s">
        <v>1054</v>
      </c>
    </row>
    <row r="1734" spans="1:1" x14ac:dyDescent="0.2">
      <c r="A1734" t="s">
        <v>1055</v>
      </c>
    </row>
    <row r="1735" spans="1:1" x14ac:dyDescent="0.2">
      <c r="A1735" t="s">
        <v>2770</v>
      </c>
    </row>
    <row r="1736" spans="1:1" x14ac:dyDescent="0.2">
      <c r="A1736" t="s">
        <v>1056</v>
      </c>
    </row>
    <row r="1737" spans="1:1" x14ac:dyDescent="0.2">
      <c r="A1737" t="s">
        <v>1057</v>
      </c>
    </row>
    <row r="1738" spans="1:1" x14ac:dyDescent="0.2">
      <c r="A1738" t="s">
        <v>1058</v>
      </c>
    </row>
    <row r="1739" spans="1:1" x14ac:dyDescent="0.2">
      <c r="A1739" t="s">
        <v>1059</v>
      </c>
    </row>
    <row r="1740" spans="1:1" x14ac:dyDescent="0.2">
      <c r="A1740" t="s">
        <v>1060</v>
      </c>
    </row>
    <row r="1741" spans="1:1" x14ac:dyDescent="0.2">
      <c r="A1741" t="s">
        <v>1061</v>
      </c>
    </row>
    <row r="1742" spans="1:1" x14ac:dyDescent="0.2">
      <c r="A1742" t="s">
        <v>1062</v>
      </c>
    </row>
    <row r="1743" spans="1:1" x14ac:dyDescent="0.2">
      <c r="A1743" t="s">
        <v>1063</v>
      </c>
    </row>
    <row r="1744" spans="1:1" x14ac:dyDescent="0.2">
      <c r="A1744" t="s">
        <v>1064</v>
      </c>
    </row>
    <row r="1745" spans="1:1" x14ac:dyDescent="0.2">
      <c r="A1745" t="s">
        <v>1065</v>
      </c>
    </row>
    <row r="1746" spans="1:1" x14ac:dyDescent="0.2">
      <c r="A1746" t="s">
        <v>1066</v>
      </c>
    </row>
    <row r="1747" spans="1:1" x14ac:dyDescent="0.2">
      <c r="A1747" t="s">
        <v>1067</v>
      </c>
    </row>
    <row r="1748" spans="1:1" x14ac:dyDescent="0.2">
      <c r="A1748" t="s">
        <v>1068</v>
      </c>
    </row>
    <row r="1749" spans="1:1" x14ac:dyDescent="0.2">
      <c r="A1749" t="s">
        <v>1069</v>
      </c>
    </row>
    <row r="1750" spans="1:1" x14ac:dyDescent="0.2">
      <c r="A1750" t="s">
        <v>1070</v>
      </c>
    </row>
    <row r="1751" spans="1:1" x14ac:dyDescent="0.2">
      <c r="A1751" t="s">
        <v>1071</v>
      </c>
    </row>
    <row r="1752" spans="1:1" x14ac:dyDescent="0.2">
      <c r="A1752" t="s">
        <v>1072</v>
      </c>
    </row>
    <row r="1753" spans="1:1" x14ac:dyDescent="0.2">
      <c r="A1753" t="s">
        <v>1073</v>
      </c>
    </row>
    <row r="1754" spans="1:1" x14ac:dyDescent="0.2">
      <c r="A1754" t="s">
        <v>1074</v>
      </c>
    </row>
    <row r="1755" spans="1:1" x14ac:dyDescent="0.2">
      <c r="A1755" t="s">
        <v>1075</v>
      </c>
    </row>
    <row r="1756" spans="1:1" x14ac:dyDescent="0.2">
      <c r="A1756" t="s">
        <v>1076</v>
      </c>
    </row>
    <row r="1757" spans="1:1" x14ac:dyDescent="0.2">
      <c r="A1757" t="s">
        <v>1077</v>
      </c>
    </row>
    <row r="1758" spans="1:1" x14ac:dyDescent="0.2">
      <c r="A1758" t="s">
        <v>1078</v>
      </c>
    </row>
    <row r="1759" spans="1:1" x14ac:dyDescent="0.2">
      <c r="A1759" t="s">
        <v>1079</v>
      </c>
    </row>
    <row r="1760" spans="1:1" x14ac:dyDescent="0.2">
      <c r="A1760" t="s">
        <v>1080</v>
      </c>
    </row>
    <row r="1761" spans="1:1" x14ac:dyDescent="0.2">
      <c r="A1761" t="s">
        <v>1081</v>
      </c>
    </row>
    <row r="1762" spans="1:1" x14ac:dyDescent="0.2">
      <c r="A1762" t="s">
        <v>1082</v>
      </c>
    </row>
    <row r="1763" spans="1:1" x14ac:dyDescent="0.2">
      <c r="A1763" t="s">
        <v>1083</v>
      </c>
    </row>
    <row r="1764" spans="1:1" x14ac:dyDescent="0.2">
      <c r="A1764" t="s">
        <v>2771</v>
      </c>
    </row>
    <row r="1765" spans="1:1" x14ac:dyDescent="0.2">
      <c r="A1765" t="s">
        <v>2772</v>
      </c>
    </row>
    <row r="1766" spans="1:1" x14ac:dyDescent="0.2">
      <c r="A1766" t="s">
        <v>2773</v>
      </c>
    </row>
    <row r="1767" spans="1:1" x14ac:dyDescent="0.2">
      <c r="A1767" t="s">
        <v>2774</v>
      </c>
    </row>
    <row r="1768" spans="1:1" x14ac:dyDescent="0.2">
      <c r="A1768" t="s">
        <v>2775</v>
      </c>
    </row>
    <row r="1769" spans="1:1" x14ac:dyDescent="0.2">
      <c r="A1769" t="s">
        <v>2776</v>
      </c>
    </row>
    <row r="1770" spans="1:1" x14ac:dyDescent="0.2">
      <c r="A1770" t="s">
        <v>1084</v>
      </c>
    </row>
    <row r="1771" spans="1:1" x14ac:dyDescent="0.2">
      <c r="A1771" t="s">
        <v>1085</v>
      </c>
    </row>
    <row r="1772" spans="1:1" x14ac:dyDescent="0.2">
      <c r="A1772" t="s">
        <v>1086</v>
      </c>
    </row>
    <row r="1773" spans="1:1" x14ac:dyDescent="0.2">
      <c r="A1773" t="s">
        <v>1087</v>
      </c>
    </row>
    <row r="1774" spans="1:1" x14ac:dyDescent="0.2">
      <c r="A1774" t="s">
        <v>1088</v>
      </c>
    </row>
    <row r="1775" spans="1:1" x14ac:dyDescent="0.2">
      <c r="A1775" t="s">
        <v>1089</v>
      </c>
    </row>
    <row r="1776" spans="1:1" x14ac:dyDescent="0.2">
      <c r="A1776" t="s">
        <v>1090</v>
      </c>
    </row>
    <row r="1777" spans="1:1" x14ac:dyDescent="0.2">
      <c r="A1777" t="s">
        <v>1091</v>
      </c>
    </row>
    <row r="1778" spans="1:1" x14ac:dyDescent="0.2">
      <c r="A1778" t="s">
        <v>1092</v>
      </c>
    </row>
    <row r="1779" spans="1:1" x14ac:dyDescent="0.2">
      <c r="A1779" t="s">
        <v>1093</v>
      </c>
    </row>
    <row r="1780" spans="1:1" x14ac:dyDescent="0.2">
      <c r="A1780" t="s">
        <v>1094</v>
      </c>
    </row>
    <row r="1781" spans="1:1" x14ac:dyDescent="0.2">
      <c r="A1781" t="s">
        <v>1095</v>
      </c>
    </row>
    <row r="1782" spans="1:1" x14ac:dyDescent="0.2">
      <c r="A1782" t="s">
        <v>1096</v>
      </c>
    </row>
    <row r="1783" spans="1:1" x14ac:dyDescent="0.2">
      <c r="A1783" t="s">
        <v>1097</v>
      </c>
    </row>
    <row r="1784" spans="1:1" x14ac:dyDescent="0.2">
      <c r="A1784" t="s">
        <v>1098</v>
      </c>
    </row>
    <row r="1785" spans="1:1" x14ac:dyDescent="0.2">
      <c r="A1785" t="s">
        <v>1099</v>
      </c>
    </row>
    <row r="1786" spans="1:1" x14ac:dyDescent="0.2">
      <c r="A1786" t="s">
        <v>1100</v>
      </c>
    </row>
    <row r="1787" spans="1:1" x14ac:dyDescent="0.2">
      <c r="A1787" t="s">
        <v>1101</v>
      </c>
    </row>
    <row r="1788" spans="1:1" x14ac:dyDescent="0.2">
      <c r="A1788" t="s">
        <v>1102</v>
      </c>
    </row>
    <row r="1789" spans="1:1" x14ac:dyDescent="0.2">
      <c r="A1789" t="s">
        <v>1103</v>
      </c>
    </row>
    <row r="1790" spans="1:1" x14ac:dyDescent="0.2">
      <c r="A1790" t="s">
        <v>1104</v>
      </c>
    </row>
    <row r="1791" spans="1:1" x14ac:dyDescent="0.2">
      <c r="A1791" t="s">
        <v>1105</v>
      </c>
    </row>
    <row r="1792" spans="1:1" x14ac:dyDescent="0.2">
      <c r="A1792" t="s">
        <v>1106</v>
      </c>
    </row>
    <row r="1793" spans="1:1" x14ac:dyDescent="0.2">
      <c r="A1793" t="s">
        <v>1107</v>
      </c>
    </row>
    <row r="1794" spans="1:1" x14ac:dyDescent="0.2">
      <c r="A1794" t="s">
        <v>1108</v>
      </c>
    </row>
    <row r="1795" spans="1:1" x14ac:dyDescent="0.2">
      <c r="A1795" t="s">
        <v>1109</v>
      </c>
    </row>
    <row r="1796" spans="1:1" x14ac:dyDescent="0.2">
      <c r="A1796" t="s">
        <v>1110</v>
      </c>
    </row>
    <row r="1797" spans="1:1" x14ac:dyDescent="0.2">
      <c r="A1797" t="s">
        <v>1111</v>
      </c>
    </row>
    <row r="1798" spans="1:1" x14ac:dyDescent="0.2">
      <c r="A1798" t="s">
        <v>1112</v>
      </c>
    </row>
    <row r="1799" spans="1:1" x14ac:dyDescent="0.2">
      <c r="A1799" t="s">
        <v>1113</v>
      </c>
    </row>
    <row r="1800" spans="1:1" x14ac:dyDescent="0.2">
      <c r="A1800" t="s">
        <v>1114</v>
      </c>
    </row>
    <row r="1801" spans="1:1" x14ac:dyDescent="0.2">
      <c r="A1801" t="s">
        <v>1115</v>
      </c>
    </row>
    <row r="1802" spans="1:1" x14ac:dyDescent="0.2">
      <c r="A1802" t="s">
        <v>1116</v>
      </c>
    </row>
    <row r="1803" spans="1:1" x14ac:dyDescent="0.2">
      <c r="A1803" t="s">
        <v>1117</v>
      </c>
    </row>
    <row r="1804" spans="1:1" x14ac:dyDescent="0.2">
      <c r="A1804" t="s">
        <v>1118</v>
      </c>
    </row>
    <row r="1805" spans="1:1" x14ac:dyDescent="0.2">
      <c r="A1805" t="s">
        <v>1119</v>
      </c>
    </row>
    <row r="1806" spans="1:1" x14ac:dyDescent="0.2">
      <c r="A1806" t="s">
        <v>1120</v>
      </c>
    </row>
    <row r="1807" spans="1:1" x14ac:dyDescent="0.2">
      <c r="A1807" t="s">
        <v>1288</v>
      </c>
    </row>
    <row r="1808" spans="1:1" x14ac:dyDescent="0.2">
      <c r="A1808" t="s">
        <v>2798</v>
      </c>
    </row>
    <row r="1809" spans="1:1" x14ac:dyDescent="0.2">
      <c r="A1809" t="s">
        <v>2799</v>
      </c>
    </row>
    <row r="1810" spans="1:1" x14ac:dyDescent="0.2">
      <c r="A1810" t="s">
        <v>2779</v>
      </c>
    </row>
    <row r="1811" spans="1:1" x14ac:dyDescent="0.2">
      <c r="A1811" t="s">
        <v>2780</v>
      </c>
    </row>
    <row r="1812" spans="1:1" x14ac:dyDescent="0.2">
      <c r="A1812" t="s">
        <v>1289</v>
      </c>
    </row>
    <row r="1813" spans="1:1" x14ac:dyDescent="0.2">
      <c r="A1813" t="s">
        <v>2781</v>
      </c>
    </row>
    <row r="1814" spans="1:1" x14ac:dyDescent="0.2">
      <c r="A1814" t="s">
        <v>1121</v>
      </c>
    </row>
    <row r="1815" spans="1:1" x14ac:dyDescent="0.2">
      <c r="A1815" t="s">
        <v>1122</v>
      </c>
    </row>
    <row r="1816" spans="1:1" x14ac:dyDescent="0.2">
      <c r="A1816" t="s">
        <v>1123</v>
      </c>
    </row>
    <row r="1817" spans="1:1" x14ac:dyDescent="0.2">
      <c r="A1817" t="s">
        <v>1124</v>
      </c>
    </row>
    <row r="1818" spans="1:1" x14ac:dyDescent="0.2">
      <c r="A1818" t="s">
        <v>1125</v>
      </c>
    </row>
    <row r="1819" spans="1:1" x14ac:dyDescent="0.2">
      <c r="A1819" t="s">
        <v>1126</v>
      </c>
    </row>
    <row r="1820" spans="1:1" x14ac:dyDescent="0.2">
      <c r="A1820" t="s">
        <v>1127</v>
      </c>
    </row>
    <row r="1821" spans="1:1" x14ac:dyDescent="0.2">
      <c r="A1821" t="s">
        <v>1128</v>
      </c>
    </row>
    <row r="1822" spans="1:1" x14ac:dyDescent="0.2">
      <c r="A1822" t="s">
        <v>1129</v>
      </c>
    </row>
    <row r="1823" spans="1:1" x14ac:dyDescent="0.2">
      <c r="A1823" t="s">
        <v>1130</v>
      </c>
    </row>
    <row r="1824" spans="1:1" x14ac:dyDescent="0.2">
      <c r="A1824" t="s">
        <v>1131</v>
      </c>
    </row>
    <row r="1825" spans="1:1" x14ac:dyDescent="0.2">
      <c r="A1825" t="s">
        <v>1132</v>
      </c>
    </row>
    <row r="1826" spans="1:1" x14ac:dyDescent="0.2">
      <c r="A1826" t="s">
        <v>1133</v>
      </c>
    </row>
    <row r="1827" spans="1:1" x14ac:dyDescent="0.2">
      <c r="A1827" t="s">
        <v>1134</v>
      </c>
    </row>
    <row r="1828" spans="1:1" x14ac:dyDescent="0.2">
      <c r="A1828" t="s">
        <v>1135</v>
      </c>
    </row>
    <row r="1829" spans="1:1" x14ac:dyDescent="0.2">
      <c r="A1829" t="s">
        <v>1136</v>
      </c>
    </row>
    <row r="1830" spans="1:1" x14ac:dyDescent="0.2">
      <c r="A1830" t="s">
        <v>1137</v>
      </c>
    </row>
    <row r="1831" spans="1:1" x14ac:dyDescent="0.2">
      <c r="A1831" t="s">
        <v>1138</v>
      </c>
    </row>
    <row r="1832" spans="1:1" x14ac:dyDescent="0.2">
      <c r="A1832" t="s">
        <v>1139</v>
      </c>
    </row>
    <row r="1833" spans="1:1" x14ac:dyDescent="0.2">
      <c r="A1833" t="s">
        <v>1140</v>
      </c>
    </row>
    <row r="1834" spans="1:1" x14ac:dyDescent="0.2">
      <c r="A1834" t="s">
        <v>1141</v>
      </c>
    </row>
    <row r="1835" spans="1:1" x14ac:dyDescent="0.2">
      <c r="A1835" t="s">
        <v>1142</v>
      </c>
    </row>
    <row r="1836" spans="1:1" x14ac:dyDescent="0.2">
      <c r="A1836" t="s">
        <v>1143</v>
      </c>
    </row>
    <row r="1837" spans="1:1" x14ac:dyDescent="0.2">
      <c r="A1837" t="s">
        <v>1144</v>
      </c>
    </row>
    <row r="1838" spans="1:1" x14ac:dyDescent="0.2">
      <c r="A1838" t="s">
        <v>1145</v>
      </c>
    </row>
    <row r="1839" spans="1:1" x14ac:dyDescent="0.2">
      <c r="A1839" t="s">
        <v>1146</v>
      </c>
    </row>
    <row r="1840" spans="1:1" x14ac:dyDescent="0.2">
      <c r="A1840" t="s">
        <v>1147</v>
      </c>
    </row>
    <row r="1841" spans="1:1" x14ac:dyDescent="0.2">
      <c r="A1841" t="s">
        <v>1148</v>
      </c>
    </row>
    <row r="1842" spans="1:1" x14ac:dyDescent="0.2">
      <c r="A1842" t="s">
        <v>1149</v>
      </c>
    </row>
    <row r="1843" spans="1:1" x14ac:dyDescent="0.2">
      <c r="A1843" t="s">
        <v>1150</v>
      </c>
    </row>
    <row r="1844" spans="1:1" x14ac:dyDescent="0.2">
      <c r="A1844" t="s">
        <v>1151</v>
      </c>
    </row>
    <row r="1845" spans="1:1" x14ac:dyDescent="0.2">
      <c r="A1845" t="s">
        <v>1152</v>
      </c>
    </row>
    <row r="1846" spans="1:1" x14ac:dyDescent="0.2">
      <c r="A1846" t="s">
        <v>1153</v>
      </c>
    </row>
    <row r="1847" spans="1:1" x14ac:dyDescent="0.2">
      <c r="A1847" t="s">
        <v>1154</v>
      </c>
    </row>
    <row r="1848" spans="1:1" x14ac:dyDescent="0.2">
      <c r="A1848" t="s">
        <v>1155</v>
      </c>
    </row>
    <row r="1849" spans="1:1" x14ac:dyDescent="0.2">
      <c r="A1849" t="s">
        <v>1156</v>
      </c>
    </row>
    <row r="1850" spans="1:1" x14ac:dyDescent="0.2">
      <c r="A1850" t="s">
        <v>1157</v>
      </c>
    </row>
    <row r="1851" spans="1:1" x14ac:dyDescent="0.2">
      <c r="A1851" t="s">
        <v>1158</v>
      </c>
    </row>
    <row r="1852" spans="1:1" x14ac:dyDescent="0.2">
      <c r="A1852" t="s">
        <v>1159</v>
      </c>
    </row>
    <row r="1853" spans="1:1" x14ac:dyDescent="0.2">
      <c r="A1853" t="s">
        <v>1160</v>
      </c>
    </row>
    <row r="1854" spans="1:1" x14ac:dyDescent="0.2">
      <c r="A1854" t="s">
        <v>1161</v>
      </c>
    </row>
    <row r="1855" spans="1:1" x14ac:dyDescent="0.2">
      <c r="A1855" t="s">
        <v>1162</v>
      </c>
    </row>
    <row r="1856" spans="1:1" x14ac:dyDescent="0.2">
      <c r="A1856" t="s">
        <v>1163</v>
      </c>
    </row>
    <row r="1857" spans="1:1" x14ac:dyDescent="0.2">
      <c r="A1857" t="s">
        <v>1164</v>
      </c>
    </row>
    <row r="1858" spans="1:1" x14ac:dyDescent="0.2">
      <c r="A1858" t="s">
        <v>1165</v>
      </c>
    </row>
    <row r="1859" spans="1:1" x14ac:dyDescent="0.2">
      <c r="A1859" t="s">
        <v>1166</v>
      </c>
    </row>
    <row r="1860" spans="1:1" x14ac:dyDescent="0.2">
      <c r="A1860" t="s">
        <v>1167</v>
      </c>
    </row>
    <row r="1861" spans="1:1" x14ac:dyDescent="0.2">
      <c r="A1861" t="s">
        <v>1168</v>
      </c>
    </row>
    <row r="1862" spans="1:1" x14ac:dyDescent="0.2">
      <c r="A1862" t="s">
        <v>1169</v>
      </c>
    </row>
    <row r="1863" spans="1:1" x14ac:dyDescent="0.2">
      <c r="A1863" t="s">
        <v>1170</v>
      </c>
    </row>
    <row r="1864" spans="1:1" x14ac:dyDescent="0.2">
      <c r="A1864" t="s">
        <v>1171</v>
      </c>
    </row>
    <row r="1865" spans="1:1" x14ac:dyDescent="0.2">
      <c r="A1865" t="s">
        <v>1172</v>
      </c>
    </row>
    <row r="1866" spans="1:1" x14ac:dyDescent="0.2">
      <c r="A1866" t="s">
        <v>1173</v>
      </c>
    </row>
    <row r="1867" spans="1:1" x14ac:dyDescent="0.2">
      <c r="A1867" t="s">
        <v>1174</v>
      </c>
    </row>
    <row r="1868" spans="1:1" x14ac:dyDescent="0.2">
      <c r="A1868" t="s">
        <v>1175</v>
      </c>
    </row>
    <row r="1869" spans="1:1" x14ac:dyDescent="0.2">
      <c r="A1869" t="s">
        <v>1176</v>
      </c>
    </row>
    <row r="1870" spans="1:1" x14ac:dyDescent="0.2">
      <c r="A1870" t="s">
        <v>1177</v>
      </c>
    </row>
    <row r="1871" spans="1:1" x14ac:dyDescent="0.2">
      <c r="A1871" t="s">
        <v>1178</v>
      </c>
    </row>
    <row r="1872" spans="1:1" x14ac:dyDescent="0.2">
      <c r="A1872" t="s">
        <v>1179</v>
      </c>
    </row>
    <row r="1873" spans="1:1" x14ac:dyDescent="0.2">
      <c r="A1873" t="s">
        <v>1180</v>
      </c>
    </row>
    <row r="1874" spans="1:1" x14ac:dyDescent="0.2">
      <c r="A1874" t="s">
        <v>1181</v>
      </c>
    </row>
    <row r="1875" spans="1:1" x14ac:dyDescent="0.2">
      <c r="A1875" t="s">
        <v>1182</v>
      </c>
    </row>
    <row r="1876" spans="1:1" x14ac:dyDescent="0.2">
      <c r="A1876" t="s">
        <v>1183</v>
      </c>
    </row>
    <row r="1877" spans="1:1" x14ac:dyDescent="0.2">
      <c r="A1877" t="s">
        <v>1184</v>
      </c>
    </row>
    <row r="1878" spans="1:1" x14ac:dyDescent="0.2">
      <c r="A1878" t="s">
        <v>1185</v>
      </c>
    </row>
    <row r="1879" spans="1:1" x14ac:dyDescent="0.2">
      <c r="A1879" t="s">
        <v>1186</v>
      </c>
    </row>
    <row r="1880" spans="1:1" x14ac:dyDescent="0.2">
      <c r="A1880" t="s">
        <v>1187</v>
      </c>
    </row>
    <row r="1881" spans="1:1" x14ac:dyDescent="0.2">
      <c r="A1881" t="s">
        <v>1188</v>
      </c>
    </row>
    <row r="1882" spans="1:1" x14ac:dyDescent="0.2">
      <c r="A1882" t="s">
        <v>1189</v>
      </c>
    </row>
    <row r="1883" spans="1:1" x14ac:dyDescent="0.2">
      <c r="A1883" t="s">
        <v>1190</v>
      </c>
    </row>
    <row r="1884" spans="1:1" x14ac:dyDescent="0.2">
      <c r="A1884" t="s">
        <v>1191</v>
      </c>
    </row>
    <row r="1885" spans="1:1" x14ac:dyDescent="0.2">
      <c r="A1885" t="s">
        <v>1192</v>
      </c>
    </row>
    <row r="1886" spans="1:1" x14ac:dyDescent="0.2">
      <c r="A1886" t="s">
        <v>1193</v>
      </c>
    </row>
    <row r="1887" spans="1:1" x14ac:dyDescent="0.2">
      <c r="A1887" t="s">
        <v>1194</v>
      </c>
    </row>
    <row r="1888" spans="1:1" x14ac:dyDescent="0.2">
      <c r="A1888" t="s">
        <v>1195</v>
      </c>
    </row>
    <row r="1889" spans="1:1" x14ac:dyDescent="0.2">
      <c r="A1889" t="s">
        <v>1196</v>
      </c>
    </row>
    <row r="1890" spans="1:1" x14ac:dyDescent="0.2">
      <c r="A1890" t="s">
        <v>1197</v>
      </c>
    </row>
    <row r="1891" spans="1:1" x14ac:dyDescent="0.2">
      <c r="A1891" t="s">
        <v>1198</v>
      </c>
    </row>
    <row r="1892" spans="1:1" x14ac:dyDescent="0.2">
      <c r="A1892" t="s">
        <v>1199</v>
      </c>
    </row>
    <row r="1893" spans="1:1" x14ac:dyDescent="0.2">
      <c r="A1893" t="s">
        <v>1200</v>
      </c>
    </row>
    <row r="1894" spans="1:1" x14ac:dyDescent="0.2">
      <c r="A1894" t="s">
        <v>1201</v>
      </c>
    </row>
    <row r="1895" spans="1:1" x14ac:dyDescent="0.2">
      <c r="A1895" t="s">
        <v>1202</v>
      </c>
    </row>
    <row r="1896" spans="1:1" x14ac:dyDescent="0.2">
      <c r="A1896" t="s">
        <v>1203</v>
      </c>
    </row>
    <row r="1897" spans="1:1" x14ac:dyDescent="0.2">
      <c r="A1897" t="s">
        <v>1204</v>
      </c>
    </row>
    <row r="1898" spans="1:1" x14ac:dyDescent="0.2">
      <c r="A1898" t="s">
        <v>1205</v>
      </c>
    </row>
    <row r="1899" spans="1:1" x14ac:dyDescent="0.2">
      <c r="A1899" t="s">
        <v>1206</v>
      </c>
    </row>
    <row r="1900" spans="1:1" x14ac:dyDescent="0.2">
      <c r="A1900" t="s">
        <v>1207</v>
      </c>
    </row>
    <row r="1901" spans="1:1" x14ac:dyDescent="0.2">
      <c r="A1901" t="s">
        <v>1208</v>
      </c>
    </row>
    <row r="1902" spans="1:1" x14ac:dyDescent="0.2">
      <c r="A1902" t="s">
        <v>1209</v>
      </c>
    </row>
    <row r="1903" spans="1:1" x14ac:dyDescent="0.2">
      <c r="A1903" t="s">
        <v>1210</v>
      </c>
    </row>
    <row r="1904" spans="1:1" x14ac:dyDescent="0.2">
      <c r="A1904" t="s">
        <v>1211</v>
      </c>
    </row>
    <row r="1905" spans="1:1" x14ac:dyDescent="0.2">
      <c r="A1905" t="s">
        <v>1212</v>
      </c>
    </row>
    <row r="1906" spans="1:1" x14ac:dyDescent="0.2">
      <c r="A1906" t="s">
        <v>1213</v>
      </c>
    </row>
    <row r="1907" spans="1:1" x14ac:dyDescent="0.2">
      <c r="A1907" t="s">
        <v>1214</v>
      </c>
    </row>
    <row r="1908" spans="1:1" x14ac:dyDescent="0.2">
      <c r="A1908" t="s">
        <v>1215</v>
      </c>
    </row>
    <row r="1909" spans="1:1" x14ac:dyDescent="0.2">
      <c r="A1909" t="s">
        <v>1216</v>
      </c>
    </row>
    <row r="1910" spans="1:1" x14ac:dyDescent="0.2">
      <c r="A1910" t="s">
        <v>1217</v>
      </c>
    </row>
    <row r="1911" spans="1:1" x14ac:dyDescent="0.2">
      <c r="A1911" t="s">
        <v>1218</v>
      </c>
    </row>
    <row r="1912" spans="1:1" x14ac:dyDescent="0.2">
      <c r="A1912" t="s">
        <v>1219</v>
      </c>
    </row>
    <row r="1913" spans="1:1" x14ac:dyDescent="0.2">
      <c r="A1913" t="s">
        <v>1220</v>
      </c>
    </row>
    <row r="1914" spans="1:1" x14ac:dyDescent="0.2">
      <c r="A1914" t="s">
        <v>1221</v>
      </c>
    </row>
    <row r="1915" spans="1:1" x14ac:dyDescent="0.2">
      <c r="A1915" t="s">
        <v>1222</v>
      </c>
    </row>
    <row r="1916" spans="1:1" x14ac:dyDescent="0.2">
      <c r="A1916" t="s">
        <v>1223</v>
      </c>
    </row>
    <row r="1917" spans="1:1" x14ac:dyDescent="0.2">
      <c r="A1917" t="s">
        <v>1224</v>
      </c>
    </row>
    <row r="1918" spans="1:1" x14ac:dyDescent="0.2">
      <c r="A1918" t="s">
        <v>1225</v>
      </c>
    </row>
    <row r="1919" spans="1:1" x14ac:dyDescent="0.2">
      <c r="A1919" t="s">
        <v>1226</v>
      </c>
    </row>
    <row r="1920" spans="1:1" x14ac:dyDescent="0.2">
      <c r="A1920" t="s">
        <v>1227</v>
      </c>
    </row>
    <row r="1921" spans="1:1" x14ac:dyDescent="0.2">
      <c r="A1921" t="s">
        <v>1228</v>
      </c>
    </row>
    <row r="1922" spans="1:1" x14ac:dyDescent="0.2">
      <c r="A1922" t="s">
        <v>1229</v>
      </c>
    </row>
    <row r="1923" spans="1:1" x14ac:dyDescent="0.2">
      <c r="A1923" t="s">
        <v>1230</v>
      </c>
    </row>
    <row r="1924" spans="1:1" x14ac:dyDescent="0.2">
      <c r="A1924" t="s">
        <v>1231</v>
      </c>
    </row>
    <row r="1925" spans="1:1" x14ac:dyDescent="0.2">
      <c r="A1925" t="s">
        <v>1232</v>
      </c>
    </row>
    <row r="1926" spans="1:1" x14ac:dyDescent="0.2">
      <c r="A1926" t="s">
        <v>1233</v>
      </c>
    </row>
    <row r="1927" spans="1:1" x14ac:dyDescent="0.2">
      <c r="A1927" t="s">
        <v>1234</v>
      </c>
    </row>
    <row r="1928" spans="1:1" x14ac:dyDescent="0.2">
      <c r="A1928" t="s">
        <v>1235</v>
      </c>
    </row>
    <row r="1929" spans="1:1" x14ac:dyDescent="0.2">
      <c r="A1929" t="s">
        <v>1236</v>
      </c>
    </row>
    <row r="1930" spans="1:1" x14ac:dyDescent="0.2">
      <c r="A1930" t="s">
        <v>1237</v>
      </c>
    </row>
    <row r="1931" spans="1:1" x14ac:dyDescent="0.2">
      <c r="A1931" t="s">
        <v>1238</v>
      </c>
    </row>
    <row r="1932" spans="1:1" x14ac:dyDescent="0.2">
      <c r="A1932" t="s">
        <v>1239</v>
      </c>
    </row>
    <row r="1933" spans="1:1" x14ac:dyDescent="0.2">
      <c r="A1933" t="s">
        <v>1240</v>
      </c>
    </row>
    <row r="1934" spans="1:1" x14ac:dyDescent="0.2">
      <c r="A1934" t="s">
        <v>1241</v>
      </c>
    </row>
    <row r="1935" spans="1:1" x14ac:dyDescent="0.2">
      <c r="A1935" t="s">
        <v>1242</v>
      </c>
    </row>
    <row r="1936" spans="1:1" x14ac:dyDescent="0.2">
      <c r="A1936" t="s">
        <v>1243</v>
      </c>
    </row>
    <row r="1937" spans="1:1" x14ac:dyDescent="0.2">
      <c r="A1937" t="s">
        <v>1244</v>
      </c>
    </row>
    <row r="1938" spans="1:1" x14ac:dyDescent="0.2">
      <c r="A1938" t="s">
        <v>1245</v>
      </c>
    </row>
    <row r="1939" spans="1:1" x14ac:dyDescent="0.2">
      <c r="A1939" t="s">
        <v>1246</v>
      </c>
    </row>
    <row r="1940" spans="1:1" x14ac:dyDescent="0.2">
      <c r="A1940" t="s">
        <v>1247</v>
      </c>
    </row>
    <row r="1941" spans="1:1" x14ac:dyDescent="0.2">
      <c r="A1941" t="s">
        <v>1248</v>
      </c>
    </row>
    <row r="1942" spans="1:1" x14ac:dyDescent="0.2">
      <c r="A1942" t="s">
        <v>1249</v>
      </c>
    </row>
    <row r="1943" spans="1:1" x14ac:dyDescent="0.2">
      <c r="A1943" t="s">
        <v>1250</v>
      </c>
    </row>
    <row r="1944" spans="1:1" x14ac:dyDescent="0.2">
      <c r="A1944" t="s">
        <v>1251</v>
      </c>
    </row>
    <row r="1945" spans="1:1" x14ac:dyDescent="0.2">
      <c r="A1945" t="s">
        <v>1252</v>
      </c>
    </row>
    <row r="1946" spans="1:1" x14ac:dyDescent="0.2">
      <c r="A1946" t="s">
        <v>1253</v>
      </c>
    </row>
    <row r="1947" spans="1:1" x14ac:dyDescent="0.2">
      <c r="A1947" t="s">
        <v>1254</v>
      </c>
    </row>
    <row r="1948" spans="1:1" x14ac:dyDescent="0.2">
      <c r="A1948" t="s">
        <v>1255</v>
      </c>
    </row>
    <row r="1949" spans="1:1" x14ac:dyDescent="0.2">
      <c r="A1949" t="s">
        <v>1256</v>
      </c>
    </row>
    <row r="1950" spans="1:1" x14ac:dyDescent="0.2">
      <c r="A1950" t="s">
        <v>1257</v>
      </c>
    </row>
    <row r="1951" spans="1:1" x14ac:dyDescent="0.2">
      <c r="A1951" t="s">
        <v>1258</v>
      </c>
    </row>
    <row r="1952" spans="1:1" x14ac:dyDescent="0.2">
      <c r="A1952" t="s">
        <v>1259</v>
      </c>
    </row>
    <row r="1953" spans="1:1" x14ac:dyDescent="0.2">
      <c r="A1953" t="s">
        <v>1260</v>
      </c>
    </row>
    <row r="1954" spans="1:1" x14ac:dyDescent="0.2">
      <c r="A1954" t="s">
        <v>1261</v>
      </c>
    </row>
    <row r="1955" spans="1:1" x14ac:dyDescent="0.2">
      <c r="A1955" t="s">
        <v>1262</v>
      </c>
    </row>
    <row r="1956" spans="1:1" x14ac:dyDescent="0.2">
      <c r="A1956" t="s">
        <v>1263</v>
      </c>
    </row>
    <row r="1957" spans="1:1" x14ac:dyDescent="0.2">
      <c r="A1957" t="s">
        <v>1264</v>
      </c>
    </row>
    <row r="1958" spans="1:1" x14ac:dyDescent="0.2">
      <c r="A1958" t="s">
        <v>1265</v>
      </c>
    </row>
    <row r="1959" spans="1:1" x14ac:dyDescent="0.2">
      <c r="A1959" t="s">
        <v>1266</v>
      </c>
    </row>
    <row r="1960" spans="1:1" x14ac:dyDescent="0.2">
      <c r="A1960" t="s">
        <v>1267</v>
      </c>
    </row>
    <row r="1961" spans="1:1" x14ac:dyDescent="0.2">
      <c r="A1961" t="s">
        <v>1268</v>
      </c>
    </row>
    <row r="1962" spans="1:1" x14ac:dyDescent="0.2">
      <c r="A1962" t="s">
        <v>1269</v>
      </c>
    </row>
    <row r="1963" spans="1:1" x14ac:dyDescent="0.2">
      <c r="A1963" t="s">
        <v>1270</v>
      </c>
    </row>
    <row r="1964" spans="1:1" x14ac:dyDescent="0.2">
      <c r="A1964" t="s">
        <v>1271</v>
      </c>
    </row>
    <row r="1965" spans="1:1" x14ac:dyDescent="0.2">
      <c r="A1965" t="s">
        <v>1272</v>
      </c>
    </row>
    <row r="1966" spans="1:1" x14ac:dyDescent="0.2">
      <c r="A1966" t="s">
        <v>1273</v>
      </c>
    </row>
    <row r="1967" spans="1:1" x14ac:dyDescent="0.2">
      <c r="A1967" t="s">
        <v>1274</v>
      </c>
    </row>
    <row r="1968" spans="1:1" x14ac:dyDescent="0.2">
      <c r="A1968" t="s">
        <v>1275</v>
      </c>
    </row>
    <row r="1969" spans="1:1" x14ac:dyDescent="0.2">
      <c r="A1969" t="s">
        <v>1276</v>
      </c>
    </row>
    <row r="1970" spans="1:1" x14ac:dyDescent="0.2">
      <c r="A1970" t="s">
        <v>1277</v>
      </c>
    </row>
    <row r="1971" spans="1:1" x14ac:dyDescent="0.2">
      <c r="A1971" t="s">
        <v>1278</v>
      </c>
    </row>
    <row r="1972" spans="1:1" x14ac:dyDescent="0.2">
      <c r="A1972" t="s">
        <v>1279</v>
      </c>
    </row>
    <row r="1973" spans="1:1" x14ac:dyDescent="0.2">
      <c r="A1973" t="s">
        <v>1280</v>
      </c>
    </row>
    <row r="1974" spans="1:1" x14ac:dyDescent="0.2">
      <c r="A1974" t="s">
        <v>1281</v>
      </c>
    </row>
    <row r="1975" spans="1:1" x14ac:dyDescent="0.2">
      <c r="A1975" t="s">
        <v>1282</v>
      </c>
    </row>
    <row r="1976" spans="1:1" x14ac:dyDescent="0.2">
      <c r="A1976" t="s">
        <v>1283</v>
      </c>
    </row>
    <row r="1977" spans="1:1" x14ac:dyDescent="0.2">
      <c r="A1977" t="s">
        <v>1284</v>
      </c>
    </row>
    <row r="1978" spans="1:1" x14ac:dyDescent="0.2">
      <c r="A1978" t="s">
        <v>1285</v>
      </c>
    </row>
    <row r="1979" spans="1:1" x14ac:dyDescent="0.2">
      <c r="A1979" t="s">
        <v>1286</v>
      </c>
    </row>
    <row r="1980" spans="1:1" x14ac:dyDescent="0.2">
      <c r="A1980" t="s">
        <v>2800</v>
      </c>
    </row>
    <row r="1981" spans="1:1" x14ac:dyDescent="0.2">
      <c r="A1981" t="s">
        <v>1053</v>
      </c>
    </row>
    <row r="1982" spans="1:1" x14ac:dyDescent="0.2">
      <c r="A1982" t="s">
        <v>2801</v>
      </c>
    </row>
    <row r="1983" spans="1:1" x14ac:dyDescent="0.2">
      <c r="A1983" t="s">
        <v>2768</v>
      </c>
    </row>
    <row r="1984" spans="1:1" x14ac:dyDescent="0.2">
      <c r="A1984" t="s">
        <v>2769</v>
      </c>
    </row>
    <row r="1985" spans="1:1" x14ac:dyDescent="0.2">
      <c r="A1985" t="s">
        <v>1054</v>
      </c>
    </row>
    <row r="1986" spans="1:1" x14ac:dyDescent="0.2">
      <c r="A1986" t="s">
        <v>1055</v>
      </c>
    </row>
    <row r="1987" spans="1:1" x14ac:dyDescent="0.2">
      <c r="A1987" t="s">
        <v>2802</v>
      </c>
    </row>
    <row r="1988" spans="1:1" x14ac:dyDescent="0.2">
      <c r="A1988" t="s">
        <v>1056</v>
      </c>
    </row>
    <row r="1989" spans="1:1" x14ac:dyDescent="0.2">
      <c r="A1989" t="s">
        <v>1057</v>
      </c>
    </row>
    <row r="1990" spans="1:1" x14ac:dyDescent="0.2">
      <c r="A1990" t="s">
        <v>1058</v>
      </c>
    </row>
    <row r="1991" spans="1:1" x14ac:dyDescent="0.2">
      <c r="A1991" t="s">
        <v>1059</v>
      </c>
    </row>
    <row r="1992" spans="1:1" x14ac:dyDescent="0.2">
      <c r="A1992" t="s">
        <v>1060</v>
      </c>
    </row>
    <row r="1993" spans="1:1" x14ac:dyDescent="0.2">
      <c r="A1993" t="s">
        <v>1061</v>
      </c>
    </row>
    <row r="1994" spans="1:1" x14ac:dyDescent="0.2">
      <c r="A1994" t="s">
        <v>1062</v>
      </c>
    </row>
    <row r="1995" spans="1:1" x14ac:dyDescent="0.2">
      <c r="A1995" t="s">
        <v>1063</v>
      </c>
    </row>
    <row r="1996" spans="1:1" x14ac:dyDescent="0.2">
      <c r="A1996" t="s">
        <v>1064</v>
      </c>
    </row>
    <row r="1997" spans="1:1" x14ac:dyDescent="0.2">
      <c r="A1997" t="s">
        <v>1065</v>
      </c>
    </row>
    <row r="1998" spans="1:1" x14ac:dyDescent="0.2">
      <c r="A1998" t="s">
        <v>1066</v>
      </c>
    </row>
    <row r="1999" spans="1:1" x14ac:dyDescent="0.2">
      <c r="A1999" t="s">
        <v>1067</v>
      </c>
    </row>
    <row r="2000" spans="1:1" x14ac:dyDescent="0.2">
      <c r="A2000" t="s">
        <v>1068</v>
      </c>
    </row>
    <row r="2001" spans="1:1" x14ac:dyDescent="0.2">
      <c r="A2001" t="s">
        <v>1069</v>
      </c>
    </row>
    <row r="2002" spans="1:1" x14ac:dyDescent="0.2">
      <c r="A2002" t="s">
        <v>1070</v>
      </c>
    </row>
    <row r="2003" spans="1:1" x14ac:dyDescent="0.2">
      <c r="A2003" t="s">
        <v>1071</v>
      </c>
    </row>
    <row r="2004" spans="1:1" x14ac:dyDescent="0.2">
      <c r="A2004" t="s">
        <v>1072</v>
      </c>
    </row>
    <row r="2005" spans="1:1" x14ac:dyDescent="0.2">
      <c r="A2005" t="s">
        <v>1073</v>
      </c>
    </row>
    <row r="2006" spans="1:1" x14ac:dyDescent="0.2">
      <c r="A2006" t="s">
        <v>1074</v>
      </c>
    </row>
    <row r="2007" spans="1:1" x14ac:dyDescent="0.2">
      <c r="A2007" t="s">
        <v>1075</v>
      </c>
    </row>
    <row r="2008" spans="1:1" x14ac:dyDescent="0.2">
      <c r="A2008" t="s">
        <v>1076</v>
      </c>
    </row>
    <row r="2009" spans="1:1" x14ac:dyDescent="0.2">
      <c r="A2009" t="s">
        <v>1077</v>
      </c>
    </row>
    <row r="2010" spans="1:1" x14ac:dyDescent="0.2">
      <c r="A2010" t="s">
        <v>1078</v>
      </c>
    </row>
    <row r="2011" spans="1:1" x14ac:dyDescent="0.2">
      <c r="A2011" t="s">
        <v>1079</v>
      </c>
    </row>
    <row r="2012" spans="1:1" x14ac:dyDescent="0.2">
      <c r="A2012" t="s">
        <v>1080</v>
      </c>
    </row>
    <row r="2013" spans="1:1" x14ac:dyDescent="0.2">
      <c r="A2013" t="s">
        <v>1081</v>
      </c>
    </row>
    <row r="2014" spans="1:1" x14ac:dyDescent="0.2">
      <c r="A2014" t="s">
        <v>1082</v>
      </c>
    </row>
    <row r="2015" spans="1:1" x14ac:dyDescent="0.2">
      <c r="A2015" t="s">
        <v>1083</v>
      </c>
    </row>
    <row r="2016" spans="1:1" x14ac:dyDescent="0.2">
      <c r="A2016" t="s">
        <v>2771</v>
      </c>
    </row>
    <row r="2017" spans="1:1" x14ac:dyDescent="0.2">
      <c r="A2017" t="s">
        <v>2772</v>
      </c>
    </row>
    <row r="2018" spans="1:1" x14ac:dyDescent="0.2">
      <c r="A2018" t="s">
        <v>2773</v>
      </c>
    </row>
    <row r="2019" spans="1:1" x14ac:dyDescent="0.2">
      <c r="A2019" t="s">
        <v>2774</v>
      </c>
    </row>
    <row r="2020" spans="1:1" x14ac:dyDescent="0.2">
      <c r="A2020" t="s">
        <v>2775</v>
      </c>
    </row>
    <row r="2021" spans="1:1" x14ac:dyDescent="0.2">
      <c r="A2021" t="s">
        <v>2776</v>
      </c>
    </row>
    <row r="2022" spans="1:1" x14ac:dyDescent="0.2">
      <c r="A2022" t="s">
        <v>1084</v>
      </c>
    </row>
    <row r="2023" spans="1:1" x14ac:dyDescent="0.2">
      <c r="A2023" t="s">
        <v>1085</v>
      </c>
    </row>
    <row r="2024" spans="1:1" x14ac:dyDescent="0.2">
      <c r="A2024" t="s">
        <v>1086</v>
      </c>
    </row>
    <row r="2025" spans="1:1" x14ac:dyDescent="0.2">
      <c r="A2025" t="s">
        <v>1087</v>
      </c>
    </row>
    <row r="2026" spans="1:1" x14ac:dyDescent="0.2">
      <c r="A2026" t="s">
        <v>1088</v>
      </c>
    </row>
    <row r="2027" spans="1:1" x14ac:dyDescent="0.2">
      <c r="A2027" t="s">
        <v>1089</v>
      </c>
    </row>
    <row r="2028" spans="1:1" x14ac:dyDescent="0.2">
      <c r="A2028" t="s">
        <v>1090</v>
      </c>
    </row>
    <row r="2029" spans="1:1" x14ac:dyDescent="0.2">
      <c r="A2029" t="s">
        <v>1091</v>
      </c>
    </row>
    <row r="2030" spans="1:1" x14ac:dyDescent="0.2">
      <c r="A2030" t="s">
        <v>1092</v>
      </c>
    </row>
    <row r="2031" spans="1:1" x14ac:dyDescent="0.2">
      <c r="A2031" t="s">
        <v>1093</v>
      </c>
    </row>
    <row r="2032" spans="1:1" x14ac:dyDescent="0.2">
      <c r="A2032" t="s">
        <v>1094</v>
      </c>
    </row>
    <row r="2033" spans="1:1" x14ac:dyDescent="0.2">
      <c r="A2033" t="s">
        <v>1095</v>
      </c>
    </row>
    <row r="2034" spans="1:1" x14ac:dyDescent="0.2">
      <c r="A2034" t="s">
        <v>1096</v>
      </c>
    </row>
    <row r="2035" spans="1:1" x14ac:dyDescent="0.2">
      <c r="A2035" t="s">
        <v>1097</v>
      </c>
    </row>
    <row r="2036" spans="1:1" x14ac:dyDescent="0.2">
      <c r="A2036" t="s">
        <v>1098</v>
      </c>
    </row>
    <row r="2037" spans="1:1" x14ac:dyDescent="0.2">
      <c r="A2037" t="s">
        <v>1099</v>
      </c>
    </row>
    <row r="2038" spans="1:1" x14ac:dyDescent="0.2">
      <c r="A2038" t="s">
        <v>1100</v>
      </c>
    </row>
    <row r="2039" spans="1:1" x14ac:dyDescent="0.2">
      <c r="A2039" t="s">
        <v>1101</v>
      </c>
    </row>
    <row r="2040" spans="1:1" x14ac:dyDescent="0.2">
      <c r="A2040" t="s">
        <v>1102</v>
      </c>
    </row>
    <row r="2041" spans="1:1" x14ac:dyDescent="0.2">
      <c r="A2041" t="s">
        <v>1103</v>
      </c>
    </row>
    <row r="2042" spans="1:1" x14ac:dyDescent="0.2">
      <c r="A2042" t="s">
        <v>1104</v>
      </c>
    </row>
    <row r="2043" spans="1:1" x14ac:dyDescent="0.2">
      <c r="A2043" t="s">
        <v>1105</v>
      </c>
    </row>
    <row r="2044" spans="1:1" x14ac:dyDescent="0.2">
      <c r="A2044" t="s">
        <v>1106</v>
      </c>
    </row>
    <row r="2045" spans="1:1" x14ac:dyDescent="0.2">
      <c r="A2045" t="s">
        <v>1107</v>
      </c>
    </row>
    <row r="2046" spans="1:1" x14ac:dyDescent="0.2">
      <c r="A2046" t="s">
        <v>1108</v>
      </c>
    </row>
    <row r="2047" spans="1:1" x14ac:dyDescent="0.2">
      <c r="A2047" t="s">
        <v>1109</v>
      </c>
    </row>
    <row r="2048" spans="1:1" x14ac:dyDescent="0.2">
      <c r="A2048" t="s">
        <v>1110</v>
      </c>
    </row>
    <row r="2049" spans="1:1" x14ac:dyDescent="0.2">
      <c r="A2049" t="s">
        <v>1111</v>
      </c>
    </row>
    <row r="2050" spans="1:1" x14ac:dyDescent="0.2">
      <c r="A2050" t="s">
        <v>1112</v>
      </c>
    </row>
    <row r="2051" spans="1:1" x14ac:dyDescent="0.2">
      <c r="A2051" t="s">
        <v>1113</v>
      </c>
    </row>
    <row r="2052" spans="1:1" x14ac:dyDescent="0.2">
      <c r="A2052" t="s">
        <v>1114</v>
      </c>
    </row>
    <row r="2053" spans="1:1" x14ac:dyDescent="0.2">
      <c r="A2053" t="s">
        <v>1115</v>
      </c>
    </row>
    <row r="2054" spans="1:1" x14ac:dyDescent="0.2">
      <c r="A2054" t="s">
        <v>1116</v>
      </c>
    </row>
    <row r="2055" spans="1:1" x14ac:dyDescent="0.2">
      <c r="A2055" t="s">
        <v>1117</v>
      </c>
    </row>
    <row r="2056" spans="1:1" x14ac:dyDescent="0.2">
      <c r="A2056" t="s">
        <v>1118</v>
      </c>
    </row>
    <row r="2057" spans="1:1" x14ac:dyDescent="0.2">
      <c r="A2057" t="s">
        <v>1119</v>
      </c>
    </row>
    <row r="2058" spans="1:1" x14ac:dyDescent="0.2">
      <c r="A2058" t="s">
        <v>1120</v>
      </c>
    </row>
    <row r="2059" spans="1:1" x14ac:dyDescent="0.2">
      <c r="A2059" t="s">
        <v>1288</v>
      </c>
    </row>
    <row r="2060" spans="1:1" x14ac:dyDescent="0.2">
      <c r="A2060" t="s">
        <v>2803</v>
      </c>
    </row>
    <row r="2061" spans="1:1" x14ac:dyDescent="0.2">
      <c r="A2061" t="s">
        <v>2804</v>
      </c>
    </row>
    <row r="2062" spans="1:1" x14ac:dyDescent="0.2">
      <c r="A2062" t="s">
        <v>2779</v>
      </c>
    </row>
    <row r="2063" spans="1:1" x14ac:dyDescent="0.2">
      <c r="A2063" t="s">
        <v>2780</v>
      </c>
    </row>
    <row r="2064" spans="1:1" x14ac:dyDescent="0.2">
      <c r="A2064" t="s">
        <v>1289</v>
      </c>
    </row>
    <row r="2065" spans="1:1" x14ac:dyDescent="0.2">
      <c r="A2065" t="s">
        <v>2781</v>
      </c>
    </row>
    <row r="2066" spans="1:1" x14ac:dyDescent="0.2">
      <c r="A2066" t="s">
        <v>1121</v>
      </c>
    </row>
    <row r="2067" spans="1:1" x14ac:dyDescent="0.2">
      <c r="A2067" t="s">
        <v>1122</v>
      </c>
    </row>
    <row r="2068" spans="1:1" x14ac:dyDescent="0.2">
      <c r="A2068" t="s">
        <v>1123</v>
      </c>
    </row>
    <row r="2069" spans="1:1" x14ac:dyDescent="0.2">
      <c r="A2069" t="s">
        <v>1124</v>
      </c>
    </row>
    <row r="2070" spans="1:1" x14ac:dyDescent="0.2">
      <c r="A2070" t="s">
        <v>1125</v>
      </c>
    </row>
    <row r="2071" spans="1:1" x14ac:dyDescent="0.2">
      <c r="A2071" t="s">
        <v>1126</v>
      </c>
    </row>
    <row r="2072" spans="1:1" x14ac:dyDescent="0.2">
      <c r="A2072" t="s">
        <v>1127</v>
      </c>
    </row>
    <row r="2073" spans="1:1" x14ac:dyDescent="0.2">
      <c r="A2073" t="s">
        <v>1128</v>
      </c>
    </row>
    <row r="2074" spans="1:1" x14ac:dyDescent="0.2">
      <c r="A2074" t="s">
        <v>1129</v>
      </c>
    </row>
    <row r="2075" spans="1:1" x14ac:dyDescent="0.2">
      <c r="A2075" t="s">
        <v>1130</v>
      </c>
    </row>
    <row r="2076" spans="1:1" x14ac:dyDescent="0.2">
      <c r="A2076" t="s">
        <v>1131</v>
      </c>
    </row>
    <row r="2077" spans="1:1" x14ac:dyDescent="0.2">
      <c r="A2077" t="s">
        <v>1132</v>
      </c>
    </row>
    <row r="2078" spans="1:1" x14ac:dyDescent="0.2">
      <c r="A2078" t="s">
        <v>1133</v>
      </c>
    </row>
    <row r="2079" spans="1:1" x14ac:dyDescent="0.2">
      <c r="A2079" t="s">
        <v>1134</v>
      </c>
    </row>
    <row r="2080" spans="1:1" x14ac:dyDescent="0.2">
      <c r="A2080" t="s">
        <v>1135</v>
      </c>
    </row>
    <row r="2081" spans="1:1" x14ac:dyDescent="0.2">
      <c r="A2081" t="s">
        <v>1136</v>
      </c>
    </row>
    <row r="2082" spans="1:1" x14ac:dyDescent="0.2">
      <c r="A2082" t="s">
        <v>1137</v>
      </c>
    </row>
    <row r="2083" spans="1:1" x14ac:dyDescent="0.2">
      <c r="A2083" t="s">
        <v>1138</v>
      </c>
    </row>
    <row r="2084" spans="1:1" x14ac:dyDescent="0.2">
      <c r="A2084" t="s">
        <v>1139</v>
      </c>
    </row>
    <row r="2085" spans="1:1" x14ac:dyDescent="0.2">
      <c r="A2085" t="s">
        <v>1140</v>
      </c>
    </row>
    <row r="2086" spans="1:1" x14ac:dyDescent="0.2">
      <c r="A2086" t="s">
        <v>1141</v>
      </c>
    </row>
    <row r="2087" spans="1:1" x14ac:dyDescent="0.2">
      <c r="A2087" t="s">
        <v>1142</v>
      </c>
    </row>
    <row r="2088" spans="1:1" x14ac:dyDescent="0.2">
      <c r="A2088" t="s">
        <v>1143</v>
      </c>
    </row>
    <row r="2089" spans="1:1" x14ac:dyDescent="0.2">
      <c r="A2089" t="s">
        <v>1144</v>
      </c>
    </row>
    <row r="2090" spans="1:1" x14ac:dyDescent="0.2">
      <c r="A2090" t="s">
        <v>1145</v>
      </c>
    </row>
    <row r="2091" spans="1:1" x14ac:dyDescent="0.2">
      <c r="A2091" t="s">
        <v>1146</v>
      </c>
    </row>
    <row r="2092" spans="1:1" x14ac:dyDescent="0.2">
      <c r="A2092" t="s">
        <v>1147</v>
      </c>
    </row>
    <row r="2093" spans="1:1" x14ac:dyDescent="0.2">
      <c r="A2093" t="s">
        <v>1148</v>
      </c>
    </row>
    <row r="2094" spans="1:1" x14ac:dyDescent="0.2">
      <c r="A2094" t="s">
        <v>1149</v>
      </c>
    </row>
    <row r="2095" spans="1:1" x14ac:dyDescent="0.2">
      <c r="A2095" t="s">
        <v>1150</v>
      </c>
    </row>
    <row r="2096" spans="1:1" x14ac:dyDescent="0.2">
      <c r="A2096" t="s">
        <v>1151</v>
      </c>
    </row>
    <row r="2097" spans="1:1" x14ac:dyDescent="0.2">
      <c r="A2097" t="s">
        <v>1152</v>
      </c>
    </row>
    <row r="2098" spans="1:1" x14ac:dyDescent="0.2">
      <c r="A2098" t="s">
        <v>1153</v>
      </c>
    </row>
    <row r="2099" spans="1:1" x14ac:dyDescent="0.2">
      <c r="A2099" t="s">
        <v>1154</v>
      </c>
    </row>
    <row r="2100" spans="1:1" x14ac:dyDescent="0.2">
      <c r="A2100" t="s">
        <v>1155</v>
      </c>
    </row>
    <row r="2101" spans="1:1" x14ac:dyDescent="0.2">
      <c r="A2101" t="s">
        <v>1156</v>
      </c>
    </row>
    <row r="2102" spans="1:1" x14ac:dyDescent="0.2">
      <c r="A2102" t="s">
        <v>1157</v>
      </c>
    </row>
    <row r="2103" spans="1:1" x14ac:dyDescent="0.2">
      <c r="A2103" t="s">
        <v>1158</v>
      </c>
    </row>
    <row r="2104" spans="1:1" x14ac:dyDescent="0.2">
      <c r="A2104" t="s">
        <v>1159</v>
      </c>
    </row>
    <row r="2105" spans="1:1" x14ac:dyDescent="0.2">
      <c r="A2105" t="s">
        <v>1160</v>
      </c>
    </row>
    <row r="2106" spans="1:1" x14ac:dyDescent="0.2">
      <c r="A2106" t="s">
        <v>1161</v>
      </c>
    </row>
    <row r="2107" spans="1:1" x14ac:dyDescent="0.2">
      <c r="A2107" t="s">
        <v>1162</v>
      </c>
    </row>
    <row r="2108" spans="1:1" x14ac:dyDescent="0.2">
      <c r="A2108" t="s">
        <v>1163</v>
      </c>
    </row>
    <row r="2109" spans="1:1" x14ac:dyDescent="0.2">
      <c r="A2109" t="s">
        <v>1164</v>
      </c>
    </row>
    <row r="2110" spans="1:1" x14ac:dyDescent="0.2">
      <c r="A2110" t="s">
        <v>1165</v>
      </c>
    </row>
    <row r="2111" spans="1:1" x14ac:dyDescent="0.2">
      <c r="A2111" t="s">
        <v>1166</v>
      </c>
    </row>
    <row r="2112" spans="1:1" x14ac:dyDescent="0.2">
      <c r="A2112" t="s">
        <v>1167</v>
      </c>
    </row>
    <row r="2113" spans="1:1" x14ac:dyDescent="0.2">
      <c r="A2113" t="s">
        <v>1168</v>
      </c>
    </row>
    <row r="2114" spans="1:1" x14ac:dyDescent="0.2">
      <c r="A2114" t="s">
        <v>1169</v>
      </c>
    </row>
    <row r="2115" spans="1:1" x14ac:dyDescent="0.2">
      <c r="A2115" t="s">
        <v>1170</v>
      </c>
    </row>
    <row r="2116" spans="1:1" x14ac:dyDescent="0.2">
      <c r="A2116" t="s">
        <v>1171</v>
      </c>
    </row>
    <row r="2117" spans="1:1" x14ac:dyDescent="0.2">
      <c r="A2117" t="s">
        <v>1172</v>
      </c>
    </row>
    <row r="2118" spans="1:1" x14ac:dyDescent="0.2">
      <c r="A2118" t="s">
        <v>1173</v>
      </c>
    </row>
    <row r="2119" spans="1:1" x14ac:dyDescent="0.2">
      <c r="A2119" t="s">
        <v>1174</v>
      </c>
    </row>
    <row r="2120" spans="1:1" x14ac:dyDescent="0.2">
      <c r="A2120" t="s">
        <v>1175</v>
      </c>
    </row>
    <row r="2121" spans="1:1" x14ac:dyDescent="0.2">
      <c r="A2121" t="s">
        <v>1176</v>
      </c>
    </row>
    <row r="2122" spans="1:1" x14ac:dyDescent="0.2">
      <c r="A2122" t="s">
        <v>1177</v>
      </c>
    </row>
    <row r="2123" spans="1:1" x14ac:dyDescent="0.2">
      <c r="A2123" t="s">
        <v>1178</v>
      </c>
    </row>
    <row r="2124" spans="1:1" x14ac:dyDescent="0.2">
      <c r="A2124" t="s">
        <v>1179</v>
      </c>
    </row>
    <row r="2125" spans="1:1" x14ac:dyDescent="0.2">
      <c r="A2125" t="s">
        <v>1180</v>
      </c>
    </row>
    <row r="2126" spans="1:1" x14ac:dyDescent="0.2">
      <c r="A2126" t="s">
        <v>1181</v>
      </c>
    </row>
    <row r="2127" spans="1:1" x14ac:dyDescent="0.2">
      <c r="A2127" t="s">
        <v>1182</v>
      </c>
    </row>
    <row r="2128" spans="1:1" x14ac:dyDescent="0.2">
      <c r="A2128" t="s">
        <v>1183</v>
      </c>
    </row>
    <row r="2129" spans="1:1" x14ac:dyDescent="0.2">
      <c r="A2129" t="s">
        <v>1184</v>
      </c>
    </row>
    <row r="2130" spans="1:1" x14ac:dyDescent="0.2">
      <c r="A2130" t="s">
        <v>1185</v>
      </c>
    </row>
    <row r="2131" spans="1:1" x14ac:dyDescent="0.2">
      <c r="A2131" t="s">
        <v>1186</v>
      </c>
    </row>
    <row r="2132" spans="1:1" x14ac:dyDescent="0.2">
      <c r="A2132" t="s">
        <v>1187</v>
      </c>
    </row>
    <row r="2133" spans="1:1" x14ac:dyDescent="0.2">
      <c r="A2133" t="s">
        <v>1188</v>
      </c>
    </row>
    <row r="2134" spans="1:1" x14ac:dyDescent="0.2">
      <c r="A2134" t="s">
        <v>1189</v>
      </c>
    </row>
    <row r="2135" spans="1:1" x14ac:dyDescent="0.2">
      <c r="A2135" t="s">
        <v>1190</v>
      </c>
    </row>
    <row r="2136" spans="1:1" x14ac:dyDescent="0.2">
      <c r="A2136" t="s">
        <v>1191</v>
      </c>
    </row>
    <row r="2137" spans="1:1" x14ac:dyDescent="0.2">
      <c r="A2137" t="s">
        <v>1192</v>
      </c>
    </row>
    <row r="2138" spans="1:1" x14ac:dyDescent="0.2">
      <c r="A2138" t="s">
        <v>1193</v>
      </c>
    </row>
    <row r="2139" spans="1:1" x14ac:dyDescent="0.2">
      <c r="A2139" t="s">
        <v>1194</v>
      </c>
    </row>
    <row r="2140" spans="1:1" x14ac:dyDescent="0.2">
      <c r="A2140" t="s">
        <v>1195</v>
      </c>
    </row>
    <row r="2141" spans="1:1" x14ac:dyDescent="0.2">
      <c r="A2141" t="s">
        <v>1196</v>
      </c>
    </row>
    <row r="2142" spans="1:1" x14ac:dyDescent="0.2">
      <c r="A2142" t="s">
        <v>1197</v>
      </c>
    </row>
    <row r="2143" spans="1:1" x14ac:dyDescent="0.2">
      <c r="A2143" t="s">
        <v>1198</v>
      </c>
    </row>
    <row r="2144" spans="1:1" x14ac:dyDescent="0.2">
      <c r="A2144" t="s">
        <v>1199</v>
      </c>
    </row>
    <row r="2145" spans="1:1" x14ac:dyDescent="0.2">
      <c r="A2145" t="s">
        <v>1200</v>
      </c>
    </row>
    <row r="2146" spans="1:1" x14ac:dyDescent="0.2">
      <c r="A2146" t="s">
        <v>1201</v>
      </c>
    </row>
    <row r="2147" spans="1:1" x14ac:dyDescent="0.2">
      <c r="A2147" t="s">
        <v>1202</v>
      </c>
    </row>
    <row r="2148" spans="1:1" x14ac:dyDescent="0.2">
      <c r="A2148" t="s">
        <v>1203</v>
      </c>
    </row>
    <row r="2149" spans="1:1" x14ac:dyDescent="0.2">
      <c r="A2149" t="s">
        <v>1204</v>
      </c>
    </row>
    <row r="2150" spans="1:1" x14ac:dyDescent="0.2">
      <c r="A2150" t="s">
        <v>1205</v>
      </c>
    </row>
    <row r="2151" spans="1:1" x14ac:dyDescent="0.2">
      <c r="A2151" t="s">
        <v>1206</v>
      </c>
    </row>
    <row r="2152" spans="1:1" x14ac:dyDescent="0.2">
      <c r="A2152" t="s">
        <v>1207</v>
      </c>
    </row>
    <row r="2153" spans="1:1" x14ac:dyDescent="0.2">
      <c r="A2153" t="s">
        <v>1208</v>
      </c>
    </row>
    <row r="2154" spans="1:1" x14ac:dyDescent="0.2">
      <c r="A2154" t="s">
        <v>1209</v>
      </c>
    </row>
    <row r="2155" spans="1:1" x14ac:dyDescent="0.2">
      <c r="A2155" t="s">
        <v>1210</v>
      </c>
    </row>
    <row r="2156" spans="1:1" x14ac:dyDescent="0.2">
      <c r="A2156" t="s">
        <v>1211</v>
      </c>
    </row>
    <row r="2157" spans="1:1" x14ac:dyDescent="0.2">
      <c r="A2157" t="s">
        <v>1212</v>
      </c>
    </row>
    <row r="2158" spans="1:1" x14ac:dyDescent="0.2">
      <c r="A2158" t="s">
        <v>1213</v>
      </c>
    </row>
    <row r="2159" spans="1:1" x14ac:dyDescent="0.2">
      <c r="A2159" t="s">
        <v>1214</v>
      </c>
    </row>
    <row r="2160" spans="1:1" x14ac:dyDescent="0.2">
      <c r="A2160" t="s">
        <v>1215</v>
      </c>
    </row>
    <row r="2161" spans="1:1" x14ac:dyDescent="0.2">
      <c r="A2161" t="s">
        <v>1216</v>
      </c>
    </row>
    <row r="2162" spans="1:1" x14ac:dyDescent="0.2">
      <c r="A2162" t="s">
        <v>1217</v>
      </c>
    </row>
    <row r="2163" spans="1:1" x14ac:dyDescent="0.2">
      <c r="A2163" t="s">
        <v>1218</v>
      </c>
    </row>
    <row r="2164" spans="1:1" x14ac:dyDescent="0.2">
      <c r="A2164" t="s">
        <v>1219</v>
      </c>
    </row>
    <row r="2165" spans="1:1" x14ac:dyDescent="0.2">
      <c r="A2165" t="s">
        <v>1220</v>
      </c>
    </row>
    <row r="2166" spans="1:1" x14ac:dyDescent="0.2">
      <c r="A2166" t="s">
        <v>1221</v>
      </c>
    </row>
    <row r="2167" spans="1:1" x14ac:dyDescent="0.2">
      <c r="A2167" t="s">
        <v>1222</v>
      </c>
    </row>
    <row r="2168" spans="1:1" x14ac:dyDescent="0.2">
      <c r="A2168" t="s">
        <v>1223</v>
      </c>
    </row>
    <row r="2169" spans="1:1" x14ac:dyDescent="0.2">
      <c r="A2169" t="s">
        <v>1224</v>
      </c>
    </row>
    <row r="2170" spans="1:1" x14ac:dyDescent="0.2">
      <c r="A2170" t="s">
        <v>1225</v>
      </c>
    </row>
    <row r="2171" spans="1:1" x14ac:dyDescent="0.2">
      <c r="A2171" t="s">
        <v>1226</v>
      </c>
    </row>
    <row r="2172" spans="1:1" x14ac:dyDescent="0.2">
      <c r="A2172" t="s">
        <v>1227</v>
      </c>
    </row>
    <row r="2173" spans="1:1" x14ac:dyDescent="0.2">
      <c r="A2173" t="s">
        <v>1228</v>
      </c>
    </row>
    <row r="2174" spans="1:1" x14ac:dyDescent="0.2">
      <c r="A2174" t="s">
        <v>1229</v>
      </c>
    </row>
    <row r="2175" spans="1:1" x14ac:dyDescent="0.2">
      <c r="A2175" t="s">
        <v>1230</v>
      </c>
    </row>
    <row r="2176" spans="1:1" x14ac:dyDescent="0.2">
      <c r="A2176" t="s">
        <v>1231</v>
      </c>
    </row>
    <row r="2177" spans="1:1" x14ac:dyDescent="0.2">
      <c r="A2177" t="s">
        <v>1232</v>
      </c>
    </row>
    <row r="2178" spans="1:1" x14ac:dyDescent="0.2">
      <c r="A2178" t="s">
        <v>1233</v>
      </c>
    </row>
    <row r="2179" spans="1:1" x14ac:dyDescent="0.2">
      <c r="A2179" t="s">
        <v>1234</v>
      </c>
    </row>
    <row r="2180" spans="1:1" x14ac:dyDescent="0.2">
      <c r="A2180" t="s">
        <v>1235</v>
      </c>
    </row>
    <row r="2181" spans="1:1" x14ac:dyDescent="0.2">
      <c r="A2181" t="s">
        <v>1236</v>
      </c>
    </row>
    <row r="2182" spans="1:1" x14ac:dyDescent="0.2">
      <c r="A2182" t="s">
        <v>1237</v>
      </c>
    </row>
    <row r="2183" spans="1:1" x14ac:dyDescent="0.2">
      <c r="A2183" t="s">
        <v>1238</v>
      </c>
    </row>
    <row r="2184" spans="1:1" x14ac:dyDescent="0.2">
      <c r="A2184" t="s">
        <v>1239</v>
      </c>
    </row>
    <row r="2185" spans="1:1" x14ac:dyDescent="0.2">
      <c r="A2185" t="s">
        <v>1240</v>
      </c>
    </row>
    <row r="2186" spans="1:1" x14ac:dyDescent="0.2">
      <c r="A2186" t="s">
        <v>1241</v>
      </c>
    </row>
    <row r="2187" spans="1:1" x14ac:dyDescent="0.2">
      <c r="A2187" t="s">
        <v>1242</v>
      </c>
    </row>
    <row r="2188" spans="1:1" x14ac:dyDescent="0.2">
      <c r="A2188" t="s">
        <v>1243</v>
      </c>
    </row>
    <row r="2189" spans="1:1" x14ac:dyDescent="0.2">
      <c r="A2189" t="s">
        <v>1244</v>
      </c>
    </row>
    <row r="2190" spans="1:1" x14ac:dyDescent="0.2">
      <c r="A2190" t="s">
        <v>1245</v>
      </c>
    </row>
    <row r="2191" spans="1:1" x14ac:dyDescent="0.2">
      <c r="A2191" t="s">
        <v>1246</v>
      </c>
    </row>
    <row r="2192" spans="1:1" x14ac:dyDescent="0.2">
      <c r="A2192" t="s">
        <v>1247</v>
      </c>
    </row>
    <row r="2193" spans="1:1" x14ac:dyDescent="0.2">
      <c r="A2193" t="s">
        <v>1248</v>
      </c>
    </row>
    <row r="2194" spans="1:1" x14ac:dyDescent="0.2">
      <c r="A2194" t="s">
        <v>1249</v>
      </c>
    </row>
    <row r="2195" spans="1:1" x14ac:dyDescent="0.2">
      <c r="A2195" t="s">
        <v>1250</v>
      </c>
    </row>
    <row r="2196" spans="1:1" x14ac:dyDescent="0.2">
      <c r="A2196" t="s">
        <v>1251</v>
      </c>
    </row>
    <row r="2197" spans="1:1" x14ac:dyDescent="0.2">
      <c r="A2197" t="s">
        <v>1252</v>
      </c>
    </row>
    <row r="2198" spans="1:1" x14ac:dyDescent="0.2">
      <c r="A2198" t="s">
        <v>1253</v>
      </c>
    </row>
    <row r="2199" spans="1:1" x14ac:dyDescent="0.2">
      <c r="A2199" t="s">
        <v>1254</v>
      </c>
    </row>
    <row r="2200" spans="1:1" x14ac:dyDescent="0.2">
      <c r="A2200" t="s">
        <v>1255</v>
      </c>
    </row>
    <row r="2201" spans="1:1" x14ac:dyDescent="0.2">
      <c r="A2201" t="s">
        <v>1256</v>
      </c>
    </row>
    <row r="2202" spans="1:1" x14ac:dyDescent="0.2">
      <c r="A2202" t="s">
        <v>1257</v>
      </c>
    </row>
    <row r="2203" spans="1:1" x14ac:dyDescent="0.2">
      <c r="A2203" t="s">
        <v>1258</v>
      </c>
    </row>
    <row r="2204" spans="1:1" x14ac:dyDescent="0.2">
      <c r="A2204" t="s">
        <v>1259</v>
      </c>
    </row>
    <row r="2205" spans="1:1" x14ac:dyDescent="0.2">
      <c r="A2205" t="s">
        <v>1260</v>
      </c>
    </row>
    <row r="2206" spans="1:1" x14ac:dyDescent="0.2">
      <c r="A2206" t="s">
        <v>1261</v>
      </c>
    </row>
    <row r="2207" spans="1:1" x14ac:dyDescent="0.2">
      <c r="A2207" t="s">
        <v>1262</v>
      </c>
    </row>
    <row r="2208" spans="1:1" x14ac:dyDescent="0.2">
      <c r="A2208" t="s">
        <v>1263</v>
      </c>
    </row>
    <row r="2209" spans="1:1" x14ac:dyDescent="0.2">
      <c r="A2209" t="s">
        <v>1264</v>
      </c>
    </row>
    <row r="2210" spans="1:1" x14ac:dyDescent="0.2">
      <c r="A2210" t="s">
        <v>1265</v>
      </c>
    </row>
    <row r="2211" spans="1:1" x14ac:dyDescent="0.2">
      <c r="A2211" t="s">
        <v>1266</v>
      </c>
    </row>
    <row r="2212" spans="1:1" x14ac:dyDescent="0.2">
      <c r="A2212" t="s">
        <v>1267</v>
      </c>
    </row>
    <row r="2213" spans="1:1" x14ac:dyDescent="0.2">
      <c r="A2213" t="s">
        <v>1268</v>
      </c>
    </row>
    <row r="2214" spans="1:1" x14ac:dyDescent="0.2">
      <c r="A2214" t="s">
        <v>1269</v>
      </c>
    </row>
    <row r="2215" spans="1:1" x14ac:dyDescent="0.2">
      <c r="A2215" t="s">
        <v>1270</v>
      </c>
    </row>
    <row r="2216" spans="1:1" x14ac:dyDescent="0.2">
      <c r="A2216" t="s">
        <v>1271</v>
      </c>
    </row>
    <row r="2217" spans="1:1" x14ac:dyDescent="0.2">
      <c r="A2217" t="s">
        <v>1272</v>
      </c>
    </row>
    <row r="2218" spans="1:1" x14ac:dyDescent="0.2">
      <c r="A2218" t="s">
        <v>1273</v>
      </c>
    </row>
    <row r="2219" spans="1:1" x14ac:dyDescent="0.2">
      <c r="A2219" t="s">
        <v>1274</v>
      </c>
    </row>
    <row r="2220" spans="1:1" x14ac:dyDescent="0.2">
      <c r="A2220" t="s">
        <v>1275</v>
      </c>
    </row>
    <row r="2221" spans="1:1" x14ac:dyDescent="0.2">
      <c r="A2221" t="s">
        <v>1276</v>
      </c>
    </row>
    <row r="2222" spans="1:1" x14ac:dyDescent="0.2">
      <c r="A2222" t="s">
        <v>1277</v>
      </c>
    </row>
    <row r="2223" spans="1:1" x14ac:dyDescent="0.2">
      <c r="A2223" t="s">
        <v>1278</v>
      </c>
    </row>
    <row r="2224" spans="1:1" x14ac:dyDescent="0.2">
      <c r="A2224" t="s">
        <v>1279</v>
      </c>
    </row>
    <row r="2225" spans="1:1" x14ac:dyDescent="0.2">
      <c r="A2225" t="s">
        <v>1280</v>
      </c>
    </row>
    <row r="2226" spans="1:1" x14ac:dyDescent="0.2">
      <c r="A2226" t="s">
        <v>1281</v>
      </c>
    </row>
    <row r="2227" spans="1:1" x14ac:dyDescent="0.2">
      <c r="A2227" t="s">
        <v>1282</v>
      </c>
    </row>
    <row r="2228" spans="1:1" x14ac:dyDescent="0.2">
      <c r="A2228" t="s">
        <v>1283</v>
      </c>
    </row>
    <row r="2229" spans="1:1" x14ac:dyDescent="0.2">
      <c r="A2229" t="s">
        <v>1284</v>
      </c>
    </row>
    <row r="2230" spans="1:1" x14ac:dyDescent="0.2">
      <c r="A2230" t="s">
        <v>1285</v>
      </c>
    </row>
    <row r="2231" spans="1:1" x14ac:dyDescent="0.2">
      <c r="A2231" t="s">
        <v>1286</v>
      </c>
    </row>
    <row r="2232" spans="1:1" x14ac:dyDescent="0.2">
      <c r="A2232" t="s">
        <v>2805</v>
      </c>
    </row>
    <row r="2233" spans="1:1" x14ac:dyDescent="0.2">
      <c r="A2233" t="s">
        <v>1053</v>
      </c>
    </row>
    <row r="2234" spans="1:1" x14ac:dyDescent="0.2">
      <c r="A2234" t="s">
        <v>2806</v>
      </c>
    </row>
    <row r="2235" spans="1:1" x14ac:dyDescent="0.2">
      <c r="A2235" t="s">
        <v>2768</v>
      </c>
    </row>
    <row r="2236" spans="1:1" x14ac:dyDescent="0.2">
      <c r="A2236" t="s">
        <v>2769</v>
      </c>
    </row>
    <row r="2237" spans="1:1" x14ac:dyDescent="0.2">
      <c r="A2237" t="s">
        <v>1054</v>
      </c>
    </row>
    <row r="2238" spans="1:1" x14ac:dyDescent="0.2">
      <c r="A2238" t="s">
        <v>1055</v>
      </c>
    </row>
    <row r="2239" spans="1:1" x14ac:dyDescent="0.2">
      <c r="A2239" t="s">
        <v>2807</v>
      </c>
    </row>
    <row r="2240" spans="1:1" x14ac:dyDescent="0.2">
      <c r="A2240" t="s">
        <v>1056</v>
      </c>
    </row>
    <row r="2241" spans="1:1" x14ac:dyDescent="0.2">
      <c r="A2241" t="s">
        <v>1057</v>
      </c>
    </row>
    <row r="2242" spans="1:1" x14ac:dyDescent="0.2">
      <c r="A2242" t="s">
        <v>1058</v>
      </c>
    </row>
    <row r="2243" spans="1:1" x14ac:dyDescent="0.2">
      <c r="A2243" t="s">
        <v>1059</v>
      </c>
    </row>
    <row r="2244" spans="1:1" x14ac:dyDescent="0.2">
      <c r="A2244" t="s">
        <v>1060</v>
      </c>
    </row>
    <row r="2245" spans="1:1" x14ac:dyDescent="0.2">
      <c r="A2245" t="s">
        <v>1061</v>
      </c>
    </row>
    <row r="2246" spans="1:1" x14ac:dyDescent="0.2">
      <c r="A2246" t="s">
        <v>1062</v>
      </c>
    </row>
    <row r="2247" spans="1:1" x14ac:dyDescent="0.2">
      <c r="A2247" t="s">
        <v>1063</v>
      </c>
    </row>
    <row r="2248" spans="1:1" x14ac:dyDescent="0.2">
      <c r="A2248" t="s">
        <v>1064</v>
      </c>
    </row>
    <row r="2249" spans="1:1" x14ac:dyDescent="0.2">
      <c r="A2249" t="s">
        <v>1065</v>
      </c>
    </row>
    <row r="2250" spans="1:1" x14ac:dyDescent="0.2">
      <c r="A2250" t="s">
        <v>1066</v>
      </c>
    </row>
    <row r="2251" spans="1:1" x14ac:dyDescent="0.2">
      <c r="A2251" t="s">
        <v>1067</v>
      </c>
    </row>
    <row r="2252" spans="1:1" x14ac:dyDescent="0.2">
      <c r="A2252" t="s">
        <v>1068</v>
      </c>
    </row>
    <row r="2253" spans="1:1" x14ac:dyDescent="0.2">
      <c r="A2253" t="s">
        <v>1069</v>
      </c>
    </row>
    <row r="2254" spans="1:1" x14ac:dyDescent="0.2">
      <c r="A2254" t="s">
        <v>1070</v>
      </c>
    </row>
    <row r="2255" spans="1:1" x14ac:dyDescent="0.2">
      <c r="A2255" t="s">
        <v>1071</v>
      </c>
    </row>
    <row r="2256" spans="1:1" x14ac:dyDescent="0.2">
      <c r="A2256" t="s">
        <v>1072</v>
      </c>
    </row>
    <row r="2257" spans="1:1" x14ac:dyDescent="0.2">
      <c r="A2257" t="s">
        <v>1073</v>
      </c>
    </row>
    <row r="2258" spans="1:1" x14ac:dyDescent="0.2">
      <c r="A2258" t="s">
        <v>1074</v>
      </c>
    </row>
    <row r="2259" spans="1:1" x14ac:dyDescent="0.2">
      <c r="A2259" t="s">
        <v>1075</v>
      </c>
    </row>
    <row r="2260" spans="1:1" x14ac:dyDescent="0.2">
      <c r="A2260" t="s">
        <v>1076</v>
      </c>
    </row>
    <row r="2261" spans="1:1" x14ac:dyDescent="0.2">
      <c r="A2261" t="s">
        <v>1077</v>
      </c>
    </row>
    <row r="2262" spans="1:1" x14ac:dyDescent="0.2">
      <c r="A2262" t="s">
        <v>1078</v>
      </c>
    </row>
    <row r="2263" spans="1:1" x14ac:dyDescent="0.2">
      <c r="A2263" t="s">
        <v>1079</v>
      </c>
    </row>
    <row r="2264" spans="1:1" x14ac:dyDescent="0.2">
      <c r="A2264" t="s">
        <v>1080</v>
      </c>
    </row>
    <row r="2265" spans="1:1" x14ac:dyDescent="0.2">
      <c r="A2265" t="s">
        <v>1081</v>
      </c>
    </row>
    <row r="2266" spans="1:1" x14ac:dyDescent="0.2">
      <c r="A2266" t="s">
        <v>1082</v>
      </c>
    </row>
    <row r="2267" spans="1:1" x14ac:dyDescent="0.2">
      <c r="A2267" t="s">
        <v>1083</v>
      </c>
    </row>
    <row r="2268" spans="1:1" x14ac:dyDescent="0.2">
      <c r="A2268" t="s">
        <v>2771</v>
      </c>
    </row>
    <row r="2269" spans="1:1" x14ac:dyDescent="0.2">
      <c r="A2269" t="s">
        <v>2772</v>
      </c>
    </row>
    <row r="2270" spans="1:1" x14ac:dyDescent="0.2">
      <c r="A2270" t="s">
        <v>2773</v>
      </c>
    </row>
    <row r="2271" spans="1:1" x14ac:dyDescent="0.2">
      <c r="A2271" t="s">
        <v>2774</v>
      </c>
    </row>
    <row r="2272" spans="1:1" x14ac:dyDescent="0.2">
      <c r="A2272" t="s">
        <v>2775</v>
      </c>
    </row>
    <row r="2273" spans="1:1" x14ac:dyDescent="0.2">
      <c r="A2273" t="s">
        <v>2776</v>
      </c>
    </row>
    <row r="2274" spans="1:1" x14ac:dyDescent="0.2">
      <c r="A2274" t="s">
        <v>1084</v>
      </c>
    </row>
    <row r="2275" spans="1:1" x14ac:dyDescent="0.2">
      <c r="A2275" t="s">
        <v>1085</v>
      </c>
    </row>
    <row r="2276" spans="1:1" x14ac:dyDescent="0.2">
      <c r="A2276" t="s">
        <v>1086</v>
      </c>
    </row>
    <row r="2277" spans="1:1" x14ac:dyDescent="0.2">
      <c r="A2277" t="s">
        <v>1087</v>
      </c>
    </row>
    <row r="2278" spans="1:1" x14ac:dyDescent="0.2">
      <c r="A2278" t="s">
        <v>1088</v>
      </c>
    </row>
    <row r="2279" spans="1:1" x14ac:dyDescent="0.2">
      <c r="A2279" t="s">
        <v>1089</v>
      </c>
    </row>
    <row r="2280" spans="1:1" x14ac:dyDescent="0.2">
      <c r="A2280" t="s">
        <v>1090</v>
      </c>
    </row>
    <row r="2281" spans="1:1" x14ac:dyDescent="0.2">
      <c r="A2281" t="s">
        <v>1091</v>
      </c>
    </row>
    <row r="2282" spans="1:1" x14ac:dyDescent="0.2">
      <c r="A2282" t="s">
        <v>1092</v>
      </c>
    </row>
    <row r="2283" spans="1:1" x14ac:dyDescent="0.2">
      <c r="A2283" t="s">
        <v>1093</v>
      </c>
    </row>
    <row r="2284" spans="1:1" x14ac:dyDescent="0.2">
      <c r="A2284" t="s">
        <v>1094</v>
      </c>
    </row>
    <row r="2285" spans="1:1" x14ac:dyDescent="0.2">
      <c r="A2285" t="s">
        <v>1095</v>
      </c>
    </row>
    <row r="2286" spans="1:1" x14ac:dyDescent="0.2">
      <c r="A2286" t="s">
        <v>1096</v>
      </c>
    </row>
    <row r="2287" spans="1:1" x14ac:dyDescent="0.2">
      <c r="A2287" t="s">
        <v>1097</v>
      </c>
    </row>
    <row r="2288" spans="1:1" x14ac:dyDescent="0.2">
      <c r="A2288" t="s">
        <v>1098</v>
      </c>
    </row>
    <row r="2289" spans="1:1" x14ac:dyDescent="0.2">
      <c r="A2289" t="s">
        <v>1099</v>
      </c>
    </row>
    <row r="2290" spans="1:1" x14ac:dyDescent="0.2">
      <c r="A2290" t="s">
        <v>1100</v>
      </c>
    </row>
    <row r="2291" spans="1:1" x14ac:dyDescent="0.2">
      <c r="A2291" t="s">
        <v>1101</v>
      </c>
    </row>
    <row r="2292" spans="1:1" x14ac:dyDescent="0.2">
      <c r="A2292" t="s">
        <v>1102</v>
      </c>
    </row>
    <row r="2293" spans="1:1" x14ac:dyDescent="0.2">
      <c r="A2293" t="s">
        <v>1103</v>
      </c>
    </row>
    <row r="2294" spans="1:1" x14ac:dyDescent="0.2">
      <c r="A2294" t="s">
        <v>1104</v>
      </c>
    </row>
    <row r="2295" spans="1:1" x14ac:dyDescent="0.2">
      <c r="A2295" t="s">
        <v>1105</v>
      </c>
    </row>
    <row r="2296" spans="1:1" x14ac:dyDescent="0.2">
      <c r="A2296" t="s">
        <v>1106</v>
      </c>
    </row>
    <row r="2297" spans="1:1" x14ac:dyDescent="0.2">
      <c r="A2297" t="s">
        <v>1107</v>
      </c>
    </row>
    <row r="2298" spans="1:1" x14ac:dyDescent="0.2">
      <c r="A2298" t="s">
        <v>1108</v>
      </c>
    </row>
    <row r="2299" spans="1:1" x14ac:dyDescent="0.2">
      <c r="A2299" t="s">
        <v>1109</v>
      </c>
    </row>
    <row r="2300" spans="1:1" x14ac:dyDescent="0.2">
      <c r="A2300" t="s">
        <v>1110</v>
      </c>
    </row>
    <row r="2301" spans="1:1" x14ac:dyDescent="0.2">
      <c r="A2301" t="s">
        <v>1111</v>
      </c>
    </row>
    <row r="2302" spans="1:1" x14ac:dyDescent="0.2">
      <c r="A2302" t="s">
        <v>1112</v>
      </c>
    </row>
    <row r="2303" spans="1:1" x14ac:dyDescent="0.2">
      <c r="A2303" t="s">
        <v>1113</v>
      </c>
    </row>
    <row r="2304" spans="1:1" x14ac:dyDescent="0.2">
      <c r="A2304" t="s">
        <v>1114</v>
      </c>
    </row>
    <row r="2305" spans="1:1" x14ac:dyDescent="0.2">
      <c r="A2305" t="s">
        <v>1115</v>
      </c>
    </row>
    <row r="2306" spans="1:1" x14ac:dyDescent="0.2">
      <c r="A2306" t="s">
        <v>1116</v>
      </c>
    </row>
    <row r="2307" spans="1:1" x14ac:dyDescent="0.2">
      <c r="A2307" t="s">
        <v>1117</v>
      </c>
    </row>
    <row r="2308" spans="1:1" x14ac:dyDescent="0.2">
      <c r="A2308" t="s">
        <v>1118</v>
      </c>
    </row>
    <row r="2309" spans="1:1" x14ac:dyDescent="0.2">
      <c r="A2309" t="s">
        <v>1119</v>
      </c>
    </row>
    <row r="2310" spans="1:1" x14ac:dyDescent="0.2">
      <c r="A2310" t="s">
        <v>1120</v>
      </c>
    </row>
    <row r="2311" spans="1:1" x14ac:dyDescent="0.2">
      <c r="A2311" t="s">
        <v>1288</v>
      </c>
    </row>
    <row r="2312" spans="1:1" x14ac:dyDescent="0.2">
      <c r="A2312" t="s">
        <v>2808</v>
      </c>
    </row>
    <row r="2313" spans="1:1" x14ac:dyDescent="0.2">
      <c r="A2313" t="s">
        <v>2809</v>
      </c>
    </row>
    <row r="2314" spans="1:1" x14ac:dyDescent="0.2">
      <c r="A2314" t="s">
        <v>2810</v>
      </c>
    </row>
    <row r="2315" spans="1:1" x14ac:dyDescent="0.2">
      <c r="A2315" t="s">
        <v>2811</v>
      </c>
    </row>
    <row r="2316" spans="1:1" x14ac:dyDescent="0.2">
      <c r="A2316" t="s">
        <v>1289</v>
      </c>
    </row>
    <row r="2317" spans="1:1" x14ac:dyDescent="0.2">
      <c r="A2317" t="s">
        <v>2781</v>
      </c>
    </row>
    <row r="2318" spans="1:1" x14ac:dyDescent="0.2">
      <c r="A2318" t="s">
        <v>2812</v>
      </c>
    </row>
    <row r="2319" spans="1:1" x14ac:dyDescent="0.2">
      <c r="A2319" t="s">
        <v>1122</v>
      </c>
    </row>
    <row r="2320" spans="1:1" x14ac:dyDescent="0.2">
      <c r="A2320" t="s">
        <v>1123</v>
      </c>
    </row>
    <row r="2321" spans="1:1" x14ac:dyDescent="0.2">
      <c r="A2321" t="s">
        <v>1124</v>
      </c>
    </row>
    <row r="2322" spans="1:1" x14ac:dyDescent="0.2">
      <c r="A2322" t="s">
        <v>1125</v>
      </c>
    </row>
    <row r="2323" spans="1:1" x14ac:dyDescent="0.2">
      <c r="A2323" t="s">
        <v>1126</v>
      </c>
    </row>
    <row r="2324" spans="1:1" x14ac:dyDescent="0.2">
      <c r="A2324" t="s">
        <v>1127</v>
      </c>
    </row>
    <row r="2325" spans="1:1" x14ac:dyDescent="0.2">
      <c r="A2325" t="s">
        <v>1128</v>
      </c>
    </row>
    <row r="2326" spans="1:1" x14ac:dyDescent="0.2">
      <c r="A2326" t="s">
        <v>1129</v>
      </c>
    </row>
    <row r="2327" spans="1:1" x14ac:dyDescent="0.2">
      <c r="A2327" t="s">
        <v>1130</v>
      </c>
    </row>
    <row r="2328" spans="1:1" x14ac:dyDescent="0.2">
      <c r="A2328" t="s">
        <v>1131</v>
      </c>
    </row>
    <row r="2329" spans="1:1" x14ac:dyDescent="0.2">
      <c r="A2329" t="s">
        <v>1132</v>
      </c>
    </row>
    <row r="2330" spans="1:1" x14ac:dyDescent="0.2">
      <c r="A2330" t="s">
        <v>1133</v>
      </c>
    </row>
    <row r="2331" spans="1:1" x14ac:dyDescent="0.2">
      <c r="A2331" t="s">
        <v>1134</v>
      </c>
    </row>
    <row r="2332" spans="1:1" x14ac:dyDescent="0.2">
      <c r="A2332" t="s">
        <v>1135</v>
      </c>
    </row>
    <row r="2333" spans="1:1" x14ac:dyDescent="0.2">
      <c r="A2333" t="s">
        <v>1136</v>
      </c>
    </row>
    <row r="2334" spans="1:1" x14ac:dyDescent="0.2">
      <c r="A2334" t="s">
        <v>1137</v>
      </c>
    </row>
    <row r="2335" spans="1:1" x14ac:dyDescent="0.2">
      <c r="A2335" t="s">
        <v>1138</v>
      </c>
    </row>
    <row r="2336" spans="1:1" x14ac:dyDescent="0.2">
      <c r="A2336" t="s">
        <v>1139</v>
      </c>
    </row>
    <row r="2337" spans="1:1" x14ac:dyDescent="0.2">
      <c r="A2337" t="s">
        <v>1140</v>
      </c>
    </row>
    <row r="2338" spans="1:1" x14ac:dyDescent="0.2">
      <c r="A2338" t="s">
        <v>1141</v>
      </c>
    </row>
    <row r="2339" spans="1:1" x14ac:dyDescent="0.2">
      <c r="A2339" t="s">
        <v>1142</v>
      </c>
    </row>
    <row r="2340" spans="1:1" x14ac:dyDescent="0.2">
      <c r="A2340" t="s">
        <v>1143</v>
      </c>
    </row>
    <row r="2341" spans="1:1" x14ac:dyDescent="0.2">
      <c r="A2341" t="s">
        <v>1144</v>
      </c>
    </row>
    <row r="2342" spans="1:1" x14ac:dyDescent="0.2">
      <c r="A2342" t="s">
        <v>1145</v>
      </c>
    </row>
    <row r="2343" spans="1:1" x14ac:dyDescent="0.2">
      <c r="A2343" t="s">
        <v>1146</v>
      </c>
    </row>
    <row r="2344" spans="1:1" x14ac:dyDescent="0.2">
      <c r="A2344" t="s">
        <v>1147</v>
      </c>
    </row>
    <row r="2345" spans="1:1" x14ac:dyDescent="0.2">
      <c r="A2345" t="s">
        <v>1148</v>
      </c>
    </row>
    <row r="2346" spans="1:1" x14ac:dyDescent="0.2">
      <c r="A2346" t="s">
        <v>1149</v>
      </c>
    </row>
    <row r="2347" spans="1:1" x14ac:dyDescent="0.2">
      <c r="A2347" t="s">
        <v>1150</v>
      </c>
    </row>
    <row r="2348" spans="1:1" x14ac:dyDescent="0.2">
      <c r="A2348" t="s">
        <v>1151</v>
      </c>
    </row>
    <row r="2349" spans="1:1" x14ac:dyDescent="0.2">
      <c r="A2349" t="s">
        <v>1152</v>
      </c>
    </row>
    <row r="2350" spans="1:1" x14ac:dyDescent="0.2">
      <c r="A2350" t="s">
        <v>1153</v>
      </c>
    </row>
    <row r="2351" spans="1:1" x14ac:dyDescent="0.2">
      <c r="A2351" t="s">
        <v>1154</v>
      </c>
    </row>
    <row r="2352" spans="1:1" x14ac:dyDescent="0.2">
      <c r="A2352" t="s">
        <v>1155</v>
      </c>
    </row>
    <row r="2353" spans="1:1" x14ac:dyDescent="0.2">
      <c r="A2353" t="s">
        <v>1156</v>
      </c>
    </row>
    <row r="2354" spans="1:1" x14ac:dyDescent="0.2">
      <c r="A2354" t="s">
        <v>1157</v>
      </c>
    </row>
    <row r="2355" spans="1:1" x14ac:dyDescent="0.2">
      <c r="A2355" t="s">
        <v>1158</v>
      </c>
    </row>
    <row r="2356" spans="1:1" x14ac:dyDescent="0.2">
      <c r="A2356" t="s">
        <v>1159</v>
      </c>
    </row>
    <row r="2357" spans="1:1" x14ac:dyDescent="0.2">
      <c r="A2357" t="s">
        <v>1160</v>
      </c>
    </row>
    <row r="2358" spans="1:1" x14ac:dyDescent="0.2">
      <c r="A2358" t="s">
        <v>1161</v>
      </c>
    </row>
    <row r="2359" spans="1:1" x14ac:dyDescent="0.2">
      <c r="A2359" t="s">
        <v>1162</v>
      </c>
    </row>
    <row r="2360" spans="1:1" x14ac:dyDescent="0.2">
      <c r="A2360" t="s">
        <v>1163</v>
      </c>
    </row>
    <row r="2361" spans="1:1" x14ac:dyDescent="0.2">
      <c r="A2361" t="s">
        <v>1164</v>
      </c>
    </row>
    <row r="2362" spans="1:1" x14ac:dyDescent="0.2">
      <c r="A2362" t="s">
        <v>1165</v>
      </c>
    </row>
    <row r="2363" spans="1:1" x14ac:dyDescent="0.2">
      <c r="A2363" t="s">
        <v>1166</v>
      </c>
    </row>
    <row r="2364" spans="1:1" x14ac:dyDescent="0.2">
      <c r="A2364" t="s">
        <v>1167</v>
      </c>
    </row>
    <row r="2365" spans="1:1" x14ac:dyDescent="0.2">
      <c r="A2365" t="s">
        <v>1168</v>
      </c>
    </row>
    <row r="2366" spans="1:1" x14ac:dyDescent="0.2">
      <c r="A2366" t="s">
        <v>1169</v>
      </c>
    </row>
    <row r="2367" spans="1:1" x14ac:dyDescent="0.2">
      <c r="A2367" t="s">
        <v>1170</v>
      </c>
    </row>
    <row r="2368" spans="1:1" x14ac:dyDescent="0.2">
      <c r="A2368" t="s">
        <v>1171</v>
      </c>
    </row>
    <row r="2369" spans="1:1" x14ac:dyDescent="0.2">
      <c r="A2369" t="s">
        <v>1172</v>
      </c>
    </row>
    <row r="2370" spans="1:1" x14ac:dyDescent="0.2">
      <c r="A2370" t="s">
        <v>1173</v>
      </c>
    </row>
    <row r="2371" spans="1:1" x14ac:dyDescent="0.2">
      <c r="A2371" t="s">
        <v>1174</v>
      </c>
    </row>
    <row r="2372" spans="1:1" x14ac:dyDescent="0.2">
      <c r="A2372" t="s">
        <v>1175</v>
      </c>
    </row>
    <row r="2373" spans="1:1" x14ac:dyDescent="0.2">
      <c r="A2373" t="s">
        <v>1176</v>
      </c>
    </row>
    <row r="2374" spans="1:1" x14ac:dyDescent="0.2">
      <c r="A2374" t="s">
        <v>1177</v>
      </c>
    </row>
    <row r="2375" spans="1:1" x14ac:dyDescent="0.2">
      <c r="A2375" t="s">
        <v>1178</v>
      </c>
    </row>
    <row r="2376" spans="1:1" x14ac:dyDescent="0.2">
      <c r="A2376" t="s">
        <v>1179</v>
      </c>
    </row>
    <row r="2377" spans="1:1" x14ac:dyDescent="0.2">
      <c r="A2377" t="s">
        <v>1180</v>
      </c>
    </row>
    <row r="2378" spans="1:1" x14ac:dyDescent="0.2">
      <c r="A2378" t="s">
        <v>1181</v>
      </c>
    </row>
    <row r="2379" spans="1:1" x14ac:dyDescent="0.2">
      <c r="A2379" t="s">
        <v>1182</v>
      </c>
    </row>
    <row r="2380" spans="1:1" x14ac:dyDescent="0.2">
      <c r="A2380" t="s">
        <v>1183</v>
      </c>
    </row>
    <row r="2381" spans="1:1" x14ac:dyDescent="0.2">
      <c r="A2381" t="s">
        <v>1184</v>
      </c>
    </row>
    <row r="2382" spans="1:1" x14ac:dyDescent="0.2">
      <c r="A2382" t="s">
        <v>1185</v>
      </c>
    </row>
    <row r="2383" spans="1:1" x14ac:dyDescent="0.2">
      <c r="A2383" t="s">
        <v>1186</v>
      </c>
    </row>
    <row r="2384" spans="1:1" x14ac:dyDescent="0.2">
      <c r="A2384" t="s">
        <v>1187</v>
      </c>
    </row>
    <row r="2385" spans="1:1" x14ac:dyDescent="0.2">
      <c r="A2385" t="s">
        <v>1188</v>
      </c>
    </row>
    <row r="2386" spans="1:1" x14ac:dyDescent="0.2">
      <c r="A2386" t="s">
        <v>1189</v>
      </c>
    </row>
    <row r="2387" spans="1:1" x14ac:dyDescent="0.2">
      <c r="A2387" t="s">
        <v>1190</v>
      </c>
    </row>
    <row r="2388" spans="1:1" x14ac:dyDescent="0.2">
      <c r="A2388" t="s">
        <v>1191</v>
      </c>
    </row>
    <row r="2389" spans="1:1" x14ac:dyDescent="0.2">
      <c r="A2389" t="s">
        <v>1192</v>
      </c>
    </row>
    <row r="2390" spans="1:1" x14ac:dyDescent="0.2">
      <c r="A2390" t="s">
        <v>1193</v>
      </c>
    </row>
    <row r="2391" spans="1:1" x14ac:dyDescent="0.2">
      <c r="A2391" t="s">
        <v>1194</v>
      </c>
    </row>
    <row r="2392" spans="1:1" x14ac:dyDescent="0.2">
      <c r="A2392" t="s">
        <v>1195</v>
      </c>
    </row>
    <row r="2393" spans="1:1" x14ac:dyDescent="0.2">
      <c r="A2393" t="s">
        <v>1196</v>
      </c>
    </row>
    <row r="2394" spans="1:1" x14ac:dyDescent="0.2">
      <c r="A2394" t="s">
        <v>1197</v>
      </c>
    </row>
    <row r="2395" spans="1:1" x14ac:dyDescent="0.2">
      <c r="A2395" t="s">
        <v>1198</v>
      </c>
    </row>
    <row r="2396" spans="1:1" x14ac:dyDescent="0.2">
      <c r="A2396" t="s">
        <v>1199</v>
      </c>
    </row>
    <row r="2397" spans="1:1" x14ac:dyDescent="0.2">
      <c r="A2397" t="s">
        <v>1200</v>
      </c>
    </row>
    <row r="2398" spans="1:1" x14ac:dyDescent="0.2">
      <c r="A2398" t="s">
        <v>1201</v>
      </c>
    </row>
    <row r="2399" spans="1:1" x14ac:dyDescent="0.2">
      <c r="A2399" t="s">
        <v>1202</v>
      </c>
    </row>
    <row r="2400" spans="1:1" x14ac:dyDescent="0.2">
      <c r="A2400" t="s">
        <v>1203</v>
      </c>
    </row>
    <row r="2401" spans="1:1" x14ac:dyDescent="0.2">
      <c r="A2401" t="s">
        <v>1204</v>
      </c>
    </row>
    <row r="2402" spans="1:1" x14ac:dyDescent="0.2">
      <c r="A2402" t="s">
        <v>1205</v>
      </c>
    </row>
    <row r="2403" spans="1:1" x14ac:dyDescent="0.2">
      <c r="A2403" t="s">
        <v>1206</v>
      </c>
    </row>
    <row r="2404" spans="1:1" x14ac:dyDescent="0.2">
      <c r="A2404" t="s">
        <v>1207</v>
      </c>
    </row>
    <row r="2405" spans="1:1" x14ac:dyDescent="0.2">
      <c r="A2405" t="s">
        <v>1208</v>
      </c>
    </row>
    <row r="2406" spans="1:1" x14ac:dyDescent="0.2">
      <c r="A2406" t="s">
        <v>1209</v>
      </c>
    </row>
    <row r="2407" spans="1:1" x14ac:dyDescent="0.2">
      <c r="A2407" t="s">
        <v>1210</v>
      </c>
    </row>
    <row r="2408" spans="1:1" x14ac:dyDescent="0.2">
      <c r="A2408" t="s">
        <v>1211</v>
      </c>
    </row>
    <row r="2409" spans="1:1" x14ac:dyDescent="0.2">
      <c r="A2409" t="s">
        <v>1212</v>
      </c>
    </row>
    <row r="2410" spans="1:1" x14ac:dyDescent="0.2">
      <c r="A2410" t="s">
        <v>1213</v>
      </c>
    </row>
    <row r="2411" spans="1:1" x14ac:dyDescent="0.2">
      <c r="A2411" t="s">
        <v>1214</v>
      </c>
    </row>
    <row r="2412" spans="1:1" x14ac:dyDescent="0.2">
      <c r="A2412" t="s">
        <v>1215</v>
      </c>
    </row>
    <row r="2413" spans="1:1" x14ac:dyDescent="0.2">
      <c r="A2413" t="s">
        <v>1216</v>
      </c>
    </row>
    <row r="2414" spans="1:1" x14ac:dyDescent="0.2">
      <c r="A2414" t="s">
        <v>1217</v>
      </c>
    </row>
    <row r="2415" spans="1:1" x14ac:dyDescent="0.2">
      <c r="A2415" t="s">
        <v>1218</v>
      </c>
    </row>
    <row r="2416" spans="1:1" x14ac:dyDescent="0.2">
      <c r="A2416" t="s">
        <v>1219</v>
      </c>
    </row>
    <row r="2417" spans="1:1" x14ac:dyDescent="0.2">
      <c r="A2417" t="s">
        <v>1220</v>
      </c>
    </row>
    <row r="2418" spans="1:1" x14ac:dyDescent="0.2">
      <c r="A2418" t="s">
        <v>1221</v>
      </c>
    </row>
    <row r="2419" spans="1:1" x14ac:dyDescent="0.2">
      <c r="A2419" t="s">
        <v>1222</v>
      </c>
    </row>
    <row r="2420" spans="1:1" x14ac:dyDescent="0.2">
      <c r="A2420" t="s">
        <v>1223</v>
      </c>
    </row>
    <row r="2421" spans="1:1" x14ac:dyDescent="0.2">
      <c r="A2421" t="s">
        <v>1224</v>
      </c>
    </row>
    <row r="2422" spans="1:1" x14ac:dyDescent="0.2">
      <c r="A2422" t="s">
        <v>1225</v>
      </c>
    </row>
    <row r="2423" spans="1:1" x14ac:dyDescent="0.2">
      <c r="A2423" t="s">
        <v>1226</v>
      </c>
    </row>
    <row r="2424" spans="1:1" x14ac:dyDescent="0.2">
      <c r="A2424" t="s">
        <v>1227</v>
      </c>
    </row>
    <row r="2425" spans="1:1" x14ac:dyDescent="0.2">
      <c r="A2425" t="s">
        <v>1228</v>
      </c>
    </row>
    <row r="2426" spans="1:1" x14ac:dyDescent="0.2">
      <c r="A2426" t="s">
        <v>1229</v>
      </c>
    </row>
    <row r="2427" spans="1:1" x14ac:dyDescent="0.2">
      <c r="A2427" t="s">
        <v>1230</v>
      </c>
    </row>
    <row r="2428" spans="1:1" x14ac:dyDescent="0.2">
      <c r="A2428" t="s">
        <v>1231</v>
      </c>
    </row>
    <row r="2429" spans="1:1" x14ac:dyDescent="0.2">
      <c r="A2429" t="s">
        <v>1232</v>
      </c>
    </row>
    <row r="2430" spans="1:1" x14ac:dyDescent="0.2">
      <c r="A2430" t="s">
        <v>1233</v>
      </c>
    </row>
    <row r="2431" spans="1:1" x14ac:dyDescent="0.2">
      <c r="A2431" t="s">
        <v>1234</v>
      </c>
    </row>
    <row r="2432" spans="1:1" x14ac:dyDescent="0.2">
      <c r="A2432" t="s">
        <v>1235</v>
      </c>
    </row>
    <row r="2433" spans="1:1" x14ac:dyDescent="0.2">
      <c r="A2433" t="s">
        <v>1236</v>
      </c>
    </row>
    <row r="2434" spans="1:1" x14ac:dyDescent="0.2">
      <c r="A2434" t="s">
        <v>1237</v>
      </c>
    </row>
    <row r="2435" spans="1:1" x14ac:dyDescent="0.2">
      <c r="A2435" t="s">
        <v>1238</v>
      </c>
    </row>
    <row r="2436" spans="1:1" x14ac:dyDescent="0.2">
      <c r="A2436" t="s">
        <v>1239</v>
      </c>
    </row>
    <row r="2437" spans="1:1" x14ac:dyDescent="0.2">
      <c r="A2437" t="s">
        <v>1240</v>
      </c>
    </row>
    <row r="2438" spans="1:1" x14ac:dyDescent="0.2">
      <c r="A2438" t="s">
        <v>1241</v>
      </c>
    </row>
    <row r="2439" spans="1:1" x14ac:dyDescent="0.2">
      <c r="A2439" t="s">
        <v>1242</v>
      </c>
    </row>
    <row r="2440" spans="1:1" x14ac:dyDescent="0.2">
      <c r="A2440" t="s">
        <v>1243</v>
      </c>
    </row>
    <row r="2441" spans="1:1" x14ac:dyDescent="0.2">
      <c r="A2441" t="s">
        <v>1244</v>
      </c>
    </row>
    <row r="2442" spans="1:1" x14ac:dyDescent="0.2">
      <c r="A2442" t="s">
        <v>1245</v>
      </c>
    </row>
    <row r="2443" spans="1:1" x14ac:dyDescent="0.2">
      <c r="A2443" t="s">
        <v>1246</v>
      </c>
    </row>
    <row r="2444" spans="1:1" x14ac:dyDescent="0.2">
      <c r="A2444" t="s">
        <v>1247</v>
      </c>
    </row>
    <row r="2445" spans="1:1" x14ac:dyDescent="0.2">
      <c r="A2445" t="s">
        <v>1248</v>
      </c>
    </row>
    <row r="2446" spans="1:1" x14ac:dyDescent="0.2">
      <c r="A2446" t="s">
        <v>1249</v>
      </c>
    </row>
    <row r="2447" spans="1:1" x14ac:dyDescent="0.2">
      <c r="A2447" t="s">
        <v>1250</v>
      </c>
    </row>
    <row r="2448" spans="1:1" x14ac:dyDescent="0.2">
      <c r="A2448" t="s">
        <v>1251</v>
      </c>
    </row>
    <row r="2449" spans="1:1" x14ac:dyDescent="0.2">
      <c r="A2449" t="s">
        <v>1252</v>
      </c>
    </row>
    <row r="2450" spans="1:1" x14ac:dyDescent="0.2">
      <c r="A2450" t="s">
        <v>1253</v>
      </c>
    </row>
    <row r="2451" spans="1:1" x14ac:dyDescent="0.2">
      <c r="A2451" t="s">
        <v>1254</v>
      </c>
    </row>
    <row r="2452" spans="1:1" x14ac:dyDescent="0.2">
      <c r="A2452" t="s">
        <v>1255</v>
      </c>
    </row>
    <row r="2453" spans="1:1" x14ac:dyDescent="0.2">
      <c r="A2453" t="s">
        <v>1256</v>
      </c>
    </row>
    <row r="2454" spans="1:1" x14ac:dyDescent="0.2">
      <c r="A2454" t="s">
        <v>1257</v>
      </c>
    </row>
    <row r="2455" spans="1:1" x14ac:dyDescent="0.2">
      <c r="A2455" t="s">
        <v>1258</v>
      </c>
    </row>
    <row r="2456" spans="1:1" x14ac:dyDescent="0.2">
      <c r="A2456" t="s">
        <v>1259</v>
      </c>
    </row>
    <row r="2457" spans="1:1" x14ac:dyDescent="0.2">
      <c r="A2457" t="s">
        <v>1260</v>
      </c>
    </row>
    <row r="2458" spans="1:1" x14ac:dyDescent="0.2">
      <c r="A2458" t="s">
        <v>1261</v>
      </c>
    </row>
    <row r="2459" spans="1:1" x14ac:dyDescent="0.2">
      <c r="A2459" t="s">
        <v>1262</v>
      </c>
    </row>
    <row r="2460" spans="1:1" x14ac:dyDescent="0.2">
      <c r="A2460" t="s">
        <v>1263</v>
      </c>
    </row>
    <row r="2461" spans="1:1" x14ac:dyDescent="0.2">
      <c r="A2461" t="s">
        <v>1264</v>
      </c>
    </row>
    <row r="2462" spans="1:1" x14ac:dyDescent="0.2">
      <c r="A2462" t="s">
        <v>1265</v>
      </c>
    </row>
    <row r="2463" spans="1:1" x14ac:dyDescent="0.2">
      <c r="A2463" t="s">
        <v>1266</v>
      </c>
    </row>
    <row r="2464" spans="1:1" x14ac:dyDescent="0.2">
      <c r="A2464" t="s">
        <v>1267</v>
      </c>
    </row>
    <row r="2465" spans="1:1" x14ac:dyDescent="0.2">
      <c r="A2465" t="s">
        <v>1268</v>
      </c>
    </row>
    <row r="2466" spans="1:1" x14ac:dyDescent="0.2">
      <c r="A2466" t="s">
        <v>1269</v>
      </c>
    </row>
    <row r="2467" spans="1:1" x14ac:dyDescent="0.2">
      <c r="A2467" t="s">
        <v>1270</v>
      </c>
    </row>
    <row r="2468" spans="1:1" x14ac:dyDescent="0.2">
      <c r="A2468" t="s">
        <v>1271</v>
      </c>
    </row>
    <row r="2469" spans="1:1" x14ac:dyDescent="0.2">
      <c r="A2469" t="s">
        <v>1272</v>
      </c>
    </row>
    <row r="2470" spans="1:1" x14ac:dyDescent="0.2">
      <c r="A2470" t="s">
        <v>1273</v>
      </c>
    </row>
    <row r="2471" spans="1:1" x14ac:dyDescent="0.2">
      <c r="A2471" t="s">
        <v>1274</v>
      </c>
    </row>
    <row r="2472" spans="1:1" x14ac:dyDescent="0.2">
      <c r="A2472" t="s">
        <v>1275</v>
      </c>
    </row>
    <row r="2473" spans="1:1" x14ac:dyDescent="0.2">
      <c r="A2473" t="s">
        <v>1276</v>
      </c>
    </row>
    <row r="2474" spans="1:1" x14ac:dyDescent="0.2">
      <c r="A2474" t="s">
        <v>1277</v>
      </c>
    </row>
    <row r="2475" spans="1:1" x14ac:dyDescent="0.2">
      <c r="A2475" t="s">
        <v>1278</v>
      </c>
    </row>
    <row r="2476" spans="1:1" x14ac:dyDescent="0.2">
      <c r="A2476" t="s">
        <v>1279</v>
      </c>
    </row>
    <row r="2477" spans="1:1" x14ac:dyDescent="0.2">
      <c r="A2477" t="s">
        <v>1280</v>
      </c>
    </row>
    <row r="2478" spans="1:1" x14ac:dyDescent="0.2">
      <c r="A2478" t="s">
        <v>1281</v>
      </c>
    </row>
    <row r="2479" spans="1:1" x14ac:dyDescent="0.2">
      <c r="A2479" t="s">
        <v>1282</v>
      </c>
    </row>
    <row r="2480" spans="1:1" x14ac:dyDescent="0.2">
      <c r="A2480" t="s">
        <v>1283</v>
      </c>
    </row>
    <row r="2481" spans="1:1" x14ac:dyDescent="0.2">
      <c r="A2481" t="s">
        <v>1284</v>
      </c>
    </row>
    <row r="2482" spans="1:1" x14ac:dyDescent="0.2">
      <c r="A2482" t="s">
        <v>1285</v>
      </c>
    </row>
    <row r="2483" spans="1:1" x14ac:dyDescent="0.2">
      <c r="A2483" t="s">
        <v>1286</v>
      </c>
    </row>
    <row r="2484" spans="1:1" x14ac:dyDescent="0.2">
      <c r="A2484" t="s">
        <v>2813</v>
      </c>
    </row>
    <row r="2485" spans="1:1" x14ac:dyDescent="0.2">
      <c r="A2485" t="s">
        <v>1053</v>
      </c>
    </row>
    <row r="2486" spans="1:1" x14ac:dyDescent="0.2">
      <c r="A2486" t="s">
        <v>2814</v>
      </c>
    </row>
    <row r="2487" spans="1:1" x14ac:dyDescent="0.2">
      <c r="A2487" t="s">
        <v>2768</v>
      </c>
    </row>
    <row r="2488" spans="1:1" x14ac:dyDescent="0.2">
      <c r="A2488" t="s">
        <v>2769</v>
      </c>
    </row>
    <row r="2489" spans="1:1" x14ac:dyDescent="0.2">
      <c r="A2489" t="s">
        <v>1054</v>
      </c>
    </row>
    <row r="2490" spans="1:1" x14ac:dyDescent="0.2">
      <c r="A2490" t="s">
        <v>1055</v>
      </c>
    </row>
    <row r="2491" spans="1:1" x14ac:dyDescent="0.2">
      <c r="A2491" t="s">
        <v>2770</v>
      </c>
    </row>
    <row r="2492" spans="1:1" x14ac:dyDescent="0.2">
      <c r="A2492" t="s">
        <v>1056</v>
      </c>
    </row>
    <row r="2493" spans="1:1" x14ac:dyDescent="0.2">
      <c r="A2493" t="s">
        <v>1057</v>
      </c>
    </row>
    <row r="2494" spans="1:1" x14ac:dyDescent="0.2">
      <c r="A2494" t="s">
        <v>1058</v>
      </c>
    </row>
    <row r="2495" spans="1:1" x14ac:dyDescent="0.2">
      <c r="A2495" t="s">
        <v>1059</v>
      </c>
    </row>
    <row r="2496" spans="1:1" x14ac:dyDescent="0.2">
      <c r="A2496" t="s">
        <v>1060</v>
      </c>
    </row>
    <row r="2497" spans="1:1" x14ac:dyDescent="0.2">
      <c r="A2497" t="s">
        <v>1061</v>
      </c>
    </row>
    <row r="2498" spans="1:1" x14ac:dyDescent="0.2">
      <c r="A2498" t="s">
        <v>1062</v>
      </c>
    </row>
    <row r="2499" spans="1:1" x14ac:dyDescent="0.2">
      <c r="A2499" t="s">
        <v>1063</v>
      </c>
    </row>
    <row r="2500" spans="1:1" x14ac:dyDescent="0.2">
      <c r="A2500" t="s">
        <v>1064</v>
      </c>
    </row>
    <row r="2501" spans="1:1" x14ac:dyDescent="0.2">
      <c r="A2501" t="s">
        <v>1065</v>
      </c>
    </row>
    <row r="2502" spans="1:1" x14ac:dyDescent="0.2">
      <c r="A2502" t="s">
        <v>1066</v>
      </c>
    </row>
    <row r="2503" spans="1:1" x14ac:dyDescent="0.2">
      <c r="A2503" t="s">
        <v>1067</v>
      </c>
    </row>
    <row r="2504" spans="1:1" x14ac:dyDescent="0.2">
      <c r="A2504" t="s">
        <v>1068</v>
      </c>
    </row>
    <row r="2505" spans="1:1" x14ac:dyDescent="0.2">
      <c r="A2505" t="s">
        <v>1069</v>
      </c>
    </row>
    <row r="2506" spans="1:1" x14ac:dyDescent="0.2">
      <c r="A2506" t="s">
        <v>1070</v>
      </c>
    </row>
    <row r="2507" spans="1:1" x14ac:dyDescent="0.2">
      <c r="A2507" t="s">
        <v>1071</v>
      </c>
    </row>
    <row r="2508" spans="1:1" x14ac:dyDescent="0.2">
      <c r="A2508" t="s">
        <v>1072</v>
      </c>
    </row>
    <row r="2509" spans="1:1" x14ac:dyDescent="0.2">
      <c r="A2509" t="s">
        <v>1073</v>
      </c>
    </row>
    <row r="2510" spans="1:1" x14ac:dyDescent="0.2">
      <c r="A2510" t="s">
        <v>1074</v>
      </c>
    </row>
    <row r="2511" spans="1:1" x14ac:dyDescent="0.2">
      <c r="A2511" t="s">
        <v>1075</v>
      </c>
    </row>
    <row r="2512" spans="1:1" x14ac:dyDescent="0.2">
      <c r="A2512" t="s">
        <v>1076</v>
      </c>
    </row>
    <row r="2513" spans="1:1" x14ac:dyDescent="0.2">
      <c r="A2513" t="s">
        <v>1077</v>
      </c>
    </row>
    <row r="2514" spans="1:1" x14ac:dyDescent="0.2">
      <c r="A2514" t="s">
        <v>1078</v>
      </c>
    </row>
    <row r="2515" spans="1:1" x14ac:dyDescent="0.2">
      <c r="A2515" t="s">
        <v>1079</v>
      </c>
    </row>
    <row r="2516" spans="1:1" x14ac:dyDescent="0.2">
      <c r="A2516" t="s">
        <v>1080</v>
      </c>
    </row>
    <row r="2517" spans="1:1" x14ac:dyDescent="0.2">
      <c r="A2517" t="s">
        <v>1081</v>
      </c>
    </row>
    <row r="2518" spans="1:1" x14ac:dyDescent="0.2">
      <c r="A2518" t="s">
        <v>1082</v>
      </c>
    </row>
    <row r="2519" spans="1:1" x14ac:dyDescent="0.2">
      <c r="A2519" t="s">
        <v>1083</v>
      </c>
    </row>
    <row r="2520" spans="1:1" x14ac:dyDescent="0.2">
      <c r="A2520" t="s">
        <v>2771</v>
      </c>
    </row>
    <row r="2521" spans="1:1" x14ac:dyDescent="0.2">
      <c r="A2521" t="s">
        <v>2772</v>
      </c>
    </row>
    <row r="2522" spans="1:1" x14ac:dyDescent="0.2">
      <c r="A2522" t="s">
        <v>2773</v>
      </c>
    </row>
    <row r="2523" spans="1:1" x14ac:dyDescent="0.2">
      <c r="A2523" t="s">
        <v>2774</v>
      </c>
    </row>
    <row r="2524" spans="1:1" x14ac:dyDescent="0.2">
      <c r="A2524" t="s">
        <v>2775</v>
      </c>
    </row>
    <row r="2525" spans="1:1" x14ac:dyDescent="0.2">
      <c r="A2525" t="s">
        <v>2776</v>
      </c>
    </row>
    <row r="2526" spans="1:1" x14ac:dyDescent="0.2">
      <c r="A2526" t="s">
        <v>1084</v>
      </c>
    </row>
    <row r="2527" spans="1:1" x14ac:dyDescent="0.2">
      <c r="A2527" t="s">
        <v>1085</v>
      </c>
    </row>
    <row r="2528" spans="1:1" x14ac:dyDescent="0.2">
      <c r="A2528" t="s">
        <v>1086</v>
      </c>
    </row>
    <row r="2529" spans="1:1" x14ac:dyDescent="0.2">
      <c r="A2529" t="s">
        <v>1087</v>
      </c>
    </row>
    <row r="2530" spans="1:1" x14ac:dyDescent="0.2">
      <c r="A2530" t="s">
        <v>1088</v>
      </c>
    </row>
    <row r="2531" spans="1:1" x14ac:dyDescent="0.2">
      <c r="A2531" t="s">
        <v>1089</v>
      </c>
    </row>
    <row r="2532" spans="1:1" x14ac:dyDescent="0.2">
      <c r="A2532" t="s">
        <v>1090</v>
      </c>
    </row>
    <row r="2533" spans="1:1" x14ac:dyDescent="0.2">
      <c r="A2533" t="s">
        <v>1091</v>
      </c>
    </row>
    <row r="2534" spans="1:1" x14ac:dyDescent="0.2">
      <c r="A2534" t="s">
        <v>1092</v>
      </c>
    </row>
    <row r="2535" spans="1:1" x14ac:dyDescent="0.2">
      <c r="A2535" t="s">
        <v>1093</v>
      </c>
    </row>
    <row r="2536" spans="1:1" x14ac:dyDescent="0.2">
      <c r="A2536" t="s">
        <v>1094</v>
      </c>
    </row>
    <row r="2537" spans="1:1" x14ac:dyDescent="0.2">
      <c r="A2537" t="s">
        <v>1095</v>
      </c>
    </row>
    <row r="2538" spans="1:1" x14ac:dyDescent="0.2">
      <c r="A2538" t="s">
        <v>1096</v>
      </c>
    </row>
    <row r="2539" spans="1:1" x14ac:dyDescent="0.2">
      <c r="A2539" t="s">
        <v>1097</v>
      </c>
    </row>
    <row r="2540" spans="1:1" x14ac:dyDescent="0.2">
      <c r="A2540" t="s">
        <v>1098</v>
      </c>
    </row>
    <row r="2541" spans="1:1" x14ac:dyDescent="0.2">
      <c r="A2541" t="s">
        <v>1099</v>
      </c>
    </row>
    <row r="2542" spans="1:1" x14ac:dyDescent="0.2">
      <c r="A2542" t="s">
        <v>1100</v>
      </c>
    </row>
    <row r="2543" spans="1:1" x14ac:dyDescent="0.2">
      <c r="A2543" t="s">
        <v>1101</v>
      </c>
    </row>
    <row r="2544" spans="1:1" x14ac:dyDescent="0.2">
      <c r="A2544" t="s">
        <v>1102</v>
      </c>
    </row>
    <row r="2545" spans="1:1" x14ac:dyDescent="0.2">
      <c r="A2545" t="s">
        <v>1103</v>
      </c>
    </row>
    <row r="2546" spans="1:1" x14ac:dyDescent="0.2">
      <c r="A2546" t="s">
        <v>1104</v>
      </c>
    </row>
    <row r="2547" spans="1:1" x14ac:dyDescent="0.2">
      <c r="A2547" t="s">
        <v>1105</v>
      </c>
    </row>
    <row r="2548" spans="1:1" x14ac:dyDescent="0.2">
      <c r="A2548" t="s">
        <v>1106</v>
      </c>
    </row>
    <row r="2549" spans="1:1" x14ac:dyDescent="0.2">
      <c r="A2549" t="s">
        <v>1107</v>
      </c>
    </row>
    <row r="2550" spans="1:1" x14ac:dyDescent="0.2">
      <c r="A2550" t="s">
        <v>1108</v>
      </c>
    </row>
    <row r="2551" spans="1:1" x14ac:dyDescent="0.2">
      <c r="A2551" t="s">
        <v>1109</v>
      </c>
    </row>
    <row r="2552" spans="1:1" x14ac:dyDescent="0.2">
      <c r="A2552" t="s">
        <v>1110</v>
      </c>
    </row>
    <row r="2553" spans="1:1" x14ac:dyDescent="0.2">
      <c r="A2553" t="s">
        <v>1111</v>
      </c>
    </row>
    <row r="2554" spans="1:1" x14ac:dyDescent="0.2">
      <c r="A2554" t="s">
        <v>1112</v>
      </c>
    </row>
    <row r="2555" spans="1:1" x14ac:dyDescent="0.2">
      <c r="A2555" t="s">
        <v>1113</v>
      </c>
    </row>
    <row r="2556" spans="1:1" x14ac:dyDescent="0.2">
      <c r="A2556" t="s">
        <v>1114</v>
      </c>
    </row>
    <row r="2557" spans="1:1" x14ac:dyDescent="0.2">
      <c r="A2557" t="s">
        <v>1115</v>
      </c>
    </row>
    <row r="2558" spans="1:1" x14ac:dyDescent="0.2">
      <c r="A2558" t="s">
        <v>1116</v>
      </c>
    </row>
    <row r="2559" spans="1:1" x14ac:dyDescent="0.2">
      <c r="A2559" t="s">
        <v>1117</v>
      </c>
    </row>
    <row r="2560" spans="1:1" x14ac:dyDescent="0.2">
      <c r="A2560" t="s">
        <v>1118</v>
      </c>
    </row>
    <row r="2561" spans="1:1" x14ac:dyDescent="0.2">
      <c r="A2561" t="s">
        <v>1119</v>
      </c>
    </row>
    <row r="2562" spans="1:1" x14ac:dyDescent="0.2">
      <c r="A2562" t="s">
        <v>1120</v>
      </c>
    </row>
    <row r="2563" spans="1:1" x14ac:dyDescent="0.2">
      <c r="A2563" t="s">
        <v>1288</v>
      </c>
    </row>
    <row r="2564" spans="1:1" x14ac:dyDescent="0.2">
      <c r="A2564" t="s">
        <v>2815</v>
      </c>
    </row>
    <row r="2565" spans="1:1" x14ac:dyDescent="0.2">
      <c r="A2565" t="s">
        <v>2816</v>
      </c>
    </row>
    <row r="2566" spans="1:1" x14ac:dyDescent="0.2">
      <c r="A2566" t="s">
        <v>2817</v>
      </c>
    </row>
    <row r="2567" spans="1:1" x14ac:dyDescent="0.2">
      <c r="A2567" t="s">
        <v>2818</v>
      </c>
    </row>
    <row r="2568" spans="1:1" x14ac:dyDescent="0.2">
      <c r="A2568" t="s">
        <v>1289</v>
      </c>
    </row>
    <row r="2569" spans="1:1" x14ac:dyDescent="0.2">
      <c r="A2569" t="s">
        <v>2781</v>
      </c>
    </row>
    <row r="2570" spans="1:1" x14ac:dyDescent="0.2">
      <c r="A2570" t="s">
        <v>2819</v>
      </c>
    </row>
    <row r="2571" spans="1:1" x14ac:dyDescent="0.2">
      <c r="A2571" t="s">
        <v>1122</v>
      </c>
    </row>
    <row r="2572" spans="1:1" x14ac:dyDescent="0.2">
      <c r="A2572" t="s">
        <v>1123</v>
      </c>
    </row>
    <row r="2573" spans="1:1" x14ac:dyDescent="0.2">
      <c r="A2573" t="s">
        <v>1124</v>
      </c>
    </row>
    <row r="2574" spans="1:1" x14ac:dyDescent="0.2">
      <c r="A2574" t="s">
        <v>1125</v>
      </c>
    </row>
    <row r="2575" spans="1:1" x14ac:dyDescent="0.2">
      <c r="A2575" t="s">
        <v>1126</v>
      </c>
    </row>
    <row r="2576" spans="1:1" x14ac:dyDescent="0.2">
      <c r="A2576" t="s">
        <v>1127</v>
      </c>
    </row>
    <row r="2577" spans="1:1" x14ac:dyDescent="0.2">
      <c r="A2577" t="s">
        <v>1128</v>
      </c>
    </row>
    <row r="2578" spans="1:1" x14ac:dyDescent="0.2">
      <c r="A2578" t="s">
        <v>1129</v>
      </c>
    </row>
    <row r="2579" spans="1:1" x14ac:dyDescent="0.2">
      <c r="A2579" t="s">
        <v>1130</v>
      </c>
    </row>
    <row r="2580" spans="1:1" x14ac:dyDescent="0.2">
      <c r="A2580" t="s">
        <v>1131</v>
      </c>
    </row>
    <row r="2581" spans="1:1" x14ac:dyDescent="0.2">
      <c r="A2581" t="s">
        <v>1132</v>
      </c>
    </row>
    <row r="2582" spans="1:1" x14ac:dyDescent="0.2">
      <c r="A2582" t="s">
        <v>1133</v>
      </c>
    </row>
    <row r="2583" spans="1:1" x14ac:dyDescent="0.2">
      <c r="A2583" t="s">
        <v>1134</v>
      </c>
    </row>
    <row r="2584" spans="1:1" x14ac:dyDescent="0.2">
      <c r="A2584" t="s">
        <v>1135</v>
      </c>
    </row>
    <row r="2585" spans="1:1" x14ac:dyDescent="0.2">
      <c r="A2585" t="s">
        <v>1136</v>
      </c>
    </row>
    <row r="2586" spans="1:1" x14ac:dyDescent="0.2">
      <c r="A2586" t="s">
        <v>1137</v>
      </c>
    </row>
    <row r="2587" spans="1:1" x14ac:dyDescent="0.2">
      <c r="A2587" t="s">
        <v>1138</v>
      </c>
    </row>
    <row r="2588" spans="1:1" x14ac:dyDescent="0.2">
      <c r="A2588" t="s">
        <v>1139</v>
      </c>
    </row>
    <row r="2589" spans="1:1" x14ac:dyDescent="0.2">
      <c r="A2589" t="s">
        <v>1140</v>
      </c>
    </row>
    <row r="2590" spans="1:1" x14ac:dyDescent="0.2">
      <c r="A2590" t="s">
        <v>1141</v>
      </c>
    </row>
    <row r="2591" spans="1:1" x14ac:dyDescent="0.2">
      <c r="A2591" t="s">
        <v>1142</v>
      </c>
    </row>
    <row r="2592" spans="1:1" x14ac:dyDescent="0.2">
      <c r="A2592" t="s">
        <v>1143</v>
      </c>
    </row>
    <row r="2593" spans="1:1" x14ac:dyDescent="0.2">
      <c r="A2593" t="s">
        <v>1144</v>
      </c>
    </row>
    <row r="2594" spans="1:1" x14ac:dyDescent="0.2">
      <c r="A2594" t="s">
        <v>1145</v>
      </c>
    </row>
    <row r="2595" spans="1:1" x14ac:dyDescent="0.2">
      <c r="A2595" t="s">
        <v>1146</v>
      </c>
    </row>
    <row r="2596" spans="1:1" x14ac:dyDescent="0.2">
      <c r="A2596" t="s">
        <v>1147</v>
      </c>
    </row>
    <row r="2597" spans="1:1" x14ac:dyDescent="0.2">
      <c r="A2597" t="s">
        <v>1148</v>
      </c>
    </row>
    <row r="2598" spans="1:1" x14ac:dyDescent="0.2">
      <c r="A2598" t="s">
        <v>1149</v>
      </c>
    </row>
    <row r="2599" spans="1:1" x14ac:dyDescent="0.2">
      <c r="A2599" t="s">
        <v>1150</v>
      </c>
    </row>
    <row r="2600" spans="1:1" x14ac:dyDescent="0.2">
      <c r="A2600" t="s">
        <v>1151</v>
      </c>
    </row>
    <row r="2601" spans="1:1" x14ac:dyDescent="0.2">
      <c r="A2601" t="s">
        <v>1152</v>
      </c>
    </row>
    <row r="2602" spans="1:1" x14ac:dyDescent="0.2">
      <c r="A2602" t="s">
        <v>1153</v>
      </c>
    </row>
    <row r="2603" spans="1:1" x14ac:dyDescent="0.2">
      <c r="A2603" t="s">
        <v>1154</v>
      </c>
    </row>
    <row r="2604" spans="1:1" x14ac:dyDescent="0.2">
      <c r="A2604" t="s">
        <v>1155</v>
      </c>
    </row>
    <row r="2605" spans="1:1" x14ac:dyDescent="0.2">
      <c r="A2605" t="s">
        <v>1156</v>
      </c>
    </row>
    <row r="2606" spans="1:1" x14ac:dyDescent="0.2">
      <c r="A2606" t="s">
        <v>1157</v>
      </c>
    </row>
    <row r="2607" spans="1:1" x14ac:dyDescent="0.2">
      <c r="A2607" t="s">
        <v>1158</v>
      </c>
    </row>
    <row r="2608" spans="1:1" x14ac:dyDescent="0.2">
      <c r="A2608" t="s">
        <v>1159</v>
      </c>
    </row>
    <row r="2609" spans="1:1" x14ac:dyDescent="0.2">
      <c r="A2609" t="s">
        <v>1160</v>
      </c>
    </row>
    <row r="2610" spans="1:1" x14ac:dyDescent="0.2">
      <c r="A2610" t="s">
        <v>1161</v>
      </c>
    </row>
    <row r="2611" spans="1:1" x14ac:dyDescent="0.2">
      <c r="A2611" t="s">
        <v>1162</v>
      </c>
    </row>
    <row r="2612" spans="1:1" x14ac:dyDescent="0.2">
      <c r="A2612" t="s">
        <v>1163</v>
      </c>
    </row>
    <row r="2613" spans="1:1" x14ac:dyDescent="0.2">
      <c r="A2613" t="s">
        <v>1164</v>
      </c>
    </row>
    <row r="2614" spans="1:1" x14ac:dyDescent="0.2">
      <c r="A2614" t="s">
        <v>1165</v>
      </c>
    </row>
    <row r="2615" spans="1:1" x14ac:dyDescent="0.2">
      <c r="A2615" t="s">
        <v>1166</v>
      </c>
    </row>
    <row r="2616" spans="1:1" x14ac:dyDescent="0.2">
      <c r="A2616" t="s">
        <v>1167</v>
      </c>
    </row>
    <row r="2617" spans="1:1" x14ac:dyDescent="0.2">
      <c r="A2617" t="s">
        <v>1168</v>
      </c>
    </row>
    <row r="2618" spans="1:1" x14ac:dyDescent="0.2">
      <c r="A2618" t="s">
        <v>1169</v>
      </c>
    </row>
    <row r="2619" spans="1:1" x14ac:dyDescent="0.2">
      <c r="A2619" t="s">
        <v>1170</v>
      </c>
    </row>
    <row r="2620" spans="1:1" x14ac:dyDescent="0.2">
      <c r="A2620" t="s">
        <v>1171</v>
      </c>
    </row>
    <row r="2621" spans="1:1" x14ac:dyDescent="0.2">
      <c r="A2621" t="s">
        <v>1172</v>
      </c>
    </row>
    <row r="2622" spans="1:1" x14ac:dyDescent="0.2">
      <c r="A2622" t="s">
        <v>1173</v>
      </c>
    </row>
    <row r="2623" spans="1:1" x14ac:dyDescent="0.2">
      <c r="A2623" t="s">
        <v>1174</v>
      </c>
    </row>
    <row r="2624" spans="1:1" x14ac:dyDescent="0.2">
      <c r="A2624" t="s">
        <v>1175</v>
      </c>
    </row>
    <row r="2625" spans="1:1" x14ac:dyDescent="0.2">
      <c r="A2625" t="s">
        <v>1176</v>
      </c>
    </row>
    <row r="2626" spans="1:1" x14ac:dyDescent="0.2">
      <c r="A2626" t="s">
        <v>1177</v>
      </c>
    </row>
    <row r="2627" spans="1:1" x14ac:dyDescent="0.2">
      <c r="A2627" t="s">
        <v>1178</v>
      </c>
    </row>
    <row r="2628" spans="1:1" x14ac:dyDescent="0.2">
      <c r="A2628" t="s">
        <v>1179</v>
      </c>
    </row>
    <row r="2629" spans="1:1" x14ac:dyDescent="0.2">
      <c r="A2629" t="s">
        <v>1180</v>
      </c>
    </row>
    <row r="2630" spans="1:1" x14ac:dyDescent="0.2">
      <c r="A2630" t="s">
        <v>1181</v>
      </c>
    </row>
    <row r="2631" spans="1:1" x14ac:dyDescent="0.2">
      <c r="A2631" t="s">
        <v>1182</v>
      </c>
    </row>
    <row r="2632" spans="1:1" x14ac:dyDescent="0.2">
      <c r="A2632" t="s">
        <v>1183</v>
      </c>
    </row>
    <row r="2633" spans="1:1" x14ac:dyDescent="0.2">
      <c r="A2633" t="s">
        <v>1184</v>
      </c>
    </row>
    <row r="2634" spans="1:1" x14ac:dyDescent="0.2">
      <c r="A2634" t="s">
        <v>1185</v>
      </c>
    </row>
    <row r="2635" spans="1:1" x14ac:dyDescent="0.2">
      <c r="A2635" t="s">
        <v>1186</v>
      </c>
    </row>
    <row r="2636" spans="1:1" x14ac:dyDescent="0.2">
      <c r="A2636" t="s">
        <v>1187</v>
      </c>
    </row>
    <row r="2637" spans="1:1" x14ac:dyDescent="0.2">
      <c r="A2637" t="s">
        <v>1188</v>
      </c>
    </row>
    <row r="2638" spans="1:1" x14ac:dyDescent="0.2">
      <c r="A2638" t="s">
        <v>1189</v>
      </c>
    </row>
    <row r="2639" spans="1:1" x14ac:dyDescent="0.2">
      <c r="A2639" t="s">
        <v>1190</v>
      </c>
    </row>
    <row r="2640" spans="1:1" x14ac:dyDescent="0.2">
      <c r="A2640" t="s">
        <v>1191</v>
      </c>
    </row>
    <row r="2641" spans="1:1" x14ac:dyDescent="0.2">
      <c r="A2641" t="s">
        <v>1192</v>
      </c>
    </row>
    <row r="2642" spans="1:1" x14ac:dyDescent="0.2">
      <c r="A2642" t="s">
        <v>1193</v>
      </c>
    </row>
    <row r="2643" spans="1:1" x14ac:dyDescent="0.2">
      <c r="A2643" t="s">
        <v>1194</v>
      </c>
    </row>
    <row r="2644" spans="1:1" x14ac:dyDescent="0.2">
      <c r="A2644" t="s">
        <v>1195</v>
      </c>
    </row>
    <row r="2645" spans="1:1" x14ac:dyDescent="0.2">
      <c r="A2645" t="s">
        <v>1196</v>
      </c>
    </row>
    <row r="2646" spans="1:1" x14ac:dyDescent="0.2">
      <c r="A2646" t="s">
        <v>1197</v>
      </c>
    </row>
    <row r="2647" spans="1:1" x14ac:dyDescent="0.2">
      <c r="A2647" t="s">
        <v>1198</v>
      </c>
    </row>
    <row r="2648" spans="1:1" x14ac:dyDescent="0.2">
      <c r="A2648" t="s">
        <v>1199</v>
      </c>
    </row>
    <row r="2649" spans="1:1" x14ac:dyDescent="0.2">
      <c r="A2649" t="s">
        <v>1200</v>
      </c>
    </row>
    <row r="2650" spans="1:1" x14ac:dyDescent="0.2">
      <c r="A2650" t="s">
        <v>1201</v>
      </c>
    </row>
    <row r="2651" spans="1:1" x14ac:dyDescent="0.2">
      <c r="A2651" t="s">
        <v>1202</v>
      </c>
    </row>
    <row r="2652" spans="1:1" x14ac:dyDescent="0.2">
      <c r="A2652" t="s">
        <v>1203</v>
      </c>
    </row>
    <row r="2653" spans="1:1" x14ac:dyDescent="0.2">
      <c r="A2653" t="s">
        <v>1204</v>
      </c>
    </row>
    <row r="2654" spans="1:1" x14ac:dyDescent="0.2">
      <c r="A2654" t="s">
        <v>1205</v>
      </c>
    </row>
    <row r="2655" spans="1:1" x14ac:dyDescent="0.2">
      <c r="A2655" t="s">
        <v>1206</v>
      </c>
    </row>
    <row r="2656" spans="1:1" x14ac:dyDescent="0.2">
      <c r="A2656" t="s">
        <v>1207</v>
      </c>
    </row>
    <row r="2657" spans="1:1" x14ac:dyDescent="0.2">
      <c r="A2657" t="s">
        <v>1208</v>
      </c>
    </row>
    <row r="2658" spans="1:1" x14ac:dyDescent="0.2">
      <c r="A2658" t="s">
        <v>1209</v>
      </c>
    </row>
    <row r="2659" spans="1:1" x14ac:dyDescent="0.2">
      <c r="A2659" t="s">
        <v>1210</v>
      </c>
    </row>
    <row r="2660" spans="1:1" x14ac:dyDescent="0.2">
      <c r="A2660" t="s">
        <v>1211</v>
      </c>
    </row>
    <row r="2661" spans="1:1" x14ac:dyDescent="0.2">
      <c r="A2661" t="s">
        <v>1212</v>
      </c>
    </row>
    <row r="2662" spans="1:1" x14ac:dyDescent="0.2">
      <c r="A2662" t="s">
        <v>1213</v>
      </c>
    </row>
    <row r="2663" spans="1:1" x14ac:dyDescent="0.2">
      <c r="A2663" t="s">
        <v>1214</v>
      </c>
    </row>
    <row r="2664" spans="1:1" x14ac:dyDescent="0.2">
      <c r="A2664" t="s">
        <v>1215</v>
      </c>
    </row>
    <row r="2665" spans="1:1" x14ac:dyDescent="0.2">
      <c r="A2665" t="s">
        <v>1216</v>
      </c>
    </row>
    <row r="2666" spans="1:1" x14ac:dyDescent="0.2">
      <c r="A2666" t="s">
        <v>1217</v>
      </c>
    </row>
    <row r="2667" spans="1:1" x14ac:dyDescent="0.2">
      <c r="A2667" t="s">
        <v>1218</v>
      </c>
    </row>
    <row r="2668" spans="1:1" x14ac:dyDescent="0.2">
      <c r="A2668" t="s">
        <v>1219</v>
      </c>
    </row>
    <row r="2669" spans="1:1" x14ac:dyDescent="0.2">
      <c r="A2669" t="s">
        <v>1220</v>
      </c>
    </row>
    <row r="2670" spans="1:1" x14ac:dyDescent="0.2">
      <c r="A2670" t="s">
        <v>1221</v>
      </c>
    </row>
    <row r="2671" spans="1:1" x14ac:dyDescent="0.2">
      <c r="A2671" t="s">
        <v>1222</v>
      </c>
    </row>
    <row r="2672" spans="1:1" x14ac:dyDescent="0.2">
      <c r="A2672" t="s">
        <v>1223</v>
      </c>
    </row>
    <row r="2673" spans="1:1" x14ac:dyDescent="0.2">
      <c r="A2673" t="s">
        <v>1224</v>
      </c>
    </row>
    <row r="2674" spans="1:1" x14ac:dyDescent="0.2">
      <c r="A2674" t="s">
        <v>1225</v>
      </c>
    </row>
    <row r="2675" spans="1:1" x14ac:dyDescent="0.2">
      <c r="A2675" t="s">
        <v>1226</v>
      </c>
    </row>
    <row r="2676" spans="1:1" x14ac:dyDescent="0.2">
      <c r="A2676" t="s">
        <v>1227</v>
      </c>
    </row>
    <row r="2677" spans="1:1" x14ac:dyDescent="0.2">
      <c r="A2677" t="s">
        <v>1228</v>
      </c>
    </row>
    <row r="2678" spans="1:1" x14ac:dyDescent="0.2">
      <c r="A2678" t="s">
        <v>1229</v>
      </c>
    </row>
    <row r="2679" spans="1:1" x14ac:dyDescent="0.2">
      <c r="A2679" t="s">
        <v>1230</v>
      </c>
    </row>
    <row r="2680" spans="1:1" x14ac:dyDescent="0.2">
      <c r="A2680" t="s">
        <v>1231</v>
      </c>
    </row>
    <row r="2681" spans="1:1" x14ac:dyDescent="0.2">
      <c r="A2681" t="s">
        <v>1232</v>
      </c>
    </row>
    <row r="2682" spans="1:1" x14ac:dyDescent="0.2">
      <c r="A2682" t="s">
        <v>1233</v>
      </c>
    </row>
    <row r="2683" spans="1:1" x14ac:dyDescent="0.2">
      <c r="A2683" t="s">
        <v>1234</v>
      </c>
    </row>
    <row r="2684" spans="1:1" x14ac:dyDescent="0.2">
      <c r="A2684" t="s">
        <v>1235</v>
      </c>
    </row>
    <row r="2685" spans="1:1" x14ac:dyDescent="0.2">
      <c r="A2685" t="s">
        <v>1236</v>
      </c>
    </row>
    <row r="2686" spans="1:1" x14ac:dyDescent="0.2">
      <c r="A2686" t="s">
        <v>1237</v>
      </c>
    </row>
    <row r="2687" spans="1:1" x14ac:dyDescent="0.2">
      <c r="A2687" t="s">
        <v>1238</v>
      </c>
    </row>
    <row r="2688" spans="1:1" x14ac:dyDescent="0.2">
      <c r="A2688" t="s">
        <v>1239</v>
      </c>
    </row>
    <row r="2689" spans="1:1" x14ac:dyDescent="0.2">
      <c r="A2689" t="s">
        <v>1240</v>
      </c>
    </row>
    <row r="2690" spans="1:1" x14ac:dyDescent="0.2">
      <c r="A2690" t="s">
        <v>1241</v>
      </c>
    </row>
    <row r="2691" spans="1:1" x14ac:dyDescent="0.2">
      <c r="A2691" t="s">
        <v>1242</v>
      </c>
    </row>
    <row r="2692" spans="1:1" x14ac:dyDescent="0.2">
      <c r="A2692" t="s">
        <v>1243</v>
      </c>
    </row>
    <row r="2693" spans="1:1" x14ac:dyDescent="0.2">
      <c r="A2693" t="s">
        <v>1244</v>
      </c>
    </row>
    <row r="2694" spans="1:1" x14ac:dyDescent="0.2">
      <c r="A2694" t="s">
        <v>1245</v>
      </c>
    </row>
    <row r="2695" spans="1:1" x14ac:dyDescent="0.2">
      <c r="A2695" t="s">
        <v>1246</v>
      </c>
    </row>
    <row r="2696" spans="1:1" x14ac:dyDescent="0.2">
      <c r="A2696" t="s">
        <v>1247</v>
      </c>
    </row>
    <row r="2697" spans="1:1" x14ac:dyDescent="0.2">
      <c r="A2697" t="s">
        <v>1248</v>
      </c>
    </row>
    <row r="2698" spans="1:1" x14ac:dyDescent="0.2">
      <c r="A2698" t="s">
        <v>1249</v>
      </c>
    </row>
    <row r="2699" spans="1:1" x14ac:dyDescent="0.2">
      <c r="A2699" t="s">
        <v>1250</v>
      </c>
    </row>
    <row r="2700" spans="1:1" x14ac:dyDescent="0.2">
      <c r="A2700" t="s">
        <v>1251</v>
      </c>
    </row>
    <row r="2701" spans="1:1" x14ac:dyDescent="0.2">
      <c r="A2701" t="s">
        <v>1252</v>
      </c>
    </row>
    <row r="2702" spans="1:1" x14ac:dyDescent="0.2">
      <c r="A2702" t="s">
        <v>1253</v>
      </c>
    </row>
    <row r="2703" spans="1:1" x14ac:dyDescent="0.2">
      <c r="A2703" t="s">
        <v>1254</v>
      </c>
    </row>
    <row r="2704" spans="1:1" x14ac:dyDescent="0.2">
      <c r="A2704" t="s">
        <v>1255</v>
      </c>
    </row>
    <row r="2705" spans="1:1" x14ac:dyDescent="0.2">
      <c r="A2705" t="s">
        <v>1256</v>
      </c>
    </row>
    <row r="2706" spans="1:1" x14ac:dyDescent="0.2">
      <c r="A2706" t="s">
        <v>1257</v>
      </c>
    </row>
    <row r="2707" spans="1:1" x14ac:dyDescent="0.2">
      <c r="A2707" t="s">
        <v>1258</v>
      </c>
    </row>
    <row r="2708" spans="1:1" x14ac:dyDescent="0.2">
      <c r="A2708" t="s">
        <v>1259</v>
      </c>
    </row>
    <row r="2709" spans="1:1" x14ac:dyDescent="0.2">
      <c r="A2709" t="s">
        <v>1260</v>
      </c>
    </row>
    <row r="2710" spans="1:1" x14ac:dyDescent="0.2">
      <c r="A2710" t="s">
        <v>1261</v>
      </c>
    </row>
    <row r="2711" spans="1:1" x14ac:dyDescent="0.2">
      <c r="A2711" t="s">
        <v>1262</v>
      </c>
    </row>
    <row r="2712" spans="1:1" x14ac:dyDescent="0.2">
      <c r="A2712" t="s">
        <v>1263</v>
      </c>
    </row>
    <row r="2713" spans="1:1" x14ac:dyDescent="0.2">
      <c r="A2713" t="s">
        <v>1264</v>
      </c>
    </row>
    <row r="2714" spans="1:1" x14ac:dyDescent="0.2">
      <c r="A2714" t="s">
        <v>1265</v>
      </c>
    </row>
    <row r="2715" spans="1:1" x14ac:dyDescent="0.2">
      <c r="A2715" t="s">
        <v>1266</v>
      </c>
    </row>
    <row r="2716" spans="1:1" x14ac:dyDescent="0.2">
      <c r="A2716" t="s">
        <v>1267</v>
      </c>
    </row>
    <row r="2717" spans="1:1" x14ac:dyDescent="0.2">
      <c r="A2717" t="s">
        <v>1268</v>
      </c>
    </row>
    <row r="2718" spans="1:1" x14ac:dyDescent="0.2">
      <c r="A2718" t="s">
        <v>1269</v>
      </c>
    </row>
    <row r="2719" spans="1:1" x14ac:dyDescent="0.2">
      <c r="A2719" t="s">
        <v>1270</v>
      </c>
    </row>
    <row r="2720" spans="1:1" x14ac:dyDescent="0.2">
      <c r="A2720" t="s">
        <v>1271</v>
      </c>
    </row>
    <row r="2721" spans="1:1" x14ac:dyDescent="0.2">
      <c r="A2721" t="s">
        <v>1272</v>
      </c>
    </row>
    <row r="2722" spans="1:1" x14ac:dyDescent="0.2">
      <c r="A2722" t="s">
        <v>1273</v>
      </c>
    </row>
    <row r="2723" spans="1:1" x14ac:dyDescent="0.2">
      <c r="A2723" t="s">
        <v>1274</v>
      </c>
    </row>
    <row r="2724" spans="1:1" x14ac:dyDescent="0.2">
      <c r="A2724" t="s">
        <v>1275</v>
      </c>
    </row>
    <row r="2725" spans="1:1" x14ac:dyDescent="0.2">
      <c r="A2725" t="s">
        <v>1276</v>
      </c>
    </row>
    <row r="2726" spans="1:1" x14ac:dyDescent="0.2">
      <c r="A2726" t="s">
        <v>1277</v>
      </c>
    </row>
    <row r="2727" spans="1:1" x14ac:dyDescent="0.2">
      <c r="A2727" t="s">
        <v>1278</v>
      </c>
    </row>
    <row r="2728" spans="1:1" x14ac:dyDescent="0.2">
      <c r="A2728" t="s">
        <v>1279</v>
      </c>
    </row>
    <row r="2729" spans="1:1" x14ac:dyDescent="0.2">
      <c r="A2729" t="s">
        <v>1280</v>
      </c>
    </row>
    <row r="2730" spans="1:1" x14ac:dyDescent="0.2">
      <c r="A2730" t="s">
        <v>1281</v>
      </c>
    </row>
    <row r="2731" spans="1:1" x14ac:dyDescent="0.2">
      <c r="A2731" t="s">
        <v>1282</v>
      </c>
    </row>
    <row r="2732" spans="1:1" x14ac:dyDescent="0.2">
      <c r="A2732" t="s">
        <v>1283</v>
      </c>
    </row>
    <row r="2733" spans="1:1" x14ac:dyDescent="0.2">
      <c r="A2733" t="s">
        <v>1284</v>
      </c>
    </row>
    <row r="2734" spans="1:1" x14ac:dyDescent="0.2">
      <c r="A2734" t="s">
        <v>1285</v>
      </c>
    </row>
    <row r="2735" spans="1:1" x14ac:dyDescent="0.2">
      <c r="A2735" t="s">
        <v>1286</v>
      </c>
    </row>
    <row r="2736" spans="1:1" x14ac:dyDescent="0.2">
      <c r="A2736" t="s">
        <v>2820</v>
      </c>
    </row>
    <row r="2737" spans="1:1" x14ac:dyDescent="0.2">
      <c r="A2737" t="s">
        <v>1053</v>
      </c>
    </row>
    <row r="2738" spans="1:1" x14ac:dyDescent="0.2">
      <c r="A2738" t="s">
        <v>2821</v>
      </c>
    </row>
    <row r="2739" spans="1:1" x14ac:dyDescent="0.2">
      <c r="A2739" t="s">
        <v>2768</v>
      </c>
    </row>
    <row r="2740" spans="1:1" x14ac:dyDescent="0.2">
      <c r="A2740" t="s">
        <v>2769</v>
      </c>
    </row>
    <row r="2741" spans="1:1" x14ac:dyDescent="0.2">
      <c r="A2741" t="s">
        <v>1054</v>
      </c>
    </row>
    <row r="2742" spans="1:1" x14ac:dyDescent="0.2">
      <c r="A2742" t="s">
        <v>1055</v>
      </c>
    </row>
    <row r="2743" spans="1:1" x14ac:dyDescent="0.2">
      <c r="A2743" t="s">
        <v>2770</v>
      </c>
    </row>
    <row r="2744" spans="1:1" x14ac:dyDescent="0.2">
      <c r="A2744" t="s">
        <v>1056</v>
      </c>
    </row>
    <row r="2745" spans="1:1" x14ac:dyDescent="0.2">
      <c r="A2745" t="s">
        <v>1057</v>
      </c>
    </row>
    <row r="2746" spans="1:1" x14ac:dyDescent="0.2">
      <c r="A2746" t="s">
        <v>1058</v>
      </c>
    </row>
    <row r="2747" spans="1:1" x14ac:dyDescent="0.2">
      <c r="A2747" t="s">
        <v>1059</v>
      </c>
    </row>
    <row r="2748" spans="1:1" x14ac:dyDescent="0.2">
      <c r="A2748" t="s">
        <v>1060</v>
      </c>
    </row>
    <row r="2749" spans="1:1" x14ac:dyDescent="0.2">
      <c r="A2749" t="s">
        <v>1061</v>
      </c>
    </row>
    <row r="2750" spans="1:1" x14ac:dyDescent="0.2">
      <c r="A2750" t="s">
        <v>1062</v>
      </c>
    </row>
    <row r="2751" spans="1:1" x14ac:dyDescent="0.2">
      <c r="A2751" t="s">
        <v>1063</v>
      </c>
    </row>
    <row r="2752" spans="1:1" x14ac:dyDescent="0.2">
      <c r="A2752" t="s">
        <v>1064</v>
      </c>
    </row>
    <row r="2753" spans="1:1" x14ac:dyDescent="0.2">
      <c r="A2753" t="s">
        <v>1065</v>
      </c>
    </row>
    <row r="2754" spans="1:1" x14ac:dyDescent="0.2">
      <c r="A2754" t="s">
        <v>1066</v>
      </c>
    </row>
    <row r="2755" spans="1:1" x14ac:dyDescent="0.2">
      <c r="A2755" t="s">
        <v>1067</v>
      </c>
    </row>
    <row r="2756" spans="1:1" x14ac:dyDescent="0.2">
      <c r="A2756" t="s">
        <v>1068</v>
      </c>
    </row>
    <row r="2757" spans="1:1" x14ac:dyDescent="0.2">
      <c r="A2757" t="s">
        <v>1069</v>
      </c>
    </row>
    <row r="2758" spans="1:1" x14ac:dyDescent="0.2">
      <c r="A2758" t="s">
        <v>1070</v>
      </c>
    </row>
    <row r="2759" spans="1:1" x14ac:dyDescent="0.2">
      <c r="A2759" t="s">
        <v>1071</v>
      </c>
    </row>
    <row r="2760" spans="1:1" x14ac:dyDescent="0.2">
      <c r="A2760" t="s">
        <v>1072</v>
      </c>
    </row>
    <row r="2761" spans="1:1" x14ac:dyDescent="0.2">
      <c r="A2761" t="s">
        <v>1073</v>
      </c>
    </row>
    <row r="2762" spans="1:1" x14ac:dyDescent="0.2">
      <c r="A2762" t="s">
        <v>1074</v>
      </c>
    </row>
    <row r="2763" spans="1:1" x14ac:dyDescent="0.2">
      <c r="A2763" t="s">
        <v>1075</v>
      </c>
    </row>
    <row r="2764" spans="1:1" x14ac:dyDescent="0.2">
      <c r="A2764" t="s">
        <v>1076</v>
      </c>
    </row>
    <row r="2765" spans="1:1" x14ac:dyDescent="0.2">
      <c r="A2765" t="s">
        <v>1077</v>
      </c>
    </row>
    <row r="2766" spans="1:1" x14ac:dyDescent="0.2">
      <c r="A2766" t="s">
        <v>1078</v>
      </c>
    </row>
    <row r="2767" spans="1:1" x14ac:dyDescent="0.2">
      <c r="A2767" t="s">
        <v>1079</v>
      </c>
    </row>
    <row r="2768" spans="1:1" x14ac:dyDescent="0.2">
      <c r="A2768" t="s">
        <v>1080</v>
      </c>
    </row>
    <row r="2769" spans="1:1" x14ac:dyDescent="0.2">
      <c r="A2769" t="s">
        <v>1081</v>
      </c>
    </row>
    <row r="2770" spans="1:1" x14ac:dyDescent="0.2">
      <c r="A2770" t="s">
        <v>1082</v>
      </c>
    </row>
    <row r="2771" spans="1:1" x14ac:dyDescent="0.2">
      <c r="A2771" t="s">
        <v>1083</v>
      </c>
    </row>
    <row r="2772" spans="1:1" x14ac:dyDescent="0.2">
      <c r="A2772" t="s">
        <v>2771</v>
      </c>
    </row>
    <row r="2773" spans="1:1" x14ac:dyDescent="0.2">
      <c r="A2773" t="s">
        <v>2772</v>
      </c>
    </row>
    <row r="2774" spans="1:1" x14ac:dyDescent="0.2">
      <c r="A2774" t="s">
        <v>2773</v>
      </c>
    </row>
    <row r="2775" spans="1:1" x14ac:dyDescent="0.2">
      <c r="A2775" t="s">
        <v>2774</v>
      </c>
    </row>
    <row r="2776" spans="1:1" x14ac:dyDescent="0.2">
      <c r="A2776" t="s">
        <v>2775</v>
      </c>
    </row>
    <row r="2777" spans="1:1" x14ac:dyDescent="0.2">
      <c r="A2777" t="s">
        <v>2776</v>
      </c>
    </row>
    <row r="2778" spans="1:1" x14ac:dyDescent="0.2">
      <c r="A2778" t="s">
        <v>1084</v>
      </c>
    </row>
    <row r="2779" spans="1:1" x14ac:dyDescent="0.2">
      <c r="A2779" t="s">
        <v>1085</v>
      </c>
    </row>
    <row r="2780" spans="1:1" x14ac:dyDescent="0.2">
      <c r="A2780" t="s">
        <v>1086</v>
      </c>
    </row>
    <row r="2781" spans="1:1" x14ac:dyDescent="0.2">
      <c r="A2781" t="s">
        <v>1087</v>
      </c>
    </row>
    <row r="2782" spans="1:1" x14ac:dyDescent="0.2">
      <c r="A2782" t="s">
        <v>1088</v>
      </c>
    </row>
    <row r="2783" spans="1:1" x14ac:dyDescent="0.2">
      <c r="A2783" t="s">
        <v>1089</v>
      </c>
    </row>
    <row r="2784" spans="1:1" x14ac:dyDescent="0.2">
      <c r="A2784" t="s">
        <v>1090</v>
      </c>
    </row>
    <row r="2785" spans="1:1" x14ac:dyDescent="0.2">
      <c r="A2785" t="s">
        <v>1091</v>
      </c>
    </row>
    <row r="2786" spans="1:1" x14ac:dyDescent="0.2">
      <c r="A2786" t="s">
        <v>1092</v>
      </c>
    </row>
    <row r="2787" spans="1:1" x14ac:dyDescent="0.2">
      <c r="A2787" t="s">
        <v>1093</v>
      </c>
    </row>
    <row r="2788" spans="1:1" x14ac:dyDescent="0.2">
      <c r="A2788" t="s">
        <v>1094</v>
      </c>
    </row>
    <row r="2789" spans="1:1" x14ac:dyDescent="0.2">
      <c r="A2789" t="s">
        <v>1095</v>
      </c>
    </row>
    <row r="2790" spans="1:1" x14ac:dyDescent="0.2">
      <c r="A2790" t="s">
        <v>1096</v>
      </c>
    </row>
    <row r="2791" spans="1:1" x14ac:dyDescent="0.2">
      <c r="A2791" t="s">
        <v>1097</v>
      </c>
    </row>
    <row r="2792" spans="1:1" x14ac:dyDescent="0.2">
      <c r="A2792" t="s">
        <v>1098</v>
      </c>
    </row>
    <row r="2793" spans="1:1" x14ac:dyDescent="0.2">
      <c r="A2793" t="s">
        <v>1099</v>
      </c>
    </row>
    <row r="2794" spans="1:1" x14ac:dyDescent="0.2">
      <c r="A2794" t="s">
        <v>1100</v>
      </c>
    </row>
    <row r="2795" spans="1:1" x14ac:dyDescent="0.2">
      <c r="A2795" t="s">
        <v>1101</v>
      </c>
    </row>
    <row r="2796" spans="1:1" x14ac:dyDescent="0.2">
      <c r="A2796" t="s">
        <v>1102</v>
      </c>
    </row>
    <row r="2797" spans="1:1" x14ac:dyDescent="0.2">
      <c r="A2797" t="s">
        <v>1103</v>
      </c>
    </row>
    <row r="2798" spans="1:1" x14ac:dyDescent="0.2">
      <c r="A2798" t="s">
        <v>1104</v>
      </c>
    </row>
    <row r="2799" spans="1:1" x14ac:dyDescent="0.2">
      <c r="A2799" t="s">
        <v>1105</v>
      </c>
    </row>
    <row r="2800" spans="1:1" x14ac:dyDescent="0.2">
      <c r="A2800" t="s">
        <v>1106</v>
      </c>
    </row>
    <row r="2801" spans="1:1" x14ac:dyDescent="0.2">
      <c r="A2801" t="s">
        <v>1107</v>
      </c>
    </row>
    <row r="2802" spans="1:1" x14ac:dyDescent="0.2">
      <c r="A2802" t="s">
        <v>1108</v>
      </c>
    </row>
    <row r="2803" spans="1:1" x14ac:dyDescent="0.2">
      <c r="A2803" t="s">
        <v>1109</v>
      </c>
    </row>
    <row r="2804" spans="1:1" x14ac:dyDescent="0.2">
      <c r="A2804" t="s">
        <v>1110</v>
      </c>
    </row>
    <row r="2805" spans="1:1" x14ac:dyDescent="0.2">
      <c r="A2805" t="s">
        <v>1111</v>
      </c>
    </row>
    <row r="2806" spans="1:1" x14ac:dyDescent="0.2">
      <c r="A2806" t="s">
        <v>1112</v>
      </c>
    </row>
    <row r="2807" spans="1:1" x14ac:dyDescent="0.2">
      <c r="A2807" t="s">
        <v>1113</v>
      </c>
    </row>
    <row r="2808" spans="1:1" x14ac:dyDescent="0.2">
      <c r="A2808" t="s">
        <v>1114</v>
      </c>
    </row>
    <row r="2809" spans="1:1" x14ac:dyDescent="0.2">
      <c r="A2809" t="s">
        <v>1115</v>
      </c>
    </row>
    <row r="2810" spans="1:1" x14ac:dyDescent="0.2">
      <c r="A2810" t="s">
        <v>1116</v>
      </c>
    </row>
    <row r="2811" spans="1:1" x14ac:dyDescent="0.2">
      <c r="A2811" t="s">
        <v>1117</v>
      </c>
    </row>
    <row r="2812" spans="1:1" x14ac:dyDescent="0.2">
      <c r="A2812" t="s">
        <v>1118</v>
      </c>
    </row>
    <row r="2813" spans="1:1" x14ac:dyDescent="0.2">
      <c r="A2813" t="s">
        <v>1119</v>
      </c>
    </row>
    <row r="2814" spans="1:1" x14ac:dyDescent="0.2">
      <c r="A2814" t="s">
        <v>1120</v>
      </c>
    </row>
    <row r="2815" spans="1:1" x14ac:dyDescent="0.2">
      <c r="A2815" t="s">
        <v>1288</v>
      </c>
    </row>
    <row r="2816" spans="1:1" x14ac:dyDescent="0.2">
      <c r="A2816" t="s">
        <v>2822</v>
      </c>
    </row>
    <row r="2817" spans="1:1" x14ac:dyDescent="0.2">
      <c r="A2817" t="s">
        <v>2823</v>
      </c>
    </row>
    <row r="2818" spans="1:1" x14ac:dyDescent="0.2">
      <c r="A2818" t="s">
        <v>2824</v>
      </c>
    </row>
    <row r="2819" spans="1:1" x14ac:dyDescent="0.2">
      <c r="A2819" t="s">
        <v>2825</v>
      </c>
    </row>
    <row r="2820" spans="1:1" x14ac:dyDescent="0.2">
      <c r="A2820" t="s">
        <v>1289</v>
      </c>
    </row>
    <row r="2821" spans="1:1" x14ac:dyDescent="0.2">
      <c r="A2821" t="s">
        <v>2781</v>
      </c>
    </row>
    <row r="2822" spans="1:1" x14ac:dyDescent="0.2">
      <c r="A2822" t="s">
        <v>2826</v>
      </c>
    </row>
    <row r="2823" spans="1:1" x14ac:dyDescent="0.2">
      <c r="A2823" t="s">
        <v>1122</v>
      </c>
    </row>
    <row r="2824" spans="1:1" x14ac:dyDescent="0.2">
      <c r="A2824" t="s">
        <v>1123</v>
      </c>
    </row>
    <row r="2825" spans="1:1" x14ac:dyDescent="0.2">
      <c r="A2825" t="s">
        <v>1124</v>
      </c>
    </row>
    <row r="2826" spans="1:1" x14ac:dyDescent="0.2">
      <c r="A2826" t="s">
        <v>1125</v>
      </c>
    </row>
    <row r="2827" spans="1:1" x14ac:dyDescent="0.2">
      <c r="A2827" t="s">
        <v>1126</v>
      </c>
    </row>
    <row r="2828" spans="1:1" x14ac:dyDescent="0.2">
      <c r="A2828" t="s">
        <v>1127</v>
      </c>
    </row>
    <row r="2829" spans="1:1" x14ac:dyDescent="0.2">
      <c r="A2829" t="s">
        <v>1128</v>
      </c>
    </row>
    <row r="2830" spans="1:1" x14ac:dyDescent="0.2">
      <c r="A2830" t="s">
        <v>1129</v>
      </c>
    </row>
    <row r="2831" spans="1:1" x14ac:dyDescent="0.2">
      <c r="A2831" t="s">
        <v>1130</v>
      </c>
    </row>
    <row r="2832" spans="1:1" x14ac:dyDescent="0.2">
      <c r="A2832" t="s">
        <v>1131</v>
      </c>
    </row>
    <row r="2833" spans="1:1" x14ac:dyDescent="0.2">
      <c r="A2833" t="s">
        <v>1132</v>
      </c>
    </row>
    <row r="2834" spans="1:1" x14ac:dyDescent="0.2">
      <c r="A2834" t="s">
        <v>1133</v>
      </c>
    </row>
    <row r="2835" spans="1:1" x14ac:dyDescent="0.2">
      <c r="A2835" t="s">
        <v>1134</v>
      </c>
    </row>
    <row r="2836" spans="1:1" x14ac:dyDescent="0.2">
      <c r="A2836" t="s">
        <v>1135</v>
      </c>
    </row>
    <row r="2837" spans="1:1" x14ac:dyDescent="0.2">
      <c r="A2837" t="s">
        <v>1136</v>
      </c>
    </row>
    <row r="2838" spans="1:1" x14ac:dyDescent="0.2">
      <c r="A2838" t="s">
        <v>1137</v>
      </c>
    </row>
    <row r="2839" spans="1:1" x14ac:dyDescent="0.2">
      <c r="A2839" t="s">
        <v>1138</v>
      </c>
    </row>
    <row r="2840" spans="1:1" x14ac:dyDescent="0.2">
      <c r="A2840" t="s">
        <v>1139</v>
      </c>
    </row>
    <row r="2841" spans="1:1" x14ac:dyDescent="0.2">
      <c r="A2841" t="s">
        <v>1140</v>
      </c>
    </row>
    <row r="2842" spans="1:1" x14ac:dyDescent="0.2">
      <c r="A2842" t="s">
        <v>1141</v>
      </c>
    </row>
    <row r="2843" spans="1:1" x14ac:dyDescent="0.2">
      <c r="A2843" t="s">
        <v>1142</v>
      </c>
    </row>
    <row r="2844" spans="1:1" x14ac:dyDescent="0.2">
      <c r="A2844" t="s">
        <v>1143</v>
      </c>
    </row>
    <row r="2845" spans="1:1" x14ac:dyDescent="0.2">
      <c r="A2845" t="s">
        <v>1144</v>
      </c>
    </row>
    <row r="2846" spans="1:1" x14ac:dyDescent="0.2">
      <c r="A2846" t="s">
        <v>1145</v>
      </c>
    </row>
    <row r="2847" spans="1:1" x14ac:dyDescent="0.2">
      <c r="A2847" t="s">
        <v>1146</v>
      </c>
    </row>
    <row r="2848" spans="1:1" x14ac:dyDescent="0.2">
      <c r="A2848" t="s">
        <v>1147</v>
      </c>
    </row>
    <row r="2849" spans="1:1" x14ac:dyDescent="0.2">
      <c r="A2849" t="s">
        <v>1148</v>
      </c>
    </row>
    <row r="2850" spans="1:1" x14ac:dyDescent="0.2">
      <c r="A2850" t="s">
        <v>1149</v>
      </c>
    </row>
    <row r="2851" spans="1:1" x14ac:dyDescent="0.2">
      <c r="A2851" t="s">
        <v>1150</v>
      </c>
    </row>
    <row r="2852" spans="1:1" x14ac:dyDescent="0.2">
      <c r="A2852" t="s">
        <v>1151</v>
      </c>
    </row>
    <row r="2853" spans="1:1" x14ac:dyDescent="0.2">
      <c r="A2853" t="s">
        <v>1152</v>
      </c>
    </row>
    <row r="2854" spans="1:1" x14ac:dyDescent="0.2">
      <c r="A2854" t="s">
        <v>1153</v>
      </c>
    </row>
    <row r="2855" spans="1:1" x14ac:dyDescent="0.2">
      <c r="A2855" t="s">
        <v>1154</v>
      </c>
    </row>
    <row r="2856" spans="1:1" x14ac:dyDescent="0.2">
      <c r="A2856" t="s">
        <v>1155</v>
      </c>
    </row>
    <row r="2857" spans="1:1" x14ac:dyDescent="0.2">
      <c r="A2857" t="s">
        <v>1156</v>
      </c>
    </row>
    <row r="2858" spans="1:1" x14ac:dyDescent="0.2">
      <c r="A2858" t="s">
        <v>1157</v>
      </c>
    </row>
    <row r="2859" spans="1:1" x14ac:dyDescent="0.2">
      <c r="A2859" t="s">
        <v>1158</v>
      </c>
    </row>
    <row r="2860" spans="1:1" x14ac:dyDescent="0.2">
      <c r="A2860" t="s">
        <v>1159</v>
      </c>
    </row>
    <row r="2861" spans="1:1" x14ac:dyDescent="0.2">
      <c r="A2861" t="s">
        <v>1160</v>
      </c>
    </row>
    <row r="2862" spans="1:1" x14ac:dyDescent="0.2">
      <c r="A2862" t="s">
        <v>1161</v>
      </c>
    </row>
    <row r="2863" spans="1:1" x14ac:dyDescent="0.2">
      <c r="A2863" t="s">
        <v>1162</v>
      </c>
    </row>
    <row r="2864" spans="1:1" x14ac:dyDescent="0.2">
      <c r="A2864" t="s">
        <v>1163</v>
      </c>
    </row>
    <row r="2865" spans="1:1" x14ac:dyDescent="0.2">
      <c r="A2865" t="s">
        <v>1164</v>
      </c>
    </row>
    <row r="2866" spans="1:1" x14ac:dyDescent="0.2">
      <c r="A2866" t="s">
        <v>1165</v>
      </c>
    </row>
    <row r="2867" spans="1:1" x14ac:dyDescent="0.2">
      <c r="A2867" t="s">
        <v>1166</v>
      </c>
    </row>
    <row r="2868" spans="1:1" x14ac:dyDescent="0.2">
      <c r="A2868" t="s">
        <v>1167</v>
      </c>
    </row>
    <row r="2869" spans="1:1" x14ac:dyDescent="0.2">
      <c r="A2869" t="s">
        <v>1168</v>
      </c>
    </row>
    <row r="2870" spans="1:1" x14ac:dyDescent="0.2">
      <c r="A2870" t="s">
        <v>1169</v>
      </c>
    </row>
    <row r="2871" spans="1:1" x14ac:dyDescent="0.2">
      <c r="A2871" t="s">
        <v>1170</v>
      </c>
    </row>
    <row r="2872" spans="1:1" x14ac:dyDescent="0.2">
      <c r="A2872" t="s">
        <v>1171</v>
      </c>
    </row>
    <row r="2873" spans="1:1" x14ac:dyDescent="0.2">
      <c r="A2873" t="s">
        <v>1172</v>
      </c>
    </row>
    <row r="2874" spans="1:1" x14ac:dyDescent="0.2">
      <c r="A2874" t="s">
        <v>1173</v>
      </c>
    </row>
    <row r="2875" spans="1:1" x14ac:dyDescent="0.2">
      <c r="A2875" t="s">
        <v>1174</v>
      </c>
    </row>
    <row r="2876" spans="1:1" x14ac:dyDescent="0.2">
      <c r="A2876" t="s">
        <v>1175</v>
      </c>
    </row>
    <row r="2877" spans="1:1" x14ac:dyDescent="0.2">
      <c r="A2877" t="s">
        <v>1176</v>
      </c>
    </row>
    <row r="2878" spans="1:1" x14ac:dyDescent="0.2">
      <c r="A2878" t="s">
        <v>1177</v>
      </c>
    </row>
    <row r="2879" spans="1:1" x14ac:dyDescent="0.2">
      <c r="A2879" t="s">
        <v>1178</v>
      </c>
    </row>
    <row r="2880" spans="1:1" x14ac:dyDescent="0.2">
      <c r="A2880" t="s">
        <v>1179</v>
      </c>
    </row>
    <row r="2881" spans="1:1" x14ac:dyDescent="0.2">
      <c r="A2881" t="s">
        <v>1180</v>
      </c>
    </row>
    <row r="2882" spans="1:1" x14ac:dyDescent="0.2">
      <c r="A2882" t="s">
        <v>1181</v>
      </c>
    </row>
    <row r="2883" spans="1:1" x14ac:dyDescent="0.2">
      <c r="A2883" t="s">
        <v>1182</v>
      </c>
    </row>
    <row r="2884" spans="1:1" x14ac:dyDescent="0.2">
      <c r="A2884" t="s">
        <v>1183</v>
      </c>
    </row>
    <row r="2885" spans="1:1" x14ac:dyDescent="0.2">
      <c r="A2885" t="s">
        <v>1184</v>
      </c>
    </row>
    <row r="2886" spans="1:1" x14ac:dyDescent="0.2">
      <c r="A2886" t="s">
        <v>1185</v>
      </c>
    </row>
    <row r="2887" spans="1:1" x14ac:dyDescent="0.2">
      <c r="A2887" t="s">
        <v>1186</v>
      </c>
    </row>
    <row r="2888" spans="1:1" x14ac:dyDescent="0.2">
      <c r="A2888" t="s">
        <v>1187</v>
      </c>
    </row>
    <row r="2889" spans="1:1" x14ac:dyDescent="0.2">
      <c r="A2889" t="s">
        <v>1188</v>
      </c>
    </row>
    <row r="2890" spans="1:1" x14ac:dyDescent="0.2">
      <c r="A2890" t="s">
        <v>1189</v>
      </c>
    </row>
    <row r="2891" spans="1:1" x14ac:dyDescent="0.2">
      <c r="A2891" t="s">
        <v>1190</v>
      </c>
    </row>
    <row r="2892" spans="1:1" x14ac:dyDescent="0.2">
      <c r="A2892" t="s">
        <v>1191</v>
      </c>
    </row>
    <row r="2893" spans="1:1" x14ac:dyDescent="0.2">
      <c r="A2893" t="s">
        <v>1192</v>
      </c>
    </row>
    <row r="2894" spans="1:1" x14ac:dyDescent="0.2">
      <c r="A2894" t="s">
        <v>1193</v>
      </c>
    </row>
    <row r="2895" spans="1:1" x14ac:dyDescent="0.2">
      <c r="A2895" t="s">
        <v>1194</v>
      </c>
    </row>
    <row r="2896" spans="1:1" x14ac:dyDescent="0.2">
      <c r="A2896" t="s">
        <v>1195</v>
      </c>
    </row>
    <row r="2897" spans="1:1" x14ac:dyDescent="0.2">
      <c r="A2897" t="s">
        <v>1196</v>
      </c>
    </row>
    <row r="2898" spans="1:1" x14ac:dyDescent="0.2">
      <c r="A2898" t="s">
        <v>1197</v>
      </c>
    </row>
    <row r="2899" spans="1:1" x14ac:dyDescent="0.2">
      <c r="A2899" t="s">
        <v>1198</v>
      </c>
    </row>
    <row r="2900" spans="1:1" x14ac:dyDescent="0.2">
      <c r="A2900" t="s">
        <v>1199</v>
      </c>
    </row>
    <row r="2901" spans="1:1" x14ac:dyDescent="0.2">
      <c r="A2901" t="s">
        <v>1200</v>
      </c>
    </row>
    <row r="2902" spans="1:1" x14ac:dyDescent="0.2">
      <c r="A2902" t="s">
        <v>1201</v>
      </c>
    </row>
    <row r="2903" spans="1:1" x14ac:dyDescent="0.2">
      <c r="A2903" t="s">
        <v>1202</v>
      </c>
    </row>
    <row r="2904" spans="1:1" x14ac:dyDescent="0.2">
      <c r="A2904" t="s">
        <v>1203</v>
      </c>
    </row>
    <row r="2905" spans="1:1" x14ac:dyDescent="0.2">
      <c r="A2905" t="s">
        <v>1204</v>
      </c>
    </row>
    <row r="2906" spans="1:1" x14ac:dyDescent="0.2">
      <c r="A2906" t="s">
        <v>1205</v>
      </c>
    </row>
    <row r="2907" spans="1:1" x14ac:dyDescent="0.2">
      <c r="A2907" t="s">
        <v>1206</v>
      </c>
    </row>
    <row r="2908" spans="1:1" x14ac:dyDescent="0.2">
      <c r="A2908" t="s">
        <v>1207</v>
      </c>
    </row>
    <row r="2909" spans="1:1" x14ac:dyDescent="0.2">
      <c r="A2909" t="s">
        <v>1208</v>
      </c>
    </row>
    <row r="2910" spans="1:1" x14ac:dyDescent="0.2">
      <c r="A2910" t="s">
        <v>1209</v>
      </c>
    </row>
    <row r="2911" spans="1:1" x14ac:dyDescent="0.2">
      <c r="A2911" t="s">
        <v>1210</v>
      </c>
    </row>
    <row r="2912" spans="1:1" x14ac:dyDescent="0.2">
      <c r="A2912" t="s">
        <v>1211</v>
      </c>
    </row>
    <row r="2913" spans="1:1" x14ac:dyDescent="0.2">
      <c r="A2913" t="s">
        <v>1212</v>
      </c>
    </row>
    <row r="2914" spans="1:1" x14ac:dyDescent="0.2">
      <c r="A2914" t="s">
        <v>1213</v>
      </c>
    </row>
    <row r="2915" spans="1:1" x14ac:dyDescent="0.2">
      <c r="A2915" t="s">
        <v>1214</v>
      </c>
    </row>
    <row r="2916" spans="1:1" x14ac:dyDescent="0.2">
      <c r="A2916" t="s">
        <v>1215</v>
      </c>
    </row>
    <row r="2917" spans="1:1" x14ac:dyDescent="0.2">
      <c r="A2917" t="s">
        <v>1216</v>
      </c>
    </row>
    <row r="2918" spans="1:1" x14ac:dyDescent="0.2">
      <c r="A2918" t="s">
        <v>1217</v>
      </c>
    </row>
    <row r="2919" spans="1:1" x14ac:dyDescent="0.2">
      <c r="A2919" t="s">
        <v>1218</v>
      </c>
    </row>
    <row r="2920" spans="1:1" x14ac:dyDescent="0.2">
      <c r="A2920" t="s">
        <v>1219</v>
      </c>
    </row>
    <row r="2921" spans="1:1" x14ac:dyDescent="0.2">
      <c r="A2921" t="s">
        <v>1220</v>
      </c>
    </row>
    <row r="2922" spans="1:1" x14ac:dyDescent="0.2">
      <c r="A2922" t="s">
        <v>1221</v>
      </c>
    </row>
    <row r="2923" spans="1:1" x14ac:dyDescent="0.2">
      <c r="A2923" t="s">
        <v>1222</v>
      </c>
    </row>
    <row r="2924" spans="1:1" x14ac:dyDescent="0.2">
      <c r="A2924" t="s">
        <v>1223</v>
      </c>
    </row>
    <row r="2925" spans="1:1" x14ac:dyDescent="0.2">
      <c r="A2925" t="s">
        <v>1224</v>
      </c>
    </row>
    <row r="2926" spans="1:1" x14ac:dyDescent="0.2">
      <c r="A2926" t="s">
        <v>1225</v>
      </c>
    </row>
    <row r="2927" spans="1:1" x14ac:dyDescent="0.2">
      <c r="A2927" t="s">
        <v>1226</v>
      </c>
    </row>
    <row r="2928" spans="1:1" x14ac:dyDescent="0.2">
      <c r="A2928" t="s">
        <v>1227</v>
      </c>
    </row>
    <row r="2929" spans="1:1" x14ac:dyDescent="0.2">
      <c r="A2929" t="s">
        <v>1228</v>
      </c>
    </row>
    <row r="2930" spans="1:1" x14ac:dyDescent="0.2">
      <c r="A2930" t="s">
        <v>1229</v>
      </c>
    </row>
    <row r="2931" spans="1:1" x14ac:dyDescent="0.2">
      <c r="A2931" t="s">
        <v>1230</v>
      </c>
    </row>
    <row r="2932" spans="1:1" x14ac:dyDescent="0.2">
      <c r="A2932" t="s">
        <v>1231</v>
      </c>
    </row>
    <row r="2933" spans="1:1" x14ac:dyDescent="0.2">
      <c r="A2933" t="s">
        <v>1232</v>
      </c>
    </row>
    <row r="2934" spans="1:1" x14ac:dyDescent="0.2">
      <c r="A2934" t="s">
        <v>1233</v>
      </c>
    </row>
    <row r="2935" spans="1:1" x14ac:dyDescent="0.2">
      <c r="A2935" t="s">
        <v>1234</v>
      </c>
    </row>
    <row r="2936" spans="1:1" x14ac:dyDescent="0.2">
      <c r="A2936" t="s">
        <v>1235</v>
      </c>
    </row>
    <row r="2937" spans="1:1" x14ac:dyDescent="0.2">
      <c r="A2937" t="s">
        <v>1236</v>
      </c>
    </row>
    <row r="2938" spans="1:1" x14ac:dyDescent="0.2">
      <c r="A2938" t="s">
        <v>1237</v>
      </c>
    </row>
    <row r="2939" spans="1:1" x14ac:dyDescent="0.2">
      <c r="A2939" t="s">
        <v>1238</v>
      </c>
    </row>
    <row r="2940" spans="1:1" x14ac:dyDescent="0.2">
      <c r="A2940" t="s">
        <v>1239</v>
      </c>
    </row>
    <row r="2941" spans="1:1" x14ac:dyDescent="0.2">
      <c r="A2941" t="s">
        <v>1240</v>
      </c>
    </row>
    <row r="2942" spans="1:1" x14ac:dyDescent="0.2">
      <c r="A2942" t="s">
        <v>1241</v>
      </c>
    </row>
    <row r="2943" spans="1:1" x14ac:dyDescent="0.2">
      <c r="A2943" t="s">
        <v>1242</v>
      </c>
    </row>
    <row r="2944" spans="1:1" x14ac:dyDescent="0.2">
      <c r="A2944" t="s">
        <v>1243</v>
      </c>
    </row>
    <row r="2945" spans="1:1" x14ac:dyDescent="0.2">
      <c r="A2945" t="s">
        <v>1244</v>
      </c>
    </row>
    <row r="2946" spans="1:1" x14ac:dyDescent="0.2">
      <c r="A2946" t="s">
        <v>1245</v>
      </c>
    </row>
    <row r="2947" spans="1:1" x14ac:dyDescent="0.2">
      <c r="A2947" t="s">
        <v>1246</v>
      </c>
    </row>
    <row r="2948" spans="1:1" x14ac:dyDescent="0.2">
      <c r="A2948" t="s">
        <v>1247</v>
      </c>
    </row>
    <row r="2949" spans="1:1" x14ac:dyDescent="0.2">
      <c r="A2949" t="s">
        <v>1248</v>
      </c>
    </row>
    <row r="2950" spans="1:1" x14ac:dyDescent="0.2">
      <c r="A2950" t="s">
        <v>1249</v>
      </c>
    </row>
    <row r="2951" spans="1:1" x14ac:dyDescent="0.2">
      <c r="A2951" t="s">
        <v>1250</v>
      </c>
    </row>
    <row r="2952" spans="1:1" x14ac:dyDescent="0.2">
      <c r="A2952" t="s">
        <v>1251</v>
      </c>
    </row>
    <row r="2953" spans="1:1" x14ac:dyDescent="0.2">
      <c r="A2953" t="s">
        <v>1252</v>
      </c>
    </row>
    <row r="2954" spans="1:1" x14ac:dyDescent="0.2">
      <c r="A2954" t="s">
        <v>1253</v>
      </c>
    </row>
    <row r="2955" spans="1:1" x14ac:dyDescent="0.2">
      <c r="A2955" t="s">
        <v>1254</v>
      </c>
    </row>
    <row r="2956" spans="1:1" x14ac:dyDescent="0.2">
      <c r="A2956" t="s">
        <v>1255</v>
      </c>
    </row>
    <row r="2957" spans="1:1" x14ac:dyDescent="0.2">
      <c r="A2957" t="s">
        <v>1256</v>
      </c>
    </row>
    <row r="2958" spans="1:1" x14ac:dyDescent="0.2">
      <c r="A2958" t="s">
        <v>1257</v>
      </c>
    </row>
    <row r="2959" spans="1:1" x14ac:dyDescent="0.2">
      <c r="A2959" t="s">
        <v>1258</v>
      </c>
    </row>
    <row r="2960" spans="1:1" x14ac:dyDescent="0.2">
      <c r="A2960" t="s">
        <v>1259</v>
      </c>
    </row>
    <row r="2961" spans="1:1" x14ac:dyDescent="0.2">
      <c r="A2961" t="s">
        <v>1260</v>
      </c>
    </row>
    <row r="2962" spans="1:1" x14ac:dyDescent="0.2">
      <c r="A2962" t="s">
        <v>1261</v>
      </c>
    </row>
    <row r="2963" spans="1:1" x14ac:dyDescent="0.2">
      <c r="A2963" t="s">
        <v>1262</v>
      </c>
    </row>
    <row r="2964" spans="1:1" x14ac:dyDescent="0.2">
      <c r="A2964" t="s">
        <v>1263</v>
      </c>
    </row>
    <row r="2965" spans="1:1" x14ac:dyDescent="0.2">
      <c r="A2965" t="s">
        <v>1264</v>
      </c>
    </row>
    <row r="2966" spans="1:1" x14ac:dyDescent="0.2">
      <c r="A2966" t="s">
        <v>1265</v>
      </c>
    </row>
    <row r="2967" spans="1:1" x14ac:dyDescent="0.2">
      <c r="A2967" t="s">
        <v>1266</v>
      </c>
    </row>
    <row r="2968" spans="1:1" x14ac:dyDescent="0.2">
      <c r="A2968" t="s">
        <v>1267</v>
      </c>
    </row>
    <row r="2969" spans="1:1" x14ac:dyDescent="0.2">
      <c r="A2969" t="s">
        <v>1268</v>
      </c>
    </row>
    <row r="2970" spans="1:1" x14ac:dyDescent="0.2">
      <c r="A2970" t="s">
        <v>1269</v>
      </c>
    </row>
    <row r="2971" spans="1:1" x14ac:dyDescent="0.2">
      <c r="A2971" t="s">
        <v>1270</v>
      </c>
    </row>
    <row r="2972" spans="1:1" x14ac:dyDescent="0.2">
      <c r="A2972" t="s">
        <v>1271</v>
      </c>
    </row>
    <row r="2973" spans="1:1" x14ac:dyDescent="0.2">
      <c r="A2973" t="s">
        <v>1272</v>
      </c>
    </row>
    <row r="2974" spans="1:1" x14ac:dyDescent="0.2">
      <c r="A2974" t="s">
        <v>1273</v>
      </c>
    </row>
    <row r="2975" spans="1:1" x14ac:dyDescent="0.2">
      <c r="A2975" t="s">
        <v>1274</v>
      </c>
    </row>
    <row r="2976" spans="1:1" x14ac:dyDescent="0.2">
      <c r="A2976" t="s">
        <v>1275</v>
      </c>
    </row>
    <row r="2977" spans="1:1" x14ac:dyDescent="0.2">
      <c r="A2977" t="s">
        <v>1276</v>
      </c>
    </row>
    <row r="2978" spans="1:1" x14ac:dyDescent="0.2">
      <c r="A2978" t="s">
        <v>1277</v>
      </c>
    </row>
    <row r="2979" spans="1:1" x14ac:dyDescent="0.2">
      <c r="A2979" t="s">
        <v>1278</v>
      </c>
    </row>
    <row r="2980" spans="1:1" x14ac:dyDescent="0.2">
      <c r="A2980" t="s">
        <v>1279</v>
      </c>
    </row>
    <row r="2981" spans="1:1" x14ac:dyDescent="0.2">
      <c r="A2981" t="s">
        <v>1280</v>
      </c>
    </row>
    <row r="2982" spans="1:1" x14ac:dyDescent="0.2">
      <c r="A2982" t="s">
        <v>1281</v>
      </c>
    </row>
    <row r="2983" spans="1:1" x14ac:dyDescent="0.2">
      <c r="A2983" t="s">
        <v>1282</v>
      </c>
    </row>
    <row r="2984" spans="1:1" x14ac:dyDescent="0.2">
      <c r="A2984" t="s">
        <v>1283</v>
      </c>
    </row>
    <row r="2985" spans="1:1" x14ac:dyDescent="0.2">
      <c r="A2985" t="s">
        <v>1284</v>
      </c>
    </row>
    <row r="2986" spans="1:1" x14ac:dyDescent="0.2">
      <c r="A2986" t="s">
        <v>1285</v>
      </c>
    </row>
    <row r="2987" spans="1:1" x14ac:dyDescent="0.2">
      <c r="A2987" t="s">
        <v>1286</v>
      </c>
    </row>
    <row r="2988" spans="1:1" x14ac:dyDescent="0.2">
      <c r="A2988" t="s">
        <v>2827</v>
      </c>
    </row>
    <row r="2989" spans="1:1" x14ac:dyDescent="0.2">
      <c r="A2989" t="s">
        <v>1053</v>
      </c>
    </row>
    <row r="2990" spans="1:1" x14ac:dyDescent="0.2">
      <c r="A2990" t="s">
        <v>2828</v>
      </c>
    </row>
    <row r="2991" spans="1:1" x14ac:dyDescent="0.2">
      <c r="A2991" t="s">
        <v>2768</v>
      </c>
    </row>
    <row r="2992" spans="1:1" x14ac:dyDescent="0.2">
      <c r="A2992" t="s">
        <v>2769</v>
      </c>
    </row>
    <row r="2993" spans="1:1" x14ac:dyDescent="0.2">
      <c r="A2993" t="s">
        <v>1054</v>
      </c>
    </row>
    <row r="2994" spans="1:1" x14ac:dyDescent="0.2">
      <c r="A2994" t="s">
        <v>1055</v>
      </c>
    </row>
    <row r="2995" spans="1:1" x14ac:dyDescent="0.2">
      <c r="A2995" t="s">
        <v>2829</v>
      </c>
    </row>
    <row r="2996" spans="1:1" x14ac:dyDescent="0.2">
      <c r="A2996" t="s">
        <v>1056</v>
      </c>
    </row>
    <row r="2997" spans="1:1" x14ac:dyDescent="0.2">
      <c r="A2997" t="s">
        <v>1057</v>
      </c>
    </row>
    <row r="2998" spans="1:1" x14ac:dyDescent="0.2">
      <c r="A2998" t="s">
        <v>1058</v>
      </c>
    </row>
    <row r="2999" spans="1:1" x14ac:dyDescent="0.2">
      <c r="A2999" t="s">
        <v>1059</v>
      </c>
    </row>
    <row r="3000" spans="1:1" x14ac:dyDescent="0.2">
      <c r="A3000" t="s">
        <v>1060</v>
      </c>
    </row>
    <row r="3001" spans="1:1" x14ac:dyDescent="0.2">
      <c r="A3001" t="s">
        <v>1061</v>
      </c>
    </row>
    <row r="3002" spans="1:1" x14ac:dyDescent="0.2">
      <c r="A3002" t="s">
        <v>1062</v>
      </c>
    </row>
    <row r="3003" spans="1:1" x14ac:dyDescent="0.2">
      <c r="A3003" t="s">
        <v>1063</v>
      </c>
    </row>
    <row r="3004" spans="1:1" x14ac:dyDescent="0.2">
      <c r="A3004" t="s">
        <v>1064</v>
      </c>
    </row>
    <row r="3005" spans="1:1" x14ac:dyDescent="0.2">
      <c r="A3005" t="s">
        <v>1065</v>
      </c>
    </row>
    <row r="3006" spans="1:1" x14ac:dyDescent="0.2">
      <c r="A3006" t="s">
        <v>1066</v>
      </c>
    </row>
    <row r="3007" spans="1:1" x14ac:dyDescent="0.2">
      <c r="A3007" t="s">
        <v>1067</v>
      </c>
    </row>
    <row r="3008" spans="1:1" x14ac:dyDescent="0.2">
      <c r="A3008" t="s">
        <v>1068</v>
      </c>
    </row>
    <row r="3009" spans="1:1" x14ac:dyDescent="0.2">
      <c r="A3009" t="s">
        <v>1069</v>
      </c>
    </row>
    <row r="3010" spans="1:1" x14ac:dyDescent="0.2">
      <c r="A3010" t="s">
        <v>1070</v>
      </c>
    </row>
    <row r="3011" spans="1:1" x14ac:dyDescent="0.2">
      <c r="A3011" t="s">
        <v>1071</v>
      </c>
    </row>
    <row r="3012" spans="1:1" x14ac:dyDescent="0.2">
      <c r="A3012" t="s">
        <v>1072</v>
      </c>
    </row>
    <row r="3013" spans="1:1" x14ac:dyDescent="0.2">
      <c r="A3013" t="s">
        <v>1073</v>
      </c>
    </row>
    <row r="3014" spans="1:1" x14ac:dyDescent="0.2">
      <c r="A3014" t="s">
        <v>1074</v>
      </c>
    </row>
    <row r="3015" spans="1:1" x14ac:dyDescent="0.2">
      <c r="A3015" t="s">
        <v>1075</v>
      </c>
    </row>
    <row r="3016" spans="1:1" x14ac:dyDescent="0.2">
      <c r="A3016" t="s">
        <v>1076</v>
      </c>
    </row>
    <row r="3017" spans="1:1" x14ac:dyDescent="0.2">
      <c r="A3017" t="s">
        <v>1077</v>
      </c>
    </row>
    <row r="3018" spans="1:1" x14ac:dyDescent="0.2">
      <c r="A3018" t="s">
        <v>1078</v>
      </c>
    </row>
    <row r="3019" spans="1:1" x14ac:dyDescent="0.2">
      <c r="A3019" t="s">
        <v>1079</v>
      </c>
    </row>
    <row r="3020" spans="1:1" x14ac:dyDescent="0.2">
      <c r="A3020" t="s">
        <v>1080</v>
      </c>
    </row>
    <row r="3021" spans="1:1" x14ac:dyDescent="0.2">
      <c r="A3021" t="s">
        <v>1081</v>
      </c>
    </row>
    <row r="3022" spans="1:1" x14ac:dyDescent="0.2">
      <c r="A3022" t="s">
        <v>1082</v>
      </c>
    </row>
    <row r="3023" spans="1:1" x14ac:dyDescent="0.2">
      <c r="A3023" t="s">
        <v>1083</v>
      </c>
    </row>
    <row r="3024" spans="1:1" x14ac:dyDescent="0.2">
      <c r="A3024" t="s">
        <v>2771</v>
      </c>
    </row>
    <row r="3025" spans="1:1" x14ac:dyDescent="0.2">
      <c r="A3025" t="s">
        <v>2772</v>
      </c>
    </row>
    <row r="3026" spans="1:1" x14ac:dyDescent="0.2">
      <c r="A3026" t="s">
        <v>2773</v>
      </c>
    </row>
    <row r="3027" spans="1:1" x14ac:dyDescent="0.2">
      <c r="A3027" t="s">
        <v>2774</v>
      </c>
    </row>
    <row r="3028" spans="1:1" x14ac:dyDescent="0.2">
      <c r="A3028" t="s">
        <v>2775</v>
      </c>
    </row>
    <row r="3029" spans="1:1" x14ac:dyDescent="0.2">
      <c r="A3029" t="s">
        <v>2776</v>
      </c>
    </row>
    <row r="3030" spans="1:1" x14ac:dyDescent="0.2">
      <c r="A3030" t="s">
        <v>1084</v>
      </c>
    </row>
    <row r="3031" spans="1:1" x14ac:dyDescent="0.2">
      <c r="A3031" t="s">
        <v>1085</v>
      </c>
    </row>
    <row r="3032" spans="1:1" x14ac:dyDescent="0.2">
      <c r="A3032" t="s">
        <v>1086</v>
      </c>
    </row>
    <row r="3033" spans="1:1" x14ac:dyDescent="0.2">
      <c r="A3033" t="s">
        <v>1087</v>
      </c>
    </row>
    <row r="3034" spans="1:1" x14ac:dyDescent="0.2">
      <c r="A3034" t="s">
        <v>1088</v>
      </c>
    </row>
    <row r="3035" spans="1:1" x14ac:dyDescent="0.2">
      <c r="A3035" t="s">
        <v>1089</v>
      </c>
    </row>
    <row r="3036" spans="1:1" x14ac:dyDescent="0.2">
      <c r="A3036" t="s">
        <v>1090</v>
      </c>
    </row>
    <row r="3037" spans="1:1" x14ac:dyDescent="0.2">
      <c r="A3037" t="s">
        <v>1091</v>
      </c>
    </row>
    <row r="3038" spans="1:1" x14ac:dyDescent="0.2">
      <c r="A3038" t="s">
        <v>1092</v>
      </c>
    </row>
    <row r="3039" spans="1:1" x14ac:dyDescent="0.2">
      <c r="A3039" t="s">
        <v>1093</v>
      </c>
    </row>
    <row r="3040" spans="1:1" x14ac:dyDescent="0.2">
      <c r="A3040" t="s">
        <v>1094</v>
      </c>
    </row>
    <row r="3041" spans="1:1" x14ac:dyDescent="0.2">
      <c r="A3041" t="s">
        <v>1095</v>
      </c>
    </row>
    <row r="3042" spans="1:1" x14ac:dyDescent="0.2">
      <c r="A3042" t="s">
        <v>1096</v>
      </c>
    </row>
    <row r="3043" spans="1:1" x14ac:dyDescent="0.2">
      <c r="A3043" t="s">
        <v>1097</v>
      </c>
    </row>
    <row r="3044" spans="1:1" x14ac:dyDescent="0.2">
      <c r="A3044" t="s">
        <v>1098</v>
      </c>
    </row>
    <row r="3045" spans="1:1" x14ac:dyDescent="0.2">
      <c r="A3045" t="s">
        <v>1099</v>
      </c>
    </row>
    <row r="3046" spans="1:1" x14ac:dyDescent="0.2">
      <c r="A3046" t="s">
        <v>1100</v>
      </c>
    </row>
    <row r="3047" spans="1:1" x14ac:dyDescent="0.2">
      <c r="A3047" t="s">
        <v>1101</v>
      </c>
    </row>
    <row r="3048" spans="1:1" x14ac:dyDescent="0.2">
      <c r="A3048" t="s">
        <v>1102</v>
      </c>
    </row>
    <row r="3049" spans="1:1" x14ac:dyDescent="0.2">
      <c r="A3049" t="s">
        <v>1103</v>
      </c>
    </row>
    <row r="3050" spans="1:1" x14ac:dyDescent="0.2">
      <c r="A3050" t="s">
        <v>1104</v>
      </c>
    </row>
    <row r="3051" spans="1:1" x14ac:dyDescent="0.2">
      <c r="A3051" t="s">
        <v>1105</v>
      </c>
    </row>
    <row r="3052" spans="1:1" x14ac:dyDescent="0.2">
      <c r="A3052" t="s">
        <v>1106</v>
      </c>
    </row>
    <row r="3053" spans="1:1" x14ac:dyDescent="0.2">
      <c r="A3053" t="s">
        <v>1107</v>
      </c>
    </row>
    <row r="3054" spans="1:1" x14ac:dyDescent="0.2">
      <c r="A3054" t="s">
        <v>1108</v>
      </c>
    </row>
    <row r="3055" spans="1:1" x14ac:dyDescent="0.2">
      <c r="A3055" t="s">
        <v>1109</v>
      </c>
    </row>
    <row r="3056" spans="1:1" x14ac:dyDescent="0.2">
      <c r="A3056" t="s">
        <v>1110</v>
      </c>
    </row>
    <row r="3057" spans="1:1" x14ac:dyDescent="0.2">
      <c r="A3057" t="s">
        <v>1111</v>
      </c>
    </row>
    <row r="3058" spans="1:1" x14ac:dyDescent="0.2">
      <c r="A3058" t="s">
        <v>1112</v>
      </c>
    </row>
    <row r="3059" spans="1:1" x14ac:dyDescent="0.2">
      <c r="A3059" t="s">
        <v>1113</v>
      </c>
    </row>
    <row r="3060" spans="1:1" x14ac:dyDescent="0.2">
      <c r="A3060" t="s">
        <v>1114</v>
      </c>
    </row>
    <row r="3061" spans="1:1" x14ac:dyDescent="0.2">
      <c r="A3061" t="s">
        <v>1115</v>
      </c>
    </row>
    <row r="3062" spans="1:1" x14ac:dyDescent="0.2">
      <c r="A3062" t="s">
        <v>1116</v>
      </c>
    </row>
    <row r="3063" spans="1:1" x14ac:dyDescent="0.2">
      <c r="A3063" t="s">
        <v>1117</v>
      </c>
    </row>
    <row r="3064" spans="1:1" x14ac:dyDescent="0.2">
      <c r="A3064" t="s">
        <v>1118</v>
      </c>
    </row>
    <row r="3065" spans="1:1" x14ac:dyDescent="0.2">
      <c r="A3065" t="s">
        <v>1119</v>
      </c>
    </row>
    <row r="3066" spans="1:1" x14ac:dyDescent="0.2">
      <c r="A3066" t="s">
        <v>2830</v>
      </c>
    </row>
    <row r="3067" spans="1:1" x14ac:dyDescent="0.2">
      <c r="A3067" t="s">
        <v>1288</v>
      </c>
    </row>
    <row r="3068" spans="1:1" x14ac:dyDescent="0.2">
      <c r="A3068" t="s">
        <v>2831</v>
      </c>
    </row>
    <row r="3069" spans="1:1" x14ac:dyDescent="0.2">
      <c r="A3069" t="s">
        <v>2832</v>
      </c>
    </row>
    <row r="3070" spans="1:1" x14ac:dyDescent="0.2">
      <c r="A3070" t="s">
        <v>2824</v>
      </c>
    </row>
    <row r="3071" spans="1:1" x14ac:dyDescent="0.2">
      <c r="A3071" t="s">
        <v>2825</v>
      </c>
    </row>
    <row r="3072" spans="1:1" x14ac:dyDescent="0.2">
      <c r="A3072" t="s">
        <v>1289</v>
      </c>
    </row>
    <row r="3073" spans="1:1" x14ac:dyDescent="0.2">
      <c r="A3073" t="s">
        <v>2781</v>
      </c>
    </row>
    <row r="3074" spans="1:1" x14ac:dyDescent="0.2">
      <c r="A3074" t="s">
        <v>2833</v>
      </c>
    </row>
    <row r="3075" spans="1:1" x14ac:dyDescent="0.2">
      <c r="A3075" t="s">
        <v>1122</v>
      </c>
    </row>
    <row r="3076" spans="1:1" x14ac:dyDescent="0.2">
      <c r="A3076" t="s">
        <v>1123</v>
      </c>
    </row>
    <row r="3077" spans="1:1" x14ac:dyDescent="0.2">
      <c r="A3077" t="s">
        <v>1124</v>
      </c>
    </row>
    <row r="3078" spans="1:1" x14ac:dyDescent="0.2">
      <c r="A3078" t="s">
        <v>1125</v>
      </c>
    </row>
    <row r="3079" spans="1:1" x14ac:dyDescent="0.2">
      <c r="A3079" t="s">
        <v>1126</v>
      </c>
    </row>
    <row r="3080" spans="1:1" x14ac:dyDescent="0.2">
      <c r="A3080" t="s">
        <v>1127</v>
      </c>
    </row>
    <row r="3081" spans="1:1" x14ac:dyDescent="0.2">
      <c r="A3081" t="s">
        <v>1128</v>
      </c>
    </row>
    <row r="3082" spans="1:1" x14ac:dyDescent="0.2">
      <c r="A3082" t="s">
        <v>1129</v>
      </c>
    </row>
    <row r="3083" spans="1:1" x14ac:dyDescent="0.2">
      <c r="A3083" t="s">
        <v>1130</v>
      </c>
    </row>
    <row r="3084" spans="1:1" x14ac:dyDescent="0.2">
      <c r="A3084" t="s">
        <v>1131</v>
      </c>
    </row>
    <row r="3085" spans="1:1" x14ac:dyDescent="0.2">
      <c r="A3085" t="s">
        <v>1132</v>
      </c>
    </row>
    <row r="3086" spans="1:1" x14ac:dyDescent="0.2">
      <c r="A3086" t="s">
        <v>1133</v>
      </c>
    </row>
    <row r="3087" spans="1:1" x14ac:dyDescent="0.2">
      <c r="A3087" t="s">
        <v>1134</v>
      </c>
    </row>
    <row r="3088" spans="1:1" x14ac:dyDescent="0.2">
      <c r="A3088" t="s">
        <v>1135</v>
      </c>
    </row>
    <row r="3089" spans="1:1" x14ac:dyDescent="0.2">
      <c r="A3089" t="s">
        <v>1136</v>
      </c>
    </row>
    <row r="3090" spans="1:1" x14ac:dyDescent="0.2">
      <c r="A3090" t="s">
        <v>1137</v>
      </c>
    </row>
    <row r="3091" spans="1:1" x14ac:dyDescent="0.2">
      <c r="A3091" t="s">
        <v>1138</v>
      </c>
    </row>
    <row r="3092" spans="1:1" x14ac:dyDescent="0.2">
      <c r="A3092" t="s">
        <v>1139</v>
      </c>
    </row>
    <row r="3093" spans="1:1" x14ac:dyDescent="0.2">
      <c r="A3093" t="s">
        <v>1140</v>
      </c>
    </row>
    <row r="3094" spans="1:1" x14ac:dyDescent="0.2">
      <c r="A3094" t="s">
        <v>1141</v>
      </c>
    </row>
    <row r="3095" spans="1:1" x14ac:dyDescent="0.2">
      <c r="A3095" t="s">
        <v>1142</v>
      </c>
    </row>
    <row r="3096" spans="1:1" x14ac:dyDescent="0.2">
      <c r="A3096" t="s">
        <v>1143</v>
      </c>
    </row>
    <row r="3097" spans="1:1" x14ac:dyDescent="0.2">
      <c r="A3097" t="s">
        <v>1144</v>
      </c>
    </row>
    <row r="3098" spans="1:1" x14ac:dyDescent="0.2">
      <c r="A3098" t="s">
        <v>1145</v>
      </c>
    </row>
    <row r="3099" spans="1:1" x14ac:dyDescent="0.2">
      <c r="A3099" t="s">
        <v>1146</v>
      </c>
    </row>
    <row r="3100" spans="1:1" x14ac:dyDescent="0.2">
      <c r="A3100" t="s">
        <v>1147</v>
      </c>
    </row>
    <row r="3101" spans="1:1" x14ac:dyDescent="0.2">
      <c r="A3101" t="s">
        <v>1148</v>
      </c>
    </row>
    <row r="3102" spans="1:1" x14ac:dyDescent="0.2">
      <c r="A3102" t="s">
        <v>1149</v>
      </c>
    </row>
    <row r="3103" spans="1:1" x14ac:dyDescent="0.2">
      <c r="A3103" t="s">
        <v>1150</v>
      </c>
    </row>
    <row r="3104" spans="1:1" x14ac:dyDescent="0.2">
      <c r="A3104" t="s">
        <v>1151</v>
      </c>
    </row>
    <row r="3105" spans="1:1" x14ac:dyDescent="0.2">
      <c r="A3105" t="s">
        <v>1152</v>
      </c>
    </row>
    <row r="3106" spans="1:1" x14ac:dyDescent="0.2">
      <c r="A3106" t="s">
        <v>1153</v>
      </c>
    </row>
    <row r="3107" spans="1:1" x14ac:dyDescent="0.2">
      <c r="A3107" t="s">
        <v>1154</v>
      </c>
    </row>
    <row r="3108" spans="1:1" x14ac:dyDescent="0.2">
      <c r="A3108" t="s">
        <v>1155</v>
      </c>
    </row>
    <row r="3109" spans="1:1" x14ac:dyDescent="0.2">
      <c r="A3109" t="s">
        <v>1156</v>
      </c>
    </row>
    <row r="3110" spans="1:1" x14ac:dyDescent="0.2">
      <c r="A3110" t="s">
        <v>1157</v>
      </c>
    </row>
    <row r="3111" spans="1:1" x14ac:dyDescent="0.2">
      <c r="A3111" t="s">
        <v>1158</v>
      </c>
    </row>
    <row r="3112" spans="1:1" x14ac:dyDescent="0.2">
      <c r="A3112" t="s">
        <v>1159</v>
      </c>
    </row>
    <row r="3113" spans="1:1" x14ac:dyDescent="0.2">
      <c r="A3113" t="s">
        <v>1160</v>
      </c>
    </row>
    <row r="3114" spans="1:1" x14ac:dyDescent="0.2">
      <c r="A3114" t="s">
        <v>1161</v>
      </c>
    </row>
    <row r="3115" spans="1:1" x14ac:dyDescent="0.2">
      <c r="A3115" t="s">
        <v>1162</v>
      </c>
    </row>
    <row r="3116" spans="1:1" x14ac:dyDescent="0.2">
      <c r="A3116" t="s">
        <v>1163</v>
      </c>
    </row>
    <row r="3117" spans="1:1" x14ac:dyDescent="0.2">
      <c r="A3117" t="s">
        <v>1164</v>
      </c>
    </row>
    <row r="3118" spans="1:1" x14ac:dyDescent="0.2">
      <c r="A3118" t="s">
        <v>1165</v>
      </c>
    </row>
    <row r="3119" spans="1:1" x14ac:dyDescent="0.2">
      <c r="A3119" t="s">
        <v>1166</v>
      </c>
    </row>
    <row r="3120" spans="1:1" x14ac:dyDescent="0.2">
      <c r="A3120" t="s">
        <v>1167</v>
      </c>
    </row>
    <row r="3121" spans="1:1" x14ac:dyDescent="0.2">
      <c r="A3121" t="s">
        <v>1168</v>
      </c>
    </row>
    <row r="3122" spans="1:1" x14ac:dyDescent="0.2">
      <c r="A3122" t="s">
        <v>1169</v>
      </c>
    </row>
    <row r="3123" spans="1:1" x14ac:dyDescent="0.2">
      <c r="A3123" t="s">
        <v>1170</v>
      </c>
    </row>
    <row r="3124" spans="1:1" x14ac:dyDescent="0.2">
      <c r="A3124" t="s">
        <v>1171</v>
      </c>
    </row>
    <row r="3125" spans="1:1" x14ac:dyDescent="0.2">
      <c r="A3125" t="s">
        <v>1172</v>
      </c>
    </row>
    <row r="3126" spans="1:1" x14ac:dyDescent="0.2">
      <c r="A3126" t="s">
        <v>1173</v>
      </c>
    </row>
    <row r="3127" spans="1:1" x14ac:dyDescent="0.2">
      <c r="A3127" t="s">
        <v>1174</v>
      </c>
    </row>
    <row r="3128" spans="1:1" x14ac:dyDescent="0.2">
      <c r="A3128" t="s">
        <v>1175</v>
      </c>
    </row>
    <row r="3129" spans="1:1" x14ac:dyDescent="0.2">
      <c r="A3129" t="s">
        <v>1176</v>
      </c>
    </row>
    <row r="3130" spans="1:1" x14ac:dyDescent="0.2">
      <c r="A3130" t="s">
        <v>1177</v>
      </c>
    </row>
    <row r="3131" spans="1:1" x14ac:dyDescent="0.2">
      <c r="A3131" t="s">
        <v>1178</v>
      </c>
    </row>
    <row r="3132" spans="1:1" x14ac:dyDescent="0.2">
      <c r="A3132" t="s">
        <v>1179</v>
      </c>
    </row>
    <row r="3133" spans="1:1" x14ac:dyDescent="0.2">
      <c r="A3133" t="s">
        <v>1180</v>
      </c>
    </row>
    <row r="3134" spans="1:1" x14ac:dyDescent="0.2">
      <c r="A3134" t="s">
        <v>1181</v>
      </c>
    </row>
    <row r="3135" spans="1:1" x14ac:dyDescent="0.2">
      <c r="A3135" t="s">
        <v>1182</v>
      </c>
    </row>
    <row r="3136" spans="1:1" x14ac:dyDescent="0.2">
      <c r="A3136" t="s">
        <v>1183</v>
      </c>
    </row>
    <row r="3137" spans="1:1" x14ac:dyDescent="0.2">
      <c r="A3137" t="s">
        <v>1184</v>
      </c>
    </row>
    <row r="3138" spans="1:1" x14ac:dyDescent="0.2">
      <c r="A3138" t="s">
        <v>1185</v>
      </c>
    </row>
    <row r="3139" spans="1:1" x14ac:dyDescent="0.2">
      <c r="A3139" t="s">
        <v>1186</v>
      </c>
    </row>
    <row r="3140" spans="1:1" x14ac:dyDescent="0.2">
      <c r="A3140" t="s">
        <v>1187</v>
      </c>
    </row>
    <row r="3141" spans="1:1" x14ac:dyDescent="0.2">
      <c r="A3141" t="s">
        <v>1188</v>
      </c>
    </row>
    <row r="3142" spans="1:1" x14ac:dyDescent="0.2">
      <c r="A3142" t="s">
        <v>1189</v>
      </c>
    </row>
    <row r="3143" spans="1:1" x14ac:dyDescent="0.2">
      <c r="A3143" t="s">
        <v>1190</v>
      </c>
    </row>
    <row r="3144" spans="1:1" x14ac:dyDescent="0.2">
      <c r="A3144" t="s">
        <v>1191</v>
      </c>
    </row>
    <row r="3145" spans="1:1" x14ac:dyDescent="0.2">
      <c r="A3145" t="s">
        <v>1192</v>
      </c>
    </row>
    <row r="3146" spans="1:1" x14ac:dyDescent="0.2">
      <c r="A3146" t="s">
        <v>1193</v>
      </c>
    </row>
    <row r="3147" spans="1:1" x14ac:dyDescent="0.2">
      <c r="A3147" t="s">
        <v>1194</v>
      </c>
    </row>
    <row r="3148" spans="1:1" x14ac:dyDescent="0.2">
      <c r="A3148" t="s">
        <v>1195</v>
      </c>
    </row>
    <row r="3149" spans="1:1" x14ac:dyDescent="0.2">
      <c r="A3149" t="s">
        <v>1196</v>
      </c>
    </row>
    <row r="3150" spans="1:1" x14ac:dyDescent="0.2">
      <c r="A3150" t="s">
        <v>1197</v>
      </c>
    </row>
    <row r="3151" spans="1:1" x14ac:dyDescent="0.2">
      <c r="A3151" t="s">
        <v>1198</v>
      </c>
    </row>
    <row r="3152" spans="1:1" x14ac:dyDescent="0.2">
      <c r="A3152" t="s">
        <v>1199</v>
      </c>
    </row>
    <row r="3153" spans="1:1" x14ac:dyDescent="0.2">
      <c r="A3153" t="s">
        <v>1200</v>
      </c>
    </row>
    <row r="3154" spans="1:1" x14ac:dyDescent="0.2">
      <c r="A3154" t="s">
        <v>1201</v>
      </c>
    </row>
    <row r="3155" spans="1:1" x14ac:dyDescent="0.2">
      <c r="A3155" t="s">
        <v>1202</v>
      </c>
    </row>
    <row r="3156" spans="1:1" x14ac:dyDescent="0.2">
      <c r="A3156" t="s">
        <v>1203</v>
      </c>
    </row>
    <row r="3157" spans="1:1" x14ac:dyDescent="0.2">
      <c r="A3157" t="s">
        <v>1204</v>
      </c>
    </row>
    <row r="3158" spans="1:1" x14ac:dyDescent="0.2">
      <c r="A3158" t="s">
        <v>1205</v>
      </c>
    </row>
    <row r="3159" spans="1:1" x14ac:dyDescent="0.2">
      <c r="A3159" t="s">
        <v>1206</v>
      </c>
    </row>
    <row r="3160" spans="1:1" x14ac:dyDescent="0.2">
      <c r="A3160" t="s">
        <v>1207</v>
      </c>
    </row>
    <row r="3161" spans="1:1" x14ac:dyDescent="0.2">
      <c r="A3161" t="s">
        <v>1208</v>
      </c>
    </row>
    <row r="3162" spans="1:1" x14ac:dyDescent="0.2">
      <c r="A3162" t="s">
        <v>1209</v>
      </c>
    </row>
    <row r="3163" spans="1:1" x14ac:dyDescent="0.2">
      <c r="A3163" t="s">
        <v>1210</v>
      </c>
    </row>
    <row r="3164" spans="1:1" x14ac:dyDescent="0.2">
      <c r="A3164" t="s">
        <v>1211</v>
      </c>
    </row>
    <row r="3165" spans="1:1" x14ac:dyDescent="0.2">
      <c r="A3165" t="s">
        <v>1212</v>
      </c>
    </row>
    <row r="3166" spans="1:1" x14ac:dyDescent="0.2">
      <c r="A3166" t="s">
        <v>1213</v>
      </c>
    </row>
    <row r="3167" spans="1:1" x14ac:dyDescent="0.2">
      <c r="A3167" t="s">
        <v>1214</v>
      </c>
    </row>
    <row r="3168" spans="1:1" x14ac:dyDescent="0.2">
      <c r="A3168" t="s">
        <v>1215</v>
      </c>
    </row>
    <row r="3169" spans="1:1" x14ac:dyDescent="0.2">
      <c r="A3169" t="s">
        <v>1216</v>
      </c>
    </row>
    <row r="3170" spans="1:1" x14ac:dyDescent="0.2">
      <c r="A3170" t="s">
        <v>1217</v>
      </c>
    </row>
    <row r="3171" spans="1:1" x14ac:dyDescent="0.2">
      <c r="A3171" t="s">
        <v>1218</v>
      </c>
    </row>
    <row r="3172" spans="1:1" x14ac:dyDescent="0.2">
      <c r="A3172" t="s">
        <v>1219</v>
      </c>
    </row>
    <row r="3173" spans="1:1" x14ac:dyDescent="0.2">
      <c r="A3173" t="s">
        <v>1220</v>
      </c>
    </row>
    <row r="3174" spans="1:1" x14ac:dyDescent="0.2">
      <c r="A3174" t="s">
        <v>1221</v>
      </c>
    </row>
    <row r="3175" spans="1:1" x14ac:dyDescent="0.2">
      <c r="A3175" t="s">
        <v>1222</v>
      </c>
    </row>
    <row r="3176" spans="1:1" x14ac:dyDescent="0.2">
      <c r="A3176" t="s">
        <v>1223</v>
      </c>
    </row>
    <row r="3177" spans="1:1" x14ac:dyDescent="0.2">
      <c r="A3177" t="s">
        <v>1224</v>
      </c>
    </row>
    <row r="3178" spans="1:1" x14ac:dyDescent="0.2">
      <c r="A3178" t="s">
        <v>1225</v>
      </c>
    </row>
    <row r="3179" spans="1:1" x14ac:dyDescent="0.2">
      <c r="A3179" t="s">
        <v>1226</v>
      </c>
    </row>
    <row r="3180" spans="1:1" x14ac:dyDescent="0.2">
      <c r="A3180" t="s">
        <v>1227</v>
      </c>
    </row>
    <row r="3181" spans="1:1" x14ac:dyDescent="0.2">
      <c r="A3181" t="s">
        <v>1228</v>
      </c>
    </row>
    <row r="3182" spans="1:1" x14ac:dyDescent="0.2">
      <c r="A3182" t="s">
        <v>1229</v>
      </c>
    </row>
    <row r="3183" spans="1:1" x14ac:dyDescent="0.2">
      <c r="A3183" t="s">
        <v>1230</v>
      </c>
    </row>
    <row r="3184" spans="1:1" x14ac:dyDescent="0.2">
      <c r="A3184" t="s">
        <v>1231</v>
      </c>
    </row>
    <row r="3185" spans="1:1" x14ac:dyDescent="0.2">
      <c r="A3185" t="s">
        <v>1232</v>
      </c>
    </row>
    <row r="3186" spans="1:1" x14ac:dyDescent="0.2">
      <c r="A3186" t="s">
        <v>1233</v>
      </c>
    </row>
    <row r="3187" spans="1:1" x14ac:dyDescent="0.2">
      <c r="A3187" t="s">
        <v>1234</v>
      </c>
    </row>
    <row r="3188" spans="1:1" x14ac:dyDescent="0.2">
      <c r="A3188" t="s">
        <v>1235</v>
      </c>
    </row>
    <row r="3189" spans="1:1" x14ac:dyDescent="0.2">
      <c r="A3189" t="s">
        <v>1236</v>
      </c>
    </row>
    <row r="3190" spans="1:1" x14ac:dyDescent="0.2">
      <c r="A3190" t="s">
        <v>1237</v>
      </c>
    </row>
    <row r="3191" spans="1:1" x14ac:dyDescent="0.2">
      <c r="A3191" t="s">
        <v>1238</v>
      </c>
    </row>
    <row r="3192" spans="1:1" x14ac:dyDescent="0.2">
      <c r="A3192" t="s">
        <v>1239</v>
      </c>
    </row>
    <row r="3193" spans="1:1" x14ac:dyDescent="0.2">
      <c r="A3193" t="s">
        <v>1240</v>
      </c>
    </row>
    <row r="3194" spans="1:1" x14ac:dyDescent="0.2">
      <c r="A3194" t="s">
        <v>1241</v>
      </c>
    </row>
    <row r="3195" spans="1:1" x14ac:dyDescent="0.2">
      <c r="A3195" t="s">
        <v>1242</v>
      </c>
    </row>
    <row r="3196" spans="1:1" x14ac:dyDescent="0.2">
      <c r="A3196" t="s">
        <v>1243</v>
      </c>
    </row>
    <row r="3197" spans="1:1" x14ac:dyDescent="0.2">
      <c r="A3197" t="s">
        <v>1244</v>
      </c>
    </row>
    <row r="3198" spans="1:1" x14ac:dyDescent="0.2">
      <c r="A3198" t="s">
        <v>1245</v>
      </c>
    </row>
    <row r="3199" spans="1:1" x14ac:dyDescent="0.2">
      <c r="A3199" t="s">
        <v>1246</v>
      </c>
    </row>
    <row r="3200" spans="1:1" x14ac:dyDescent="0.2">
      <c r="A3200" t="s">
        <v>1247</v>
      </c>
    </row>
    <row r="3201" spans="1:1" x14ac:dyDescent="0.2">
      <c r="A3201" t="s">
        <v>1248</v>
      </c>
    </row>
    <row r="3202" spans="1:1" x14ac:dyDescent="0.2">
      <c r="A3202" t="s">
        <v>1249</v>
      </c>
    </row>
    <row r="3203" spans="1:1" x14ac:dyDescent="0.2">
      <c r="A3203" t="s">
        <v>1250</v>
      </c>
    </row>
    <row r="3204" spans="1:1" x14ac:dyDescent="0.2">
      <c r="A3204" t="s">
        <v>1251</v>
      </c>
    </row>
    <row r="3205" spans="1:1" x14ac:dyDescent="0.2">
      <c r="A3205" t="s">
        <v>1252</v>
      </c>
    </row>
    <row r="3206" spans="1:1" x14ac:dyDescent="0.2">
      <c r="A3206" t="s">
        <v>1253</v>
      </c>
    </row>
    <row r="3207" spans="1:1" x14ac:dyDescent="0.2">
      <c r="A3207" t="s">
        <v>1254</v>
      </c>
    </row>
    <row r="3208" spans="1:1" x14ac:dyDescent="0.2">
      <c r="A3208" t="s">
        <v>1255</v>
      </c>
    </row>
    <row r="3209" spans="1:1" x14ac:dyDescent="0.2">
      <c r="A3209" t="s">
        <v>1256</v>
      </c>
    </row>
    <row r="3210" spans="1:1" x14ac:dyDescent="0.2">
      <c r="A3210" t="s">
        <v>1257</v>
      </c>
    </row>
    <row r="3211" spans="1:1" x14ac:dyDescent="0.2">
      <c r="A3211" t="s">
        <v>1258</v>
      </c>
    </row>
    <row r="3212" spans="1:1" x14ac:dyDescent="0.2">
      <c r="A3212" t="s">
        <v>1259</v>
      </c>
    </row>
    <row r="3213" spans="1:1" x14ac:dyDescent="0.2">
      <c r="A3213" t="s">
        <v>1260</v>
      </c>
    </row>
    <row r="3214" spans="1:1" x14ac:dyDescent="0.2">
      <c r="A3214" t="s">
        <v>1261</v>
      </c>
    </row>
    <row r="3215" spans="1:1" x14ac:dyDescent="0.2">
      <c r="A3215" t="s">
        <v>1262</v>
      </c>
    </row>
    <row r="3216" spans="1:1" x14ac:dyDescent="0.2">
      <c r="A3216" t="s">
        <v>1263</v>
      </c>
    </row>
    <row r="3217" spans="1:1" x14ac:dyDescent="0.2">
      <c r="A3217" t="s">
        <v>1264</v>
      </c>
    </row>
    <row r="3218" spans="1:1" x14ac:dyDescent="0.2">
      <c r="A3218" t="s">
        <v>1265</v>
      </c>
    </row>
    <row r="3219" spans="1:1" x14ac:dyDescent="0.2">
      <c r="A3219" t="s">
        <v>1266</v>
      </c>
    </row>
    <row r="3220" spans="1:1" x14ac:dyDescent="0.2">
      <c r="A3220" t="s">
        <v>1267</v>
      </c>
    </row>
    <row r="3221" spans="1:1" x14ac:dyDescent="0.2">
      <c r="A3221" t="s">
        <v>1268</v>
      </c>
    </row>
    <row r="3222" spans="1:1" x14ac:dyDescent="0.2">
      <c r="A3222" t="s">
        <v>1269</v>
      </c>
    </row>
    <row r="3223" spans="1:1" x14ac:dyDescent="0.2">
      <c r="A3223" t="s">
        <v>1270</v>
      </c>
    </row>
    <row r="3224" spans="1:1" x14ac:dyDescent="0.2">
      <c r="A3224" t="s">
        <v>1271</v>
      </c>
    </row>
    <row r="3225" spans="1:1" x14ac:dyDescent="0.2">
      <c r="A3225" t="s">
        <v>1272</v>
      </c>
    </row>
    <row r="3226" spans="1:1" x14ac:dyDescent="0.2">
      <c r="A3226" t="s">
        <v>1273</v>
      </c>
    </row>
    <row r="3227" spans="1:1" x14ac:dyDescent="0.2">
      <c r="A3227" t="s">
        <v>1274</v>
      </c>
    </row>
    <row r="3228" spans="1:1" x14ac:dyDescent="0.2">
      <c r="A3228" t="s">
        <v>1275</v>
      </c>
    </row>
    <row r="3229" spans="1:1" x14ac:dyDescent="0.2">
      <c r="A3229" t="s">
        <v>1276</v>
      </c>
    </row>
    <row r="3230" spans="1:1" x14ac:dyDescent="0.2">
      <c r="A3230" t="s">
        <v>1277</v>
      </c>
    </row>
    <row r="3231" spans="1:1" x14ac:dyDescent="0.2">
      <c r="A3231" t="s">
        <v>1278</v>
      </c>
    </row>
    <row r="3232" spans="1:1" x14ac:dyDescent="0.2">
      <c r="A3232" t="s">
        <v>1279</v>
      </c>
    </row>
    <row r="3233" spans="1:1" x14ac:dyDescent="0.2">
      <c r="A3233" t="s">
        <v>1280</v>
      </c>
    </row>
    <row r="3234" spans="1:1" x14ac:dyDescent="0.2">
      <c r="A3234" t="s">
        <v>1281</v>
      </c>
    </row>
    <row r="3235" spans="1:1" x14ac:dyDescent="0.2">
      <c r="A3235" t="s">
        <v>1282</v>
      </c>
    </row>
    <row r="3236" spans="1:1" x14ac:dyDescent="0.2">
      <c r="A3236" t="s">
        <v>1283</v>
      </c>
    </row>
    <row r="3237" spans="1:1" x14ac:dyDescent="0.2">
      <c r="A3237" t="s">
        <v>1284</v>
      </c>
    </row>
    <row r="3238" spans="1:1" x14ac:dyDescent="0.2">
      <c r="A3238" t="s">
        <v>1285</v>
      </c>
    </row>
    <row r="3239" spans="1:1" x14ac:dyDescent="0.2">
      <c r="A3239" t="s">
        <v>1286</v>
      </c>
    </row>
    <row r="3240" spans="1:1" x14ac:dyDescent="0.2">
      <c r="A3240" t="s">
        <v>2834</v>
      </c>
    </row>
    <row r="3241" spans="1:1" x14ac:dyDescent="0.2">
      <c r="A3241" t="s">
        <v>1053</v>
      </c>
    </row>
    <row r="3242" spans="1:1" x14ac:dyDescent="0.2">
      <c r="A3242" t="s">
        <v>2835</v>
      </c>
    </row>
    <row r="3243" spans="1:1" x14ac:dyDescent="0.2">
      <c r="A3243" t="s">
        <v>2768</v>
      </c>
    </row>
    <row r="3244" spans="1:1" x14ac:dyDescent="0.2">
      <c r="A3244" t="s">
        <v>2769</v>
      </c>
    </row>
    <row r="3245" spans="1:1" x14ac:dyDescent="0.2">
      <c r="A3245" t="s">
        <v>1054</v>
      </c>
    </row>
    <row r="3246" spans="1:1" x14ac:dyDescent="0.2">
      <c r="A3246" t="s">
        <v>1055</v>
      </c>
    </row>
    <row r="3247" spans="1:1" x14ac:dyDescent="0.2">
      <c r="A3247" t="s">
        <v>2770</v>
      </c>
    </row>
    <row r="3248" spans="1:1" x14ac:dyDescent="0.2">
      <c r="A3248" t="s">
        <v>1056</v>
      </c>
    </row>
    <row r="3249" spans="1:1" x14ac:dyDescent="0.2">
      <c r="A3249" t="s">
        <v>1057</v>
      </c>
    </row>
    <row r="3250" spans="1:1" x14ac:dyDescent="0.2">
      <c r="A3250" t="s">
        <v>1058</v>
      </c>
    </row>
    <row r="3251" spans="1:1" x14ac:dyDescent="0.2">
      <c r="A3251" t="s">
        <v>1059</v>
      </c>
    </row>
    <row r="3252" spans="1:1" x14ac:dyDescent="0.2">
      <c r="A3252" t="s">
        <v>1060</v>
      </c>
    </row>
    <row r="3253" spans="1:1" x14ac:dyDescent="0.2">
      <c r="A3253" t="s">
        <v>1061</v>
      </c>
    </row>
    <row r="3254" spans="1:1" x14ac:dyDescent="0.2">
      <c r="A3254" t="s">
        <v>1062</v>
      </c>
    </row>
    <row r="3255" spans="1:1" x14ac:dyDescent="0.2">
      <c r="A3255" t="s">
        <v>1063</v>
      </c>
    </row>
    <row r="3256" spans="1:1" x14ac:dyDescent="0.2">
      <c r="A3256" t="s">
        <v>1064</v>
      </c>
    </row>
    <row r="3257" spans="1:1" x14ac:dyDescent="0.2">
      <c r="A3257" t="s">
        <v>1065</v>
      </c>
    </row>
    <row r="3258" spans="1:1" x14ac:dyDescent="0.2">
      <c r="A3258" t="s">
        <v>1066</v>
      </c>
    </row>
    <row r="3259" spans="1:1" x14ac:dyDescent="0.2">
      <c r="A3259" t="s">
        <v>1067</v>
      </c>
    </row>
    <row r="3260" spans="1:1" x14ac:dyDescent="0.2">
      <c r="A3260" t="s">
        <v>1068</v>
      </c>
    </row>
    <row r="3261" spans="1:1" x14ac:dyDescent="0.2">
      <c r="A3261" t="s">
        <v>1069</v>
      </c>
    </row>
    <row r="3262" spans="1:1" x14ac:dyDescent="0.2">
      <c r="A3262" t="s">
        <v>1070</v>
      </c>
    </row>
    <row r="3263" spans="1:1" x14ac:dyDescent="0.2">
      <c r="A3263" t="s">
        <v>1071</v>
      </c>
    </row>
    <row r="3264" spans="1:1" x14ac:dyDescent="0.2">
      <c r="A3264" t="s">
        <v>1072</v>
      </c>
    </row>
    <row r="3265" spans="1:1" x14ac:dyDescent="0.2">
      <c r="A3265" t="s">
        <v>1073</v>
      </c>
    </row>
    <row r="3266" spans="1:1" x14ac:dyDescent="0.2">
      <c r="A3266" t="s">
        <v>1074</v>
      </c>
    </row>
    <row r="3267" spans="1:1" x14ac:dyDescent="0.2">
      <c r="A3267" t="s">
        <v>1075</v>
      </c>
    </row>
    <row r="3268" spans="1:1" x14ac:dyDescent="0.2">
      <c r="A3268" t="s">
        <v>1076</v>
      </c>
    </row>
    <row r="3269" spans="1:1" x14ac:dyDescent="0.2">
      <c r="A3269" t="s">
        <v>1077</v>
      </c>
    </row>
    <row r="3270" spans="1:1" x14ac:dyDescent="0.2">
      <c r="A3270" t="s">
        <v>1078</v>
      </c>
    </row>
    <row r="3271" spans="1:1" x14ac:dyDescent="0.2">
      <c r="A3271" t="s">
        <v>1079</v>
      </c>
    </row>
    <row r="3272" spans="1:1" x14ac:dyDescent="0.2">
      <c r="A3272" t="s">
        <v>1080</v>
      </c>
    </row>
    <row r="3273" spans="1:1" x14ac:dyDescent="0.2">
      <c r="A3273" t="s">
        <v>1081</v>
      </c>
    </row>
    <row r="3274" spans="1:1" x14ac:dyDescent="0.2">
      <c r="A3274" t="s">
        <v>1082</v>
      </c>
    </row>
    <row r="3275" spans="1:1" x14ac:dyDescent="0.2">
      <c r="A3275" t="s">
        <v>1083</v>
      </c>
    </row>
    <row r="3276" spans="1:1" x14ac:dyDescent="0.2">
      <c r="A3276" t="s">
        <v>2771</v>
      </c>
    </row>
    <row r="3277" spans="1:1" x14ac:dyDescent="0.2">
      <c r="A3277" t="s">
        <v>2772</v>
      </c>
    </row>
    <row r="3278" spans="1:1" x14ac:dyDescent="0.2">
      <c r="A3278" t="s">
        <v>2773</v>
      </c>
    </row>
    <row r="3279" spans="1:1" x14ac:dyDescent="0.2">
      <c r="A3279" t="s">
        <v>2774</v>
      </c>
    </row>
    <row r="3280" spans="1:1" x14ac:dyDescent="0.2">
      <c r="A3280" t="s">
        <v>2775</v>
      </c>
    </row>
    <row r="3281" spans="1:1" x14ac:dyDescent="0.2">
      <c r="A3281" t="s">
        <v>2776</v>
      </c>
    </row>
    <row r="3282" spans="1:1" x14ac:dyDescent="0.2">
      <c r="A3282" t="s">
        <v>1084</v>
      </c>
    </row>
    <row r="3283" spans="1:1" x14ac:dyDescent="0.2">
      <c r="A3283" t="s">
        <v>1085</v>
      </c>
    </row>
    <row r="3284" spans="1:1" x14ac:dyDescent="0.2">
      <c r="A3284" t="s">
        <v>1086</v>
      </c>
    </row>
    <row r="3285" spans="1:1" x14ac:dyDescent="0.2">
      <c r="A3285" t="s">
        <v>1087</v>
      </c>
    </row>
    <row r="3286" spans="1:1" x14ac:dyDescent="0.2">
      <c r="A3286" t="s">
        <v>1088</v>
      </c>
    </row>
    <row r="3287" spans="1:1" x14ac:dyDescent="0.2">
      <c r="A3287" t="s">
        <v>1089</v>
      </c>
    </row>
    <row r="3288" spans="1:1" x14ac:dyDescent="0.2">
      <c r="A3288" t="s">
        <v>1090</v>
      </c>
    </row>
    <row r="3289" spans="1:1" x14ac:dyDescent="0.2">
      <c r="A3289" t="s">
        <v>1091</v>
      </c>
    </row>
    <row r="3290" spans="1:1" x14ac:dyDescent="0.2">
      <c r="A3290" t="s">
        <v>1092</v>
      </c>
    </row>
    <row r="3291" spans="1:1" x14ac:dyDescent="0.2">
      <c r="A3291" t="s">
        <v>1093</v>
      </c>
    </row>
    <row r="3292" spans="1:1" x14ac:dyDescent="0.2">
      <c r="A3292" t="s">
        <v>1094</v>
      </c>
    </row>
    <row r="3293" spans="1:1" x14ac:dyDescent="0.2">
      <c r="A3293" t="s">
        <v>1095</v>
      </c>
    </row>
    <row r="3294" spans="1:1" x14ac:dyDescent="0.2">
      <c r="A3294" t="s">
        <v>1096</v>
      </c>
    </row>
    <row r="3295" spans="1:1" x14ac:dyDescent="0.2">
      <c r="A3295" t="s">
        <v>1097</v>
      </c>
    </row>
    <row r="3296" spans="1:1" x14ac:dyDescent="0.2">
      <c r="A3296" t="s">
        <v>1098</v>
      </c>
    </row>
    <row r="3297" spans="1:1" x14ac:dyDescent="0.2">
      <c r="A3297" t="s">
        <v>1099</v>
      </c>
    </row>
    <row r="3298" spans="1:1" x14ac:dyDescent="0.2">
      <c r="A3298" t="s">
        <v>1100</v>
      </c>
    </row>
    <row r="3299" spans="1:1" x14ac:dyDescent="0.2">
      <c r="A3299" t="s">
        <v>1101</v>
      </c>
    </row>
    <row r="3300" spans="1:1" x14ac:dyDescent="0.2">
      <c r="A3300" t="s">
        <v>1102</v>
      </c>
    </row>
    <row r="3301" spans="1:1" x14ac:dyDescent="0.2">
      <c r="A3301" t="s">
        <v>1103</v>
      </c>
    </row>
    <row r="3302" spans="1:1" x14ac:dyDescent="0.2">
      <c r="A3302" t="s">
        <v>1104</v>
      </c>
    </row>
    <row r="3303" spans="1:1" x14ac:dyDescent="0.2">
      <c r="A3303" t="s">
        <v>1105</v>
      </c>
    </row>
    <row r="3304" spans="1:1" x14ac:dyDescent="0.2">
      <c r="A3304" t="s">
        <v>1106</v>
      </c>
    </row>
    <row r="3305" spans="1:1" x14ac:dyDescent="0.2">
      <c r="A3305" t="s">
        <v>1107</v>
      </c>
    </row>
    <row r="3306" spans="1:1" x14ac:dyDescent="0.2">
      <c r="A3306" t="s">
        <v>1108</v>
      </c>
    </row>
    <row r="3307" spans="1:1" x14ac:dyDescent="0.2">
      <c r="A3307" t="s">
        <v>1109</v>
      </c>
    </row>
    <row r="3308" spans="1:1" x14ac:dyDescent="0.2">
      <c r="A3308" t="s">
        <v>1110</v>
      </c>
    </row>
    <row r="3309" spans="1:1" x14ac:dyDescent="0.2">
      <c r="A3309" t="s">
        <v>1111</v>
      </c>
    </row>
    <row r="3310" spans="1:1" x14ac:dyDescent="0.2">
      <c r="A3310" t="s">
        <v>1112</v>
      </c>
    </row>
    <row r="3311" spans="1:1" x14ac:dyDescent="0.2">
      <c r="A3311" t="s">
        <v>1113</v>
      </c>
    </row>
    <row r="3312" spans="1:1" x14ac:dyDescent="0.2">
      <c r="A3312" t="s">
        <v>1114</v>
      </c>
    </row>
    <row r="3313" spans="1:1" x14ac:dyDescent="0.2">
      <c r="A3313" t="s">
        <v>1115</v>
      </c>
    </row>
    <row r="3314" spans="1:1" x14ac:dyDescent="0.2">
      <c r="A3314" t="s">
        <v>1116</v>
      </c>
    </row>
    <row r="3315" spans="1:1" x14ac:dyDescent="0.2">
      <c r="A3315" t="s">
        <v>1117</v>
      </c>
    </row>
    <row r="3316" spans="1:1" x14ac:dyDescent="0.2">
      <c r="A3316" t="s">
        <v>1118</v>
      </c>
    </row>
    <row r="3317" spans="1:1" x14ac:dyDescent="0.2">
      <c r="A3317" t="s">
        <v>1119</v>
      </c>
    </row>
    <row r="3318" spans="1:1" x14ac:dyDescent="0.2">
      <c r="A3318" t="s">
        <v>1120</v>
      </c>
    </row>
    <row r="3319" spans="1:1" x14ac:dyDescent="0.2">
      <c r="A3319" t="s">
        <v>1288</v>
      </c>
    </row>
    <row r="3320" spans="1:1" x14ac:dyDescent="0.2">
      <c r="A3320" t="s">
        <v>2836</v>
      </c>
    </row>
    <row r="3321" spans="1:1" x14ac:dyDescent="0.2">
      <c r="A3321" t="s">
        <v>2837</v>
      </c>
    </row>
    <row r="3322" spans="1:1" x14ac:dyDescent="0.2">
      <c r="A3322" t="s">
        <v>2838</v>
      </c>
    </row>
    <row r="3323" spans="1:1" x14ac:dyDescent="0.2">
      <c r="A3323" t="s">
        <v>2839</v>
      </c>
    </row>
    <row r="3324" spans="1:1" x14ac:dyDescent="0.2">
      <c r="A3324" t="s">
        <v>1289</v>
      </c>
    </row>
    <row r="3325" spans="1:1" x14ac:dyDescent="0.2">
      <c r="A3325" t="s">
        <v>2781</v>
      </c>
    </row>
    <row r="3326" spans="1:1" x14ac:dyDescent="0.2">
      <c r="A3326" t="s">
        <v>2840</v>
      </c>
    </row>
    <row r="3327" spans="1:1" x14ac:dyDescent="0.2">
      <c r="A3327" t="s">
        <v>1122</v>
      </c>
    </row>
    <row r="3328" spans="1:1" x14ac:dyDescent="0.2">
      <c r="A3328" t="s">
        <v>1123</v>
      </c>
    </row>
    <row r="3329" spans="1:1" x14ac:dyDescent="0.2">
      <c r="A3329" t="s">
        <v>1124</v>
      </c>
    </row>
    <row r="3330" spans="1:1" x14ac:dyDescent="0.2">
      <c r="A3330" t="s">
        <v>1125</v>
      </c>
    </row>
    <row r="3331" spans="1:1" x14ac:dyDescent="0.2">
      <c r="A3331" t="s">
        <v>1126</v>
      </c>
    </row>
    <row r="3332" spans="1:1" x14ac:dyDescent="0.2">
      <c r="A3332" t="s">
        <v>1127</v>
      </c>
    </row>
    <row r="3333" spans="1:1" x14ac:dyDescent="0.2">
      <c r="A3333" t="s">
        <v>1128</v>
      </c>
    </row>
    <row r="3334" spans="1:1" x14ac:dyDescent="0.2">
      <c r="A3334" t="s">
        <v>1129</v>
      </c>
    </row>
    <row r="3335" spans="1:1" x14ac:dyDescent="0.2">
      <c r="A3335" t="s">
        <v>1130</v>
      </c>
    </row>
    <row r="3336" spans="1:1" x14ac:dyDescent="0.2">
      <c r="A3336" t="s">
        <v>1131</v>
      </c>
    </row>
    <row r="3337" spans="1:1" x14ac:dyDescent="0.2">
      <c r="A3337" t="s">
        <v>1132</v>
      </c>
    </row>
    <row r="3338" spans="1:1" x14ac:dyDescent="0.2">
      <c r="A3338" t="s">
        <v>1133</v>
      </c>
    </row>
    <row r="3339" spans="1:1" x14ac:dyDescent="0.2">
      <c r="A3339" t="s">
        <v>1134</v>
      </c>
    </row>
    <row r="3340" spans="1:1" x14ac:dyDescent="0.2">
      <c r="A3340" t="s">
        <v>1135</v>
      </c>
    </row>
    <row r="3341" spans="1:1" x14ac:dyDescent="0.2">
      <c r="A3341" t="s">
        <v>1136</v>
      </c>
    </row>
    <row r="3342" spans="1:1" x14ac:dyDescent="0.2">
      <c r="A3342" t="s">
        <v>1137</v>
      </c>
    </row>
    <row r="3343" spans="1:1" x14ac:dyDescent="0.2">
      <c r="A3343" t="s">
        <v>1138</v>
      </c>
    </row>
    <row r="3344" spans="1:1" x14ac:dyDescent="0.2">
      <c r="A3344" t="s">
        <v>1139</v>
      </c>
    </row>
    <row r="3345" spans="1:1" x14ac:dyDescent="0.2">
      <c r="A3345" t="s">
        <v>1140</v>
      </c>
    </row>
    <row r="3346" spans="1:1" x14ac:dyDescent="0.2">
      <c r="A3346" t="s">
        <v>1141</v>
      </c>
    </row>
    <row r="3347" spans="1:1" x14ac:dyDescent="0.2">
      <c r="A3347" t="s">
        <v>1142</v>
      </c>
    </row>
    <row r="3348" spans="1:1" x14ac:dyDescent="0.2">
      <c r="A3348" t="s">
        <v>1143</v>
      </c>
    </row>
    <row r="3349" spans="1:1" x14ac:dyDescent="0.2">
      <c r="A3349" t="s">
        <v>1144</v>
      </c>
    </row>
    <row r="3350" spans="1:1" x14ac:dyDescent="0.2">
      <c r="A3350" t="s">
        <v>1145</v>
      </c>
    </row>
    <row r="3351" spans="1:1" x14ac:dyDescent="0.2">
      <c r="A3351" t="s">
        <v>1146</v>
      </c>
    </row>
    <row r="3352" spans="1:1" x14ac:dyDescent="0.2">
      <c r="A3352" t="s">
        <v>1147</v>
      </c>
    </row>
    <row r="3353" spans="1:1" x14ac:dyDescent="0.2">
      <c r="A3353" t="s">
        <v>1148</v>
      </c>
    </row>
    <row r="3354" spans="1:1" x14ac:dyDescent="0.2">
      <c r="A3354" t="s">
        <v>1149</v>
      </c>
    </row>
    <row r="3355" spans="1:1" x14ac:dyDescent="0.2">
      <c r="A3355" t="s">
        <v>1150</v>
      </c>
    </row>
    <row r="3356" spans="1:1" x14ac:dyDescent="0.2">
      <c r="A3356" t="s">
        <v>1151</v>
      </c>
    </row>
    <row r="3357" spans="1:1" x14ac:dyDescent="0.2">
      <c r="A3357" t="s">
        <v>1152</v>
      </c>
    </row>
    <row r="3358" spans="1:1" x14ac:dyDescent="0.2">
      <c r="A3358" t="s">
        <v>1153</v>
      </c>
    </row>
    <row r="3359" spans="1:1" x14ac:dyDescent="0.2">
      <c r="A3359" t="s">
        <v>1154</v>
      </c>
    </row>
    <row r="3360" spans="1:1" x14ac:dyDescent="0.2">
      <c r="A3360" t="s">
        <v>1155</v>
      </c>
    </row>
    <row r="3361" spans="1:1" x14ac:dyDescent="0.2">
      <c r="A3361" t="s">
        <v>1156</v>
      </c>
    </row>
    <row r="3362" spans="1:1" x14ac:dyDescent="0.2">
      <c r="A3362" t="s">
        <v>1157</v>
      </c>
    </row>
    <row r="3363" spans="1:1" x14ac:dyDescent="0.2">
      <c r="A3363" t="s">
        <v>1158</v>
      </c>
    </row>
    <row r="3364" spans="1:1" x14ac:dyDescent="0.2">
      <c r="A3364" t="s">
        <v>1159</v>
      </c>
    </row>
    <row r="3365" spans="1:1" x14ac:dyDescent="0.2">
      <c r="A3365" t="s">
        <v>1160</v>
      </c>
    </row>
    <row r="3366" spans="1:1" x14ac:dyDescent="0.2">
      <c r="A3366" t="s">
        <v>1161</v>
      </c>
    </row>
    <row r="3367" spans="1:1" x14ac:dyDescent="0.2">
      <c r="A3367" t="s">
        <v>1162</v>
      </c>
    </row>
    <row r="3368" spans="1:1" x14ac:dyDescent="0.2">
      <c r="A3368" t="s">
        <v>1163</v>
      </c>
    </row>
    <row r="3369" spans="1:1" x14ac:dyDescent="0.2">
      <c r="A3369" t="s">
        <v>1164</v>
      </c>
    </row>
    <row r="3370" spans="1:1" x14ac:dyDescent="0.2">
      <c r="A3370" t="s">
        <v>1165</v>
      </c>
    </row>
    <row r="3371" spans="1:1" x14ac:dyDescent="0.2">
      <c r="A3371" t="s">
        <v>1166</v>
      </c>
    </row>
    <row r="3372" spans="1:1" x14ac:dyDescent="0.2">
      <c r="A3372" t="s">
        <v>1167</v>
      </c>
    </row>
    <row r="3373" spans="1:1" x14ac:dyDescent="0.2">
      <c r="A3373" t="s">
        <v>1168</v>
      </c>
    </row>
    <row r="3374" spans="1:1" x14ac:dyDescent="0.2">
      <c r="A3374" t="s">
        <v>1169</v>
      </c>
    </row>
    <row r="3375" spans="1:1" x14ac:dyDescent="0.2">
      <c r="A3375" t="s">
        <v>1170</v>
      </c>
    </row>
    <row r="3376" spans="1:1" x14ac:dyDescent="0.2">
      <c r="A3376" t="s">
        <v>1171</v>
      </c>
    </row>
    <row r="3377" spans="1:1" x14ac:dyDescent="0.2">
      <c r="A3377" t="s">
        <v>1172</v>
      </c>
    </row>
    <row r="3378" spans="1:1" x14ac:dyDescent="0.2">
      <c r="A3378" t="s">
        <v>1173</v>
      </c>
    </row>
    <row r="3379" spans="1:1" x14ac:dyDescent="0.2">
      <c r="A3379" t="s">
        <v>1174</v>
      </c>
    </row>
    <row r="3380" spans="1:1" x14ac:dyDescent="0.2">
      <c r="A3380" t="s">
        <v>1175</v>
      </c>
    </row>
    <row r="3381" spans="1:1" x14ac:dyDescent="0.2">
      <c r="A3381" t="s">
        <v>1176</v>
      </c>
    </row>
    <row r="3382" spans="1:1" x14ac:dyDescent="0.2">
      <c r="A3382" t="s">
        <v>1177</v>
      </c>
    </row>
    <row r="3383" spans="1:1" x14ac:dyDescent="0.2">
      <c r="A3383" t="s">
        <v>1178</v>
      </c>
    </row>
    <row r="3384" spans="1:1" x14ac:dyDescent="0.2">
      <c r="A3384" t="s">
        <v>1179</v>
      </c>
    </row>
    <row r="3385" spans="1:1" x14ac:dyDescent="0.2">
      <c r="A3385" t="s">
        <v>1180</v>
      </c>
    </row>
    <row r="3386" spans="1:1" x14ac:dyDescent="0.2">
      <c r="A3386" t="s">
        <v>1181</v>
      </c>
    </row>
    <row r="3387" spans="1:1" x14ac:dyDescent="0.2">
      <c r="A3387" t="s">
        <v>1182</v>
      </c>
    </row>
    <row r="3388" spans="1:1" x14ac:dyDescent="0.2">
      <c r="A3388" t="s">
        <v>1183</v>
      </c>
    </row>
    <row r="3389" spans="1:1" x14ac:dyDescent="0.2">
      <c r="A3389" t="s">
        <v>1184</v>
      </c>
    </row>
    <row r="3390" spans="1:1" x14ac:dyDescent="0.2">
      <c r="A3390" t="s">
        <v>1185</v>
      </c>
    </row>
    <row r="3391" spans="1:1" x14ac:dyDescent="0.2">
      <c r="A3391" t="s">
        <v>1186</v>
      </c>
    </row>
    <row r="3392" spans="1:1" x14ac:dyDescent="0.2">
      <c r="A3392" t="s">
        <v>1187</v>
      </c>
    </row>
    <row r="3393" spans="1:1" x14ac:dyDescent="0.2">
      <c r="A3393" t="s">
        <v>1188</v>
      </c>
    </row>
    <row r="3394" spans="1:1" x14ac:dyDescent="0.2">
      <c r="A3394" t="s">
        <v>1189</v>
      </c>
    </row>
    <row r="3395" spans="1:1" x14ac:dyDescent="0.2">
      <c r="A3395" t="s">
        <v>1190</v>
      </c>
    </row>
    <row r="3396" spans="1:1" x14ac:dyDescent="0.2">
      <c r="A3396" t="s">
        <v>1191</v>
      </c>
    </row>
    <row r="3397" spans="1:1" x14ac:dyDescent="0.2">
      <c r="A3397" t="s">
        <v>1192</v>
      </c>
    </row>
    <row r="3398" spans="1:1" x14ac:dyDescent="0.2">
      <c r="A3398" t="s">
        <v>1193</v>
      </c>
    </row>
    <row r="3399" spans="1:1" x14ac:dyDescent="0.2">
      <c r="A3399" t="s">
        <v>1194</v>
      </c>
    </row>
    <row r="3400" spans="1:1" x14ac:dyDescent="0.2">
      <c r="A3400" t="s">
        <v>1195</v>
      </c>
    </row>
    <row r="3401" spans="1:1" x14ac:dyDescent="0.2">
      <c r="A3401" t="s">
        <v>1196</v>
      </c>
    </row>
    <row r="3402" spans="1:1" x14ac:dyDescent="0.2">
      <c r="A3402" t="s">
        <v>1197</v>
      </c>
    </row>
    <row r="3403" spans="1:1" x14ac:dyDescent="0.2">
      <c r="A3403" t="s">
        <v>1198</v>
      </c>
    </row>
    <row r="3404" spans="1:1" x14ac:dyDescent="0.2">
      <c r="A3404" t="s">
        <v>1199</v>
      </c>
    </row>
    <row r="3405" spans="1:1" x14ac:dyDescent="0.2">
      <c r="A3405" t="s">
        <v>1200</v>
      </c>
    </row>
    <row r="3406" spans="1:1" x14ac:dyDescent="0.2">
      <c r="A3406" t="s">
        <v>1201</v>
      </c>
    </row>
    <row r="3407" spans="1:1" x14ac:dyDescent="0.2">
      <c r="A3407" t="s">
        <v>1202</v>
      </c>
    </row>
    <row r="3408" spans="1:1" x14ac:dyDescent="0.2">
      <c r="A3408" t="s">
        <v>1203</v>
      </c>
    </row>
    <row r="3409" spans="1:1" x14ac:dyDescent="0.2">
      <c r="A3409" t="s">
        <v>1204</v>
      </c>
    </row>
    <row r="3410" spans="1:1" x14ac:dyDescent="0.2">
      <c r="A3410" t="s">
        <v>1205</v>
      </c>
    </row>
    <row r="3411" spans="1:1" x14ac:dyDescent="0.2">
      <c r="A3411" t="s">
        <v>1206</v>
      </c>
    </row>
    <row r="3412" spans="1:1" x14ac:dyDescent="0.2">
      <c r="A3412" t="s">
        <v>1207</v>
      </c>
    </row>
    <row r="3413" spans="1:1" x14ac:dyDescent="0.2">
      <c r="A3413" t="s">
        <v>1208</v>
      </c>
    </row>
    <row r="3414" spans="1:1" x14ac:dyDescent="0.2">
      <c r="A3414" t="s">
        <v>1209</v>
      </c>
    </row>
    <row r="3415" spans="1:1" x14ac:dyDescent="0.2">
      <c r="A3415" t="s">
        <v>1210</v>
      </c>
    </row>
    <row r="3416" spans="1:1" x14ac:dyDescent="0.2">
      <c r="A3416" t="s">
        <v>1211</v>
      </c>
    </row>
    <row r="3417" spans="1:1" x14ac:dyDescent="0.2">
      <c r="A3417" t="s">
        <v>1212</v>
      </c>
    </row>
    <row r="3418" spans="1:1" x14ac:dyDescent="0.2">
      <c r="A3418" t="s">
        <v>1213</v>
      </c>
    </row>
    <row r="3419" spans="1:1" x14ac:dyDescent="0.2">
      <c r="A3419" t="s">
        <v>1214</v>
      </c>
    </row>
    <row r="3420" spans="1:1" x14ac:dyDescent="0.2">
      <c r="A3420" t="s">
        <v>1215</v>
      </c>
    </row>
    <row r="3421" spans="1:1" x14ac:dyDescent="0.2">
      <c r="A3421" t="s">
        <v>1216</v>
      </c>
    </row>
    <row r="3422" spans="1:1" x14ac:dyDescent="0.2">
      <c r="A3422" t="s">
        <v>1217</v>
      </c>
    </row>
    <row r="3423" spans="1:1" x14ac:dyDescent="0.2">
      <c r="A3423" t="s">
        <v>1218</v>
      </c>
    </row>
    <row r="3424" spans="1:1" x14ac:dyDescent="0.2">
      <c r="A3424" t="s">
        <v>1219</v>
      </c>
    </row>
    <row r="3425" spans="1:1" x14ac:dyDescent="0.2">
      <c r="A3425" t="s">
        <v>1220</v>
      </c>
    </row>
    <row r="3426" spans="1:1" x14ac:dyDescent="0.2">
      <c r="A3426" t="s">
        <v>1221</v>
      </c>
    </row>
    <row r="3427" spans="1:1" x14ac:dyDescent="0.2">
      <c r="A3427" t="s">
        <v>1222</v>
      </c>
    </row>
    <row r="3428" spans="1:1" x14ac:dyDescent="0.2">
      <c r="A3428" t="s">
        <v>1223</v>
      </c>
    </row>
    <row r="3429" spans="1:1" x14ac:dyDescent="0.2">
      <c r="A3429" t="s">
        <v>1224</v>
      </c>
    </row>
    <row r="3430" spans="1:1" x14ac:dyDescent="0.2">
      <c r="A3430" t="s">
        <v>1225</v>
      </c>
    </row>
    <row r="3431" spans="1:1" x14ac:dyDescent="0.2">
      <c r="A3431" t="s">
        <v>1226</v>
      </c>
    </row>
    <row r="3432" spans="1:1" x14ac:dyDescent="0.2">
      <c r="A3432" t="s">
        <v>1227</v>
      </c>
    </row>
    <row r="3433" spans="1:1" x14ac:dyDescent="0.2">
      <c r="A3433" t="s">
        <v>1228</v>
      </c>
    </row>
    <row r="3434" spans="1:1" x14ac:dyDescent="0.2">
      <c r="A3434" t="s">
        <v>1229</v>
      </c>
    </row>
    <row r="3435" spans="1:1" x14ac:dyDescent="0.2">
      <c r="A3435" t="s">
        <v>1230</v>
      </c>
    </row>
    <row r="3436" spans="1:1" x14ac:dyDescent="0.2">
      <c r="A3436" t="s">
        <v>1231</v>
      </c>
    </row>
    <row r="3437" spans="1:1" x14ac:dyDescent="0.2">
      <c r="A3437" t="s">
        <v>1232</v>
      </c>
    </row>
    <row r="3438" spans="1:1" x14ac:dyDescent="0.2">
      <c r="A3438" t="s">
        <v>1233</v>
      </c>
    </row>
    <row r="3439" spans="1:1" x14ac:dyDescent="0.2">
      <c r="A3439" t="s">
        <v>1234</v>
      </c>
    </row>
    <row r="3440" spans="1:1" x14ac:dyDescent="0.2">
      <c r="A3440" t="s">
        <v>1235</v>
      </c>
    </row>
    <row r="3441" spans="1:1" x14ac:dyDescent="0.2">
      <c r="A3441" t="s">
        <v>1236</v>
      </c>
    </row>
    <row r="3442" spans="1:1" x14ac:dyDescent="0.2">
      <c r="A3442" t="s">
        <v>1237</v>
      </c>
    </row>
    <row r="3443" spans="1:1" x14ac:dyDescent="0.2">
      <c r="A3443" t="s">
        <v>1238</v>
      </c>
    </row>
    <row r="3444" spans="1:1" x14ac:dyDescent="0.2">
      <c r="A3444" t="s">
        <v>1239</v>
      </c>
    </row>
    <row r="3445" spans="1:1" x14ac:dyDescent="0.2">
      <c r="A3445" t="s">
        <v>1240</v>
      </c>
    </row>
    <row r="3446" spans="1:1" x14ac:dyDescent="0.2">
      <c r="A3446" t="s">
        <v>1241</v>
      </c>
    </row>
    <row r="3447" spans="1:1" x14ac:dyDescent="0.2">
      <c r="A3447" t="s">
        <v>1242</v>
      </c>
    </row>
    <row r="3448" spans="1:1" x14ac:dyDescent="0.2">
      <c r="A3448" t="s">
        <v>1243</v>
      </c>
    </row>
    <row r="3449" spans="1:1" x14ac:dyDescent="0.2">
      <c r="A3449" t="s">
        <v>1244</v>
      </c>
    </row>
    <row r="3450" spans="1:1" x14ac:dyDescent="0.2">
      <c r="A3450" t="s">
        <v>1245</v>
      </c>
    </row>
    <row r="3451" spans="1:1" x14ac:dyDescent="0.2">
      <c r="A3451" t="s">
        <v>1246</v>
      </c>
    </row>
    <row r="3452" spans="1:1" x14ac:dyDescent="0.2">
      <c r="A3452" t="s">
        <v>1247</v>
      </c>
    </row>
    <row r="3453" spans="1:1" x14ac:dyDescent="0.2">
      <c r="A3453" t="s">
        <v>1248</v>
      </c>
    </row>
    <row r="3454" spans="1:1" x14ac:dyDescent="0.2">
      <c r="A3454" t="s">
        <v>1249</v>
      </c>
    </row>
    <row r="3455" spans="1:1" x14ac:dyDescent="0.2">
      <c r="A3455" t="s">
        <v>1250</v>
      </c>
    </row>
    <row r="3456" spans="1:1" x14ac:dyDescent="0.2">
      <c r="A3456" t="s">
        <v>1251</v>
      </c>
    </row>
    <row r="3457" spans="1:1" x14ac:dyDescent="0.2">
      <c r="A3457" t="s">
        <v>1252</v>
      </c>
    </row>
    <row r="3458" spans="1:1" x14ac:dyDescent="0.2">
      <c r="A3458" t="s">
        <v>1253</v>
      </c>
    </row>
    <row r="3459" spans="1:1" x14ac:dyDescent="0.2">
      <c r="A3459" t="s">
        <v>1254</v>
      </c>
    </row>
    <row r="3460" spans="1:1" x14ac:dyDescent="0.2">
      <c r="A3460" t="s">
        <v>1255</v>
      </c>
    </row>
    <row r="3461" spans="1:1" x14ac:dyDescent="0.2">
      <c r="A3461" t="s">
        <v>1256</v>
      </c>
    </row>
    <row r="3462" spans="1:1" x14ac:dyDescent="0.2">
      <c r="A3462" t="s">
        <v>1257</v>
      </c>
    </row>
    <row r="3463" spans="1:1" x14ac:dyDescent="0.2">
      <c r="A3463" t="s">
        <v>1258</v>
      </c>
    </row>
    <row r="3464" spans="1:1" x14ac:dyDescent="0.2">
      <c r="A3464" t="s">
        <v>1259</v>
      </c>
    </row>
    <row r="3465" spans="1:1" x14ac:dyDescent="0.2">
      <c r="A3465" t="s">
        <v>1260</v>
      </c>
    </row>
    <row r="3466" spans="1:1" x14ac:dyDescent="0.2">
      <c r="A3466" t="s">
        <v>1261</v>
      </c>
    </row>
    <row r="3467" spans="1:1" x14ac:dyDescent="0.2">
      <c r="A3467" t="s">
        <v>1262</v>
      </c>
    </row>
    <row r="3468" spans="1:1" x14ac:dyDescent="0.2">
      <c r="A3468" t="s">
        <v>1263</v>
      </c>
    </row>
    <row r="3469" spans="1:1" x14ac:dyDescent="0.2">
      <c r="A3469" t="s">
        <v>1264</v>
      </c>
    </row>
    <row r="3470" spans="1:1" x14ac:dyDescent="0.2">
      <c r="A3470" t="s">
        <v>1265</v>
      </c>
    </row>
    <row r="3471" spans="1:1" x14ac:dyDescent="0.2">
      <c r="A3471" t="s">
        <v>1266</v>
      </c>
    </row>
    <row r="3472" spans="1:1" x14ac:dyDescent="0.2">
      <c r="A3472" t="s">
        <v>1267</v>
      </c>
    </row>
    <row r="3473" spans="1:1" x14ac:dyDescent="0.2">
      <c r="A3473" t="s">
        <v>1268</v>
      </c>
    </row>
    <row r="3474" spans="1:1" x14ac:dyDescent="0.2">
      <c r="A3474" t="s">
        <v>1269</v>
      </c>
    </row>
    <row r="3475" spans="1:1" x14ac:dyDescent="0.2">
      <c r="A3475" t="s">
        <v>1270</v>
      </c>
    </row>
    <row r="3476" spans="1:1" x14ac:dyDescent="0.2">
      <c r="A3476" t="s">
        <v>1271</v>
      </c>
    </row>
    <row r="3477" spans="1:1" x14ac:dyDescent="0.2">
      <c r="A3477" t="s">
        <v>1272</v>
      </c>
    </row>
    <row r="3478" spans="1:1" x14ac:dyDescent="0.2">
      <c r="A3478" t="s">
        <v>1273</v>
      </c>
    </row>
    <row r="3479" spans="1:1" x14ac:dyDescent="0.2">
      <c r="A3479" t="s">
        <v>1274</v>
      </c>
    </row>
    <row r="3480" spans="1:1" x14ac:dyDescent="0.2">
      <c r="A3480" t="s">
        <v>1275</v>
      </c>
    </row>
    <row r="3481" spans="1:1" x14ac:dyDescent="0.2">
      <c r="A3481" t="s">
        <v>1276</v>
      </c>
    </row>
    <row r="3482" spans="1:1" x14ac:dyDescent="0.2">
      <c r="A3482" t="s">
        <v>1277</v>
      </c>
    </row>
    <row r="3483" spans="1:1" x14ac:dyDescent="0.2">
      <c r="A3483" t="s">
        <v>1278</v>
      </c>
    </row>
    <row r="3484" spans="1:1" x14ac:dyDescent="0.2">
      <c r="A3484" t="s">
        <v>1279</v>
      </c>
    </row>
    <row r="3485" spans="1:1" x14ac:dyDescent="0.2">
      <c r="A3485" t="s">
        <v>1280</v>
      </c>
    </row>
    <row r="3486" spans="1:1" x14ac:dyDescent="0.2">
      <c r="A3486" t="s">
        <v>1281</v>
      </c>
    </row>
    <row r="3487" spans="1:1" x14ac:dyDescent="0.2">
      <c r="A3487" t="s">
        <v>1282</v>
      </c>
    </row>
    <row r="3488" spans="1:1" x14ac:dyDescent="0.2">
      <c r="A3488" t="s">
        <v>1283</v>
      </c>
    </row>
    <row r="3489" spans="1:1" x14ac:dyDescent="0.2">
      <c r="A3489" t="s">
        <v>1284</v>
      </c>
    </row>
    <row r="3490" spans="1:1" x14ac:dyDescent="0.2">
      <c r="A3490" t="s">
        <v>1285</v>
      </c>
    </row>
    <row r="3491" spans="1:1" x14ac:dyDescent="0.2">
      <c r="A3491" t="s">
        <v>1286</v>
      </c>
    </row>
    <row r="3492" spans="1:1" x14ac:dyDescent="0.2">
      <c r="A3492" t="s">
        <v>2841</v>
      </c>
    </row>
    <row r="3493" spans="1:1" x14ac:dyDescent="0.2">
      <c r="A3493" t="s">
        <v>1053</v>
      </c>
    </row>
    <row r="3494" spans="1:1" x14ac:dyDescent="0.2">
      <c r="A3494" t="s">
        <v>2842</v>
      </c>
    </row>
    <row r="3495" spans="1:1" x14ac:dyDescent="0.2">
      <c r="A3495" t="s">
        <v>2768</v>
      </c>
    </row>
    <row r="3496" spans="1:1" x14ac:dyDescent="0.2">
      <c r="A3496" t="s">
        <v>2769</v>
      </c>
    </row>
    <row r="3497" spans="1:1" x14ac:dyDescent="0.2">
      <c r="A3497" t="s">
        <v>1054</v>
      </c>
    </row>
    <row r="3498" spans="1:1" x14ac:dyDescent="0.2">
      <c r="A3498" t="s">
        <v>1055</v>
      </c>
    </row>
    <row r="3499" spans="1:1" x14ac:dyDescent="0.2">
      <c r="A3499" t="s">
        <v>2843</v>
      </c>
    </row>
    <row r="3500" spans="1:1" x14ac:dyDescent="0.2">
      <c r="A3500" t="s">
        <v>1056</v>
      </c>
    </row>
    <row r="3501" spans="1:1" x14ac:dyDescent="0.2">
      <c r="A3501" t="s">
        <v>1057</v>
      </c>
    </row>
    <row r="3502" spans="1:1" x14ac:dyDescent="0.2">
      <c r="A3502" t="s">
        <v>1058</v>
      </c>
    </row>
    <row r="3503" spans="1:1" x14ac:dyDescent="0.2">
      <c r="A3503" t="s">
        <v>1059</v>
      </c>
    </row>
    <row r="3504" spans="1:1" x14ac:dyDescent="0.2">
      <c r="A3504" t="s">
        <v>1060</v>
      </c>
    </row>
    <row r="3505" spans="1:1" x14ac:dyDescent="0.2">
      <c r="A3505" t="s">
        <v>1061</v>
      </c>
    </row>
    <row r="3506" spans="1:1" x14ac:dyDescent="0.2">
      <c r="A3506" t="s">
        <v>1062</v>
      </c>
    </row>
    <row r="3507" spans="1:1" x14ac:dyDescent="0.2">
      <c r="A3507" t="s">
        <v>1063</v>
      </c>
    </row>
    <row r="3508" spans="1:1" x14ac:dyDescent="0.2">
      <c r="A3508" t="s">
        <v>1064</v>
      </c>
    </row>
    <row r="3509" spans="1:1" x14ac:dyDescent="0.2">
      <c r="A3509" t="s">
        <v>1065</v>
      </c>
    </row>
    <row r="3510" spans="1:1" x14ac:dyDescent="0.2">
      <c r="A3510" t="s">
        <v>1066</v>
      </c>
    </row>
    <row r="3511" spans="1:1" x14ac:dyDescent="0.2">
      <c r="A3511" t="s">
        <v>1067</v>
      </c>
    </row>
    <row r="3512" spans="1:1" x14ac:dyDescent="0.2">
      <c r="A3512" t="s">
        <v>1068</v>
      </c>
    </row>
    <row r="3513" spans="1:1" x14ac:dyDescent="0.2">
      <c r="A3513" t="s">
        <v>1069</v>
      </c>
    </row>
    <row r="3514" spans="1:1" x14ac:dyDescent="0.2">
      <c r="A3514" t="s">
        <v>1070</v>
      </c>
    </row>
    <row r="3515" spans="1:1" x14ac:dyDescent="0.2">
      <c r="A3515" t="s">
        <v>1071</v>
      </c>
    </row>
    <row r="3516" spans="1:1" x14ac:dyDescent="0.2">
      <c r="A3516" t="s">
        <v>1072</v>
      </c>
    </row>
    <row r="3517" spans="1:1" x14ac:dyDescent="0.2">
      <c r="A3517" t="s">
        <v>1073</v>
      </c>
    </row>
    <row r="3518" spans="1:1" x14ac:dyDescent="0.2">
      <c r="A3518" t="s">
        <v>1074</v>
      </c>
    </row>
    <row r="3519" spans="1:1" x14ac:dyDescent="0.2">
      <c r="A3519" t="s">
        <v>1075</v>
      </c>
    </row>
    <row r="3520" spans="1:1" x14ac:dyDescent="0.2">
      <c r="A3520" t="s">
        <v>1076</v>
      </c>
    </row>
    <row r="3521" spans="1:1" x14ac:dyDescent="0.2">
      <c r="A3521" t="s">
        <v>1077</v>
      </c>
    </row>
    <row r="3522" spans="1:1" x14ac:dyDescent="0.2">
      <c r="A3522" t="s">
        <v>1078</v>
      </c>
    </row>
    <row r="3523" spans="1:1" x14ac:dyDescent="0.2">
      <c r="A3523" t="s">
        <v>1079</v>
      </c>
    </row>
    <row r="3524" spans="1:1" x14ac:dyDescent="0.2">
      <c r="A3524" t="s">
        <v>1080</v>
      </c>
    </row>
    <row r="3525" spans="1:1" x14ac:dyDescent="0.2">
      <c r="A3525" t="s">
        <v>1081</v>
      </c>
    </row>
    <row r="3526" spans="1:1" x14ac:dyDescent="0.2">
      <c r="A3526" t="s">
        <v>1082</v>
      </c>
    </row>
    <row r="3527" spans="1:1" x14ac:dyDescent="0.2">
      <c r="A3527" t="s">
        <v>1083</v>
      </c>
    </row>
    <row r="3528" spans="1:1" x14ac:dyDescent="0.2">
      <c r="A3528" t="s">
        <v>2771</v>
      </c>
    </row>
    <row r="3529" spans="1:1" x14ac:dyDescent="0.2">
      <c r="A3529" t="s">
        <v>2772</v>
      </c>
    </row>
    <row r="3530" spans="1:1" x14ac:dyDescent="0.2">
      <c r="A3530" t="s">
        <v>2773</v>
      </c>
    </row>
    <row r="3531" spans="1:1" x14ac:dyDescent="0.2">
      <c r="A3531" t="s">
        <v>2774</v>
      </c>
    </row>
    <row r="3532" spans="1:1" x14ac:dyDescent="0.2">
      <c r="A3532" t="s">
        <v>2775</v>
      </c>
    </row>
    <row r="3533" spans="1:1" x14ac:dyDescent="0.2">
      <c r="A3533" t="s">
        <v>2776</v>
      </c>
    </row>
    <row r="3534" spans="1:1" x14ac:dyDescent="0.2">
      <c r="A3534" t="s">
        <v>1084</v>
      </c>
    </row>
    <row r="3535" spans="1:1" x14ac:dyDescent="0.2">
      <c r="A3535" t="s">
        <v>1085</v>
      </c>
    </row>
    <row r="3536" spans="1:1" x14ac:dyDescent="0.2">
      <c r="A3536" t="s">
        <v>1086</v>
      </c>
    </row>
    <row r="3537" spans="1:1" x14ac:dyDescent="0.2">
      <c r="A3537" t="s">
        <v>1087</v>
      </c>
    </row>
    <row r="3538" spans="1:1" x14ac:dyDescent="0.2">
      <c r="A3538" t="s">
        <v>1088</v>
      </c>
    </row>
    <row r="3539" spans="1:1" x14ac:dyDescent="0.2">
      <c r="A3539" t="s">
        <v>1089</v>
      </c>
    </row>
    <row r="3540" spans="1:1" x14ac:dyDescent="0.2">
      <c r="A3540" t="s">
        <v>1090</v>
      </c>
    </row>
    <row r="3541" spans="1:1" x14ac:dyDescent="0.2">
      <c r="A3541" t="s">
        <v>1091</v>
      </c>
    </row>
    <row r="3542" spans="1:1" x14ac:dyDescent="0.2">
      <c r="A3542" t="s">
        <v>1092</v>
      </c>
    </row>
    <row r="3543" spans="1:1" x14ac:dyDescent="0.2">
      <c r="A3543" t="s">
        <v>1093</v>
      </c>
    </row>
    <row r="3544" spans="1:1" x14ac:dyDescent="0.2">
      <c r="A3544" t="s">
        <v>1094</v>
      </c>
    </row>
    <row r="3545" spans="1:1" x14ac:dyDescent="0.2">
      <c r="A3545" t="s">
        <v>1095</v>
      </c>
    </row>
    <row r="3546" spans="1:1" x14ac:dyDescent="0.2">
      <c r="A3546" t="s">
        <v>1096</v>
      </c>
    </row>
    <row r="3547" spans="1:1" x14ac:dyDescent="0.2">
      <c r="A3547" t="s">
        <v>1097</v>
      </c>
    </row>
    <row r="3548" spans="1:1" x14ac:dyDescent="0.2">
      <c r="A3548" t="s">
        <v>1098</v>
      </c>
    </row>
    <row r="3549" spans="1:1" x14ac:dyDescent="0.2">
      <c r="A3549" t="s">
        <v>1099</v>
      </c>
    </row>
    <row r="3550" spans="1:1" x14ac:dyDescent="0.2">
      <c r="A3550" t="s">
        <v>1100</v>
      </c>
    </row>
    <row r="3551" spans="1:1" x14ac:dyDescent="0.2">
      <c r="A3551" t="s">
        <v>1101</v>
      </c>
    </row>
    <row r="3552" spans="1:1" x14ac:dyDescent="0.2">
      <c r="A3552" t="s">
        <v>1102</v>
      </c>
    </row>
    <row r="3553" spans="1:1" x14ac:dyDescent="0.2">
      <c r="A3553" t="s">
        <v>1103</v>
      </c>
    </row>
    <row r="3554" spans="1:1" x14ac:dyDescent="0.2">
      <c r="A3554" t="s">
        <v>1104</v>
      </c>
    </row>
    <row r="3555" spans="1:1" x14ac:dyDescent="0.2">
      <c r="A3555" t="s">
        <v>1105</v>
      </c>
    </row>
    <row r="3556" spans="1:1" x14ac:dyDescent="0.2">
      <c r="A3556" t="s">
        <v>1106</v>
      </c>
    </row>
    <row r="3557" spans="1:1" x14ac:dyDescent="0.2">
      <c r="A3557" t="s">
        <v>1107</v>
      </c>
    </row>
    <row r="3558" spans="1:1" x14ac:dyDescent="0.2">
      <c r="A3558" t="s">
        <v>1108</v>
      </c>
    </row>
    <row r="3559" spans="1:1" x14ac:dyDescent="0.2">
      <c r="A3559" t="s">
        <v>1109</v>
      </c>
    </row>
    <row r="3560" spans="1:1" x14ac:dyDescent="0.2">
      <c r="A3560" t="s">
        <v>1110</v>
      </c>
    </row>
    <row r="3561" spans="1:1" x14ac:dyDescent="0.2">
      <c r="A3561" t="s">
        <v>1111</v>
      </c>
    </row>
    <row r="3562" spans="1:1" x14ac:dyDescent="0.2">
      <c r="A3562" t="s">
        <v>1112</v>
      </c>
    </row>
    <row r="3563" spans="1:1" x14ac:dyDescent="0.2">
      <c r="A3563" t="s">
        <v>1113</v>
      </c>
    </row>
    <row r="3564" spans="1:1" x14ac:dyDescent="0.2">
      <c r="A3564" t="s">
        <v>1114</v>
      </c>
    </row>
    <row r="3565" spans="1:1" x14ac:dyDescent="0.2">
      <c r="A3565" t="s">
        <v>1115</v>
      </c>
    </row>
    <row r="3566" spans="1:1" x14ac:dyDescent="0.2">
      <c r="A3566" t="s">
        <v>1116</v>
      </c>
    </row>
    <row r="3567" spans="1:1" x14ac:dyDescent="0.2">
      <c r="A3567" t="s">
        <v>1117</v>
      </c>
    </row>
    <row r="3568" spans="1:1" x14ac:dyDescent="0.2">
      <c r="A3568" t="s">
        <v>1118</v>
      </c>
    </row>
    <row r="3569" spans="1:1" x14ac:dyDescent="0.2">
      <c r="A3569" t="s">
        <v>1119</v>
      </c>
    </row>
    <row r="3570" spans="1:1" x14ac:dyDescent="0.2">
      <c r="A3570" t="s">
        <v>1120</v>
      </c>
    </row>
    <row r="3571" spans="1:1" x14ac:dyDescent="0.2">
      <c r="A3571" t="s">
        <v>1288</v>
      </c>
    </row>
    <row r="3572" spans="1:1" x14ac:dyDescent="0.2">
      <c r="A3572" t="s">
        <v>2844</v>
      </c>
    </row>
    <row r="3573" spans="1:1" x14ac:dyDescent="0.2">
      <c r="A3573" t="s">
        <v>2845</v>
      </c>
    </row>
    <row r="3574" spans="1:1" x14ac:dyDescent="0.2">
      <c r="A3574" t="s">
        <v>2838</v>
      </c>
    </row>
    <row r="3575" spans="1:1" x14ac:dyDescent="0.2">
      <c r="A3575" t="s">
        <v>2839</v>
      </c>
    </row>
    <row r="3576" spans="1:1" x14ac:dyDescent="0.2">
      <c r="A3576" t="s">
        <v>1289</v>
      </c>
    </row>
    <row r="3577" spans="1:1" x14ac:dyDescent="0.2">
      <c r="A3577" t="s">
        <v>2781</v>
      </c>
    </row>
    <row r="3578" spans="1:1" x14ac:dyDescent="0.2">
      <c r="A3578" t="s">
        <v>2846</v>
      </c>
    </row>
    <row r="3579" spans="1:1" x14ac:dyDescent="0.2">
      <c r="A3579" t="s">
        <v>1122</v>
      </c>
    </row>
    <row r="3580" spans="1:1" x14ac:dyDescent="0.2">
      <c r="A3580" t="s">
        <v>1123</v>
      </c>
    </row>
    <row r="3581" spans="1:1" x14ac:dyDescent="0.2">
      <c r="A3581" t="s">
        <v>1124</v>
      </c>
    </row>
    <row r="3582" spans="1:1" x14ac:dyDescent="0.2">
      <c r="A3582" t="s">
        <v>1125</v>
      </c>
    </row>
    <row r="3583" spans="1:1" x14ac:dyDescent="0.2">
      <c r="A3583" t="s">
        <v>1126</v>
      </c>
    </row>
    <row r="3584" spans="1:1" x14ac:dyDescent="0.2">
      <c r="A3584" t="s">
        <v>1127</v>
      </c>
    </row>
    <row r="3585" spans="1:1" x14ac:dyDescent="0.2">
      <c r="A3585" t="s">
        <v>1128</v>
      </c>
    </row>
    <row r="3586" spans="1:1" x14ac:dyDescent="0.2">
      <c r="A3586" t="s">
        <v>1129</v>
      </c>
    </row>
    <row r="3587" spans="1:1" x14ac:dyDescent="0.2">
      <c r="A3587" t="s">
        <v>1130</v>
      </c>
    </row>
    <row r="3588" spans="1:1" x14ac:dyDescent="0.2">
      <c r="A3588" t="s">
        <v>1131</v>
      </c>
    </row>
    <row r="3589" spans="1:1" x14ac:dyDescent="0.2">
      <c r="A3589" t="s">
        <v>1132</v>
      </c>
    </row>
    <row r="3590" spans="1:1" x14ac:dyDescent="0.2">
      <c r="A3590" t="s">
        <v>1133</v>
      </c>
    </row>
    <row r="3591" spans="1:1" x14ac:dyDescent="0.2">
      <c r="A3591" t="s">
        <v>1134</v>
      </c>
    </row>
    <row r="3592" spans="1:1" x14ac:dyDescent="0.2">
      <c r="A3592" t="s">
        <v>1135</v>
      </c>
    </row>
    <row r="3593" spans="1:1" x14ac:dyDescent="0.2">
      <c r="A3593" t="s">
        <v>1136</v>
      </c>
    </row>
    <row r="3594" spans="1:1" x14ac:dyDescent="0.2">
      <c r="A3594" t="s">
        <v>1137</v>
      </c>
    </row>
    <row r="3595" spans="1:1" x14ac:dyDescent="0.2">
      <c r="A3595" t="s">
        <v>1138</v>
      </c>
    </row>
    <row r="3596" spans="1:1" x14ac:dyDescent="0.2">
      <c r="A3596" t="s">
        <v>1139</v>
      </c>
    </row>
    <row r="3597" spans="1:1" x14ac:dyDescent="0.2">
      <c r="A3597" t="s">
        <v>1140</v>
      </c>
    </row>
    <row r="3598" spans="1:1" x14ac:dyDescent="0.2">
      <c r="A3598" t="s">
        <v>1141</v>
      </c>
    </row>
    <row r="3599" spans="1:1" x14ac:dyDescent="0.2">
      <c r="A3599" t="s">
        <v>1142</v>
      </c>
    </row>
    <row r="3600" spans="1:1" x14ac:dyDescent="0.2">
      <c r="A3600" t="s">
        <v>1143</v>
      </c>
    </row>
    <row r="3601" spans="1:1" x14ac:dyDescent="0.2">
      <c r="A3601" t="s">
        <v>1144</v>
      </c>
    </row>
    <row r="3602" spans="1:1" x14ac:dyDescent="0.2">
      <c r="A3602" t="s">
        <v>1145</v>
      </c>
    </row>
    <row r="3603" spans="1:1" x14ac:dyDescent="0.2">
      <c r="A3603" t="s">
        <v>1146</v>
      </c>
    </row>
    <row r="3604" spans="1:1" x14ac:dyDescent="0.2">
      <c r="A3604" t="s">
        <v>1147</v>
      </c>
    </row>
    <row r="3605" spans="1:1" x14ac:dyDescent="0.2">
      <c r="A3605" t="s">
        <v>1148</v>
      </c>
    </row>
    <row r="3606" spans="1:1" x14ac:dyDescent="0.2">
      <c r="A3606" t="s">
        <v>1149</v>
      </c>
    </row>
    <row r="3607" spans="1:1" x14ac:dyDescent="0.2">
      <c r="A3607" t="s">
        <v>1150</v>
      </c>
    </row>
    <row r="3608" spans="1:1" x14ac:dyDescent="0.2">
      <c r="A3608" t="s">
        <v>1151</v>
      </c>
    </row>
    <row r="3609" spans="1:1" x14ac:dyDescent="0.2">
      <c r="A3609" t="s">
        <v>1152</v>
      </c>
    </row>
    <row r="3610" spans="1:1" x14ac:dyDescent="0.2">
      <c r="A3610" t="s">
        <v>1153</v>
      </c>
    </row>
    <row r="3611" spans="1:1" x14ac:dyDescent="0.2">
      <c r="A3611" t="s">
        <v>1154</v>
      </c>
    </row>
    <row r="3612" spans="1:1" x14ac:dyDescent="0.2">
      <c r="A3612" t="s">
        <v>1155</v>
      </c>
    </row>
    <row r="3613" spans="1:1" x14ac:dyDescent="0.2">
      <c r="A3613" t="s">
        <v>1156</v>
      </c>
    </row>
    <row r="3614" spans="1:1" x14ac:dyDescent="0.2">
      <c r="A3614" t="s">
        <v>1157</v>
      </c>
    </row>
    <row r="3615" spans="1:1" x14ac:dyDescent="0.2">
      <c r="A3615" t="s">
        <v>1158</v>
      </c>
    </row>
    <row r="3616" spans="1:1" x14ac:dyDescent="0.2">
      <c r="A3616" t="s">
        <v>1159</v>
      </c>
    </row>
    <row r="3617" spans="1:1" x14ac:dyDescent="0.2">
      <c r="A3617" t="s">
        <v>1160</v>
      </c>
    </row>
    <row r="3618" spans="1:1" x14ac:dyDescent="0.2">
      <c r="A3618" t="s">
        <v>1161</v>
      </c>
    </row>
    <row r="3619" spans="1:1" x14ac:dyDescent="0.2">
      <c r="A3619" t="s">
        <v>1162</v>
      </c>
    </row>
    <row r="3620" spans="1:1" x14ac:dyDescent="0.2">
      <c r="A3620" t="s">
        <v>1163</v>
      </c>
    </row>
    <row r="3621" spans="1:1" x14ac:dyDescent="0.2">
      <c r="A3621" t="s">
        <v>1164</v>
      </c>
    </row>
    <row r="3622" spans="1:1" x14ac:dyDescent="0.2">
      <c r="A3622" t="s">
        <v>1165</v>
      </c>
    </row>
    <row r="3623" spans="1:1" x14ac:dyDescent="0.2">
      <c r="A3623" t="s">
        <v>1166</v>
      </c>
    </row>
    <row r="3624" spans="1:1" x14ac:dyDescent="0.2">
      <c r="A3624" t="s">
        <v>1167</v>
      </c>
    </row>
    <row r="3625" spans="1:1" x14ac:dyDescent="0.2">
      <c r="A3625" t="s">
        <v>1168</v>
      </c>
    </row>
    <row r="3626" spans="1:1" x14ac:dyDescent="0.2">
      <c r="A3626" t="s">
        <v>1169</v>
      </c>
    </row>
    <row r="3627" spans="1:1" x14ac:dyDescent="0.2">
      <c r="A3627" t="s">
        <v>1170</v>
      </c>
    </row>
    <row r="3628" spans="1:1" x14ac:dyDescent="0.2">
      <c r="A3628" t="s">
        <v>1171</v>
      </c>
    </row>
    <row r="3629" spans="1:1" x14ac:dyDescent="0.2">
      <c r="A3629" t="s">
        <v>1172</v>
      </c>
    </row>
    <row r="3630" spans="1:1" x14ac:dyDescent="0.2">
      <c r="A3630" t="s">
        <v>1173</v>
      </c>
    </row>
    <row r="3631" spans="1:1" x14ac:dyDescent="0.2">
      <c r="A3631" t="s">
        <v>1174</v>
      </c>
    </row>
    <row r="3632" spans="1:1" x14ac:dyDescent="0.2">
      <c r="A3632" t="s">
        <v>1175</v>
      </c>
    </row>
    <row r="3633" spans="1:1" x14ac:dyDescent="0.2">
      <c r="A3633" t="s">
        <v>1176</v>
      </c>
    </row>
    <row r="3634" spans="1:1" x14ac:dyDescent="0.2">
      <c r="A3634" t="s">
        <v>1177</v>
      </c>
    </row>
    <row r="3635" spans="1:1" x14ac:dyDescent="0.2">
      <c r="A3635" t="s">
        <v>1178</v>
      </c>
    </row>
    <row r="3636" spans="1:1" x14ac:dyDescent="0.2">
      <c r="A3636" t="s">
        <v>1179</v>
      </c>
    </row>
    <row r="3637" spans="1:1" x14ac:dyDescent="0.2">
      <c r="A3637" t="s">
        <v>1180</v>
      </c>
    </row>
    <row r="3638" spans="1:1" x14ac:dyDescent="0.2">
      <c r="A3638" t="s">
        <v>1181</v>
      </c>
    </row>
    <row r="3639" spans="1:1" x14ac:dyDescent="0.2">
      <c r="A3639" t="s">
        <v>1182</v>
      </c>
    </row>
    <row r="3640" spans="1:1" x14ac:dyDescent="0.2">
      <c r="A3640" t="s">
        <v>1183</v>
      </c>
    </row>
    <row r="3641" spans="1:1" x14ac:dyDescent="0.2">
      <c r="A3641" t="s">
        <v>1184</v>
      </c>
    </row>
    <row r="3642" spans="1:1" x14ac:dyDescent="0.2">
      <c r="A3642" t="s">
        <v>1185</v>
      </c>
    </row>
    <row r="3643" spans="1:1" x14ac:dyDescent="0.2">
      <c r="A3643" t="s">
        <v>1186</v>
      </c>
    </row>
    <row r="3644" spans="1:1" x14ac:dyDescent="0.2">
      <c r="A3644" t="s">
        <v>1187</v>
      </c>
    </row>
    <row r="3645" spans="1:1" x14ac:dyDescent="0.2">
      <c r="A3645" t="s">
        <v>1188</v>
      </c>
    </row>
    <row r="3646" spans="1:1" x14ac:dyDescent="0.2">
      <c r="A3646" t="s">
        <v>1189</v>
      </c>
    </row>
    <row r="3647" spans="1:1" x14ac:dyDescent="0.2">
      <c r="A3647" t="s">
        <v>1190</v>
      </c>
    </row>
    <row r="3648" spans="1:1" x14ac:dyDescent="0.2">
      <c r="A3648" t="s">
        <v>1191</v>
      </c>
    </row>
    <row r="3649" spans="1:1" x14ac:dyDescent="0.2">
      <c r="A3649" t="s">
        <v>1192</v>
      </c>
    </row>
    <row r="3650" spans="1:1" x14ac:dyDescent="0.2">
      <c r="A3650" t="s">
        <v>1193</v>
      </c>
    </row>
    <row r="3651" spans="1:1" x14ac:dyDescent="0.2">
      <c r="A3651" t="s">
        <v>1194</v>
      </c>
    </row>
    <row r="3652" spans="1:1" x14ac:dyDescent="0.2">
      <c r="A3652" t="s">
        <v>1195</v>
      </c>
    </row>
    <row r="3653" spans="1:1" x14ac:dyDescent="0.2">
      <c r="A3653" t="s">
        <v>1196</v>
      </c>
    </row>
    <row r="3654" spans="1:1" x14ac:dyDescent="0.2">
      <c r="A3654" t="s">
        <v>1197</v>
      </c>
    </row>
    <row r="3655" spans="1:1" x14ac:dyDescent="0.2">
      <c r="A3655" t="s">
        <v>1198</v>
      </c>
    </row>
    <row r="3656" spans="1:1" x14ac:dyDescent="0.2">
      <c r="A3656" t="s">
        <v>1199</v>
      </c>
    </row>
    <row r="3657" spans="1:1" x14ac:dyDescent="0.2">
      <c r="A3657" t="s">
        <v>1200</v>
      </c>
    </row>
    <row r="3658" spans="1:1" x14ac:dyDescent="0.2">
      <c r="A3658" t="s">
        <v>1201</v>
      </c>
    </row>
    <row r="3659" spans="1:1" x14ac:dyDescent="0.2">
      <c r="A3659" t="s">
        <v>1202</v>
      </c>
    </row>
    <row r="3660" spans="1:1" x14ac:dyDescent="0.2">
      <c r="A3660" t="s">
        <v>1203</v>
      </c>
    </row>
    <row r="3661" spans="1:1" x14ac:dyDescent="0.2">
      <c r="A3661" t="s">
        <v>1204</v>
      </c>
    </row>
    <row r="3662" spans="1:1" x14ac:dyDescent="0.2">
      <c r="A3662" t="s">
        <v>1205</v>
      </c>
    </row>
    <row r="3663" spans="1:1" x14ac:dyDescent="0.2">
      <c r="A3663" t="s">
        <v>1206</v>
      </c>
    </row>
    <row r="3664" spans="1:1" x14ac:dyDescent="0.2">
      <c r="A3664" t="s">
        <v>1207</v>
      </c>
    </row>
    <row r="3665" spans="1:1" x14ac:dyDescent="0.2">
      <c r="A3665" t="s">
        <v>1208</v>
      </c>
    </row>
    <row r="3666" spans="1:1" x14ac:dyDescent="0.2">
      <c r="A3666" t="s">
        <v>1209</v>
      </c>
    </row>
    <row r="3667" spans="1:1" x14ac:dyDescent="0.2">
      <c r="A3667" t="s">
        <v>1210</v>
      </c>
    </row>
    <row r="3668" spans="1:1" x14ac:dyDescent="0.2">
      <c r="A3668" t="s">
        <v>1211</v>
      </c>
    </row>
    <row r="3669" spans="1:1" x14ac:dyDescent="0.2">
      <c r="A3669" t="s">
        <v>1212</v>
      </c>
    </row>
    <row r="3670" spans="1:1" x14ac:dyDescent="0.2">
      <c r="A3670" t="s">
        <v>1213</v>
      </c>
    </row>
    <row r="3671" spans="1:1" x14ac:dyDescent="0.2">
      <c r="A3671" t="s">
        <v>1214</v>
      </c>
    </row>
    <row r="3672" spans="1:1" x14ac:dyDescent="0.2">
      <c r="A3672" t="s">
        <v>1215</v>
      </c>
    </row>
    <row r="3673" spans="1:1" x14ac:dyDescent="0.2">
      <c r="A3673" t="s">
        <v>1216</v>
      </c>
    </row>
    <row r="3674" spans="1:1" x14ac:dyDescent="0.2">
      <c r="A3674" t="s">
        <v>1217</v>
      </c>
    </row>
    <row r="3675" spans="1:1" x14ac:dyDescent="0.2">
      <c r="A3675" t="s">
        <v>1218</v>
      </c>
    </row>
    <row r="3676" spans="1:1" x14ac:dyDescent="0.2">
      <c r="A3676" t="s">
        <v>1219</v>
      </c>
    </row>
    <row r="3677" spans="1:1" x14ac:dyDescent="0.2">
      <c r="A3677" t="s">
        <v>1220</v>
      </c>
    </row>
    <row r="3678" spans="1:1" x14ac:dyDescent="0.2">
      <c r="A3678" t="s">
        <v>1221</v>
      </c>
    </row>
    <row r="3679" spans="1:1" x14ac:dyDescent="0.2">
      <c r="A3679" t="s">
        <v>1222</v>
      </c>
    </row>
    <row r="3680" spans="1:1" x14ac:dyDescent="0.2">
      <c r="A3680" t="s">
        <v>1223</v>
      </c>
    </row>
    <row r="3681" spans="1:1" x14ac:dyDescent="0.2">
      <c r="A3681" t="s">
        <v>1224</v>
      </c>
    </row>
    <row r="3682" spans="1:1" x14ac:dyDescent="0.2">
      <c r="A3682" t="s">
        <v>1225</v>
      </c>
    </row>
    <row r="3683" spans="1:1" x14ac:dyDescent="0.2">
      <c r="A3683" t="s">
        <v>1226</v>
      </c>
    </row>
    <row r="3684" spans="1:1" x14ac:dyDescent="0.2">
      <c r="A3684" t="s">
        <v>1227</v>
      </c>
    </row>
    <row r="3685" spans="1:1" x14ac:dyDescent="0.2">
      <c r="A3685" t="s">
        <v>1228</v>
      </c>
    </row>
    <row r="3686" spans="1:1" x14ac:dyDescent="0.2">
      <c r="A3686" t="s">
        <v>1229</v>
      </c>
    </row>
    <row r="3687" spans="1:1" x14ac:dyDescent="0.2">
      <c r="A3687" t="s">
        <v>1230</v>
      </c>
    </row>
    <row r="3688" spans="1:1" x14ac:dyDescent="0.2">
      <c r="A3688" t="s">
        <v>1231</v>
      </c>
    </row>
    <row r="3689" spans="1:1" x14ac:dyDescent="0.2">
      <c r="A3689" t="s">
        <v>1232</v>
      </c>
    </row>
    <row r="3690" spans="1:1" x14ac:dyDescent="0.2">
      <c r="A3690" t="s">
        <v>1233</v>
      </c>
    </row>
    <row r="3691" spans="1:1" x14ac:dyDescent="0.2">
      <c r="A3691" t="s">
        <v>1234</v>
      </c>
    </row>
    <row r="3692" spans="1:1" x14ac:dyDescent="0.2">
      <c r="A3692" t="s">
        <v>1235</v>
      </c>
    </row>
    <row r="3693" spans="1:1" x14ac:dyDescent="0.2">
      <c r="A3693" t="s">
        <v>1236</v>
      </c>
    </row>
    <row r="3694" spans="1:1" x14ac:dyDescent="0.2">
      <c r="A3694" t="s">
        <v>1237</v>
      </c>
    </row>
    <row r="3695" spans="1:1" x14ac:dyDescent="0.2">
      <c r="A3695" t="s">
        <v>1238</v>
      </c>
    </row>
    <row r="3696" spans="1:1" x14ac:dyDescent="0.2">
      <c r="A3696" t="s">
        <v>1239</v>
      </c>
    </row>
    <row r="3697" spans="1:1" x14ac:dyDescent="0.2">
      <c r="A3697" t="s">
        <v>1240</v>
      </c>
    </row>
    <row r="3698" spans="1:1" x14ac:dyDescent="0.2">
      <c r="A3698" t="s">
        <v>1241</v>
      </c>
    </row>
    <row r="3699" spans="1:1" x14ac:dyDescent="0.2">
      <c r="A3699" t="s">
        <v>1242</v>
      </c>
    </row>
    <row r="3700" spans="1:1" x14ac:dyDescent="0.2">
      <c r="A3700" t="s">
        <v>1243</v>
      </c>
    </row>
    <row r="3701" spans="1:1" x14ac:dyDescent="0.2">
      <c r="A3701" t="s">
        <v>1244</v>
      </c>
    </row>
    <row r="3702" spans="1:1" x14ac:dyDescent="0.2">
      <c r="A3702" t="s">
        <v>1245</v>
      </c>
    </row>
    <row r="3703" spans="1:1" x14ac:dyDescent="0.2">
      <c r="A3703" t="s">
        <v>1246</v>
      </c>
    </row>
    <row r="3704" spans="1:1" x14ac:dyDescent="0.2">
      <c r="A3704" t="s">
        <v>1247</v>
      </c>
    </row>
    <row r="3705" spans="1:1" x14ac:dyDescent="0.2">
      <c r="A3705" t="s">
        <v>1248</v>
      </c>
    </row>
    <row r="3706" spans="1:1" x14ac:dyDescent="0.2">
      <c r="A3706" t="s">
        <v>1249</v>
      </c>
    </row>
    <row r="3707" spans="1:1" x14ac:dyDescent="0.2">
      <c r="A3707" t="s">
        <v>1250</v>
      </c>
    </row>
    <row r="3708" spans="1:1" x14ac:dyDescent="0.2">
      <c r="A3708" t="s">
        <v>1251</v>
      </c>
    </row>
    <row r="3709" spans="1:1" x14ac:dyDescent="0.2">
      <c r="A3709" t="s">
        <v>1252</v>
      </c>
    </row>
    <row r="3710" spans="1:1" x14ac:dyDescent="0.2">
      <c r="A3710" t="s">
        <v>1253</v>
      </c>
    </row>
    <row r="3711" spans="1:1" x14ac:dyDescent="0.2">
      <c r="A3711" t="s">
        <v>1254</v>
      </c>
    </row>
    <row r="3712" spans="1:1" x14ac:dyDescent="0.2">
      <c r="A3712" t="s">
        <v>1255</v>
      </c>
    </row>
    <row r="3713" spans="1:1" x14ac:dyDescent="0.2">
      <c r="A3713" t="s">
        <v>1256</v>
      </c>
    </row>
    <row r="3714" spans="1:1" x14ac:dyDescent="0.2">
      <c r="A3714" t="s">
        <v>1257</v>
      </c>
    </row>
    <row r="3715" spans="1:1" x14ac:dyDescent="0.2">
      <c r="A3715" t="s">
        <v>1258</v>
      </c>
    </row>
    <row r="3716" spans="1:1" x14ac:dyDescent="0.2">
      <c r="A3716" t="s">
        <v>1259</v>
      </c>
    </row>
    <row r="3717" spans="1:1" x14ac:dyDescent="0.2">
      <c r="A3717" t="s">
        <v>1260</v>
      </c>
    </row>
    <row r="3718" spans="1:1" x14ac:dyDescent="0.2">
      <c r="A3718" t="s">
        <v>1261</v>
      </c>
    </row>
    <row r="3719" spans="1:1" x14ac:dyDescent="0.2">
      <c r="A3719" t="s">
        <v>1262</v>
      </c>
    </row>
    <row r="3720" spans="1:1" x14ac:dyDescent="0.2">
      <c r="A3720" t="s">
        <v>1263</v>
      </c>
    </row>
    <row r="3721" spans="1:1" x14ac:dyDescent="0.2">
      <c r="A3721" t="s">
        <v>1264</v>
      </c>
    </row>
    <row r="3722" spans="1:1" x14ac:dyDescent="0.2">
      <c r="A3722" t="s">
        <v>1265</v>
      </c>
    </row>
    <row r="3723" spans="1:1" x14ac:dyDescent="0.2">
      <c r="A3723" t="s">
        <v>1266</v>
      </c>
    </row>
    <row r="3724" spans="1:1" x14ac:dyDescent="0.2">
      <c r="A3724" t="s">
        <v>1267</v>
      </c>
    </row>
    <row r="3725" spans="1:1" x14ac:dyDescent="0.2">
      <c r="A3725" t="s">
        <v>1268</v>
      </c>
    </row>
    <row r="3726" spans="1:1" x14ac:dyDescent="0.2">
      <c r="A3726" t="s">
        <v>1269</v>
      </c>
    </row>
    <row r="3727" spans="1:1" x14ac:dyDescent="0.2">
      <c r="A3727" t="s">
        <v>1270</v>
      </c>
    </row>
    <row r="3728" spans="1:1" x14ac:dyDescent="0.2">
      <c r="A3728" t="s">
        <v>1271</v>
      </c>
    </row>
    <row r="3729" spans="1:1" x14ac:dyDescent="0.2">
      <c r="A3729" t="s">
        <v>1272</v>
      </c>
    </row>
    <row r="3730" spans="1:1" x14ac:dyDescent="0.2">
      <c r="A3730" t="s">
        <v>1273</v>
      </c>
    </row>
    <row r="3731" spans="1:1" x14ac:dyDescent="0.2">
      <c r="A3731" t="s">
        <v>1274</v>
      </c>
    </row>
    <row r="3732" spans="1:1" x14ac:dyDescent="0.2">
      <c r="A3732" t="s">
        <v>1275</v>
      </c>
    </row>
    <row r="3733" spans="1:1" x14ac:dyDescent="0.2">
      <c r="A3733" t="s">
        <v>1276</v>
      </c>
    </row>
    <row r="3734" spans="1:1" x14ac:dyDescent="0.2">
      <c r="A3734" t="s">
        <v>1277</v>
      </c>
    </row>
    <row r="3735" spans="1:1" x14ac:dyDescent="0.2">
      <c r="A3735" t="s">
        <v>1278</v>
      </c>
    </row>
    <row r="3736" spans="1:1" x14ac:dyDescent="0.2">
      <c r="A3736" t="s">
        <v>1279</v>
      </c>
    </row>
    <row r="3737" spans="1:1" x14ac:dyDescent="0.2">
      <c r="A3737" t="s">
        <v>1280</v>
      </c>
    </row>
    <row r="3738" spans="1:1" x14ac:dyDescent="0.2">
      <c r="A3738" t="s">
        <v>1281</v>
      </c>
    </row>
    <row r="3739" spans="1:1" x14ac:dyDescent="0.2">
      <c r="A3739" t="s">
        <v>1282</v>
      </c>
    </row>
    <row r="3740" spans="1:1" x14ac:dyDescent="0.2">
      <c r="A3740" t="s">
        <v>1283</v>
      </c>
    </row>
    <row r="3741" spans="1:1" x14ac:dyDescent="0.2">
      <c r="A3741" t="s">
        <v>1284</v>
      </c>
    </row>
    <row r="3742" spans="1:1" x14ac:dyDescent="0.2">
      <c r="A3742" t="s">
        <v>1285</v>
      </c>
    </row>
    <row r="3743" spans="1:1" x14ac:dyDescent="0.2">
      <c r="A3743" t="s">
        <v>1286</v>
      </c>
    </row>
    <row r="3744" spans="1:1" x14ac:dyDescent="0.2">
      <c r="A3744" t="s">
        <v>2847</v>
      </c>
    </row>
    <row r="3745" spans="1:1" x14ac:dyDescent="0.2">
      <c r="A3745" t="s">
        <v>1053</v>
      </c>
    </row>
    <row r="3746" spans="1:1" x14ac:dyDescent="0.2">
      <c r="A3746" t="s">
        <v>2848</v>
      </c>
    </row>
    <row r="3747" spans="1:1" x14ac:dyDescent="0.2">
      <c r="A3747" t="s">
        <v>2768</v>
      </c>
    </row>
    <row r="3748" spans="1:1" x14ac:dyDescent="0.2">
      <c r="A3748" t="s">
        <v>2769</v>
      </c>
    </row>
    <row r="3749" spans="1:1" x14ac:dyDescent="0.2">
      <c r="A3749" t="s">
        <v>1054</v>
      </c>
    </row>
    <row r="3750" spans="1:1" x14ac:dyDescent="0.2">
      <c r="A3750" t="s">
        <v>1055</v>
      </c>
    </row>
    <row r="3751" spans="1:1" x14ac:dyDescent="0.2">
      <c r="A3751" t="s">
        <v>2807</v>
      </c>
    </row>
    <row r="3752" spans="1:1" x14ac:dyDescent="0.2">
      <c r="A3752" t="s">
        <v>1056</v>
      </c>
    </row>
    <row r="3753" spans="1:1" x14ac:dyDescent="0.2">
      <c r="A3753" t="s">
        <v>1057</v>
      </c>
    </row>
    <row r="3754" spans="1:1" x14ac:dyDescent="0.2">
      <c r="A3754" t="s">
        <v>1058</v>
      </c>
    </row>
    <row r="3755" spans="1:1" x14ac:dyDescent="0.2">
      <c r="A3755" t="s">
        <v>1059</v>
      </c>
    </row>
    <row r="3756" spans="1:1" x14ac:dyDescent="0.2">
      <c r="A3756" t="s">
        <v>1060</v>
      </c>
    </row>
    <row r="3757" spans="1:1" x14ac:dyDescent="0.2">
      <c r="A3757" t="s">
        <v>1061</v>
      </c>
    </row>
    <row r="3758" spans="1:1" x14ac:dyDescent="0.2">
      <c r="A3758" t="s">
        <v>1062</v>
      </c>
    </row>
    <row r="3759" spans="1:1" x14ac:dyDescent="0.2">
      <c r="A3759" t="s">
        <v>1063</v>
      </c>
    </row>
    <row r="3760" spans="1:1" x14ac:dyDescent="0.2">
      <c r="A3760" t="s">
        <v>1064</v>
      </c>
    </row>
    <row r="3761" spans="1:1" x14ac:dyDescent="0.2">
      <c r="A3761" t="s">
        <v>1065</v>
      </c>
    </row>
    <row r="3762" spans="1:1" x14ac:dyDescent="0.2">
      <c r="A3762" t="s">
        <v>1066</v>
      </c>
    </row>
    <row r="3763" spans="1:1" x14ac:dyDescent="0.2">
      <c r="A3763" t="s">
        <v>1067</v>
      </c>
    </row>
    <row r="3764" spans="1:1" x14ac:dyDescent="0.2">
      <c r="A3764" t="s">
        <v>1068</v>
      </c>
    </row>
    <row r="3765" spans="1:1" x14ac:dyDescent="0.2">
      <c r="A3765" t="s">
        <v>1069</v>
      </c>
    </row>
    <row r="3766" spans="1:1" x14ac:dyDescent="0.2">
      <c r="A3766" t="s">
        <v>1070</v>
      </c>
    </row>
    <row r="3767" spans="1:1" x14ac:dyDescent="0.2">
      <c r="A3767" t="s">
        <v>1071</v>
      </c>
    </row>
    <row r="3768" spans="1:1" x14ac:dyDescent="0.2">
      <c r="A3768" t="s">
        <v>1072</v>
      </c>
    </row>
    <row r="3769" spans="1:1" x14ac:dyDescent="0.2">
      <c r="A3769" t="s">
        <v>1073</v>
      </c>
    </row>
    <row r="3770" spans="1:1" x14ac:dyDescent="0.2">
      <c r="A3770" t="s">
        <v>1074</v>
      </c>
    </row>
    <row r="3771" spans="1:1" x14ac:dyDescent="0.2">
      <c r="A3771" t="s">
        <v>1075</v>
      </c>
    </row>
    <row r="3772" spans="1:1" x14ac:dyDescent="0.2">
      <c r="A3772" t="s">
        <v>1076</v>
      </c>
    </row>
    <row r="3773" spans="1:1" x14ac:dyDescent="0.2">
      <c r="A3773" t="s">
        <v>1077</v>
      </c>
    </row>
    <row r="3774" spans="1:1" x14ac:dyDescent="0.2">
      <c r="A3774" t="s">
        <v>1078</v>
      </c>
    </row>
    <row r="3775" spans="1:1" x14ac:dyDescent="0.2">
      <c r="A3775" t="s">
        <v>1079</v>
      </c>
    </row>
    <row r="3776" spans="1:1" x14ac:dyDescent="0.2">
      <c r="A3776" t="s">
        <v>1080</v>
      </c>
    </row>
    <row r="3777" spans="1:1" x14ac:dyDescent="0.2">
      <c r="A3777" t="s">
        <v>1081</v>
      </c>
    </row>
    <row r="3778" spans="1:1" x14ac:dyDescent="0.2">
      <c r="A3778" t="s">
        <v>1082</v>
      </c>
    </row>
    <row r="3779" spans="1:1" x14ac:dyDescent="0.2">
      <c r="A3779" t="s">
        <v>1083</v>
      </c>
    </row>
    <row r="3780" spans="1:1" x14ac:dyDescent="0.2">
      <c r="A3780" t="s">
        <v>2771</v>
      </c>
    </row>
    <row r="3781" spans="1:1" x14ac:dyDescent="0.2">
      <c r="A3781" t="s">
        <v>2772</v>
      </c>
    </row>
    <row r="3782" spans="1:1" x14ac:dyDescent="0.2">
      <c r="A3782" t="s">
        <v>2773</v>
      </c>
    </row>
    <row r="3783" spans="1:1" x14ac:dyDescent="0.2">
      <c r="A3783" t="s">
        <v>2774</v>
      </c>
    </row>
    <row r="3784" spans="1:1" x14ac:dyDescent="0.2">
      <c r="A3784" t="s">
        <v>2775</v>
      </c>
    </row>
    <row r="3785" spans="1:1" x14ac:dyDescent="0.2">
      <c r="A3785" t="s">
        <v>2776</v>
      </c>
    </row>
    <row r="3786" spans="1:1" x14ac:dyDescent="0.2">
      <c r="A3786" t="s">
        <v>1084</v>
      </c>
    </row>
    <row r="3787" spans="1:1" x14ac:dyDescent="0.2">
      <c r="A3787" t="s">
        <v>1085</v>
      </c>
    </row>
    <row r="3788" spans="1:1" x14ac:dyDescent="0.2">
      <c r="A3788" t="s">
        <v>1086</v>
      </c>
    </row>
    <row r="3789" spans="1:1" x14ac:dyDescent="0.2">
      <c r="A3789" t="s">
        <v>1087</v>
      </c>
    </row>
    <row r="3790" spans="1:1" x14ac:dyDescent="0.2">
      <c r="A3790" t="s">
        <v>1088</v>
      </c>
    </row>
    <row r="3791" spans="1:1" x14ac:dyDescent="0.2">
      <c r="A3791" t="s">
        <v>1089</v>
      </c>
    </row>
    <row r="3792" spans="1:1" x14ac:dyDescent="0.2">
      <c r="A3792" t="s">
        <v>1090</v>
      </c>
    </row>
    <row r="3793" spans="1:1" x14ac:dyDescent="0.2">
      <c r="A3793" t="s">
        <v>1091</v>
      </c>
    </row>
    <row r="3794" spans="1:1" x14ac:dyDescent="0.2">
      <c r="A3794" t="s">
        <v>1092</v>
      </c>
    </row>
    <row r="3795" spans="1:1" x14ac:dyDescent="0.2">
      <c r="A3795" t="s">
        <v>1093</v>
      </c>
    </row>
    <row r="3796" spans="1:1" x14ac:dyDescent="0.2">
      <c r="A3796" t="s">
        <v>1094</v>
      </c>
    </row>
    <row r="3797" spans="1:1" x14ac:dyDescent="0.2">
      <c r="A3797" t="s">
        <v>1095</v>
      </c>
    </row>
    <row r="3798" spans="1:1" x14ac:dyDescent="0.2">
      <c r="A3798" t="s">
        <v>1096</v>
      </c>
    </row>
    <row r="3799" spans="1:1" x14ac:dyDescent="0.2">
      <c r="A3799" t="s">
        <v>1097</v>
      </c>
    </row>
    <row r="3800" spans="1:1" x14ac:dyDescent="0.2">
      <c r="A3800" t="s">
        <v>1098</v>
      </c>
    </row>
    <row r="3801" spans="1:1" x14ac:dyDescent="0.2">
      <c r="A3801" t="s">
        <v>1099</v>
      </c>
    </row>
    <row r="3802" spans="1:1" x14ac:dyDescent="0.2">
      <c r="A3802" t="s">
        <v>1100</v>
      </c>
    </row>
    <row r="3803" spans="1:1" x14ac:dyDescent="0.2">
      <c r="A3803" t="s">
        <v>1101</v>
      </c>
    </row>
    <row r="3804" spans="1:1" x14ac:dyDescent="0.2">
      <c r="A3804" t="s">
        <v>1102</v>
      </c>
    </row>
    <row r="3805" spans="1:1" x14ac:dyDescent="0.2">
      <c r="A3805" t="s">
        <v>1103</v>
      </c>
    </row>
    <row r="3806" spans="1:1" x14ac:dyDescent="0.2">
      <c r="A3806" t="s">
        <v>1104</v>
      </c>
    </row>
    <row r="3807" spans="1:1" x14ac:dyDescent="0.2">
      <c r="A3807" t="s">
        <v>1105</v>
      </c>
    </row>
    <row r="3808" spans="1:1" x14ac:dyDescent="0.2">
      <c r="A3808" t="s">
        <v>1106</v>
      </c>
    </row>
    <row r="3809" spans="1:1" x14ac:dyDescent="0.2">
      <c r="A3809" t="s">
        <v>1107</v>
      </c>
    </row>
    <row r="3810" spans="1:1" x14ac:dyDescent="0.2">
      <c r="A3810" t="s">
        <v>1108</v>
      </c>
    </row>
    <row r="3811" spans="1:1" x14ac:dyDescent="0.2">
      <c r="A3811" t="s">
        <v>1109</v>
      </c>
    </row>
    <row r="3812" spans="1:1" x14ac:dyDescent="0.2">
      <c r="A3812" t="s">
        <v>1110</v>
      </c>
    </row>
    <row r="3813" spans="1:1" x14ac:dyDescent="0.2">
      <c r="A3813" t="s">
        <v>1111</v>
      </c>
    </row>
    <row r="3814" spans="1:1" x14ac:dyDescent="0.2">
      <c r="A3814" t="s">
        <v>1112</v>
      </c>
    </row>
    <row r="3815" spans="1:1" x14ac:dyDescent="0.2">
      <c r="A3815" t="s">
        <v>1113</v>
      </c>
    </row>
    <row r="3816" spans="1:1" x14ac:dyDescent="0.2">
      <c r="A3816" t="s">
        <v>1114</v>
      </c>
    </row>
    <row r="3817" spans="1:1" x14ac:dyDescent="0.2">
      <c r="A3817" t="s">
        <v>1115</v>
      </c>
    </row>
    <row r="3818" spans="1:1" x14ac:dyDescent="0.2">
      <c r="A3818" t="s">
        <v>1116</v>
      </c>
    </row>
    <row r="3819" spans="1:1" x14ac:dyDescent="0.2">
      <c r="A3819" t="s">
        <v>1117</v>
      </c>
    </row>
    <row r="3820" spans="1:1" x14ac:dyDescent="0.2">
      <c r="A3820" t="s">
        <v>1118</v>
      </c>
    </row>
    <row r="3821" spans="1:1" x14ac:dyDescent="0.2">
      <c r="A3821" t="s">
        <v>1119</v>
      </c>
    </row>
    <row r="3822" spans="1:1" x14ac:dyDescent="0.2">
      <c r="A3822" t="s">
        <v>1120</v>
      </c>
    </row>
    <row r="3823" spans="1:1" x14ac:dyDescent="0.2">
      <c r="A3823" t="s">
        <v>1288</v>
      </c>
    </row>
    <row r="3824" spans="1:1" x14ac:dyDescent="0.2">
      <c r="A3824" t="s">
        <v>2849</v>
      </c>
    </row>
    <row r="3825" spans="1:1" x14ac:dyDescent="0.2">
      <c r="A3825" t="s">
        <v>2850</v>
      </c>
    </row>
    <row r="3826" spans="1:1" x14ac:dyDescent="0.2">
      <c r="A3826" t="s">
        <v>2838</v>
      </c>
    </row>
    <row r="3827" spans="1:1" x14ac:dyDescent="0.2">
      <c r="A3827" t="s">
        <v>2839</v>
      </c>
    </row>
    <row r="3828" spans="1:1" x14ac:dyDescent="0.2">
      <c r="A3828" t="s">
        <v>1289</v>
      </c>
    </row>
    <row r="3829" spans="1:1" x14ac:dyDescent="0.2">
      <c r="A3829" t="s">
        <v>2781</v>
      </c>
    </row>
    <row r="3830" spans="1:1" x14ac:dyDescent="0.2">
      <c r="A3830" t="s">
        <v>2851</v>
      </c>
    </row>
    <row r="3831" spans="1:1" x14ac:dyDescent="0.2">
      <c r="A3831" t="s">
        <v>1122</v>
      </c>
    </row>
    <row r="3832" spans="1:1" x14ac:dyDescent="0.2">
      <c r="A3832" t="s">
        <v>1123</v>
      </c>
    </row>
    <row r="3833" spans="1:1" x14ac:dyDescent="0.2">
      <c r="A3833" t="s">
        <v>1124</v>
      </c>
    </row>
    <row r="3834" spans="1:1" x14ac:dyDescent="0.2">
      <c r="A3834" t="s">
        <v>1125</v>
      </c>
    </row>
    <row r="3835" spans="1:1" x14ac:dyDescent="0.2">
      <c r="A3835" t="s">
        <v>1126</v>
      </c>
    </row>
    <row r="3836" spans="1:1" x14ac:dyDescent="0.2">
      <c r="A3836" t="s">
        <v>1127</v>
      </c>
    </row>
    <row r="3837" spans="1:1" x14ac:dyDescent="0.2">
      <c r="A3837" t="s">
        <v>1128</v>
      </c>
    </row>
    <row r="3838" spans="1:1" x14ac:dyDescent="0.2">
      <c r="A3838" t="s">
        <v>1129</v>
      </c>
    </row>
    <row r="3839" spans="1:1" x14ac:dyDescent="0.2">
      <c r="A3839" t="s">
        <v>1130</v>
      </c>
    </row>
    <row r="3840" spans="1:1" x14ac:dyDescent="0.2">
      <c r="A3840" t="s">
        <v>1131</v>
      </c>
    </row>
    <row r="3841" spans="1:1" x14ac:dyDescent="0.2">
      <c r="A3841" t="s">
        <v>1132</v>
      </c>
    </row>
    <row r="3842" spans="1:1" x14ac:dyDescent="0.2">
      <c r="A3842" t="s">
        <v>1133</v>
      </c>
    </row>
    <row r="3843" spans="1:1" x14ac:dyDescent="0.2">
      <c r="A3843" t="s">
        <v>1134</v>
      </c>
    </row>
    <row r="3844" spans="1:1" x14ac:dyDescent="0.2">
      <c r="A3844" t="s">
        <v>1135</v>
      </c>
    </row>
    <row r="3845" spans="1:1" x14ac:dyDescent="0.2">
      <c r="A3845" t="s">
        <v>1136</v>
      </c>
    </row>
    <row r="3846" spans="1:1" x14ac:dyDescent="0.2">
      <c r="A3846" t="s">
        <v>1137</v>
      </c>
    </row>
    <row r="3847" spans="1:1" x14ac:dyDescent="0.2">
      <c r="A3847" t="s">
        <v>1138</v>
      </c>
    </row>
    <row r="3848" spans="1:1" x14ac:dyDescent="0.2">
      <c r="A3848" t="s">
        <v>1139</v>
      </c>
    </row>
    <row r="3849" spans="1:1" x14ac:dyDescent="0.2">
      <c r="A3849" t="s">
        <v>1140</v>
      </c>
    </row>
    <row r="3850" spans="1:1" x14ac:dyDescent="0.2">
      <c r="A3850" t="s">
        <v>1141</v>
      </c>
    </row>
    <row r="3851" spans="1:1" x14ac:dyDescent="0.2">
      <c r="A3851" t="s">
        <v>1142</v>
      </c>
    </row>
    <row r="3852" spans="1:1" x14ac:dyDescent="0.2">
      <c r="A3852" t="s">
        <v>1143</v>
      </c>
    </row>
    <row r="3853" spans="1:1" x14ac:dyDescent="0.2">
      <c r="A3853" t="s">
        <v>1144</v>
      </c>
    </row>
    <row r="3854" spans="1:1" x14ac:dyDescent="0.2">
      <c r="A3854" t="s">
        <v>1145</v>
      </c>
    </row>
    <row r="3855" spans="1:1" x14ac:dyDescent="0.2">
      <c r="A3855" t="s">
        <v>1146</v>
      </c>
    </row>
    <row r="3856" spans="1:1" x14ac:dyDescent="0.2">
      <c r="A3856" t="s">
        <v>1147</v>
      </c>
    </row>
    <row r="3857" spans="1:1" x14ac:dyDescent="0.2">
      <c r="A3857" t="s">
        <v>1148</v>
      </c>
    </row>
    <row r="3858" spans="1:1" x14ac:dyDescent="0.2">
      <c r="A3858" t="s">
        <v>1149</v>
      </c>
    </row>
    <row r="3859" spans="1:1" x14ac:dyDescent="0.2">
      <c r="A3859" t="s">
        <v>1150</v>
      </c>
    </row>
    <row r="3860" spans="1:1" x14ac:dyDescent="0.2">
      <c r="A3860" t="s">
        <v>1151</v>
      </c>
    </row>
    <row r="3861" spans="1:1" x14ac:dyDescent="0.2">
      <c r="A3861" t="s">
        <v>1152</v>
      </c>
    </row>
    <row r="3862" spans="1:1" x14ac:dyDescent="0.2">
      <c r="A3862" t="s">
        <v>1153</v>
      </c>
    </row>
    <row r="3863" spans="1:1" x14ac:dyDescent="0.2">
      <c r="A3863" t="s">
        <v>1154</v>
      </c>
    </row>
    <row r="3864" spans="1:1" x14ac:dyDescent="0.2">
      <c r="A3864" t="s">
        <v>1155</v>
      </c>
    </row>
    <row r="3865" spans="1:1" x14ac:dyDescent="0.2">
      <c r="A3865" t="s">
        <v>1156</v>
      </c>
    </row>
    <row r="3866" spans="1:1" x14ac:dyDescent="0.2">
      <c r="A3866" t="s">
        <v>1157</v>
      </c>
    </row>
    <row r="3867" spans="1:1" x14ac:dyDescent="0.2">
      <c r="A3867" t="s">
        <v>1158</v>
      </c>
    </row>
    <row r="3868" spans="1:1" x14ac:dyDescent="0.2">
      <c r="A3868" t="s">
        <v>1159</v>
      </c>
    </row>
    <row r="3869" spans="1:1" x14ac:dyDescent="0.2">
      <c r="A3869" t="s">
        <v>1160</v>
      </c>
    </row>
    <row r="3870" spans="1:1" x14ac:dyDescent="0.2">
      <c r="A3870" t="s">
        <v>1161</v>
      </c>
    </row>
    <row r="3871" spans="1:1" x14ac:dyDescent="0.2">
      <c r="A3871" t="s">
        <v>1162</v>
      </c>
    </row>
    <row r="3872" spans="1:1" x14ac:dyDescent="0.2">
      <c r="A3872" t="s">
        <v>1163</v>
      </c>
    </row>
    <row r="3873" spans="1:1" x14ac:dyDescent="0.2">
      <c r="A3873" t="s">
        <v>1164</v>
      </c>
    </row>
    <row r="3874" spans="1:1" x14ac:dyDescent="0.2">
      <c r="A3874" t="s">
        <v>1165</v>
      </c>
    </row>
    <row r="3875" spans="1:1" x14ac:dyDescent="0.2">
      <c r="A3875" t="s">
        <v>1166</v>
      </c>
    </row>
    <row r="3876" spans="1:1" x14ac:dyDescent="0.2">
      <c r="A3876" t="s">
        <v>1167</v>
      </c>
    </row>
    <row r="3877" spans="1:1" x14ac:dyDescent="0.2">
      <c r="A3877" t="s">
        <v>1168</v>
      </c>
    </row>
    <row r="3878" spans="1:1" x14ac:dyDescent="0.2">
      <c r="A3878" t="s">
        <v>1169</v>
      </c>
    </row>
    <row r="3879" spans="1:1" x14ac:dyDescent="0.2">
      <c r="A3879" t="s">
        <v>1170</v>
      </c>
    </row>
    <row r="3880" spans="1:1" x14ac:dyDescent="0.2">
      <c r="A3880" t="s">
        <v>1171</v>
      </c>
    </row>
    <row r="3881" spans="1:1" x14ac:dyDescent="0.2">
      <c r="A3881" t="s">
        <v>1172</v>
      </c>
    </row>
    <row r="3882" spans="1:1" x14ac:dyDescent="0.2">
      <c r="A3882" t="s">
        <v>1173</v>
      </c>
    </row>
    <row r="3883" spans="1:1" x14ac:dyDescent="0.2">
      <c r="A3883" t="s">
        <v>1174</v>
      </c>
    </row>
    <row r="3884" spans="1:1" x14ac:dyDescent="0.2">
      <c r="A3884" t="s">
        <v>1175</v>
      </c>
    </row>
    <row r="3885" spans="1:1" x14ac:dyDescent="0.2">
      <c r="A3885" t="s">
        <v>1176</v>
      </c>
    </row>
    <row r="3886" spans="1:1" x14ac:dyDescent="0.2">
      <c r="A3886" t="s">
        <v>1177</v>
      </c>
    </row>
    <row r="3887" spans="1:1" x14ac:dyDescent="0.2">
      <c r="A3887" t="s">
        <v>1178</v>
      </c>
    </row>
    <row r="3888" spans="1:1" x14ac:dyDescent="0.2">
      <c r="A3888" t="s">
        <v>1179</v>
      </c>
    </row>
    <row r="3889" spans="1:1" x14ac:dyDescent="0.2">
      <c r="A3889" t="s">
        <v>1180</v>
      </c>
    </row>
    <row r="3890" spans="1:1" x14ac:dyDescent="0.2">
      <c r="A3890" t="s">
        <v>1181</v>
      </c>
    </row>
    <row r="3891" spans="1:1" x14ac:dyDescent="0.2">
      <c r="A3891" t="s">
        <v>1182</v>
      </c>
    </row>
    <row r="3892" spans="1:1" x14ac:dyDescent="0.2">
      <c r="A3892" t="s">
        <v>1183</v>
      </c>
    </row>
    <row r="3893" spans="1:1" x14ac:dyDescent="0.2">
      <c r="A3893" t="s">
        <v>1184</v>
      </c>
    </row>
    <row r="3894" spans="1:1" x14ac:dyDescent="0.2">
      <c r="A3894" t="s">
        <v>1185</v>
      </c>
    </row>
    <row r="3895" spans="1:1" x14ac:dyDescent="0.2">
      <c r="A3895" t="s">
        <v>1186</v>
      </c>
    </row>
    <row r="3896" spans="1:1" x14ac:dyDescent="0.2">
      <c r="A3896" t="s">
        <v>1187</v>
      </c>
    </row>
    <row r="3897" spans="1:1" x14ac:dyDescent="0.2">
      <c r="A3897" t="s">
        <v>1188</v>
      </c>
    </row>
    <row r="3898" spans="1:1" x14ac:dyDescent="0.2">
      <c r="A3898" t="s">
        <v>1189</v>
      </c>
    </row>
    <row r="3899" spans="1:1" x14ac:dyDescent="0.2">
      <c r="A3899" t="s">
        <v>1190</v>
      </c>
    </row>
    <row r="3900" spans="1:1" x14ac:dyDescent="0.2">
      <c r="A3900" t="s">
        <v>1191</v>
      </c>
    </row>
    <row r="3901" spans="1:1" x14ac:dyDescent="0.2">
      <c r="A3901" t="s">
        <v>1192</v>
      </c>
    </row>
    <row r="3902" spans="1:1" x14ac:dyDescent="0.2">
      <c r="A3902" t="s">
        <v>1193</v>
      </c>
    </row>
    <row r="3903" spans="1:1" x14ac:dyDescent="0.2">
      <c r="A3903" t="s">
        <v>1194</v>
      </c>
    </row>
    <row r="3904" spans="1:1" x14ac:dyDescent="0.2">
      <c r="A3904" t="s">
        <v>1195</v>
      </c>
    </row>
    <row r="3905" spans="1:1" x14ac:dyDescent="0.2">
      <c r="A3905" t="s">
        <v>1196</v>
      </c>
    </row>
    <row r="3906" spans="1:1" x14ac:dyDescent="0.2">
      <c r="A3906" t="s">
        <v>1197</v>
      </c>
    </row>
    <row r="3907" spans="1:1" x14ac:dyDescent="0.2">
      <c r="A3907" t="s">
        <v>1198</v>
      </c>
    </row>
    <row r="3908" spans="1:1" x14ac:dyDescent="0.2">
      <c r="A3908" t="s">
        <v>1199</v>
      </c>
    </row>
    <row r="3909" spans="1:1" x14ac:dyDescent="0.2">
      <c r="A3909" t="s">
        <v>1200</v>
      </c>
    </row>
    <row r="3910" spans="1:1" x14ac:dyDescent="0.2">
      <c r="A3910" t="s">
        <v>1201</v>
      </c>
    </row>
    <row r="3911" spans="1:1" x14ac:dyDescent="0.2">
      <c r="A3911" t="s">
        <v>1202</v>
      </c>
    </row>
    <row r="3912" spans="1:1" x14ac:dyDescent="0.2">
      <c r="A3912" t="s">
        <v>1203</v>
      </c>
    </row>
    <row r="3913" spans="1:1" x14ac:dyDescent="0.2">
      <c r="A3913" t="s">
        <v>1204</v>
      </c>
    </row>
    <row r="3914" spans="1:1" x14ac:dyDescent="0.2">
      <c r="A3914" t="s">
        <v>1205</v>
      </c>
    </row>
    <row r="3915" spans="1:1" x14ac:dyDescent="0.2">
      <c r="A3915" t="s">
        <v>1206</v>
      </c>
    </row>
    <row r="3916" spans="1:1" x14ac:dyDescent="0.2">
      <c r="A3916" t="s">
        <v>1207</v>
      </c>
    </row>
    <row r="3917" spans="1:1" x14ac:dyDescent="0.2">
      <c r="A3917" t="s">
        <v>1208</v>
      </c>
    </row>
    <row r="3918" spans="1:1" x14ac:dyDescent="0.2">
      <c r="A3918" t="s">
        <v>1209</v>
      </c>
    </row>
    <row r="3919" spans="1:1" x14ac:dyDescent="0.2">
      <c r="A3919" t="s">
        <v>1210</v>
      </c>
    </row>
    <row r="3920" spans="1:1" x14ac:dyDescent="0.2">
      <c r="A3920" t="s">
        <v>1211</v>
      </c>
    </row>
    <row r="3921" spans="1:1" x14ac:dyDescent="0.2">
      <c r="A3921" t="s">
        <v>1212</v>
      </c>
    </row>
    <row r="3922" spans="1:1" x14ac:dyDescent="0.2">
      <c r="A3922" t="s">
        <v>1213</v>
      </c>
    </row>
    <row r="3923" spans="1:1" x14ac:dyDescent="0.2">
      <c r="A3923" t="s">
        <v>1214</v>
      </c>
    </row>
    <row r="3924" spans="1:1" x14ac:dyDescent="0.2">
      <c r="A3924" t="s">
        <v>1215</v>
      </c>
    </row>
    <row r="3925" spans="1:1" x14ac:dyDescent="0.2">
      <c r="A3925" t="s">
        <v>1216</v>
      </c>
    </row>
    <row r="3926" spans="1:1" x14ac:dyDescent="0.2">
      <c r="A3926" t="s">
        <v>1217</v>
      </c>
    </row>
    <row r="3927" spans="1:1" x14ac:dyDescent="0.2">
      <c r="A3927" t="s">
        <v>1218</v>
      </c>
    </row>
    <row r="3928" spans="1:1" x14ac:dyDescent="0.2">
      <c r="A3928" t="s">
        <v>1219</v>
      </c>
    </row>
    <row r="3929" spans="1:1" x14ac:dyDescent="0.2">
      <c r="A3929" t="s">
        <v>1220</v>
      </c>
    </row>
    <row r="3930" spans="1:1" x14ac:dyDescent="0.2">
      <c r="A3930" t="s">
        <v>1221</v>
      </c>
    </row>
    <row r="3931" spans="1:1" x14ac:dyDescent="0.2">
      <c r="A3931" t="s">
        <v>1222</v>
      </c>
    </row>
    <row r="3932" spans="1:1" x14ac:dyDescent="0.2">
      <c r="A3932" t="s">
        <v>1223</v>
      </c>
    </row>
    <row r="3933" spans="1:1" x14ac:dyDescent="0.2">
      <c r="A3933" t="s">
        <v>1224</v>
      </c>
    </row>
    <row r="3934" spans="1:1" x14ac:dyDescent="0.2">
      <c r="A3934" t="s">
        <v>1225</v>
      </c>
    </row>
    <row r="3935" spans="1:1" x14ac:dyDescent="0.2">
      <c r="A3935" t="s">
        <v>1226</v>
      </c>
    </row>
    <row r="3936" spans="1:1" x14ac:dyDescent="0.2">
      <c r="A3936" t="s">
        <v>1227</v>
      </c>
    </row>
    <row r="3937" spans="1:1" x14ac:dyDescent="0.2">
      <c r="A3937" t="s">
        <v>1228</v>
      </c>
    </row>
    <row r="3938" spans="1:1" x14ac:dyDescent="0.2">
      <c r="A3938" t="s">
        <v>1229</v>
      </c>
    </row>
    <row r="3939" spans="1:1" x14ac:dyDescent="0.2">
      <c r="A3939" t="s">
        <v>1230</v>
      </c>
    </row>
    <row r="3940" spans="1:1" x14ac:dyDescent="0.2">
      <c r="A3940" t="s">
        <v>1231</v>
      </c>
    </row>
    <row r="3941" spans="1:1" x14ac:dyDescent="0.2">
      <c r="A3941" t="s">
        <v>1232</v>
      </c>
    </row>
    <row r="3942" spans="1:1" x14ac:dyDescent="0.2">
      <c r="A3942" t="s">
        <v>1233</v>
      </c>
    </row>
    <row r="3943" spans="1:1" x14ac:dyDescent="0.2">
      <c r="A3943" t="s">
        <v>1234</v>
      </c>
    </row>
    <row r="3944" spans="1:1" x14ac:dyDescent="0.2">
      <c r="A3944" t="s">
        <v>1235</v>
      </c>
    </row>
    <row r="3945" spans="1:1" x14ac:dyDescent="0.2">
      <c r="A3945" t="s">
        <v>1236</v>
      </c>
    </row>
    <row r="3946" spans="1:1" x14ac:dyDescent="0.2">
      <c r="A3946" t="s">
        <v>1237</v>
      </c>
    </row>
    <row r="3947" spans="1:1" x14ac:dyDescent="0.2">
      <c r="A3947" t="s">
        <v>1238</v>
      </c>
    </row>
    <row r="3948" spans="1:1" x14ac:dyDescent="0.2">
      <c r="A3948" t="s">
        <v>1239</v>
      </c>
    </row>
    <row r="3949" spans="1:1" x14ac:dyDescent="0.2">
      <c r="A3949" t="s">
        <v>1240</v>
      </c>
    </row>
    <row r="3950" spans="1:1" x14ac:dyDescent="0.2">
      <c r="A3950" t="s">
        <v>1241</v>
      </c>
    </row>
    <row r="3951" spans="1:1" x14ac:dyDescent="0.2">
      <c r="A3951" t="s">
        <v>1242</v>
      </c>
    </row>
    <row r="3952" spans="1:1" x14ac:dyDescent="0.2">
      <c r="A3952" t="s">
        <v>1243</v>
      </c>
    </row>
    <row r="3953" spans="1:1" x14ac:dyDescent="0.2">
      <c r="A3953" t="s">
        <v>1244</v>
      </c>
    </row>
    <row r="3954" spans="1:1" x14ac:dyDescent="0.2">
      <c r="A3954" t="s">
        <v>1245</v>
      </c>
    </row>
    <row r="3955" spans="1:1" x14ac:dyDescent="0.2">
      <c r="A3955" t="s">
        <v>1246</v>
      </c>
    </row>
    <row r="3956" spans="1:1" x14ac:dyDescent="0.2">
      <c r="A3956" t="s">
        <v>1247</v>
      </c>
    </row>
    <row r="3957" spans="1:1" x14ac:dyDescent="0.2">
      <c r="A3957" t="s">
        <v>1248</v>
      </c>
    </row>
    <row r="3958" spans="1:1" x14ac:dyDescent="0.2">
      <c r="A3958" t="s">
        <v>1249</v>
      </c>
    </row>
    <row r="3959" spans="1:1" x14ac:dyDescent="0.2">
      <c r="A3959" t="s">
        <v>1250</v>
      </c>
    </row>
    <row r="3960" spans="1:1" x14ac:dyDescent="0.2">
      <c r="A3960" t="s">
        <v>1251</v>
      </c>
    </row>
    <row r="3961" spans="1:1" x14ac:dyDescent="0.2">
      <c r="A3961" t="s">
        <v>1252</v>
      </c>
    </row>
    <row r="3962" spans="1:1" x14ac:dyDescent="0.2">
      <c r="A3962" t="s">
        <v>1253</v>
      </c>
    </row>
    <row r="3963" spans="1:1" x14ac:dyDescent="0.2">
      <c r="A3963" t="s">
        <v>1254</v>
      </c>
    </row>
    <row r="3964" spans="1:1" x14ac:dyDescent="0.2">
      <c r="A3964" t="s">
        <v>1255</v>
      </c>
    </row>
    <row r="3965" spans="1:1" x14ac:dyDescent="0.2">
      <c r="A3965" t="s">
        <v>1256</v>
      </c>
    </row>
    <row r="3966" spans="1:1" x14ac:dyDescent="0.2">
      <c r="A3966" t="s">
        <v>1257</v>
      </c>
    </row>
    <row r="3967" spans="1:1" x14ac:dyDescent="0.2">
      <c r="A3967" t="s">
        <v>1258</v>
      </c>
    </row>
    <row r="3968" spans="1:1" x14ac:dyDescent="0.2">
      <c r="A3968" t="s">
        <v>1259</v>
      </c>
    </row>
    <row r="3969" spans="1:1" x14ac:dyDescent="0.2">
      <c r="A3969" t="s">
        <v>1260</v>
      </c>
    </row>
    <row r="3970" spans="1:1" x14ac:dyDescent="0.2">
      <c r="A3970" t="s">
        <v>1261</v>
      </c>
    </row>
    <row r="3971" spans="1:1" x14ac:dyDescent="0.2">
      <c r="A3971" t="s">
        <v>1262</v>
      </c>
    </row>
    <row r="3972" spans="1:1" x14ac:dyDescent="0.2">
      <c r="A3972" t="s">
        <v>1263</v>
      </c>
    </row>
    <row r="3973" spans="1:1" x14ac:dyDescent="0.2">
      <c r="A3973" t="s">
        <v>1264</v>
      </c>
    </row>
    <row r="3974" spans="1:1" x14ac:dyDescent="0.2">
      <c r="A3974" t="s">
        <v>1265</v>
      </c>
    </row>
    <row r="3975" spans="1:1" x14ac:dyDescent="0.2">
      <c r="A3975" t="s">
        <v>1266</v>
      </c>
    </row>
    <row r="3976" spans="1:1" x14ac:dyDescent="0.2">
      <c r="A3976" t="s">
        <v>1267</v>
      </c>
    </row>
    <row r="3977" spans="1:1" x14ac:dyDescent="0.2">
      <c r="A3977" t="s">
        <v>1268</v>
      </c>
    </row>
    <row r="3978" spans="1:1" x14ac:dyDescent="0.2">
      <c r="A3978" t="s">
        <v>1269</v>
      </c>
    </row>
    <row r="3979" spans="1:1" x14ac:dyDescent="0.2">
      <c r="A3979" t="s">
        <v>1270</v>
      </c>
    </row>
    <row r="3980" spans="1:1" x14ac:dyDescent="0.2">
      <c r="A3980" t="s">
        <v>1271</v>
      </c>
    </row>
    <row r="3981" spans="1:1" x14ac:dyDescent="0.2">
      <c r="A3981" t="s">
        <v>1272</v>
      </c>
    </row>
    <row r="3982" spans="1:1" x14ac:dyDescent="0.2">
      <c r="A3982" t="s">
        <v>1273</v>
      </c>
    </row>
    <row r="3983" spans="1:1" x14ac:dyDescent="0.2">
      <c r="A3983" t="s">
        <v>1274</v>
      </c>
    </row>
    <row r="3984" spans="1:1" x14ac:dyDescent="0.2">
      <c r="A3984" t="s">
        <v>1275</v>
      </c>
    </row>
    <row r="3985" spans="1:1" x14ac:dyDescent="0.2">
      <c r="A3985" t="s">
        <v>1276</v>
      </c>
    </row>
    <row r="3986" spans="1:1" x14ac:dyDescent="0.2">
      <c r="A3986" t="s">
        <v>1277</v>
      </c>
    </row>
    <row r="3987" spans="1:1" x14ac:dyDescent="0.2">
      <c r="A3987" t="s">
        <v>1278</v>
      </c>
    </row>
    <row r="3988" spans="1:1" x14ac:dyDescent="0.2">
      <c r="A3988" t="s">
        <v>1279</v>
      </c>
    </row>
    <row r="3989" spans="1:1" x14ac:dyDescent="0.2">
      <c r="A3989" t="s">
        <v>1280</v>
      </c>
    </row>
    <row r="3990" spans="1:1" x14ac:dyDescent="0.2">
      <c r="A3990" t="s">
        <v>1281</v>
      </c>
    </row>
    <row r="3991" spans="1:1" x14ac:dyDescent="0.2">
      <c r="A3991" t="s">
        <v>1282</v>
      </c>
    </row>
    <row r="3992" spans="1:1" x14ac:dyDescent="0.2">
      <c r="A3992" t="s">
        <v>1283</v>
      </c>
    </row>
    <row r="3993" spans="1:1" x14ac:dyDescent="0.2">
      <c r="A3993" t="s">
        <v>1284</v>
      </c>
    </row>
    <row r="3994" spans="1:1" x14ac:dyDescent="0.2">
      <c r="A3994" t="s">
        <v>1285</v>
      </c>
    </row>
    <row r="3995" spans="1:1" x14ac:dyDescent="0.2">
      <c r="A3995" t="s">
        <v>1286</v>
      </c>
    </row>
    <row r="3996" spans="1:1" x14ac:dyDescent="0.2">
      <c r="A3996" t="s">
        <v>2852</v>
      </c>
    </row>
    <row r="3997" spans="1:1" x14ac:dyDescent="0.2">
      <c r="A3997" t="s">
        <v>1053</v>
      </c>
    </row>
    <row r="3998" spans="1:1" x14ac:dyDescent="0.2">
      <c r="A3998" t="s">
        <v>2853</v>
      </c>
    </row>
    <row r="3999" spans="1:1" x14ac:dyDescent="0.2">
      <c r="A3999" t="s">
        <v>2768</v>
      </c>
    </row>
    <row r="4000" spans="1:1" x14ac:dyDescent="0.2">
      <c r="A4000" t="s">
        <v>2769</v>
      </c>
    </row>
    <row r="4001" spans="1:1" x14ac:dyDescent="0.2">
      <c r="A4001" t="s">
        <v>1054</v>
      </c>
    </row>
    <row r="4002" spans="1:1" x14ac:dyDescent="0.2">
      <c r="A4002" t="s">
        <v>1055</v>
      </c>
    </row>
    <row r="4003" spans="1:1" x14ac:dyDescent="0.2">
      <c r="A4003" t="s">
        <v>2770</v>
      </c>
    </row>
    <row r="4004" spans="1:1" x14ac:dyDescent="0.2">
      <c r="A4004" t="s">
        <v>1056</v>
      </c>
    </row>
    <row r="4005" spans="1:1" x14ac:dyDescent="0.2">
      <c r="A4005" t="s">
        <v>1057</v>
      </c>
    </row>
    <row r="4006" spans="1:1" x14ac:dyDescent="0.2">
      <c r="A4006" t="s">
        <v>1058</v>
      </c>
    </row>
    <row r="4007" spans="1:1" x14ac:dyDescent="0.2">
      <c r="A4007" t="s">
        <v>1059</v>
      </c>
    </row>
    <row r="4008" spans="1:1" x14ac:dyDescent="0.2">
      <c r="A4008" t="s">
        <v>1060</v>
      </c>
    </row>
    <row r="4009" spans="1:1" x14ac:dyDescent="0.2">
      <c r="A4009" t="s">
        <v>1061</v>
      </c>
    </row>
    <row r="4010" spans="1:1" x14ac:dyDescent="0.2">
      <c r="A4010" t="s">
        <v>1062</v>
      </c>
    </row>
    <row r="4011" spans="1:1" x14ac:dyDescent="0.2">
      <c r="A4011" t="s">
        <v>1063</v>
      </c>
    </row>
    <row r="4012" spans="1:1" x14ac:dyDescent="0.2">
      <c r="A4012" t="s">
        <v>1064</v>
      </c>
    </row>
    <row r="4013" spans="1:1" x14ac:dyDescent="0.2">
      <c r="A4013" t="s">
        <v>1065</v>
      </c>
    </row>
    <row r="4014" spans="1:1" x14ac:dyDescent="0.2">
      <c r="A4014" t="s">
        <v>1066</v>
      </c>
    </row>
    <row r="4015" spans="1:1" x14ac:dyDescent="0.2">
      <c r="A4015" t="s">
        <v>1067</v>
      </c>
    </row>
    <row r="4016" spans="1:1" x14ac:dyDescent="0.2">
      <c r="A4016" t="s">
        <v>1068</v>
      </c>
    </row>
    <row r="4017" spans="1:1" x14ac:dyDescent="0.2">
      <c r="A4017" t="s">
        <v>1069</v>
      </c>
    </row>
    <row r="4018" spans="1:1" x14ac:dyDescent="0.2">
      <c r="A4018" t="s">
        <v>1070</v>
      </c>
    </row>
    <row r="4019" spans="1:1" x14ac:dyDescent="0.2">
      <c r="A4019" t="s">
        <v>1071</v>
      </c>
    </row>
    <row r="4020" spans="1:1" x14ac:dyDescent="0.2">
      <c r="A4020" t="s">
        <v>1072</v>
      </c>
    </row>
    <row r="4021" spans="1:1" x14ac:dyDescent="0.2">
      <c r="A4021" t="s">
        <v>1073</v>
      </c>
    </row>
    <row r="4022" spans="1:1" x14ac:dyDescent="0.2">
      <c r="A4022" t="s">
        <v>1074</v>
      </c>
    </row>
    <row r="4023" spans="1:1" x14ac:dyDescent="0.2">
      <c r="A4023" t="s">
        <v>1075</v>
      </c>
    </row>
    <row r="4024" spans="1:1" x14ac:dyDescent="0.2">
      <c r="A4024" t="s">
        <v>1076</v>
      </c>
    </row>
    <row r="4025" spans="1:1" x14ac:dyDescent="0.2">
      <c r="A4025" t="s">
        <v>1077</v>
      </c>
    </row>
    <row r="4026" spans="1:1" x14ac:dyDescent="0.2">
      <c r="A4026" t="s">
        <v>1078</v>
      </c>
    </row>
    <row r="4027" spans="1:1" x14ac:dyDescent="0.2">
      <c r="A4027" t="s">
        <v>1079</v>
      </c>
    </row>
    <row r="4028" spans="1:1" x14ac:dyDescent="0.2">
      <c r="A4028" t="s">
        <v>1080</v>
      </c>
    </row>
    <row r="4029" spans="1:1" x14ac:dyDescent="0.2">
      <c r="A4029" t="s">
        <v>1081</v>
      </c>
    </row>
    <row r="4030" spans="1:1" x14ac:dyDescent="0.2">
      <c r="A4030" t="s">
        <v>1082</v>
      </c>
    </row>
    <row r="4031" spans="1:1" x14ac:dyDescent="0.2">
      <c r="A4031" t="s">
        <v>1083</v>
      </c>
    </row>
    <row r="4032" spans="1:1" x14ac:dyDescent="0.2">
      <c r="A4032" t="s">
        <v>2771</v>
      </c>
    </row>
    <row r="4033" spans="1:1" x14ac:dyDescent="0.2">
      <c r="A4033" t="s">
        <v>2772</v>
      </c>
    </row>
    <row r="4034" spans="1:1" x14ac:dyDescent="0.2">
      <c r="A4034" t="s">
        <v>2773</v>
      </c>
    </row>
    <row r="4035" spans="1:1" x14ac:dyDescent="0.2">
      <c r="A4035" t="s">
        <v>2774</v>
      </c>
    </row>
    <row r="4036" spans="1:1" x14ac:dyDescent="0.2">
      <c r="A4036" t="s">
        <v>2775</v>
      </c>
    </row>
    <row r="4037" spans="1:1" x14ac:dyDescent="0.2">
      <c r="A4037" t="s">
        <v>2776</v>
      </c>
    </row>
    <row r="4038" spans="1:1" x14ac:dyDescent="0.2">
      <c r="A4038" t="s">
        <v>1084</v>
      </c>
    </row>
    <row r="4039" spans="1:1" x14ac:dyDescent="0.2">
      <c r="A4039" t="s">
        <v>1085</v>
      </c>
    </row>
    <row r="4040" spans="1:1" x14ac:dyDescent="0.2">
      <c r="A4040" t="s">
        <v>1086</v>
      </c>
    </row>
    <row r="4041" spans="1:1" x14ac:dyDescent="0.2">
      <c r="A4041" t="s">
        <v>1087</v>
      </c>
    </row>
    <row r="4042" spans="1:1" x14ac:dyDescent="0.2">
      <c r="A4042" t="s">
        <v>1088</v>
      </c>
    </row>
    <row r="4043" spans="1:1" x14ac:dyDescent="0.2">
      <c r="A4043" t="s">
        <v>1089</v>
      </c>
    </row>
    <row r="4044" spans="1:1" x14ac:dyDescent="0.2">
      <c r="A4044" t="s">
        <v>1090</v>
      </c>
    </row>
    <row r="4045" spans="1:1" x14ac:dyDescent="0.2">
      <c r="A4045" t="s">
        <v>1091</v>
      </c>
    </row>
    <row r="4046" spans="1:1" x14ac:dyDescent="0.2">
      <c r="A4046" t="s">
        <v>1092</v>
      </c>
    </row>
    <row r="4047" spans="1:1" x14ac:dyDescent="0.2">
      <c r="A4047" t="s">
        <v>1093</v>
      </c>
    </row>
    <row r="4048" spans="1:1" x14ac:dyDescent="0.2">
      <c r="A4048" t="s">
        <v>1094</v>
      </c>
    </row>
    <row r="4049" spans="1:1" x14ac:dyDescent="0.2">
      <c r="A4049" t="s">
        <v>1095</v>
      </c>
    </row>
    <row r="4050" spans="1:1" x14ac:dyDescent="0.2">
      <c r="A4050" t="s">
        <v>1096</v>
      </c>
    </row>
    <row r="4051" spans="1:1" x14ac:dyDescent="0.2">
      <c r="A4051" t="s">
        <v>1097</v>
      </c>
    </row>
    <row r="4052" spans="1:1" x14ac:dyDescent="0.2">
      <c r="A4052" t="s">
        <v>1098</v>
      </c>
    </row>
    <row r="4053" spans="1:1" x14ac:dyDescent="0.2">
      <c r="A4053" t="s">
        <v>1099</v>
      </c>
    </row>
    <row r="4054" spans="1:1" x14ac:dyDescent="0.2">
      <c r="A4054" t="s">
        <v>1100</v>
      </c>
    </row>
    <row r="4055" spans="1:1" x14ac:dyDescent="0.2">
      <c r="A4055" t="s">
        <v>1101</v>
      </c>
    </row>
    <row r="4056" spans="1:1" x14ac:dyDescent="0.2">
      <c r="A4056" t="s">
        <v>1102</v>
      </c>
    </row>
    <row r="4057" spans="1:1" x14ac:dyDescent="0.2">
      <c r="A4057" t="s">
        <v>1103</v>
      </c>
    </row>
    <row r="4058" spans="1:1" x14ac:dyDescent="0.2">
      <c r="A4058" t="s">
        <v>1104</v>
      </c>
    </row>
    <row r="4059" spans="1:1" x14ac:dyDescent="0.2">
      <c r="A4059" t="s">
        <v>1105</v>
      </c>
    </row>
    <row r="4060" spans="1:1" x14ac:dyDescent="0.2">
      <c r="A4060" t="s">
        <v>1106</v>
      </c>
    </row>
    <row r="4061" spans="1:1" x14ac:dyDescent="0.2">
      <c r="A4061" t="s">
        <v>1107</v>
      </c>
    </row>
    <row r="4062" spans="1:1" x14ac:dyDescent="0.2">
      <c r="A4062" t="s">
        <v>1108</v>
      </c>
    </row>
    <row r="4063" spans="1:1" x14ac:dyDescent="0.2">
      <c r="A4063" t="s">
        <v>1109</v>
      </c>
    </row>
    <row r="4064" spans="1:1" x14ac:dyDescent="0.2">
      <c r="A4064" t="s">
        <v>1110</v>
      </c>
    </row>
    <row r="4065" spans="1:1" x14ac:dyDescent="0.2">
      <c r="A4065" t="s">
        <v>1111</v>
      </c>
    </row>
    <row r="4066" spans="1:1" x14ac:dyDescent="0.2">
      <c r="A4066" t="s">
        <v>1112</v>
      </c>
    </row>
    <row r="4067" spans="1:1" x14ac:dyDescent="0.2">
      <c r="A4067" t="s">
        <v>1113</v>
      </c>
    </row>
    <row r="4068" spans="1:1" x14ac:dyDescent="0.2">
      <c r="A4068" t="s">
        <v>1114</v>
      </c>
    </row>
    <row r="4069" spans="1:1" x14ac:dyDescent="0.2">
      <c r="A4069" t="s">
        <v>1115</v>
      </c>
    </row>
    <row r="4070" spans="1:1" x14ac:dyDescent="0.2">
      <c r="A4070" t="s">
        <v>1116</v>
      </c>
    </row>
    <row r="4071" spans="1:1" x14ac:dyDescent="0.2">
      <c r="A4071" t="s">
        <v>1117</v>
      </c>
    </row>
    <row r="4072" spans="1:1" x14ac:dyDescent="0.2">
      <c r="A4072" t="s">
        <v>1118</v>
      </c>
    </row>
    <row r="4073" spans="1:1" x14ac:dyDescent="0.2">
      <c r="A4073" t="s">
        <v>1119</v>
      </c>
    </row>
    <row r="4074" spans="1:1" x14ac:dyDescent="0.2">
      <c r="A4074" t="s">
        <v>1120</v>
      </c>
    </row>
    <row r="4075" spans="1:1" x14ac:dyDescent="0.2">
      <c r="A4075" t="s">
        <v>1288</v>
      </c>
    </row>
    <row r="4076" spans="1:1" x14ac:dyDescent="0.2">
      <c r="A4076" t="s">
        <v>2854</v>
      </c>
    </row>
    <row r="4077" spans="1:1" x14ac:dyDescent="0.2">
      <c r="A4077" t="s">
        <v>2855</v>
      </c>
    </row>
    <row r="4078" spans="1:1" x14ac:dyDescent="0.2">
      <c r="A4078" t="s">
        <v>2856</v>
      </c>
    </row>
    <row r="4079" spans="1:1" x14ac:dyDescent="0.2">
      <c r="A4079" t="s">
        <v>2857</v>
      </c>
    </row>
    <row r="4080" spans="1:1" x14ac:dyDescent="0.2">
      <c r="A4080" t="s">
        <v>1289</v>
      </c>
    </row>
    <row r="4081" spans="1:1" x14ac:dyDescent="0.2">
      <c r="A4081" t="s">
        <v>2781</v>
      </c>
    </row>
    <row r="4082" spans="1:1" x14ac:dyDescent="0.2">
      <c r="A4082" t="s">
        <v>2858</v>
      </c>
    </row>
    <row r="4083" spans="1:1" x14ac:dyDescent="0.2">
      <c r="A4083" t="s">
        <v>1122</v>
      </c>
    </row>
    <row r="4084" spans="1:1" x14ac:dyDescent="0.2">
      <c r="A4084" t="s">
        <v>1123</v>
      </c>
    </row>
    <row r="4085" spans="1:1" x14ac:dyDescent="0.2">
      <c r="A4085" t="s">
        <v>1124</v>
      </c>
    </row>
    <row r="4086" spans="1:1" x14ac:dyDescent="0.2">
      <c r="A4086" t="s">
        <v>1125</v>
      </c>
    </row>
    <row r="4087" spans="1:1" x14ac:dyDescent="0.2">
      <c r="A4087" t="s">
        <v>1126</v>
      </c>
    </row>
    <row r="4088" spans="1:1" x14ac:dyDescent="0.2">
      <c r="A4088" t="s">
        <v>1127</v>
      </c>
    </row>
    <row r="4089" spans="1:1" x14ac:dyDescent="0.2">
      <c r="A4089" t="s">
        <v>1128</v>
      </c>
    </row>
    <row r="4090" spans="1:1" x14ac:dyDescent="0.2">
      <c r="A4090" t="s">
        <v>1129</v>
      </c>
    </row>
    <row r="4091" spans="1:1" x14ac:dyDescent="0.2">
      <c r="A4091" t="s">
        <v>1130</v>
      </c>
    </row>
    <row r="4092" spans="1:1" x14ac:dyDescent="0.2">
      <c r="A4092" t="s">
        <v>1131</v>
      </c>
    </row>
    <row r="4093" spans="1:1" x14ac:dyDescent="0.2">
      <c r="A4093" t="s">
        <v>1132</v>
      </c>
    </row>
    <row r="4094" spans="1:1" x14ac:dyDescent="0.2">
      <c r="A4094" t="s">
        <v>1133</v>
      </c>
    </row>
    <row r="4095" spans="1:1" x14ac:dyDescent="0.2">
      <c r="A4095" t="s">
        <v>1134</v>
      </c>
    </row>
    <row r="4096" spans="1:1" x14ac:dyDescent="0.2">
      <c r="A4096" t="s">
        <v>1135</v>
      </c>
    </row>
    <row r="4097" spans="1:1" x14ac:dyDescent="0.2">
      <c r="A4097" t="s">
        <v>1136</v>
      </c>
    </row>
    <row r="4098" spans="1:1" x14ac:dyDescent="0.2">
      <c r="A4098" t="s">
        <v>1137</v>
      </c>
    </row>
    <row r="4099" spans="1:1" x14ac:dyDescent="0.2">
      <c r="A4099" t="s">
        <v>1138</v>
      </c>
    </row>
    <row r="4100" spans="1:1" x14ac:dyDescent="0.2">
      <c r="A4100" t="s">
        <v>1139</v>
      </c>
    </row>
    <row r="4101" spans="1:1" x14ac:dyDescent="0.2">
      <c r="A4101" t="s">
        <v>1140</v>
      </c>
    </row>
    <row r="4102" spans="1:1" x14ac:dyDescent="0.2">
      <c r="A4102" t="s">
        <v>1141</v>
      </c>
    </row>
    <row r="4103" spans="1:1" x14ac:dyDescent="0.2">
      <c r="A4103" t="s">
        <v>1142</v>
      </c>
    </row>
    <row r="4104" spans="1:1" x14ac:dyDescent="0.2">
      <c r="A4104" t="s">
        <v>1143</v>
      </c>
    </row>
    <row r="4105" spans="1:1" x14ac:dyDescent="0.2">
      <c r="A4105" t="s">
        <v>1144</v>
      </c>
    </row>
    <row r="4106" spans="1:1" x14ac:dyDescent="0.2">
      <c r="A4106" t="s">
        <v>1145</v>
      </c>
    </row>
    <row r="4107" spans="1:1" x14ac:dyDescent="0.2">
      <c r="A4107" t="s">
        <v>1146</v>
      </c>
    </row>
    <row r="4108" spans="1:1" x14ac:dyDescent="0.2">
      <c r="A4108" t="s">
        <v>1147</v>
      </c>
    </row>
    <row r="4109" spans="1:1" x14ac:dyDescent="0.2">
      <c r="A4109" t="s">
        <v>1148</v>
      </c>
    </row>
    <row r="4110" spans="1:1" x14ac:dyDescent="0.2">
      <c r="A4110" t="s">
        <v>1149</v>
      </c>
    </row>
    <row r="4111" spans="1:1" x14ac:dyDescent="0.2">
      <c r="A4111" t="s">
        <v>1150</v>
      </c>
    </row>
    <row r="4112" spans="1:1" x14ac:dyDescent="0.2">
      <c r="A4112" t="s">
        <v>1151</v>
      </c>
    </row>
    <row r="4113" spans="1:1" x14ac:dyDescent="0.2">
      <c r="A4113" t="s">
        <v>1152</v>
      </c>
    </row>
    <row r="4114" spans="1:1" x14ac:dyDescent="0.2">
      <c r="A4114" t="s">
        <v>1153</v>
      </c>
    </row>
    <row r="4115" spans="1:1" x14ac:dyDescent="0.2">
      <c r="A4115" t="s">
        <v>1154</v>
      </c>
    </row>
    <row r="4116" spans="1:1" x14ac:dyDescent="0.2">
      <c r="A4116" t="s">
        <v>1155</v>
      </c>
    </row>
    <row r="4117" spans="1:1" x14ac:dyDescent="0.2">
      <c r="A4117" t="s">
        <v>1156</v>
      </c>
    </row>
    <row r="4118" spans="1:1" x14ac:dyDescent="0.2">
      <c r="A4118" t="s">
        <v>1157</v>
      </c>
    </row>
    <row r="4119" spans="1:1" x14ac:dyDescent="0.2">
      <c r="A4119" t="s">
        <v>1158</v>
      </c>
    </row>
    <row r="4120" spans="1:1" x14ac:dyDescent="0.2">
      <c r="A4120" t="s">
        <v>1159</v>
      </c>
    </row>
    <row r="4121" spans="1:1" x14ac:dyDescent="0.2">
      <c r="A4121" t="s">
        <v>1160</v>
      </c>
    </row>
    <row r="4122" spans="1:1" x14ac:dyDescent="0.2">
      <c r="A4122" t="s">
        <v>1161</v>
      </c>
    </row>
    <row r="4123" spans="1:1" x14ac:dyDescent="0.2">
      <c r="A4123" t="s">
        <v>1162</v>
      </c>
    </row>
    <row r="4124" spans="1:1" x14ac:dyDescent="0.2">
      <c r="A4124" t="s">
        <v>1163</v>
      </c>
    </row>
    <row r="4125" spans="1:1" x14ac:dyDescent="0.2">
      <c r="A4125" t="s">
        <v>1164</v>
      </c>
    </row>
    <row r="4126" spans="1:1" x14ac:dyDescent="0.2">
      <c r="A4126" t="s">
        <v>1165</v>
      </c>
    </row>
    <row r="4127" spans="1:1" x14ac:dyDescent="0.2">
      <c r="A4127" t="s">
        <v>1166</v>
      </c>
    </row>
    <row r="4128" spans="1:1" x14ac:dyDescent="0.2">
      <c r="A4128" t="s">
        <v>1167</v>
      </c>
    </row>
    <row r="4129" spans="1:1" x14ac:dyDescent="0.2">
      <c r="A4129" t="s">
        <v>1168</v>
      </c>
    </row>
    <row r="4130" spans="1:1" x14ac:dyDescent="0.2">
      <c r="A4130" t="s">
        <v>1169</v>
      </c>
    </row>
    <row r="4131" spans="1:1" x14ac:dyDescent="0.2">
      <c r="A4131" t="s">
        <v>1170</v>
      </c>
    </row>
    <row r="4132" spans="1:1" x14ac:dyDescent="0.2">
      <c r="A4132" t="s">
        <v>1171</v>
      </c>
    </row>
    <row r="4133" spans="1:1" x14ac:dyDescent="0.2">
      <c r="A4133" t="s">
        <v>1172</v>
      </c>
    </row>
    <row r="4134" spans="1:1" x14ac:dyDescent="0.2">
      <c r="A4134" t="s">
        <v>1173</v>
      </c>
    </row>
    <row r="4135" spans="1:1" x14ac:dyDescent="0.2">
      <c r="A4135" t="s">
        <v>1174</v>
      </c>
    </row>
    <row r="4136" spans="1:1" x14ac:dyDescent="0.2">
      <c r="A4136" t="s">
        <v>1175</v>
      </c>
    </row>
    <row r="4137" spans="1:1" x14ac:dyDescent="0.2">
      <c r="A4137" t="s">
        <v>1176</v>
      </c>
    </row>
    <row r="4138" spans="1:1" x14ac:dyDescent="0.2">
      <c r="A4138" t="s">
        <v>1177</v>
      </c>
    </row>
    <row r="4139" spans="1:1" x14ac:dyDescent="0.2">
      <c r="A4139" t="s">
        <v>1178</v>
      </c>
    </row>
    <row r="4140" spans="1:1" x14ac:dyDescent="0.2">
      <c r="A4140" t="s">
        <v>1179</v>
      </c>
    </row>
    <row r="4141" spans="1:1" x14ac:dyDescent="0.2">
      <c r="A4141" t="s">
        <v>1180</v>
      </c>
    </row>
    <row r="4142" spans="1:1" x14ac:dyDescent="0.2">
      <c r="A4142" t="s">
        <v>1181</v>
      </c>
    </row>
    <row r="4143" spans="1:1" x14ac:dyDescent="0.2">
      <c r="A4143" t="s">
        <v>1182</v>
      </c>
    </row>
    <row r="4144" spans="1:1" x14ac:dyDescent="0.2">
      <c r="A4144" t="s">
        <v>1183</v>
      </c>
    </row>
    <row r="4145" spans="1:1" x14ac:dyDescent="0.2">
      <c r="A4145" t="s">
        <v>1184</v>
      </c>
    </row>
    <row r="4146" spans="1:1" x14ac:dyDescent="0.2">
      <c r="A4146" t="s">
        <v>1185</v>
      </c>
    </row>
    <row r="4147" spans="1:1" x14ac:dyDescent="0.2">
      <c r="A4147" t="s">
        <v>1186</v>
      </c>
    </row>
    <row r="4148" spans="1:1" x14ac:dyDescent="0.2">
      <c r="A4148" t="s">
        <v>1187</v>
      </c>
    </row>
    <row r="4149" spans="1:1" x14ac:dyDescent="0.2">
      <c r="A4149" t="s">
        <v>1188</v>
      </c>
    </row>
    <row r="4150" spans="1:1" x14ac:dyDescent="0.2">
      <c r="A4150" t="s">
        <v>1189</v>
      </c>
    </row>
    <row r="4151" spans="1:1" x14ac:dyDescent="0.2">
      <c r="A4151" t="s">
        <v>1190</v>
      </c>
    </row>
    <row r="4152" spans="1:1" x14ac:dyDescent="0.2">
      <c r="A4152" t="s">
        <v>1191</v>
      </c>
    </row>
    <row r="4153" spans="1:1" x14ac:dyDescent="0.2">
      <c r="A4153" t="s">
        <v>1192</v>
      </c>
    </row>
    <row r="4154" spans="1:1" x14ac:dyDescent="0.2">
      <c r="A4154" t="s">
        <v>1193</v>
      </c>
    </row>
    <row r="4155" spans="1:1" x14ac:dyDescent="0.2">
      <c r="A4155" t="s">
        <v>1194</v>
      </c>
    </row>
    <row r="4156" spans="1:1" x14ac:dyDescent="0.2">
      <c r="A4156" t="s">
        <v>1195</v>
      </c>
    </row>
    <row r="4157" spans="1:1" x14ac:dyDescent="0.2">
      <c r="A4157" t="s">
        <v>1196</v>
      </c>
    </row>
    <row r="4158" spans="1:1" x14ac:dyDescent="0.2">
      <c r="A4158" t="s">
        <v>1197</v>
      </c>
    </row>
    <row r="4159" spans="1:1" x14ac:dyDescent="0.2">
      <c r="A4159" t="s">
        <v>1198</v>
      </c>
    </row>
    <row r="4160" spans="1:1" x14ac:dyDescent="0.2">
      <c r="A4160" t="s">
        <v>1199</v>
      </c>
    </row>
    <row r="4161" spans="1:1" x14ac:dyDescent="0.2">
      <c r="A4161" t="s">
        <v>1200</v>
      </c>
    </row>
    <row r="4162" spans="1:1" x14ac:dyDescent="0.2">
      <c r="A4162" t="s">
        <v>1201</v>
      </c>
    </row>
    <row r="4163" spans="1:1" x14ac:dyDescent="0.2">
      <c r="A4163" t="s">
        <v>1202</v>
      </c>
    </row>
    <row r="4164" spans="1:1" x14ac:dyDescent="0.2">
      <c r="A4164" t="s">
        <v>1203</v>
      </c>
    </row>
    <row r="4165" spans="1:1" x14ac:dyDescent="0.2">
      <c r="A4165" t="s">
        <v>1204</v>
      </c>
    </row>
    <row r="4166" spans="1:1" x14ac:dyDescent="0.2">
      <c r="A4166" t="s">
        <v>1205</v>
      </c>
    </row>
    <row r="4167" spans="1:1" x14ac:dyDescent="0.2">
      <c r="A4167" t="s">
        <v>1206</v>
      </c>
    </row>
    <row r="4168" spans="1:1" x14ac:dyDescent="0.2">
      <c r="A4168" t="s">
        <v>1207</v>
      </c>
    </row>
    <row r="4169" spans="1:1" x14ac:dyDescent="0.2">
      <c r="A4169" t="s">
        <v>1208</v>
      </c>
    </row>
    <row r="4170" spans="1:1" x14ac:dyDescent="0.2">
      <c r="A4170" t="s">
        <v>1209</v>
      </c>
    </row>
    <row r="4171" spans="1:1" x14ac:dyDescent="0.2">
      <c r="A4171" t="s">
        <v>1210</v>
      </c>
    </row>
    <row r="4172" spans="1:1" x14ac:dyDescent="0.2">
      <c r="A4172" t="s">
        <v>1211</v>
      </c>
    </row>
    <row r="4173" spans="1:1" x14ac:dyDescent="0.2">
      <c r="A4173" t="s">
        <v>1212</v>
      </c>
    </row>
    <row r="4174" spans="1:1" x14ac:dyDescent="0.2">
      <c r="A4174" t="s">
        <v>1213</v>
      </c>
    </row>
    <row r="4175" spans="1:1" x14ac:dyDescent="0.2">
      <c r="A4175" t="s">
        <v>1214</v>
      </c>
    </row>
    <row r="4176" spans="1:1" x14ac:dyDescent="0.2">
      <c r="A4176" t="s">
        <v>1215</v>
      </c>
    </row>
    <row r="4177" spans="1:1" x14ac:dyDescent="0.2">
      <c r="A4177" t="s">
        <v>1216</v>
      </c>
    </row>
    <row r="4178" spans="1:1" x14ac:dyDescent="0.2">
      <c r="A4178" t="s">
        <v>1217</v>
      </c>
    </row>
    <row r="4179" spans="1:1" x14ac:dyDescent="0.2">
      <c r="A4179" t="s">
        <v>1218</v>
      </c>
    </row>
    <row r="4180" spans="1:1" x14ac:dyDescent="0.2">
      <c r="A4180" t="s">
        <v>1219</v>
      </c>
    </row>
    <row r="4181" spans="1:1" x14ac:dyDescent="0.2">
      <c r="A4181" t="s">
        <v>1220</v>
      </c>
    </row>
    <row r="4182" spans="1:1" x14ac:dyDescent="0.2">
      <c r="A4182" t="s">
        <v>1221</v>
      </c>
    </row>
    <row r="4183" spans="1:1" x14ac:dyDescent="0.2">
      <c r="A4183" t="s">
        <v>1222</v>
      </c>
    </row>
    <row r="4184" spans="1:1" x14ac:dyDescent="0.2">
      <c r="A4184" t="s">
        <v>1223</v>
      </c>
    </row>
    <row r="4185" spans="1:1" x14ac:dyDescent="0.2">
      <c r="A4185" t="s">
        <v>1224</v>
      </c>
    </row>
    <row r="4186" spans="1:1" x14ac:dyDescent="0.2">
      <c r="A4186" t="s">
        <v>1225</v>
      </c>
    </row>
    <row r="4187" spans="1:1" x14ac:dyDescent="0.2">
      <c r="A4187" t="s">
        <v>1226</v>
      </c>
    </row>
    <row r="4188" spans="1:1" x14ac:dyDescent="0.2">
      <c r="A4188" t="s">
        <v>1227</v>
      </c>
    </row>
    <row r="4189" spans="1:1" x14ac:dyDescent="0.2">
      <c r="A4189" t="s">
        <v>1228</v>
      </c>
    </row>
    <row r="4190" spans="1:1" x14ac:dyDescent="0.2">
      <c r="A4190" t="s">
        <v>1229</v>
      </c>
    </row>
    <row r="4191" spans="1:1" x14ac:dyDescent="0.2">
      <c r="A4191" t="s">
        <v>1230</v>
      </c>
    </row>
    <row r="4192" spans="1:1" x14ac:dyDescent="0.2">
      <c r="A4192" t="s">
        <v>1231</v>
      </c>
    </row>
    <row r="4193" spans="1:1" x14ac:dyDescent="0.2">
      <c r="A4193" t="s">
        <v>1232</v>
      </c>
    </row>
    <row r="4194" spans="1:1" x14ac:dyDescent="0.2">
      <c r="A4194" t="s">
        <v>1233</v>
      </c>
    </row>
    <row r="4195" spans="1:1" x14ac:dyDescent="0.2">
      <c r="A4195" t="s">
        <v>1234</v>
      </c>
    </row>
    <row r="4196" spans="1:1" x14ac:dyDescent="0.2">
      <c r="A4196" t="s">
        <v>1235</v>
      </c>
    </row>
    <row r="4197" spans="1:1" x14ac:dyDescent="0.2">
      <c r="A4197" t="s">
        <v>1236</v>
      </c>
    </row>
    <row r="4198" spans="1:1" x14ac:dyDescent="0.2">
      <c r="A4198" t="s">
        <v>1237</v>
      </c>
    </row>
    <row r="4199" spans="1:1" x14ac:dyDescent="0.2">
      <c r="A4199" t="s">
        <v>1238</v>
      </c>
    </row>
    <row r="4200" spans="1:1" x14ac:dyDescent="0.2">
      <c r="A4200" t="s">
        <v>1239</v>
      </c>
    </row>
    <row r="4201" spans="1:1" x14ac:dyDescent="0.2">
      <c r="A4201" t="s">
        <v>1240</v>
      </c>
    </row>
    <row r="4202" spans="1:1" x14ac:dyDescent="0.2">
      <c r="A4202" t="s">
        <v>1241</v>
      </c>
    </row>
    <row r="4203" spans="1:1" x14ac:dyDescent="0.2">
      <c r="A4203" t="s">
        <v>1242</v>
      </c>
    </row>
    <row r="4204" spans="1:1" x14ac:dyDescent="0.2">
      <c r="A4204" t="s">
        <v>1243</v>
      </c>
    </row>
    <row r="4205" spans="1:1" x14ac:dyDescent="0.2">
      <c r="A4205" t="s">
        <v>1244</v>
      </c>
    </row>
    <row r="4206" spans="1:1" x14ac:dyDescent="0.2">
      <c r="A4206" t="s">
        <v>1245</v>
      </c>
    </row>
    <row r="4207" spans="1:1" x14ac:dyDescent="0.2">
      <c r="A4207" t="s">
        <v>1246</v>
      </c>
    </row>
    <row r="4208" spans="1:1" x14ac:dyDescent="0.2">
      <c r="A4208" t="s">
        <v>1247</v>
      </c>
    </row>
    <row r="4209" spans="1:1" x14ac:dyDescent="0.2">
      <c r="A4209" t="s">
        <v>1248</v>
      </c>
    </row>
    <row r="4210" spans="1:1" x14ac:dyDescent="0.2">
      <c r="A4210" t="s">
        <v>1249</v>
      </c>
    </row>
    <row r="4211" spans="1:1" x14ac:dyDescent="0.2">
      <c r="A4211" t="s">
        <v>1250</v>
      </c>
    </row>
    <row r="4212" spans="1:1" x14ac:dyDescent="0.2">
      <c r="A4212" t="s">
        <v>1251</v>
      </c>
    </row>
    <row r="4213" spans="1:1" x14ac:dyDescent="0.2">
      <c r="A4213" t="s">
        <v>1252</v>
      </c>
    </row>
    <row r="4214" spans="1:1" x14ac:dyDescent="0.2">
      <c r="A4214" t="s">
        <v>1253</v>
      </c>
    </row>
    <row r="4215" spans="1:1" x14ac:dyDescent="0.2">
      <c r="A4215" t="s">
        <v>1254</v>
      </c>
    </row>
    <row r="4216" spans="1:1" x14ac:dyDescent="0.2">
      <c r="A4216" t="s">
        <v>1255</v>
      </c>
    </row>
    <row r="4217" spans="1:1" x14ac:dyDescent="0.2">
      <c r="A4217" t="s">
        <v>1256</v>
      </c>
    </row>
    <row r="4218" spans="1:1" x14ac:dyDescent="0.2">
      <c r="A4218" t="s">
        <v>1257</v>
      </c>
    </row>
    <row r="4219" spans="1:1" x14ac:dyDescent="0.2">
      <c r="A4219" t="s">
        <v>1258</v>
      </c>
    </row>
    <row r="4220" spans="1:1" x14ac:dyDescent="0.2">
      <c r="A4220" t="s">
        <v>1259</v>
      </c>
    </row>
    <row r="4221" spans="1:1" x14ac:dyDescent="0.2">
      <c r="A4221" t="s">
        <v>1260</v>
      </c>
    </row>
    <row r="4222" spans="1:1" x14ac:dyDescent="0.2">
      <c r="A4222" t="s">
        <v>1261</v>
      </c>
    </row>
    <row r="4223" spans="1:1" x14ac:dyDescent="0.2">
      <c r="A4223" t="s">
        <v>1262</v>
      </c>
    </row>
    <row r="4224" spans="1:1" x14ac:dyDescent="0.2">
      <c r="A4224" t="s">
        <v>1263</v>
      </c>
    </row>
    <row r="4225" spans="1:1" x14ac:dyDescent="0.2">
      <c r="A4225" t="s">
        <v>1264</v>
      </c>
    </row>
    <row r="4226" spans="1:1" x14ac:dyDescent="0.2">
      <c r="A4226" t="s">
        <v>1265</v>
      </c>
    </row>
    <row r="4227" spans="1:1" x14ac:dyDescent="0.2">
      <c r="A4227" t="s">
        <v>1266</v>
      </c>
    </row>
    <row r="4228" spans="1:1" x14ac:dyDescent="0.2">
      <c r="A4228" t="s">
        <v>1267</v>
      </c>
    </row>
    <row r="4229" spans="1:1" x14ac:dyDescent="0.2">
      <c r="A4229" t="s">
        <v>1268</v>
      </c>
    </row>
    <row r="4230" spans="1:1" x14ac:dyDescent="0.2">
      <c r="A4230" t="s">
        <v>1269</v>
      </c>
    </row>
    <row r="4231" spans="1:1" x14ac:dyDescent="0.2">
      <c r="A4231" t="s">
        <v>1270</v>
      </c>
    </row>
    <row r="4232" spans="1:1" x14ac:dyDescent="0.2">
      <c r="A4232" t="s">
        <v>1271</v>
      </c>
    </row>
    <row r="4233" spans="1:1" x14ac:dyDescent="0.2">
      <c r="A4233" t="s">
        <v>1272</v>
      </c>
    </row>
    <row r="4234" spans="1:1" x14ac:dyDescent="0.2">
      <c r="A4234" t="s">
        <v>1273</v>
      </c>
    </row>
    <row r="4235" spans="1:1" x14ac:dyDescent="0.2">
      <c r="A4235" t="s">
        <v>1274</v>
      </c>
    </row>
    <row r="4236" spans="1:1" x14ac:dyDescent="0.2">
      <c r="A4236" t="s">
        <v>1275</v>
      </c>
    </row>
    <row r="4237" spans="1:1" x14ac:dyDescent="0.2">
      <c r="A4237" t="s">
        <v>1276</v>
      </c>
    </row>
    <row r="4238" spans="1:1" x14ac:dyDescent="0.2">
      <c r="A4238" t="s">
        <v>1277</v>
      </c>
    </row>
    <row r="4239" spans="1:1" x14ac:dyDescent="0.2">
      <c r="A4239" t="s">
        <v>1278</v>
      </c>
    </row>
    <row r="4240" spans="1:1" x14ac:dyDescent="0.2">
      <c r="A4240" t="s">
        <v>1279</v>
      </c>
    </row>
    <row r="4241" spans="1:1" x14ac:dyDescent="0.2">
      <c r="A4241" t="s">
        <v>1280</v>
      </c>
    </row>
    <row r="4242" spans="1:1" x14ac:dyDescent="0.2">
      <c r="A4242" t="s">
        <v>1281</v>
      </c>
    </row>
    <row r="4243" spans="1:1" x14ac:dyDescent="0.2">
      <c r="A4243" t="s">
        <v>1282</v>
      </c>
    </row>
    <row r="4244" spans="1:1" x14ac:dyDescent="0.2">
      <c r="A4244" t="s">
        <v>1283</v>
      </c>
    </row>
    <row r="4245" spans="1:1" x14ac:dyDescent="0.2">
      <c r="A4245" t="s">
        <v>1284</v>
      </c>
    </row>
    <row r="4246" spans="1:1" x14ac:dyDescent="0.2">
      <c r="A4246" t="s">
        <v>1285</v>
      </c>
    </row>
    <row r="4247" spans="1:1" x14ac:dyDescent="0.2">
      <c r="A4247" t="s">
        <v>1286</v>
      </c>
    </row>
    <row r="4248" spans="1:1" x14ac:dyDescent="0.2">
      <c r="A4248" t="s">
        <v>2859</v>
      </c>
    </row>
    <row r="4249" spans="1:1" x14ac:dyDescent="0.2">
      <c r="A4249" t="s">
        <v>1053</v>
      </c>
    </row>
    <row r="4250" spans="1:1" x14ac:dyDescent="0.2">
      <c r="A4250" t="s">
        <v>2860</v>
      </c>
    </row>
    <row r="4251" spans="1:1" x14ac:dyDescent="0.2">
      <c r="A4251" t="s">
        <v>2768</v>
      </c>
    </row>
    <row r="4252" spans="1:1" x14ac:dyDescent="0.2">
      <c r="A4252" t="s">
        <v>2769</v>
      </c>
    </row>
    <row r="4253" spans="1:1" x14ac:dyDescent="0.2">
      <c r="A4253" t="s">
        <v>1054</v>
      </c>
    </row>
    <row r="4254" spans="1:1" x14ac:dyDescent="0.2">
      <c r="A4254" t="s">
        <v>1055</v>
      </c>
    </row>
    <row r="4255" spans="1:1" x14ac:dyDescent="0.2">
      <c r="A4255" t="s">
        <v>2861</v>
      </c>
    </row>
    <row r="4256" spans="1:1" x14ac:dyDescent="0.2">
      <c r="A4256" t="s">
        <v>1056</v>
      </c>
    </row>
    <row r="4257" spans="1:1" x14ac:dyDescent="0.2">
      <c r="A4257" t="s">
        <v>1057</v>
      </c>
    </row>
    <row r="4258" spans="1:1" x14ac:dyDescent="0.2">
      <c r="A4258" t="s">
        <v>1058</v>
      </c>
    </row>
    <row r="4259" spans="1:1" x14ac:dyDescent="0.2">
      <c r="A4259" t="s">
        <v>1059</v>
      </c>
    </row>
    <row r="4260" spans="1:1" x14ac:dyDescent="0.2">
      <c r="A4260" t="s">
        <v>1060</v>
      </c>
    </row>
    <row r="4261" spans="1:1" x14ac:dyDescent="0.2">
      <c r="A4261" t="s">
        <v>1061</v>
      </c>
    </row>
    <row r="4262" spans="1:1" x14ac:dyDescent="0.2">
      <c r="A4262" t="s">
        <v>1062</v>
      </c>
    </row>
    <row r="4263" spans="1:1" x14ac:dyDescent="0.2">
      <c r="A4263" t="s">
        <v>1063</v>
      </c>
    </row>
    <row r="4264" spans="1:1" x14ac:dyDescent="0.2">
      <c r="A4264" t="s">
        <v>1064</v>
      </c>
    </row>
    <row r="4265" spans="1:1" x14ac:dyDescent="0.2">
      <c r="A4265" t="s">
        <v>1065</v>
      </c>
    </row>
    <row r="4266" spans="1:1" x14ac:dyDescent="0.2">
      <c r="A4266" t="s">
        <v>1066</v>
      </c>
    </row>
    <row r="4267" spans="1:1" x14ac:dyDescent="0.2">
      <c r="A4267" t="s">
        <v>1067</v>
      </c>
    </row>
    <row r="4268" spans="1:1" x14ac:dyDescent="0.2">
      <c r="A4268" t="s">
        <v>1068</v>
      </c>
    </row>
    <row r="4269" spans="1:1" x14ac:dyDescent="0.2">
      <c r="A4269" t="s">
        <v>1069</v>
      </c>
    </row>
    <row r="4270" spans="1:1" x14ac:dyDescent="0.2">
      <c r="A4270" t="s">
        <v>1070</v>
      </c>
    </row>
    <row r="4271" spans="1:1" x14ac:dyDescent="0.2">
      <c r="A4271" t="s">
        <v>1071</v>
      </c>
    </row>
    <row r="4272" spans="1:1" x14ac:dyDescent="0.2">
      <c r="A4272" t="s">
        <v>1072</v>
      </c>
    </row>
    <row r="4273" spans="1:1" x14ac:dyDescent="0.2">
      <c r="A4273" t="s">
        <v>1073</v>
      </c>
    </row>
    <row r="4274" spans="1:1" x14ac:dyDescent="0.2">
      <c r="A4274" t="s">
        <v>1074</v>
      </c>
    </row>
    <row r="4275" spans="1:1" x14ac:dyDescent="0.2">
      <c r="A4275" t="s">
        <v>1075</v>
      </c>
    </row>
    <row r="4276" spans="1:1" x14ac:dyDescent="0.2">
      <c r="A4276" t="s">
        <v>1076</v>
      </c>
    </row>
    <row r="4277" spans="1:1" x14ac:dyDescent="0.2">
      <c r="A4277" t="s">
        <v>1077</v>
      </c>
    </row>
    <row r="4278" spans="1:1" x14ac:dyDescent="0.2">
      <c r="A4278" t="s">
        <v>1078</v>
      </c>
    </row>
    <row r="4279" spans="1:1" x14ac:dyDescent="0.2">
      <c r="A4279" t="s">
        <v>1079</v>
      </c>
    </row>
    <row r="4280" spans="1:1" x14ac:dyDescent="0.2">
      <c r="A4280" t="s">
        <v>1080</v>
      </c>
    </row>
    <row r="4281" spans="1:1" x14ac:dyDescent="0.2">
      <c r="A4281" t="s">
        <v>1081</v>
      </c>
    </row>
    <row r="4282" spans="1:1" x14ac:dyDescent="0.2">
      <c r="A4282" t="s">
        <v>1082</v>
      </c>
    </row>
    <row r="4283" spans="1:1" x14ac:dyDescent="0.2">
      <c r="A4283" t="s">
        <v>1083</v>
      </c>
    </row>
    <row r="4284" spans="1:1" x14ac:dyDescent="0.2">
      <c r="A4284" t="s">
        <v>2771</v>
      </c>
    </row>
    <row r="4285" spans="1:1" x14ac:dyDescent="0.2">
      <c r="A4285" t="s">
        <v>2772</v>
      </c>
    </row>
    <row r="4286" spans="1:1" x14ac:dyDescent="0.2">
      <c r="A4286" t="s">
        <v>2773</v>
      </c>
    </row>
    <row r="4287" spans="1:1" x14ac:dyDescent="0.2">
      <c r="A4287" t="s">
        <v>2774</v>
      </c>
    </row>
    <row r="4288" spans="1:1" x14ac:dyDescent="0.2">
      <c r="A4288" t="s">
        <v>2775</v>
      </c>
    </row>
    <row r="4289" spans="1:1" x14ac:dyDescent="0.2">
      <c r="A4289" t="s">
        <v>2776</v>
      </c>
    </row>
    <row r="4290" spans="1:1" x14ac:dyDescent="0.2">
      <c r="A4290" t="s">
        <v>1084</v>
      </c>
    </row>
    <row r="4291" spans="1:1" x14ac:dyDescent="0.2">
      <c r="A4291" t="s">
        <v>1085</v>
      </c>
    </row>
    <row r="4292" spans="1:1" x14ac:dyDescent="0.2">
      <c r="A4292" t="s">
        <v>1086</v>
      </c>
    </row>
    <row r="4293" spans="1:1" x14ac:dyDescent="0.2">
      <c r="A4293" t="s">
        <v>1087</v>
      </c>
    </row>
    <row r="4294" spans="1:1" x14ac:dyDescent="0.2">
      <c r="A4294" t="s">
        <v>1088</v>
      </c>
    </row>
    <row r="4295" spans="1:1" x14ac:dyDescent="0.2">
      <c r="A4295" t="s">
        <v>1089</v>
      </c>
    </row>
    <row r="4296" spans="1:1" x14ac:dyDescent="0.2">
      <c r="A4296" t="s">
        <v>1090</v>
      </c>
    </row>
    <row r="4297" spans="1:1" x14ac:dyDescent="0.2">
      <c r="A4297" t="s">
        <v>1091</v>
      </c>
    </row>
    <row r="4298" spans="1:1" x14ac:dyDescent="0.2">
      <c r="A4298" t="s">
        <v>1092</v>
      </c>
    </row>
    <row r="4299" spans="1:1" x14ac:dyDescent="0.2">
      <c r="A4299" t="s">
        <v>1093</v>
      </c>
    </row>
    <row r="4300" spans="1:1" x14ac:dyDescent="0.2">
      <c r="A4300" t="s">
        <v>1094</v>
      </c>
    </row>
    <row r="4301" spans="1:1" x14ac:dyDescent="0.2">
      <c r="A4301" t="s">
        <v>1095</v>
      </c>
    </row>
    <row r="4302" spans="1:1" x14ac:dyDescent="0.2">
      <c r="A4302" t="s">
        <v>1096</v>
      </c>
    </row>
    <row r="4303" spans="1:1" x14ac:dyDescent="0.2">
      <c r="A4303" t="s">
        <v>1097</v>
      </c>
    </row>
    <row r="4304" spans="1:1" x14ac:dyDescent="0.2">
      <c r="A4304" t="s">
        <v>1098</v>
      </c>
    </row>
    <row r="4305" spans="1:1" x14ac:dyDescent="0.2">
      <c r="A4305" t="s">
        <v>1099</v>
      </c>
    </row>
    <row r="4306" spans="1:1" x14ac:dyDescent="0.2">
      <c r="A4306" t="s">
        <v>1100</v>
      </c>
    </row>
    <row r="4307" spans="1:1" x14ac:dyDescent="0.2">
      <c r="A4307" t="s">
        <v>1101</v>
      </c>
    </row>
    <row r="4308" spans="1:1" x14ac:dyDescent="0.2">
      <c r="A4308" t="s">
        <v>1102</v>
      </c>
    </row>
    <row r="4309" spans="1:1" x14ac:dyDescent="0.2">
      <c r="A4309" t="s">
        <v>1103</v>
      </c>
    </row>
    <row r="4310" spans="1:1" x14ac:dyDescent="0.2">
      <c r="A4310" t="s">
        <v>1104</v>
      </c>
    </row>
    <row r="4311" spans="1:1" x14ac:dyDescent="0.2">
      <c r="A4311" t="s">
        <v>1105</v>
      </c>
    </row>
    <row r="4312" spans="1:1" x14ac:dyDescent="0.2">
      <c r="A4312" t="s">
        <v>1106</v>
      </c>
    </row>
    <row r="4313" spans="1:1" x14ac:dyDescent="0.2">
      <c r="A4313" t="s">
        <v>1107</v>
      </c>
    </row>
    <row r="4314" spans="1:1" x14ac:dyDescent="0.2">
      <c r="A4314" t="s">
        <v>1108</v>
      </c>
    </row>
    <row r="4315" spans="1:1" x14ac:dyDescent="0.2">
      <c r="A4315" t="s">
        <v>1109</v>
      </c>
    </row>
    <row r="4316" spans="1:1" x14ac:dyDescent="0.2">
      <c r="A4316" t="s">
        <v>1110</v>
      </c>
    </row>
    <row r="4317" spans="1:1" x14ac:dyDescent="0.2">
      <c r="A4317" t="s">
        <v>1111</v>
      </c>
    </row>
    <row r="4318" spans="1:1" x14ac:dyDescent="0.2">
      <c r="A4318" t="s">
        <v>1112</v>
      </c>
    </row>
    <row r="4319" spans="1:1" x14ac:dyDescent="0.2">
      <c r="A4319" t="s">
        <v>1113</v>
      </c>
    </row>
    <row r="4320" spans="1:1" x14ac:dyDescent="0.2">
      <c r="A4320" t="s">
        <v>1114</v>
      </c>
    </row>
    <row r="4321" spans="1:1" x14ac:dyDescent="0.2">
      <c r="A4321" t="s">
        <v>1115</v>
      </c>
    </row>
    <row r="4322" spans="1:1" x14ac:dyDescent="0.2">
      <c r="A4322" t="s">
        <v>1116</v>
      </c>
    </row>
    <row r="4323" spans="1:1" x14ac:dyDescent="0.2">
      <c r="A4323" t="s">
        <v>1117</v>
      </c>
    </row>
    <row r="4324" spans="1:1" x14ac:dyDescent="0.2">
      <c r="A4324" t="s">
        <v>1118</v>
      </c>
    </row>
    <row r="4325" spans="1:1" x14ac:dyDescent="0.2">
      <c r="A4325" t="s">
        <v>1119</v>
      </c>
    </row>
    <row r="4326" spans="1:1" x14ac:dyDescent="0.2">
      <c r="A4326" t="s">
        <v>1120</v>
      </c>
    </row>
    <row r="4327" spans="1:1" x14ac:dyDescent="0.2">
      <c r="A4327" t="s">
        <v>1288</v>
      </c>
    </row>
    <row r="4328" spans="1:1" x14ac:dyDescent="0.2">
      <c r="A4328" t="s">
        <v>2862</v>
      </c>
    </row>
    <row r="4329" spans="1:1" x14ac:dyDescent="0.2">
      <c r="A4329" t="s">
        <v>2863</v>
      </c>
    </row>
    <row r="4330" spans="1:1" x14ac:dyDescent="0.2">
      <c r="A4330" t="s">
        <v>2810</v>
      </c>
    </row>
    <row r="4331" spans="1:1" x14ac:dyDescent="0.2">
      <c r="A4331" t="s">
        <v>2811</v>
      </c>
    </row>
    <row r="4332" spans="1:1" x14ac:dyDescent="0.2">
      <c r="A4332" t="s">
        <v>1289</v>
      </c>
    </row>
    <row r="4333" spans="1:1" x14ac:dyDescent="0.2">
      <c r="A4333" t="s">
        <v>2781</v>
      </c>
    </row>
    <row r="4334" spans="1:1" x14ac:dyDescent="0.2">
      <c r="A4334" t="s">
        <v>2864</v>
      </c>
    </row>
    <row r="4335" spans="1:1" x14ac:dyDescent="0.2">
      <c r="A4335" t="s">
        <v>1122</v>
      </c>
    </row>
    <row r="4336" spans="1:1" x14ac:dyDescent="0.2">
      <c r="A4336" t="s">
        <v>1123</v>
      </c>
    </row>
    <row r="4337" spans="1:1" x14ac:dyDescent="0.2">
      <c r="A4337" t="s">
        <v>1124</v>
      </c>
    </row>
    <row r="4338" spans="1:1" x14ac:dyDescent="0.2">
      <c r="A4338" t="s">
        <v>1125</v>
      </c>
    </row>
    <row r="4339" spans="1:1" x14ac:dyDescent="0.2">
      <c r="A4339" t="s">
        <v>1126</v>
      </c>
    </row>
    <row r="4340" spans="1:1" x14ac:dyDescent="0.2">
      <c r="A4340" t="s">
        <v>1127</v>
      </c>
    </row>
    <row r="4341" spans="1:1" x14ac:dyDescent="0.2">
      <c r="A4341" t="s">
        <v>1128</v>
      </c>
    </row>
    <row r="4342" spans="1:1" x14ac:dyDescent="0.2">
      <c r="A4342" t="s">
        <v>1129</v>
      </c>
    </row>
    <row r="4343" spans="1:1" x14ac:dyDescent="0.2">
      <c r="A4343" t="s">
        <v>1130</v>
      </c>
    </row>
    <row r="4344" spans="1:1" x14ac:dyDescent="0.2">
      <c r="A4344" t="s">
        <v>1131</v>
      </c>
    </row>
    <row r="4345" spans="1:1" x14ac:dyDescent="0.2">
      <c r="A4345" t="s">
        <v>1132</v>
      </c>
    </row>
    <row r="4346" spans="1:1" x14ac:dyDescent="0.2">
      <c r="A4346" t="s">
        <v>1133</v>
      </c>
    </row>
    <row r="4347" spans="1:1" x14ac:dyDescent="0.2">
      <c r="A4347" t="s">
        <v>1134</v>
      </c>
    </row>
    <row r="4348" spans="1:1" x14ac:dyDescent="0.2">
      <c r="A4348" t="s">
        <v>1135</v>
      </c>
    </row>
    <row r="4349" spans="1:1" x14ac:dyDescent="0.2">
      <c r="A4349" t="s">
        <v>1136</v>
      </c>
    </row>
    <row r="4350" spans="1:1" x14ac:dyDescent="0.2">
      <c r="A4350" t="s">
        <v>1137</v>
      </c>
    </row>
    <row r="4351" spans="1:1" x14ac:dyDescent="0.2">
      <c r="A4351" t="s">
        <v>1138</v>
      </c>
    </row>
    <row r="4352" spans="1:1" x14ac:dyDescent="0.2">
      <c r="A4352" t="s">
        <v>1139</v>
      </c>
    </row>
    <row r="4353" spans="1:1" x14ac:dyDescent="0.2">
      <c r="A4353" t="s">
        <v>1140</v>
      </c>
    </row>
    <row r="4354" spans="1:1" x14ac:dyDescent="0.2">
      <c r="A4354" t="s">
        <v>1141</v>
      </c>
    </row>
    <row r="4355" spans="1:1" x14ac:dyDescent="0.2">
      <c r="A4355" t="s">
        <v>1142</v>
      </c>
    </row>
    <row r="4356" spans="1:1" x14ac:dyDescent="0.2">
      <c r="A4356" t="s">
        <v>1143</v>
      </c>
    </row>
    <row r="4357" spans="1:1" x14ac:dyDescent="0.2">
      <c r="A4357" t="s">
        <v>1144</v>
      </c>
    </row>
    <row r="4358" spans="1:1" x14ac:dyDescent="0.2">
      <c r="A4358" t="s">
        <v>1145</v>
      </c>
    </row>
    <row r="4359" spans="1:1" x14ac:dyDescent="0.2">
      <c r="A4359" t="s">
        <v>1146</v>
      </c>
    </row>
    <row r="4360" spans="1:1" x14ac:dyDescent="0.2">
      <c r="A4360" t="s">
        <v>1147</v>
      </c>
    </row>
    <row r="4361" spans="1:1" x14ac:dyDescent="0.2">
      <c r="A4361" t="s">
        <v>1148</v>
      </c>
    </row>
    <row r="4362" spans="1:1" x14ac:dyDescent="0.2">
      <c r="A4362" t="s">
        <v>1149</v>
      </c>
    </row>
    <row r="4363" spans="1:1" x14ac:dyDescent="0.2">
      <c r="A4363" t="s">
        <v>1150</v>
      </c>
    </row>
    <row r="4364" spans="1:1" x14ac:dyDescent="0.2">
      <c r="A4364" t="s">
        <v>1151</v>
      </c>
    </row>
    <row r="4365" spans="1:1" x14ac:dyDescent="0.2">
      <c r="A4365" t="s">
        <v>1152</v>
      </c>
    </row>
    <row r="4366" spans="1:1" x14ac:dyDescent="0.2">
      <c r="A4366" t="s">
        <v>1153</v>
      </c>
    </row>
    <row r="4367" spans="1:1" x14ac:dyDescent="0.2">
      <c r="A4367" t="s">
        <v>1154</v>
      </c>
    </row>
    <row r="4368" spans="1:1" x14ac:dyDescent="0.2">
      <c r="A4368" t="s">
        <v>1155</v>
      </c>
    </row>
    <row r="4369" spans="1:1" x14ac:dyDescent="0.2">
      <c r="A4369" t="s">
        <v>1156</v>
      </c>
    </row>
    <row r="4370" spans="1:1" x14ac:dyDescent="0.2">
      <c r="A4370" t="s">
        <v>1157</v>
      </c>
    </row>
    <row r="4371" spans="1:1" x14ac:dyDescent="0.2">
      <c r="A4371" t="s">
        <v>1158</v>
      </c>
    </row>
    <row r="4372" spans="1:1" x14ac:dyDescent="0.2">
      <c r="A4372" t="s">
        <v>1159</v>
      </c>
    </row>
    <row r="4373" spans="1:1" x14ac:dyDescent="0.2">
      <c r="A4373" t="s">
        <v>1160</v>
      </c>
    </row>
    <row r="4374" spans="1:1" x14ac:dyDescent="0.2">
      <c r="A4374" t="s">
        <v>1161</v>
      </c>
    </row>
    <row r="4375" spans="1:1" x14ac:dyDescent="0.2">
      <c r="A4375" t="s">
        <v>1162</v>
      </c>
    </row>
    <row r="4376" spans="1:1" x14ac:dyDescent="0.2">
      <c r="A4376" t="s">
        <v>1163</v>
      </c>
    </row>
    <row r="4377" spans="1:1" x14ac:dyDescent="0.2">
      <c r="A4377" t="s">
        <v>1164</v>
      </c>
    </row>
    <row r="4378" spans="1:1" x14ac:dyDescent="0.2">
      <c r="A4378" t="s">
        <v>1165</v>
      </c>
    </row>
    <row r="4379" spans="1:1" x14ac:dyDescent="0.2">
      <c r="A4379" t="s">
        <v>1166</v>
      </c>
    </row>
    <row r="4380" spans="1:1" x14ac:dyDescent="0.2">
      <c r="A4380" t="s">
        <v>1167</v>
      </c>
    </row>
    <row r="4381" spans="1:1" x14ac:dyDescent="0.2">
      <c r="A4381" t="s">
        <v>1168</v>
      </c>
    </row>
    <row r="4382" spans="1:1" x14ac:dyDescent="0.2">
      <c r="A4382" t="s">
        <v>1169</v>
      </c>
    </row>
    <row r="4383" spans="1:1" x14ac:dyDescent="0.2">
      <c r="A4383" t="s">
        <v>1170</v>
      </c>
    </row>
    <row r="4384" spans="1:1" x14ac:dyDescent="0.2">
      <c r="A4384" t="s">
        <v>1171</v>
      </c>
    </row>
    <row r="4385" spans="1:1" x14ac:dyDescent="0.2">
      <c r="A4385" t="s">
        <v>1172</v>
      </c>
    </row>
    <row r="4386" spans="1:1" x14ac:dyDescent="0.2">
      <c r="A4386" t="s">
        <v>1173</v>
      </c>
    </row>
    <row r="4387" spans="1:1" x14ac:dyDescent="0.2">
      <c r="A4387" t="s">
        <v>1174</v>
      </c>
    </row>
    <row r="4388" spans="1:1" x14ac:dyDescent="0.2">
      <c r="A4388" t="s">
        <v>1175</v>
      </c>
    </row>
    <row r="4389" spans="1:1" x14ac:dyDescent="0.2">
      <c r="A4389" t="s">
        <v>1176</v>
      </c>
    </row>
    <row r="4390" spans="1:1" x14ac:dyDescent="0.2">
      <c r="A4390" t="s">
        <v>1177</v>
      </c>
    </row>
    <row r="4391" spans="1:1" x14ac:dyDescent="0.2">
      <c r="A4391" t="s">
        <v>1178</v>
      </c>
    </row>
    <row r="4392" spans="1:1" x14ac:dyDescent="0.2">
      <c r="A4392" t="s">
        <v>1179</v>
      </c>
    </row>
    <row r="4393" spans="1:1" x14ac:dyDescent="0.2">
      <c r="A4393" t="s">
        <v>1180</v>
      </c>
    </row>
    <row r="4394" spans="1:1" x14ac:dyDescent="0.2">
      <c r="A4394" t="s">
        <v>1181</v>
      </c>
    </row>
    <row r="4395" spans="1:1" x14ac:dyDescent="0.2">
      <c r="A4395" t="s">
        <v>1182</v>
      </c>
    </row>
    <row r="4396" spans="1:1" x14ac:dyDescent="0.2">
      <c r="A4396" t="s">
        <v>1183</v>
      </c>
    </row>
    <row r="4397" spans="1:1" x14ac:dyDescent="0.2">
      <c r="A4397" t="s">
        <v>1184</v>
      </c>
    </row>
    <row r="4398" spans="1:1" x14ac:dyDescent="0.2">
      <c r="A4398" t="s">
        <v>1185</v>
      </c>
    </row>
    <row r="4399" spans="1:1" x14ac:dyDescent="0.2">
      <c r="A4399" t="s">
        <v>1186</v>
      </c>
    </row>
    <row r="4400" spans="1:1" x14ac:dyDescent="0.2">
      <c r="A4400" t="s">
        <v>1187</v>
      </c>
    </row>
    <row r="4401" spans="1:1" x14ac:dyDescent="0.2">
      <c r="A4401" t="s">
        <v>1188</v>
      </c>
    </row>
    <row r="4402" spans="1:1" x14ac:dyDescent="0.2">
      <c r="A4402" t="s">
        <v>1189</v>
      </c>
    </row>
    <row r="4403" spans="1:1" x14ac:dyDescent="0.2">
      <c r="A4403" t="s">
        <v>1190</v>
      </c>
    </row>
    <row r="4404" spans="1:1" x14ac:dyDescent="0.2">
      <c r="A4404" t="s">
        <v>1191</v>
      </c>
    </row>
    <row r="4405" spans="1:1" x14ac:dyDescent="0.2">
      <c r="A4405" t="s">
        <v>1192</v>
      </c>
    </row>
    <row r="4406" spans="1:1" x14ac:dyDescent="0.2">
      <c r="A4406" t="s">
        <v>1193</v>
      </c>
    </row>
    <row r="4407" spans="1:1" x14ac:dyDescent="0.2">
      <c r="A4407" t="s">
        <v>1194</v>
      </c>
    </row>
    <row r="4408" spans="1:1" x14ac:dyDescent="0.2">
      <c r="A4408" t="s">
        <v>1195</v>
      </c>
    </row>
    <row r="4409" spans="1:1" x14ac:dyDescent="0.2">
      <c r="A4409" t="s">
        <v>1196</v>
      </c>
    </row>
    <row r="4410" spans="1:1" x14ac:dyDescent="0.2">
      <c r="A4410" t="s">
        <v>1197</v>
      </c>
    </row>
    <row r="4411" spans="1:1" x14ac:dyDescent="0.2">
      <c r="A4411" t="s">
        <v>1198</v>
      </c>
    </row>
    <row r="4412" spans="1:1" x14ac:dyDescent="0.2">
      <c r="A4412" t="s">
        <v>1199</v>
      </c>
    </row>
    <row r="4413" spans="1:1" x14ac:dyDescent="0.2">
      <c r="A4413" t="s">
        <v>1200</v>
      </c>
    </row>
    <row r="4414" spans="1:1" x14ac:dyDescent="0.2">
      <c r="A4414" t="s">
        <v>1201</v>
      </c>
    </row>
    <row r="4415" spans="1:1" x14ac:dyDescent="0.2">
      <c r="A4415" t="s">
        <v>1202</v>
      </c>
    </row>
    <row r="4416" spans="1:1" x14ac:dyDescent="0.2">
      <c r="A4416" t="s">
        <v>1203</v>
      </c>
    </row>
    <row r="4417" spans="1:1" x14ac:dyDescent="0.2">
      <c r="A4417" t="s">
        <v>1204</v>
      </c>
    </row>
    <row r="4418" spans="1:1" x14ac:dyDescent="0.2">
      <c r="A4418" t="s">
        <v>1205</v>
      </c>
    </row>
    <row r="4419" spans="1:1" x14ac:dyDescent="0.2">
      <c r="A4419" t="s">
        <v>1206</v>
      </c>
    </row>
    <row r="4420" spans="1:1" x14ac:dyDescent="0.2">
      <c r="A4420" t="s">
        <v>1207</v>
      </c>
    </row>
    <row r="4421" spans="1:1" x14ac:dyDescent="0.2">
      <c r="A4421" t="s">
        <v>1208</v>
      </c>
    </row>
    <row r="4422" spans="1:1" x14ac:dyDescent="0.2">
      <c r="A4422" t="s">
        <v>1209</v>
      </c>
    </row>
    <row r="4423" spans="1:1" x14ac:dyDescent="0.2">
      <c r="A4423" t="s">
        <v>1210</v>
      </c>
    </row>
    <row r="4424" spans="1:1" x14ac:dyDescent="0.2">
      <c r="A4424" t="s">
        <v>1211</v>
      </c>
    </row>
    <row r="4425" spans="1:1" x14ac:dyDescent="0.2">
      <c r="A4425" t="s">
        <v>1212</v>
      </c>
    </row>
    <row r="4426" spans="1:1" x14ac:dyDescent="0.2">
      <c r="A4426" t="s">
        <v>1213</v>
      </c>
    </row>
    <row r="4427" spans="1:1" x14ac:dyDescent="0.2">
      <c r="A4427" t="s">
        <v>1214</v>
      </c>
    </row>
    <row r="4428" spans="1:1" x14ac:dyDescent="0.2">
      <c r="A4428" t="s">
        <v>1215</v>
      </c>
    </row>
    <row r="4429" spans="1:1" x14ac:dyDescent="0.2">
      <c r="A4429" t="s">
        <v>1216</v>
      </c>
    </row>
    <row r="4430" spans="1:1" x14ac:dyDescent="0.2">
      <c r="A4430" t="s">
        <v>1217</v>
      </c>
    </row>
    <row r="4431" spans="1:1" x14ac:dyDescent="0.2">
      <c r="A4431" t="s">
        <v>1218</v>
      </c>
    </row>
    <row r="4432" spans="1:1" x14ac:dyDescent="0.2">
      <c r="A4432" t="s">
        <v>1219</v>
      </c>
    </row>
    <row r="4433" spans="1:1" x14ac:dyDescent="0.2">
      <c r="A4433" t="s">
        <v>1220</v>
      </c>
    </row>
    <row r="4434" spans="1:1" x14ac:dyDescent="0.2">
      <c r="A4434" t="s">
        <v>1221</v>
      </c>
    </row>
    <row r="4435" spans="1:1" x14ac:dyDescent="0.2">
      <c r="A4435" t="s">
        <v>1222</v>
      </c>
    </row>
    <row r="4436" spans="1:1" x14ac:dyDescent="0.2">
      <c r="A4436" t="s">
        <v>1223</v>
      </c>
    </row>
    <row r="4437" spans="1:1" x14ac:dyDescent="0.2">
      <c r="A4437" t="s">
        <v>1224</v>
      </c>
    </row>
    <row r="4438" spans="1:1" x14ac:dyDescent="0.2">
      <c r="A4438" t="s">
        <v>1225</v>
      </c>
    </row>
    <row r="4439" spans="1:1" x14ac:dyDescent="0.2">
      <c r="A4439" t="s">
        <v>1226</v>
      </c>
    </row>
    <row r="4440" spans="1:1" x14ac:dyDescent="0.2">
      <c r="A4440" t="s">
        <v>1227</v>
      </c>
    </row>
    <row r="4441" spans="1:1" x14ac:dyDescent="0.2">
      <c r="A4441" t="s">
        <v>1228</v>
      </c>
    </row>
    <row r="4442" spans="1:1" x14ac:dyDescent="0.2">
      <c r="A4442" t="s">
        <v>1229</v>
      </c>
    </row>
    <row r="4443" spans="1:1" x14ac:dyDescent="0.2">
      <c r="A4443" t="s">
        <v>1230</v>
      </c>
    </row>
    <row r="4444" spans="1:1" x14ac:dyDescent="0.2">
      <c r="A4444" t="s">
        <v>1231</v>
      </c>
    </row>
    <row r="4445" spans="1:1" x14ac:dyDescent="0.2">
      <c r="A4445" t="s">
        <v>1232</v>
      </c>
    </row>
    <row r="4446" spans="1:1" x14ac:dyDescent="0.2">
      <c r="A4446" t="s">
        <v>1233</v>
      </c>
    </row>
    <row r="4447" spans="1:1" x14ac:dyDescent="0.2">
      <c r="A4447" t="s">
        <v>1234</v>
      </c>
    </row>
    <row r="4448" spans="1:1" x14ac:dyDescent="0.2">
      <c r="A4448" t="s">
        <v>1235</v>
      </c>
    </row>
    <row r="4449" spans="1:1" x14ac:dyDescent="0.2">
      <c r="A4449" t="s">
        <v>1236</v>
      </c>
    </row>
    <row r="4450" spans="1:1" x14ac:dyDescent="0.2">
      <c r="A4450" t="s">
        <v>1237</v>
      </c>
    </row>
    <row r="4451" spans="1:1" x14ac:dyDescent="0.2">
      <c r="A4451" t="s">
        <v>1238</v>
      </c>
    </row>
    <row r="4452" spans="1:1" x14ac:dyDescent="0.2">
      <c r="A4452" t="s">
        <v>1239</v>
      </c>
    </row>
    <row r="4453" spans="1:1" x14ac:dyDescent="0.2">
      <c r="A4453" t="s">
        <v>1240</v>
      </c>
    </row>
    <row r="4454" spans="1:1" x14ac:dyDescent="0.2">
      <c r="A4454" t="s">
        <v>1241</v>
      </c>
    </row>
    <row r="4455" spans="1:1" x14ac:dyDescent="0.2">
      <c r="A4455" t="s">
        <v>1242</v>
      </c>
    </row>
    <row r="4456" spans="1:1" x14ac:dyDescent="0.2">
      <c r="A4456" t="s">
        <v>1243</v>
      </c>
    </row>
    <row r="4457" spans="1:1" x14ac:dyDescent="0.2">
      <c r="A4457" t="s">
        <v>1244</v>
      </c>
    </row>
    <row r="4458" spans="1:1" x14ac:dyDescent="0.2">
      <c r="A4458" t="s">
        <v>1245</v>
      </c>
    </row>
    <row r="4459" spans="1:1" x14ac:dyDescent="0.2">
      <c r="A4459" t="s">
        <v>1246</v>
      </c>
    </row>
    <row r="4460" spans="1:1" x14ac:dyDescent="0.2">
      <c r="A4460" t="s">
        <v>1247</v>
      </c>
    </row>
    <row r="4461" spans="1:1" x14ac:dyDescent="0.2">
      <c r="A4461" t="s">
        <v>1248</v>
      </c>
    </row>
    <row r="4462" spans="1:1" x14ac:dyDescent="0.2">
      <c r="A4462" t="s">
        <v>1249</v>
      </c>
    </row>
    <row r="4463" spans="1:1" x14ac:dyDescent="0.2">
      <c r="A4463" t="s">
        <v>1250</v>
      </c>
    </row>
    <row r="4464" spans="1:1" x14ac:dyDescent="0.2">
      <c r="A4464" t="s">
        <v>1251</v>
      </c>
    </row>
    <row r="4465" spans="1:1" x14ac:dyDescent="0.2">
      <c r="A4465" t="s">
        <v>1252</v>
      </c>
    </row>
    <row r="4466" spans="1:1" x14ac:dyDescent="0.2">
      <c r="A4466" t="s">
        <v>1253</v>
      </c>
    </row>
    <row r="4467" spans="1:1" x14ac:dyDescent="0.2">
      <c r="A4467" t="s">
        <v>1254</v>
      </c>
    </row>
    <row r="4468" spans="1:1" x14ac:dyDescent="0.2">
      <c r="A4468" t="s">
        <v>1255</v>
      </c>
    </row>
    <row r="4469" spans="1:1" x14ac:dyDescent="0.2">
      <c r="A4469" t="s">
        <v>1256</v>
      </c>
    </row>
    <row r="4470" spans="1:1" x14ac:dyDescent="0.2">
      <c r="A4470" t="s">
        <v>1257</v>
      </c>
    </row>
    <row r="4471" spans="1:1" x14ac:dyDescent="0.2">
      <c r="A4471" t="s">
        <v>1258</v>
      </c>
    </row>
    <row r="4472" spans="1:1" x14ac:dyDescent="0.2">
      <c r="A4472" t="s">
        <v>1259</v>
      </c>
    </row>
    <row r="4473" spans="1:1" x14ac:dyDescent="0.2">
      <c r="A4473" t="s">
        <v>1260</v>
      </c>
    </row>
    <row r="4474" spans="1:1" x14ac:dyDescent="0.2">
      <c r="A4474" t="s">
        <v>1261</v>
      </c>
    </row>
    <row r="4475" spans="1:1" x14ac:dyDescent="0.2">
      <c r="A4475" t="s">
        <v>1262</v>
      </c>
    </row>
    <row r="4476" spans="1:1" x14ac:dyDescent="0.2">
      <c r="A4476" t="s">
        <v>1263</v>
      </c>
    </row>
    <row r="4477" spans="1:1" x14ac:dyDescent="0.2">
      <c r="A4477" t="s">
        <v>1264</v>
      </c>
    </row>
    <row r="4478" spans="1:1" x14ac:dyDescent="0.2">
      <c r="A4478" t="s">
        <v>1265</v>
      </c>
    </row>
    <row r="4479" spans="1:1" x14ac:dyDescent="0.2">
      <c r="A4479" t="s">
        <v>1266</v>
      </c>
    </row>
    <row r="4480" spans="1:1" x14ac:dyDescent="0.2">
      <c r="A4480" t="s">
        <v>1267</v>
      </c>
    </row>
    <row r="4481" spans="1:1" x14ac:dyDescent="0.2">
      <c r="A4481" t="s">
        <v>1268</v>
      </c>
    </row>
    <row r="4482" spans="1:1" x14ac:dyDescent="0.2">
      <c r="A4482" t="s">
        <v>1269</v>
      </c>
    </row>
    <row r="4483" spans="1:1" x14ac:dyDescent="0.2">
      <c r="A4483" t="s">
        <v>1270</v>
      </c>
    </row>
    <row r="4484" spans="1:1" x14ac:dyDescent="0.2">
      <c r="A4484" t="s">
        <v>1271</v>
      </c>
    </row>
    <row r="4485" spans="1:1" x14ac:dyDescent="0.2">
      <c r="A4485" t="s">
        <v>1272</v>
      </c>
    </row>
    <row r="4486" spans="1:1" x14ac:dyDescent="0.2">
      <c r="A4486" t="s">
        <v>1273</v>
      </c>
    </row>
    <row r="4487" spans="1:1" x14ac:dyDescent="0.2">
      <c r="A4487" t="s">
        <v>1274</v>
      </c>
    </row>
    <row r="4488" spans="1:1" x14ac:dyDescent="0.2">
      <c r="A4488" t="s">
        <v>1275</v>
      </c>
    </row>
    <row r="4489" spans="1:1" x14ac:dyDescent="0.2">
      <c r="A4489" t="s">
        <v>1276</v>
      </c>
    </row>
    <row r="4490" spans="1:1" x14ac:dyDescent="0.2">
      <c r="A4490" t="s">
        <v>1277</v>
      </c>
    </row>
    <row r="4491" spans="1:1" x14ac:dyDescent="0.2">
      <c r="A4491" t="s">
        <v>1278</v>
      </c>
    </row>
    <row r="4492" spans="1:1" x14ac:dyDescent="0.2">
      <c r="A4492" t="s">
        <v>1279</v>
      </c>
    </row>
    <row r="4493" spans="1:1" x14ac:dyDescent="0.2">
      <c r="A4493" t="s">
        <v>1280</v>
      </c>
    </row>
    <row r="4494" spans="1:1" x14ac:dyDescent="0.2">
      <c r="A4494" t="s">
        <v>1281</v>
      </c>
    </row>
    <row r="4495" spans="1:1" x14ac:dyDescent="0.2">
      <c r="A4495" t="s">
        <v>1282</v>
      </c>
    </row>
    <row r="4496" spans="1:1" x14ac:dyDescent="0.2">
      <c r="A4496" t="s">
        <v>1283</v>
      </c>
    </row>
    <row r="4497" spans="1:1" x14ac:dyDescent="0.2">
      <c r="A4497" t="s">
        <v>1284</v>
      </c>
    </row>
    <row r="4498" spans="1:1" x14ac:dyDescent="0.2">
      <c r="A4498" t="s">
        <v>1285</v>
      </c>
    </row>
    <row r="4499" spans="1:1" x14ac:dyDescent="0.2">
      <c r="A4499" t="s">
        <v>1286</v>
      </c>
    </row>
    <row r="4500" spans="1:1" x14ac:dyDescent="0.2">
      <c r="A4500" t="s">
        <v>2865</v>
      </c>
    </row>
    <row r="4501" spans="1:1" x14ac:dyDescent="0.2">
      <c r="A4501" t="s">
        <v>1053</v>
      </c>
    </row>
    <row r="4502" spans="1:1" x14ac:dyDescent="0.2">
      <c r="A4502" t="s">
        <v>2866</v>
      </c>
    </row>
    <row r="4503" spans="1:1" x14ac:dyDescent="0.2">
      <c r="A4503" t="s">
        <v>2768</v>
      </c>
    </row>
    <row r="4504" spans="1:1" x14ac:dyDescent="0.2">
      <c r="A4504" t="s">
        <v>2769</v>
      </c>
    </row>
    <row r="4505" spans="1:1" x14ac:dyDescent="0.2">
      <c r="A4505" t="s">
        <v>1054</v>
      </c>
    </row>
    <row r="4506" spans="1:1" x14ac:dyDescent="0.2">
      <c r="A4506" t="s">
        <v>1055</v>
      </c>
    </row>
    <row r="4507" spans="1:1" x14ac:dyDescent="0.2">
      <c r="A4507" t="s">
        <v>2807</v>
      </c>
    </row>
    <row r="4508" spans="1:1" x14ac:dyDescent="0.2">
      <c r="A4508" t="s">
        <v>1056</v>
      </c>
    </row>
    <row r="4509" spans="1:1" x14ac:dyDescent="0.2">
      <c r="A4509" t="s">
        <v>1057</v>
      </c>
    </row>
    <row r="4510" spans="1:1" x14ac:dyDescent="0.2">
      <c r="A4510" t="s">
        <v>1058</v>
      </c>
    </row>
    <row r="4511" spans="1:1" x14ac:dyDescent="0.2">
      <c r="A4511" t="s">
        <v>1059</v>
      </c>
    </row>
    <row r="4512" spans="1:1" x14ac:dyDescent="0.2">
      <c r="A4512" t="s">
        <v>1060</v>
      </c>
    </row>
    <row r="4513" spans="1:1" x14ac:dyDescent="0.2">
      <c r="A4513" t="s">
        <v>1061</v>
      </c>
    </row>
    <row r="4514" spans="1:1" x14ac:dyDescent="0.2">
      <c r="A4514" t="s">
        <v>1062</v>
      </c>
    </row>
    <row r="4515" spans="1:1" x14ac:dyDescent="0.2">
      <c r="A4515" t="s">
        <v>1063</v>
      </c>
    </row>
    <row r="4516" spans="1:1" x14ac:dyDescent="0.2">
      <c r="A4516" t="s">
        <v>1064</v>
      </c>
    </row>
    <row r="4517" spans="1:1" x14ac:dyDescent="0.2">
      <c r="A4517" t="s">
        <v>1065</v>
      </c>
    </row>
    <row r="4518" spans="1:1" x14ac:dyDescent="0.2">
      <c r="A4518" t="s">
        <v>1066</v>
      </c>
    </row>
    <row r="4519" spans="1:1" x14ac:dyDescent="0.2">
      <c r="A4519" t="s">
        <v>1067</v>
      </c>
    </row>
    <row r="4520" spans="1:1" x14ac:dyDescent="0.2">
      <c r="A4520" t="s">
        <v>1068</v>
      </c>
    </row>
    <row r="4521" spans="1:1" x14ac:dyDescent="0.2">
      <c r="A4521" t="s">
        <v>1069</v>
      </c>
    </row>
    <row r="4522" spans="1:1" x14ac:dyDescent="0.2">
      <c r="A4522" t="s">
        <v>1070</v>
      </c>
    </row>
    <row r="4523" spans="1:1" x14ac:dyDescent="0.2">
      <c r="A4523" t="s">
        <v>1071</v>
      </c>
    </row>
    <row r="4524" spans="1:1" x14ac:dyDescent="0.2">
      <c r="A4524" t="s">
        <v>1072</v>
      </c>
    </row>
    <row r="4525" spans="1:1" x14ac:dyDescent="0.2">
      <c r="A4525" t="s">
        <v>1073</v>
      </c>
    </row>
    <row r="4526" spans="1:1" x14ac:dyDescent="0.2">
      <c r="A4526" t="s">
        <v>1074</v>
      </c>
    </row>
    <row r="4527" spans="1:1" x14ac:dyDescent="0.2">
      <c r="A4527" t="s">
        <v>1075</v>
      </c>
    </row>
    <row r="4528" spans="1:1" x14ac:dyDescent="0.2">
      <c r="A4528" t="s">
        <v>1076</v>
      </c>
    </row>
    <row r="4529" spans="1:1" x14ac:dyDescent="0.2">
      <c r="A4529" t="s">
        <v>1077</v>
      </c>
    </row>
    <row r="4530" spans="1:1" x14ac:dyDescent="0.2">
      <c r="A4530" t="s">
        <v>1078</v>
      </c>
    </row>
    <row r="4531" spans="1:1" x14ac:dyDescent="0.2">
      <c r="A4531" t="s">
        <v>1079</v>
      </c>
    </row>
    <row r="4532" spans="1:1" x14ac:dyDescent="0.2">
      <c r="A4532" t="s">
        <v>1080</v>
      </c>
    </row>
    <row r="4533" spans="1:1" x14ac:dyDescent="0.2">
      <c r="A4533" t="s">
        <v>1081</v>
      </c>
    </row>
    <row r="4534" spans="1:1" x14ac:dyDescent="0.2">
      <c r="A4534" t="s">
        <v>1082</v>
      </c>
    </row>
    <row r="4535" spans="1:1" x14ac:dyDescent="0.2">
      <c r="A4535" t="s">
        <v>1083</v>
      </c>
    </row>
    <row r="4536" spans="1:1" x14ac:dyDescent="0.2">
      <c r="A4536" t="s">
        <v>2771</v>
      </c>
    </row>
    <row r="4537" spans="1:1" x14ac:dyDescent="0.2">
      <c r="A4537" t="s">
        <v>2772</v>
      </c>
    </row>
    <row r="4538" spans="1:1" x14ac:dyDescent="0.2">
      <c r="A4538" t="s">
        <v>2773</v>
      </c>
    </row>
    <row r="4539" spans="1:1" x14ac:dyDescent="0.2">
      <c r="A4539" t="s">
        <v>2774</v>
      </c>
    </row>
    <row r="4540" spans="1:1" x14ac:dyDescent="0.2">
      <c r="A4540" t="s">
        <v>2775</v>
      </c>
    </row>
    <row r="4541" spans="1:1" x14ac:dyDescent="0.2">
      <c r="A4541" t="s">
        <v>2776</v>
      </c>
    </row>
    <row r="4542" spans="1:1" x14ac:dyDescent="0.2">
      <c r="A4542" t="s">
        <v>1084</v>
      </c>
    </row>
    <row r="4543" spans="1:1" x14ac:dyDescent="0.2">
      <c r="A4543" t="s">
        <v>1085</v>
      </c>
    </row>
    <row r="4544" spans="1:1" x14ac:dyDescent="0.2">
      <c r="A4544" t="s">
        <v>1086</v>
      </c>
    </row>
    <row r="4545" spans="1:1" x14ac:dyDescent="0.2">
      <c r="A4545" t="s">
        <v>1087</v>
      </c>
    </row>
    <row r="4546" spans="1:1" x14ac:dyDescent="0.2">
      <c r="A4546" t="s">
        <v>1088</v>
      </c>
    </row>
    <row r="4547" spans="1:1" x14ac:dyDescent="0.2">
      <c r="A4547" t="s">
        <v>1089</v>
      </c>
    </row>
    <row r="4548" spans="1:1" x14ac:dyDescent="0.2">
      <c r="A4548" t="s">
        <v>1090</v>
      </c>
    </row>
    <row r="4549" spans="1:1" x14ac:dyDescent="0.2">
      <c r="A4549" t="s">
        <v>1091</v>
      </c>
    </row>
    <row r="4550" spans="1:1" x14ac:dyDescent="0.2">
      <c r="A4550" t="s">
        <v>1092</v>
      </c>
    </row>
    <row r="4551" spans="1:1" x14ac:dyDescent="0.2">
      <c r="A4551" t="s">
        <v>1093</v>
      </c>
    </row>
    <row r="4552" spans="1:1" x14ac:dyDescent="0.2">
      <c r="A4552" t="s">
        <v>1094</v>
      </c>
    </row>
    <row r="4553" spans="1:1" x14ac:dyDescent="0.2">
      <c r="A4553" t="s">
        <v>1095</v>
      </c>
    </row>
    <row r="4554" spans="1:1" x14ac:dyDescent="0.2">
      <c r="A4554" t="s">
        <v>1096</v>
      </c>
    </row>
    <row r="4555" spans="1:1" x14ac:dyDescent="0.2">
      <c r="A4555" t="s">
        <v>1097</v>
      </c>
    </row>
    <row r="4556" spans="1:1" x14ac:dyDescent="0.2">
      <c r="A4556" t="s">
        <v>1098</v>
      </c>
    </row>
    <row r="4557" spans="1:1" x14ac:dyDescent="0.2">
      <c r="A4557" t="s">
        <v>1099</v>
      </c>
    </row>
    <row r="4558" spans="1:1" x14ac:dyDescent="0.2">
      <c r="A4558" t="s">
        <v>1100</v>
      </c>
    </row>
    <row r="4559" spans="1:1" x14ac:dyDescent="0.2">
      <c r="A4559" t="s">
        <v>1101</v>
      </c>
    </row>
    <row r="4560" spans="1:1" x14ac:dyDescent="0.2">
      <c r="A4560" t="s">
        <v>1102</v>
      </c>
    </row>
    <row r="4561" spans="1:1" x14ac:dyDescent="0.2">
      <c r="A4561" t="s">
        <v>1103</v>
      </c>
    </row>
    <row r="4562" spans="1:1" x14ac:dyDescent="0.2">
      <c r="A4562" t="s">
        <v>1104</v>
      </c>
    </row>
    <row r="4563" spans="1:1" x14ac:dyDescent="0.2">
      <c r="A4563" t="s">
        <v>1105</v>
      </c>
    </row>
    <row r="4564" spans="1:1" x14ac:dyDescent="0.2">
      <c r="A4564" t="s">
        <v>1106</v>
      </c>
    </row>
    <row r="4565" spans="1:1" x14ac:dyDescent="0.2">
      <c r="A4565" t="s">
        <v>1107</v>
      </c>
    </row>
    <row r="4566" spans="1:1" x14ac:dyDescent="0.2">
      <c r="A4566" t="s">
        <v>1108</v>
      </c>
    </row>
    <row r="4567" spans="1:1" x14ac:dyDescent="0.2">
      <c r="A4567" t="s">
        <v>1109</v>
      </c>
    </row>
    <row r="4568" spans="1:1" x14ac:dyDescent="0.2">
      <c r="A4568" t="s">
        <v>1110</v>
      </c>
    </row>
    <row r="4569" spans="1:1" x14ac:dyDescent="0.2">
      <c r="A4569" t="s">
        <v>1111</v>
      </c>
    </row>
    <row r="4570" spans="1:1" x14ac:dyDescent="0.2">
      <c r="A4570" t="s">
        <v>1112</v>
      </c>
    </row>
    <row r="4571" spans="1:1" x14ac:dyDescent="0.2">
      <c r="A4571" t="s">
        <v>1113</v>
      </c>
    </row>
    <row r="4572" spans="1:1" x14ac:dyDescent="0.2">
      <c r="A4572" t="s">
        <v>1114</v>
      </c>
    </row>
    <row r="4573" spans="1:1" x14ac:dyDescent="0.2">
      <c r="A4573" t="s">
        <v>1115</v>
      </c>
    </row>
    <row r="4574" spans="1:1" x14ac:dyDescent="0.2">
      <c r="A4574" t="s">
        <v>1116</v>
      </c>
    </row>
    <row r="4575" spans="1:1" x14ac:dyDescent="0.2">
      <c r="A4575" t="s">
        <v>1117</v>
      </c>
    </row>
    <row r="4576" spans="1:1" x14ac:dyDescent="0.2">
      <c r="A4576" t="s">
        <v>1118</v>
      </c>
    </row>
    <row r="4577" spans="1:1" x14ac:dyDescent="0.2">
      <c r="A4577" t="s">
        <v>1119</v>
      </c>
    </row>
    <row r="4578" spans="1:1" x14ac:dyDescent="0.2">
      <c r="A4578" t="s">
        <v>1120</v>
      </c>
    </row>
    <row r="4579" spans="1:1" x14ac:dyDescent="0.2">
      <c r="A4579" t="s">
        <v>1288</v>
      </c>
    </row>
    <row r="4580" spans="1:1" x14ac:dyDescent="0.2">
      <c r="A4580" t="s">
        <v>2867</v>
      </c>
    </row>
    <row r="4581" spans="1:1" x14ac:dyDescent="0.2">
      <c r="A4581" t="s">
        <v>2868</v>
      </c>
    </row>
    <row r="4582" spans="1:1" x14ac:dyDescent="0.2">
      <c r="A4582" t="s">
        <v>2869</v>
      </c>
    </row>
    <row r="4583" spans="1:1" x14ac:dyDescent="0.2">
      <c r="A4583" t="s">
        <v>2870</v>
      </c>
    </row>
    <row r="4584" spans="1:1" x14ac:dyDescent="0.2">
      <c r="A4584" t="s">
        <v>1289</v>
      </c>
    </row>
    <row r="4585" spans="1:1" x14ac:dyDescent="0.2">
      <c r="A4585" t="s">
        <v>2781</v>
      </c>
    </row>
    <row r="4586" spans="1:1" x14ac:dyDescent="0.2">
      <c r="A4586" t="s">
        <v>2871</v>
      </c>
    </row>
    <row r="4587" spans="1:1" x14ac:dyDescent="0.2">
      <c r="A4587" t="s">
        <v>1122</v>
      </c>
    </row>
    <row r="4588" spans="1:1" x14ac:dyDescent="0.2">
      <c r="A4588" t="s">
        <v>1123</v>
      </c>
    </row>
    <row r="4589" spans="1:1" x14ac:dyDescent="0.2">
      <c r="A4589" t="s">
        <v>1124</v>
      </c>
    </row>
    <row r="4590" spans="1:1" x14ac:dyDescent="0.2">
      <c r="A4590" t="s">
        <v>1125</v>
      </c>
    </row>
    <row r="4591" spans="1:1" x14ac:dyDescent="0.2">
      <c r="A4591" t="s">
        <v>1126</v>
      </c>
    </row>
    <row r="4592" spans="1:1" x14ac:dyDescent="0.2">
      <c r="A4592" t="s">
        <v>1127</v>
      </c>
    </row>
    <row r="4593" spans="1:1" x14ac:dyDescent="0.2">
      <c r="A4593" t="s">
        <v>1128</v>
      </c>
    </row>
    <row r="4594" spans="1:1" x14ac:dyDescent="0.2">
      <c r="A4594" t="s">
        <v>1129</v>
      </c>
    </row>
    <row r="4595" spans="1:1" x14ac:dyDescent="0.2">
      <c r="A4595" t="s">
        <v>1130</v>
      </c>
    </row>
    <row r="4596" spans="1:1" x14ac:dyDescent="0.2">
      <c r="A4596" t="s">
        <v>1131</v>
      </c>
    </row>
    <row r="4597" spans="1:1" x14ac:dyDescent="0.2">
      <c r="A4597" t="s">
        <v>1132</v>
      </c>
    </row>
    <row r="4598" spans="1:1" x14ac:dyDescent="0.2">
      <c r="A4598" t="s">
        <v>1133</v>
      </c>
    </row>
    <row r="4599" spans="1:1" x14ac:dyDescent="0.2">
      <c r="A4599" t="s">
        <v>1134</v>
      </c>
    </row>
    <row r="4600" spans="1:1" x14ac:dyDescent="0.2">
      <c r="A4600" t="s">
        <v>1135</v>
      </c>
    </row>
    <row r="4601" spans="1:1" x14ac:dyDescent="0.2">
      <c r="A4601" t="s">
        <v>1136</v>
      </c>
    </row>
    <row r="4602" spans="1:1" x14ac:dyDescent="0.2">
      <c r="A4602" t="s">
        <v>1137</v>
      </c>
    </row>
    <row r="4603" spans="1:1" x14ac:dyDescent="0.2">
      <c r="A4603" t="s">
        <v>1138</v>
      </c>
    </row>
    <row r="4604" spans="1:1" x14ac:dyDescent="0.2">
      <c r="A4604" t="s">
        <v>1139</v>
      </c>
    </row>
    <row r="4605" spans="1:1" x14ac:dyDescent="0.2">
      <c r="A4605" t="s">
        <v>1140</v>
      </c>
    </row>
    <row r="4606" spans="1:1" x14ac:dyDescent="0.2">
      <c r="A4606" t="s">
        <v>1141</v>
      </c>
    </row>
    <row r="4607" spans="1:1" x14ac:dyDescent="0.2">
      <c r="A4607" t="s">
        <v>1142</v>
      </c>
    </row>
    <row r="4608" spans="1:1" x14ac:dyDescent="0.2">
      <c r="A4608" t="s">
        <v>1143</v>
      </c>
    </row>
    <row r="4609" spans="1:1" x14ac:dyDescent="0.2">
      <c r="A4609" t="s">
        <v>1144</v>
      </c>
    </row>
    <row r="4610" spans="1:1" x14ac:dyDescent="0.2">
      <c r="A4610" t="s">
        <v>1145</v>
      </c>
    </row>
    <row r="4611" spans="1:1" x14ac:dyDescent="0.2">
      <c r="A4611" t="s">
        <v>1146</v>
      </c>
    </row>
    <row r="4612" spans="1:1" x14ac:dyDescent="0.2">
      <c r="A4612" t="s">
        <v>1147</v>
      </c>
    </row>
    <row r="4613" spans="1:1" x14ac:dyDescent="0.2">
      <c r="A4613" t="s">
        <v>1148</v>
      </c>
    </row>
    <row r="4614" spans="1:1" x14ac:dyDescent="0.2">
      <c r="A4614" t="s">
        <v>1149</v>
      </c>
    </row>
    <row r="4615" spans="1:1" x14ac:dyDescent="0.2">
      <c r="A4615" t="s">
        <v>1150</v>
      </c>
    </row>
    <row r="4616" spans="1:1" x14ac:dyDescent="0.2">
      <c r="A4616" t="s">
        <v>1151</v>
      </c>
    </row>
    <row r="4617" spans="1:1" x14ac:dyDescent="0.2">
      <c r="A4617" t="s">
        <v>1152</v>
      </c>
    </row>
    <row r="4618" spans="1:1" x14ac:dyDescent="0.2">
      <c r="A4618" t="s">
        <v>1153</v>
      </c>
    </row>
    <row r="4619" spans="1:1" x14ac:dyDescent="0.2">
      <c r="A4619" t="s">
        <v>1154</v>
      </c>
    </row>
    <row r="4620" spans="1:1" x14ac:dyDescent="0.2">
      <c r="A4620" t="s">
        <v>1155</v>
      </c>
    </row>
    <row r="4621" spans="1:1" x14ac:dyDescent="0.2">
      <c r="A4621" t="s">
        <v>1156</v>
      </c>
    </row>
    <row r="4622" spans="1:1" x14ac:dyDescent="0.2">
      <c r="A4622" t="s">
        <v>1157</v>
      </c>
    </row>
    <row r="4623" spans="1:1" x14ac:dyDescent="0.2">
      <c r="A4623" t="s">
        <v>1158</v>
      </c>
    </row>
    <row r="4624" spans="1:1" x14ac:dyDescent="0.2">
      <c r="A4624" t="s">
        <v>1159</v>
      </c>
    </row>
    <row r="4625" spans="1:1" x14ac:dyDescent="0.2">
      <c r="A4625" t="s">
        <v>1160</v>
      </c>
    </row>
    <row r="4626" spans="1:1" x14ac:dyDescent="0.2">
      <c r="A4626" t="s">
        <v>1161</v>
      </c>
    </row>
    <row r="4627" spans="1:1" x14ac:dyDescent="0.2">
      <c r="A4627" t="s">
        <v>1162</v>
      </c>
    </row>
    <row r="4628" spans="1:1" x14ac:dyDescent="0.2">
      <c r="A4628" t="s">
        <v>1163</v>
      </c>
    </row>
    <row r="4629" spans="1:1" x14ac:dyDescent="0.2">
      <c r="A4629" t="s">
        <v>1164</v>
      </c>
    </row>
    <row r="4630" spans="1:1" x14ac:dyDescent="0.2">
      <c r="A4630" t="s">
        <v>1165</v>
      </c>
    </row>
    <row r="4631" spans="1:1" x14ac:dyDescent="0.2">
      <c r="A4631" t="s">
        <v>1166</v>
      </c>
    </row>
    <row r="4632" spans="1:1" x14ac:dyDescent="0.2">
      <c r="A4632" t="s">
        <v>1167</v>
      </c>
    </row>
    <row r="4633" spans="1:1" x14ac:dyDescent="0.2">
      <c r="A4633" t="s">
        <v>1168</v>
      </c>
    </row>
    <row r="4634" spans="1:1" x14ac:dyDescent="0.2">
      <c r="A4634" t="s">
        <v>1169</v>
      </c>
    </row>
    <row r="4635" spans="1:1" x14ac:dyDescent="0.2">
      <c r="A4635" t="s">
        <v>1170</v>
      </c>
    </row>
    <row r="4636" spans="1:1" x14ac:dyDescent="0.2">
      <c r="A4636" t="s">
        <v>1171</v>
      </c>
    </row>
    <row r="4637" spans="1:1" x14ac:dyDescent="0.2">
      <c r="A4637" t="s">
        <v>1172</v>
      </c>
    </row>
    <row r="4638" spans="1:1" x14ac:dyDescent="0.2">
      <c r="A4638" t="s">
        <v>1173</v>
      </c>
    </row>
    <row r="4639" spans="1:1" x14ac:dyDescent="0.2">
      <c r="A4639" t="s">
        <v>1174</v>
      </c>
    </row>
    <row r="4640" spans="1:1" x14ac:dyDescent="0.2">
      <c r="A4640" t="s">
        <v>1175</v>
      </c>
    </row>
    <row r="4641" spans="1:1" x14ac:dyDescent="0.2">
      <c r="A4641" t="s">
        <v>1176</v>
      </c>
    </row>
    <row r="4642" spans="1:1" x14ac:dyDescent="0.2">
      <c r="A4642" t="s">
        <v>1177</v>
      </c>
    </row>
    <row r="4643" spans="1:1" x14ac:dyDescent="0.2">
      <c r="A4643" t="s">
        <v>1178</v>
      </c>
    </row>
    <row r="4644" spans="1:1" x14ac:dyDescent="0.2">
      <c r="A4644" t="s">
        <v>1179</v>
      </c>
    </row>
    <row r="4645" spans="1:1" x14ac:dyDescent="0.2">
      <c r="A4645" t="s">
        <v>1180</v>
      </c>
    </row>
    <row r="4646" spans="1:1" x14ac:dyDescent="0.2">
      <c r="A4646" t="s">
        <v>1181</v>
      </c>
    </row>
    <row r="4647" spans="1:1" x14ac:dyDescent="0.2">
      <c r="A4647" t="s">
        <v>1182</v>
      </c>
    </row>
    <row r="4648" spans="1:1" x14ac:dyDescent="0.2">
      <c r="A4648" t="s">
        <v>1183</v>
      </c>
    </row>
    <row r="4649" spans="1:1" x14ac:dyDescent="0.2">
      <c r="A4649" t="s">
        <v>1184</v>
      </c>
    </row>
    <row r="4650" spans="1:1" x14ac:dyDescent="0.2">
      <c r="A4650" t="s">
        <v>1185</v>
      </c>
    </row>
    <row r="4651" spans="1:1" x14ac:dyDescent="0.2">
      <c r="A4651" t="s">
        <v>1186</v>
      </c>
    </row>
    <row r="4652" spans="1:1" x14ac:dyDescent="0.2">
      <c r="A4652" t="s">
        <v>1187</v>
      </c>
    </row>
    <row r="4653" spans="1:1" x14ac:dyDescent="0.2">
      <c r="A4653" t="s">
        <v>1188</v>
      </c>
    </row>
    <row r="4654" spans="1:1" x14ac:dyDescent="0.2">
      <c r="A4654" t="s">
        <v>1189</v>
      </c>
    </row>
    <row r="4655" spans="1:1" x14ac:dyDescent="0.2">
      <c r="A4655" t="s">
        <v>1190</v>
      </c>
    </row>
    <row r="4656" spans="1:1" x14ac:dyDescent="0.2">
      <c r="A4656" t="s">
        <v>1191</v>
      </c>
    </row>
    <row r="4657" spans="1:1" x14ac:dyDescent="0.2">
      <c r="A4657" t="s">
        <v>1192</v>
      </c>
    </row>
    <row r="4658" spans="1:1" x14ac:dyDescent="0.2">
      <c r="A4658" t="s">
        <v>1193</v>
      </c>
    </row>
    <row r="4659" spans="1:1" x14ac:dyDescent="0.2">
      <c r="A4659" t="s">
        <v>1194</v>
      </c>
    </row>
    <row r="4660" spans="1:1" x14ac:dyDescent="0.2">
      <c r="A4660" t="s">
        <v>1195</v>
      </c>
    </row>
    <row r="4661" spans="1:1" x14ac:dyDescent="0.2">
      <c r="A4661" t="s">
        <v>1196</v>
      </c>
    </row>
    <row r="4662" spans="1:1" x14ac:dyDescent="0.2">
      <c r="A4662" t="s">
        <v>1197</v>
      </c>
    </row>
    <row r="4663" spans="1:1" x14ac:dyDescent="0.2">
      <c r="A4663" t="s">
        <v>1198</v>
      </c>
    </row>
    <row r="4664" spans="1:1" x14ac:dyDescent="0.2">
      <c r="A4664" t="s">
        <v>1199</v>
      </c>
    </row>
    <row r="4665" spans="1:1" x14ac:dyDescent="0.2">
      <c r="A4665" t="s">
        <v>1200</v>
      </c>
    </row>
    <row r="4666" spans="1:1" x14ac:dyDescent="0.2">
      <c r="A4666" t="s">
        <v>1201</v>
      </c>
    </row>
    <row r="4667" spans="1:1" x14ac:dyDescent="0.2">
      <c r="A4667" t="s">
        <v>1202</v>
      </c>
    </row>
    <row r="4668" spans="1:1" x14ac:dyDescent="0.2">
      <c r="A4668" t="s">
        <v>1203</v>
      </c>
    </row>
    <row r="4669" spans="1:1" x14ac:dyDescent="0.2">
      <c r="A4669" t="s">
        <v>1204</v>
      </c>
    </row>
    <row r="4670" spans="1:1" x14ac:dyDescent="0.2">
      <c r="A4670" t="s">
        <v>1205</v>
      </c>
    </row>
    <row r="4671" spans="1:1" x14ac:dyDescent="0.2">
      <c r="A4671" t="s">
        <v>1206</v>
      </c>
    </row>
    <row r="4672" spans="1:1" x14ac:dyDescent="0.2">
      <c r="A4672" t="s">
        <v>1207</v>
      </c>
    </row>
    <row r="4673" spans="1:1" x14ac:dyDescent="0.2">
      <c r="A4673" t="s">
        <v>1208</v>
      </c>
    </row>
    <row r="4674" spans="1:1" x14ac:dyDescent="0.2">
      <c r="A4674" t="s">
        <v>1209</v>
      </c>
    </row>
    <row r="4675" spans="1:1" x14ac:dyDescent="0.2">
      <c r="A4675" t="s">
        <v>1210</v>
      </c>
    </row>
    <row r="4676" spans="1:1" x14ac:dyDescent="0.2">
      <c r="A4676" t="s">
        <v>1211</v>
      </c>
    </row>
    <row r="4677" spans="1:1" x14ac:dyDescent="0.2">
      <c r="A4677" t="s">
        <v>1212</v>
      </c>
    </row>
    <row r="4678" spans="1:1" x14ac:dyDescent="0.2">
      <c r="A4678" t="s">
        <v>1213</v>
      </c>
    </row>
    <row r="4679" spans="1:1" x14ac:dyDescent="0.2">
      <c r="A4679" t="s">
        <v>1214</v>
      </c>
    </row>
    <row r="4680" spans="1:1" x14ac:dyDescent="0.2">
      <c r="A4680" t="s">
        <v>1215</v>
      </c>
    </row>
    <row r="4681" spans="1:1" x14ac:dyDescent="0.2">
      <c r="A4681" t="s">
        <v>1216</v>
      </c>
    </row>
    <row r="4682" spans="1:1" x14ac:dyDescent="0.2">
      <c r="A4682" t="s">
        <v>1217</v>
      </c>
    </row>
    <row r="4683" spans="1:1" x14ac:dyDescent="0.2">
      <c r="A4683" t="s">
        <v>1218</v>
      </c>
    </row>
    <row r="4684" spans="1:1" x14ac:dyDescent="0.2">
      <c r="A4684" t="s">
        <v>1219</v>
      </c>
    </row>
    <row r="4685" spans="1:1" x14ac:dyDescent="0.2">
      <c r="A4685" t="s">
        <v>1220</v>
      </c>
    </row>
    <row r="4686" spans="1:1" x14ac:dyDescent="0.2">
      <c r="A4686" t="s">
        <v>1221</v>
      </c>
    </row>
    <row r="4687" spans="1:1" x14ac:dyDescent="0.2">
      <c r="A4687" t="s">
        <v>1222</v>
      </c>
    </row>
    <row r="4688" spans="1:1" x14ac:dyDescent="0.2">
      <c r="A4688" t="s">
        <v>1223</v>
      </c>
    </row>
    <row r="4689" spans="1:1" x14ac:dyDescent="0.2">
      <c r="A4689" t="s">
        <v>1224</v>
      </c>
    </row>
    <row r="4690" spans="1:1" x14ac:dyDescent="0.2">
      <c r="A4690" t="s">
        <v>1225</v>
      </c>
    </row>
    <row r="4691" spans="1:1" x14ac:dyDescent="0.2">
      <c r="A4691" t="s">
        <v>1226</v>
      </c>
    </row>
    <row r="4692" spans="1:1" x14ac:dyDescent="0.2">
      <c r="A4692" t="s">
        <v>1227</v>
      </c>
    </row>
    <row r="4693" spans="1:1" x14ac:dyDescent="0.2">
      <c r="A4693" t="s">
        <v>1228</v>
      </c>
    </row>
    <row r="4694" spans="1:1" x14ac:dyDescent="0.2">
      <c r="A4694" t="s">
        <v>1229</v>
      </c>
    </row>
    <row r="4695" spans="1:1" x14ac:dyDescent="0.2">
      <c r="A4695" t="s">
        <v>1230</v>
      </c>
    </row>
    <row r="4696" spans="1:1" x14ac:dyDescent="0.2">
      <c r="A4696" t="s">
        <v>1231</v>
      </c>
    </row>
    <row r="4697" spans="1:1" x14ac:dyDescent="0.2">
      <c r="A4697" t="s">
        <v>1232</v>
      </c>
    </row>
    <row r="4698" spans="1:1" x14ac:dyDescent="0.2">
      <c r="A4698" t="s">
        <v>1233</v>
      </c>
    </row>
    <row r="4699" spans="1:1" x14ac:dyDescent="0.2">
      <c r="A4699" t="s">
        <v>1234</v>
      </c>
    </row>
    <row r="4700" spans="1:1" x14ac:dyDescent="0.2">
      <c r="A4700" t="s">
        <v>1235</v>
      </c>
    </row>
    <row r="4701" spans="1:1" x14ac:dyDescent="0.2">
      <c r="A4701" t="s">
        <v>1236</v>
      </c>
    </row>
    <row r="4702" spans="1:1" x14ac:dyDescent="0.2">
      <c r="A4702" t="s">
        <v>1237</v>
      </c>
    </row>
    <row r="4703" spans="1:1" x14ac:dyDescent="0.2">
      <c r="A4703" t="s">
        <v>1238</v>
      </c>
    </row>
    <row r="4704" spans="1:1" x14ac:dyDescent="0.2">
      <c r="A4704" t="s">
        <v>1239</v>
      </c>
    </row>
    <row r="4705" spans="1:1" x14ac:dyDescent="0.2">
      <c r="A4705" t="s">
        <v>1240</v>
      </c>
    </row>
    <row r="4706" spans="1:1" x14ac:dyDescent="0.2">
      <c r="A4706" t="s">
        <v>1241</v>
      </c>
    </row>
    <row r="4707" spans="1:1" x14ac:dyDescent="0.2">
      <c r="A4707" t="s">
        <v>1242</v>
      </c>
    </row>
    <row r="4708" spans="1:1" x14ac:dyDescent="0.2">
      <c r="A4708" t="s">
        <v>1243</v>
      </c>
    </row>
    <row r="4709" spans="1:1" x14ac:dyDescent="0.2">
      <c r="A4709" t="s">
        <v>1244</v>
      </c>
    </row>
    <row r="4710" spans="1:1" x14ac:dyDescent="0.2">
      <c r="A4710" t="s">
        <v>1245</v>
      </c>
    </row>
    <row r="4711" spans="1:1" x14ac:dyDescent="0.2">
      <c r="A4711" t="s">
        <v>1246</v>
      </c>
    </row>
    <row r="4712" spans="1:1" x14ac:dyDescent="0.2">
      <c r="A4712" t="s">
        <v>1247</v>
      </c>
    </row>
    <row r="4713" spans="1:1" x14ac:dyDescent="0.2">
      <c r="A4713" t="s">
        <v>1248</v>
      </c>
    </row>
    <row r="4714" spans="1:1" x14ac:dyDescent="0.2">
      <c r="A4714" t="s">
        <v>1249</v>
      </c>
    </row>
    <row r="4715" spans="1:1" x14ac:dyDescent="0.2">
      <c r="A4715" t="s">
        <v>1250</v>
      </c>
    </row>
    <row r="4716" spans="1:1" x14ac:dyDescent="0.2">
      <c r="A4716" t="s">
        <v>1251</v>
      </c>
    </row>
    <row r="4717" spans="1:1" x14ac:dyDescent="0.2">
      <c r="A4717" t="s">
        <v>1252</v>
      </c>
    </row>
    <row r="4718" spans="1:1" x14ac:dyDescent="0.2">
      <c r="A4718" t="s">
        <v>1253</v>
      </c>
    </row>
    <row r="4719" spans="1:1" x14ac:dyDescent="0.2">
      <c r="A4719" t="s">
        <v>1254</v>
      </c>
    </row>
    <row r="4720" spans="1:1" x14ac:dyDescent="0.2">
      <c r="A4720" t="s">
        <v>1255</v>
      </c>
    </row>
    <row r="4721" spans="1:1" x14ac:dyDescent="0.2">
      <c r="A4721" t="s">
        <v>1256</v>
      </c>
    </row>
    <row r="4722" spans="1:1" x14ac:dyDescent="0.2">
      <c r="A4722" t="s">
        <v>1257</v>
      </c>
    </row>
    <row r="4723" spans="1:1" x14ac:dyDescent="0.2">
      <c r="A4723" t="s">
        <v>1258</v>
      </c>
    </row>
    <row r="4724" spans="1:1" x14ac:dyDescent="0.2">
      <c r="A4724" t="s">
        <v>1259</v>
      </c>
    </row>
    <row r="4725" spans="1:1" x14ac:dyDescent="0.2">
      <c r="A4725" t="s">
        <v>1260</v>
      </c>
    </row>
    <row r="4726" spans="1:1" x14ac:dyDescent="0.2">
      <c r="A4726" t="s">
        <v>1261</v>
      </c>
    </row>
    <row r="4727" spans="1:1" x14ac:dyDescent="0.2">
      <c r="A4727" t="s">
        <v>1262</v>
      </c>
    </row>
    <row r="4728" spans="1:1" x14ac:dyDescent="0.2">
      <c r="A4728" t="s">
        <v>1263</v>
      </c>
    </row>
    <row r="4729" spans="1:1" x14ac:dyDescent="0.2">
      <c r="A4729" t="s">
        <v>1264</v>
      </c>
    </row>
    <row r="4730" spans="1:1" x14ac:dyDescent="0.2">
      <c r="A4730" t="s">
        <v>1265</v>
      </c>
    </row>
    <row r="4731" spans="1:1" x14ac:dyDescent="0.2">
      <c r="A4731" t="s">
        <v>1266</v>
      </c>
    </row>
    <row r="4732" spans="1:1" x14ac:dyDescent="0.2">
      <c r="A4732" t="s">
        <v>1267</v>
      </c>
    </row>
    <row r="4733" spans="1:1" x14ac:dyDescent="0.2">
      <c r="A4733" t="s">
        <v>1268</v>
      </c>
    </row>
    <row r="4734" spans="1:1" x14ac:dyDescent="0.2">
      <c r="A4734" t="s">
        <v>1269</v>
      </c>
    </row>
    <row r="4735" spans="1:1" x14ac:dyDescent="0.2">
      <c r="A4735" t="s">
        <v>1270</v>
      </c>
    </row>
    <row r="4736" spans="1:1" x14ac:dyDescent="0.2">
      <c r="A4736" t="s">
        <v>1271</v>
      </c>
    </row>
    <row r="4737" spans="1:1" x14ac:dyDescent="0.2">
      <c r="A4737" t="s">
        <v>1272</v>
      </c>
    </row>
    <row r="4738" spans="1:1" x14ac:dyDescent="0.2">
      <c r="A4738" t="s">
        <v>1273</v>
      </c>
    </row>
    <row r="4739" spans="1:1" x14ac:dyDescent="0.2">
      <c r="A4739" t="s">
        <v>1274</v>
      </c>
    </row>
    <row r="4740" spans="1:1" x14ac:dyDescent="0.2">
      <c r="A4740" t="s">
        <v>1275</v>
      </c>
    </row>
    <row r="4741" spans="1:1" x14ac:dyDescent="0.2">
      <c r="A4741" t="s">
        <v>1276</v>
      </c>
    </row>
    <row r="4742" spans="1:1" x14ac:dyDescent="0.2">
      <c r="A4742" t="s">
        <v>1277</v>
      </c>
    </row>
    <row r="4743" spans="1:1" x14ac:dyDescent="0.2">
      <c r="A4743" t="s">
        <v>1278</v>
      </c>
    </row>
    <row r="4744" spans="1:1" x14ac:dyDescent="0.2">
      <c r="A4744" t="s">
        <v>1279</v>
      </c>
    </row>
    <row r="4745" spans="1:1" x14ac:dyDescent="0.2">
      <c r="A4745" t="s">
        <v>1280</v>
      </c>
    </row>
    <row r="4746" spans="1:1" x14ac:dyDescent="0.2">
      <c r="A4746" t="s">
        <v>1281</v>
      </c>
    </row>
    <row r="4747" spans="1:1" x14ac:dyDescent="0.2">
      <c r="A4747" t="s">
        <v>1282</v>
      </c>
    </row>
    <row r="4748" spans="1:1" x14ac:dyDescent="0.2">
      <c r="A4748" t="s">
        <v>1283</v>
      </c>
    </row>
    <row r="4749" spans="1:1" x14ac:dyDescent="0.2">
      <c r="A4749" t="s">
        <v>1284</v>
      </c>
    </row>
    <row r="4750" spans="1:1" x14ac:dyDescent="0.2">
      <c r="A4750" t="s">
        <v>1285</v>
      </c>
    </row>
    <row r="4751" spans="1:1" x14ac:dyDescent="0.2">
      <c r="A4751" t="s">
        <v>1286</v>
      </c>
    </row>
    <row r="4752" spans="1:1" x14ac:dyDescent="0.2">
      <c r="A4752" t="s">
        <v>2872</v>
      </c>
    </row>
    <row r="4753" spans="1:1" x14ac:dyDescent="0.2">
      <c r="A4753" t="s">
        <v>1053</v>
      </c>
    </row>
    <row r="4754" spans="1:1" x14ac:dyDescent="0.2">
      <c r="A4754" t="s">
        <v>2873</v>
      </c>
    </row>
    <row r="4755" spans="1:1" x14ac:dyDescent="0.2">
      <c r="A4755" t="s">
        <v>2768</v>
      </c>
    </row>
    <row r="4756" spans="1:1" x14ac:dyDescent="0.2">
      <c r="A4756" t="s">
        <v>2769</v>
      </c>
    </row>
    <row r="4757" spans="1:1" x14ac:dyDescent="0.2">
      <c r="A4757" t="s">
        <v>1054</v>
      </c>
    </row>
    <row r="4758" spans="1:1" x14ac:dyDescent="0.2">
      <c r="A4758" t="s">
        <v>1055</v>
      </c>
    </row>
    <row r="4759" spans="1:1" x14ac:dyDescent="0.2">
      <c r="A4759" t="s">
        <v>2770</v>
      </c>
    </row>
    <row r="4760" spans="1:1" x14ac:dyDescent="0.2">
      <c r="A4760" t="s">
        <v>1056</v>
      </c>
    </row>
    <row r="4761" spans="1:1" x14ac:dyDescent="0.2">
      <c r="A4761" t="s">
        <v>1057</v>
      </c>
    </row>
    <row r="4762" spans="1:1" x14ac:dyDescent="0.2">
      <c r="A4762" t="s">
        <v>1058</v>
      </c>
    </row>
    <row r="4763" spans="1:1" x14ac:dyDescent="0.2">
      <c r="A4763" t="s">
        <v>1059</v>
      </c>
    </row>
    <row r="4764" spans="1:1" x14ac:dyDescent="0.2">
      <c r="A4764" t="s">
        <v>1060</v>
      </c>
    </row>
    <row r="4765" spans="1:1" x14ac:dyDescent="0.2">
      <c r="A4765" t="s">
        <v>1061</v>
      </c>
    </row>
    <row r="4766" spans="1:1" x14ac:dyDescent="0.2">
      <c r="A4766" t="s">
        <v>1062</v>
      </c>
    </row>
    <row r="4767" spans="1:1" x14ac:dyDescent="0.2">
      <c r="A4767" t="s">
        <v>1063</v>
      </c>
    </row>
    <row r="4768" spans="1:1" x14ac:dyDescent="0.2">
      <c r="A4768" t="s">
        <v>1064</v>
      </c>
    </row>
    <row r="4769" spans="1:1" x14ac:dyDescent="0.2">
      <c r="A4769" t="s">
        <v>1065</v>
      </c>
    </row>
    <row r="4770" spans="1:1" x14ac:dyDescent="0.2">
      <c r="A4770" t="s">
        <v>1066</v>
      </c>
    </row>
    <row r="4771" spans="1:1" x14ac:dyDescent="0.2">
      <c r="A4771" t="s">
        <v>1067</v>
      </c>
    </row>
    <row r="4772" spans="1:1" x14ac:dyDescent="0.2">
      <c r="A4772" t="s">
        <v>1068</v>
      </c>
    </row>
    <row r="4773" spans="1:1" x14ac:dyDescent="0.2">
      <c r="A4773" t="s">
        <v>1069</v>
      </c>
    </row>
    <row r="4774" spans="1:1" x14ac:dyDescent="0.2">
      <c r="A4774" t="s">
        <v>1070</v>
      </c>
    </row>
    <row r="4775" spans="1:1" x14ac:dyDescent="0.2">
      <c r="A4775" t="s">
        <v>1071</v>
      </c>
    </row>
    <row r="4776" spans="1:1" x14ac:dyDescent="0.2">
      <c r="A4776" t="s">
        <v>1072</v>
      </c>
    </row>
    <row r="4777" spans="1:1" x14ac:dyDescent="0.2">
      <c r="A4777" t="s">
        <v>1073</v>
      </c>
    </row>
    <row r="4778" spans="1:1" x14ac:dyDescent="0.2">
      <c r="A4778" t="s">
        <v>1074</v>
      </c>
    </row>
    <row r="4779" spans="1:1" x14ac:dyDescent="0.2">
      <c r="A4779" t="s">
        <v>1075</v>
      </c>
    </row>
    <row r="4780" spans="1:1" x14ac:dyDescent="0.2">
      <c r="A4780" t="s">
        <v>1076</v>
      </c>
    </row>
    <row r="4781" spans="1:1" x14ac:dyDescent="0.2">
      <c r="A4781" t="s">
        <v>1077</v>
      </c>
    </row>
    <row r="4782" spans="1:1" x14ac:dyDescent="0.2">
      <c r="A4782" t="s">
        <v>1078</v>
      </c>
    </row>
    <row r="4783" spans="1:1" x14ac:dyDescent="0.2">
      <c r="A4783" t="s">
        <v>1079</v>
      </c>
    </row>
    <row r="4784" spans="1:1" x14ac:dyDescent="0.2">
      <c r="A4784" t="s">
        <v>1080</v>
      </c>
    </row>
    <row r="4785" spans="1:1" x14ac:dyDescent="0.2">
      <c r="A4785" t="s">
        <v>1081</v>
      </c>
    </row>
    <row r="4786" spans="1:1" x14ac:dyDescent="0.2">
      <c r="A4786" t="s">
        <v>1082</v>
      </c>
    </row>
    <row r="4787" spans="1:1" x14ac:dyDescent="0.2">
      <c r="A4787" t="s">
        <v>1083</v>
      </c>
    </row>
    <row r="4788" spans="1:1" x14ac:dyDescent="0.2">
      <c r="A4788" t="s">
        <v>2771</v>
      </c>
    </row>
    <row r="4789" spans="1:1" x14ac:dyDescent="0.2">
      <c r="A4789" t="s">
        <v>2772</v>
      </c>
    </row>
    <row r="4790" spans="1:1" x14ac:dyDescent="0.2">
      <c r="A4790" t="s">
        <v>2773</v>
      </c>
    </row>
    <row r="4791" spans="1:1" x14ac:dyDescent="0.2">
      <c r="A4791" t="s">
        <v>2774</v>
      </c>
    </row>
    <row r="4792" spans="1:1" x14ac:dyDescent="0.2">
      <c r="A4792" t="s">
        <v>2775</v>
      </c>
    </row>
    <row r="4793" spans="1:1" x14ac:dyDescent="0.2">
      <c r="A4793" t="s">
        <v>2776</v>
      </c>
    </row>
    <row r="4794" spans="1:1" x14ac:dyDescent="0.2">
      <c r="A4794" t="s">
        <v>1084</v>
      </c>
    </row>
    <row r="4795" spans="1:1" x14ac:dyDescent="0.2">
      <c r="A4795" t="s">
        <v>1085</v>
      </c>
    </row>
    <row r="4796" spans="1:1" x14ac:dyDescent="0.2">
      <c r="A4796" t="s">
        <v>1086</v>
      </c>
    </row>
    <row r="4797" spans="1:1" x14ac:dyDescent="0.2">
      <c r="A4797" t="s">
        <v>1087</v>
      </c>
    </row>
    <row r="4798" spans="1:1" x14ac:dyDescent="0.2">
      <c r="A4798" t="s">
        <v>1088</v>
      </c>
    </row>
    <row r="4799" spans="1:1" x14ac:dyDescent="0.2">
      <c r="A4799" t="s">
        <v>1089</v>
      </c>
    </row>
    <row r="4800" spans="1:1" x14ac:dyDescent="0.2">
      <c r="A4800" t="s">
        <v>1090</v>
      </c>
    </row>
    <row r="4801" spans="1:1" x14ac:dyDescent="0.2">
      <c r="A4801" t="s">
        <v>1091</v>
      </c>
    </row>
    <row r="4802" spans="1:1" x14ac:dyDescent="0.2">
      <c r="A4802" t="s">
        <v>1092</v>
      </c>
    </row>
    <row r="4803" spans="1:1" x14ac:dyDescent="0.2">
      <c r="A4803" t="s">
        <v>1093</v>
      </c>
    </row>
    <row r="4804" spans="1:1" x14ac:dyDescent="0.2">
      <c r="A4804" t="s">
        <v>1094</v>
      </c>
    </row>
    <row r="4805" spans="1:1" x14ac:dyDescent="0.2">
      <c r="A4805" t="s">
        <v>1095</v>
      </c>
    </row>
    <row r="4806" spans="1:1" x14ac:dyDescent="0.2">
      <c r="A4806" t="s">
        <v>1096</v>
      </c>
    </row>
    <row r="4807" spans="1:1" x14ac:dyDescent="0.2">
      <c r="A4807" t="s">
        <v>1097</v>
      </c>
    </row>
    <row r="4808" spans="1:1" x14ac:dyDescent="0.2">
      <c r="A4808" t="s">
        <v>1098</v>
      </c>
    </row>
    <row r="4809" spans="1:1" x14ac:dyDescent="0.2">
      <c r="A4809" t="s">
        <v>1099</v>
      </c>
    </row>
    <row r="4810" spans="1:1" x14ac:dyDescent="0.2">
      <c r="A4810" t="s">
        <v>1100</v>
      </c>
    </row>
    <row r="4811" spans="1:1" x14ac:dyDescent="0.2">
      <c r="A4811" t="s">
        <v>1101</v>
      </c>
    </row>
    <row r="4812" spans="1:1" x14ac:dyDescent="0.2">
      <c r="A4812" t="s">
        <v>1102</v>
      </c>
    </row>
    <row r="4813" spans="1:1" x14ac:dyDescent="0.2">
      <c r="A4813" t="s">
        <v>1103</v>
      </c>
    </row>
    <row r="4814" spans="1:1" x14ac:dyDescent="0.2">
      <c r="A4814" t="s">
        <v>1104</v>
      </c>
    </row>
    <row r="4815" spans="1:1" x14ac:dyDescent="0.2">
      <c r="A4815" t="s">
        <v>1105</v>
      </c>
    </row>
    <row r="4816" spans="1:1" x14ac:dyDescent="0.2">
      <c r="A4816" t="s">
        <v>1106</v>
      </c>
    </row>
    <row r="4817" spans="1:1" x14ac:dyDescent="0.2">
      <c r="A4817" t="s">
        <v>1107</v>
      </c>
    </row>
    <row r="4818" spans="1:1" x14ac:dyDescent="0.2">
      <c r="A4818" t="s">
        <v>1108</v>
      </c>
    </row>
    <row r="4819" spans="1:1" x14ac:dyDescent="0.2">
      <c r="A4819" t="s">
        <v>1109</v>
      </c>
    </row>
    <row r="4820" spans="1:1" x14ac:dyDescent="0.2">
      <c r="A4820" t="s">
        <v>1110</v>
      </c>
    </row>
    <row r="4821" spans="1:1" x14ac:dyDescent="0.2">
      <c r="A4821" t="s">
        <v>1111</v>
      </c>
    </row>
    <row r="4822" spans="1:1" x14ac:dyDescent="0.2">
      <c r="A4822" t="s">
        <v>1112</v>
      </c>
    </row>
    <row r="4823" spans="1:1" x14ac:dyDescent="0.2">
      <c r="A4823" t="s">
        <v>1113</v>
      </c>
    </row>
    <row r="4824" spans="1:1" x14ac:dyDescent="0.2">
      <c r="A4824" t="s">
        <v>1114</v>
      </c>
    </row>
    <row r="4825" spans="1:1" x14ac:dyDescent="0.2">
      <c r="A4825" t="s">
        <v>1115</v>
      </c>
    </row>
    <row r="4826" spans="1:1" x14ac:dyDescent="0.2">
      <c r="A4826" t="s">
        <v>1116</v>
      </c>
    </row>
    <row r="4827" spans="1:1" x14ac:dyDescent="0.2">
      <c r="A4827" t="s">
        <v>1117</v>
      </c>
    </row>
    <row r="4828" spans="1:1" x14ac:dyDescent="0.2">
      <c r="A4828" t="s">
        <v>1118</v>
      </c>
    </row>
    <row r="4829" spans="1:1" x14ac:dyDescent="0.2">
      <c r="A4829" t="s">
        <v>1119</v>
      </c>
    </row>
    <row r="4830" spans="1:1" x14ac:dyDescent="0.2">
      <c r="A4830" t="s">
        <v>1120</v>
      </c>
    </row>
    <row r="4831" spans="1:1" x14ac:dyDescent="0.2">
      <c r="A4831" t="s">
        <v>1288</v>
      </c>
    </row>
    <row r="4832" spans="1:1" x14ac:dyDescent="0.2">
      <c r="A4832" t="s">
        <v>2874</v>
      </c>
    </row>
    <row r="4833" spans="1:1" x14ac:dyDescent="0.2">
      <c r="A4833" t="s">
        <v>2875</v>
      </c>
    </row>
    <row r="4834" spans="1:1" x14ac:dyDescent="0.2">
      <c r="A4834" t="s">
        <v>2876</v>
      </c>
    </row>
    <row r="4835" spans="1:1" x14ac:dyDescent="0.2">
      <c r="A4835" t="s">
        <v>2877</v>
      </c>
    </row>
    <row r="4836" spans="1:1" x14ac:dyDescent="0.2">
      <c r="A4836" t="s">
        <v>1289</v>
      </c>
    </row>
    <row r="4837" spans="1:1" x14ac:dyDescent="0.2">
      <c r="A4837" t="s">
        <v>2781</v>
      </c>
    </row>
    <row r="4838" spans="1:1" x14ac:dyDescent="0.2">
      <c r="A4838" t="s">
        <v>2878</v>
      </c>
    </row>
    <row r="4839" spans="1:1" x14ac:dyDescent="0.2">
      <c r="A4839" t="s">
        <v>1122</v>
      </c>
    </row>
    <row r="4840" spans="1:1" x14ac:dyDescent="0.2">
      <c r="A4840" t="s">
        <v>1123</v>
      </c>
    </row>
    <row r="4841" spans="1:1" x14ac:dyDescent="0.2">
      <c r="A4841" t="s">
        <v>1124</v>
      </c>
    </row>
    <row r="4842" spans="1:1" x14ac:dyDescent="0.2">
      <c r="A4842" t="s">
        <v>1125</v>
      </c>
    </row>
    <row r="4843" spans="1:1" x14ac:dyDescent="0.2">
      <c r="A4843" t="s">
        <v>1126</v>
      </c>
    </row>
    <row r="4844" spans="1:1" x14ac:dyDescent="0.2">
      <c r="A4844" t="s">
        <v>1127</v>
      </c>
    </row>
    <row r="4845" spans="1:1" x14ac:dyDescent="0.2">
      <c r="A4845" t="s">
        <v>1128</v>
      </c>
    </row>
    <row r="4846" spans="1:1" x14ac:dyDescent="0.2">
      <c r="A4846" t="s">
        <v>1129</v>
      </c>
    </row>
    <row r="4847" spans="1:1" x14ac:dyDescent="0.2">
      <c r="A4847" t="s">
        <v>1130</v>
      </c>
    </row>
    <row r="4848" spans="1:1" x14ac:dyDescent="0.2">
      <c r="A4848" t="s">
        <v>1131</v>
      </c>
    </row>
    <row r="4849" spans="1:1" x14ac:dyDescent="0.2">
      <c r="A4849" t="s">
        <v>1132</v>
      </c>
    </row>
    <row r="4850" spans="1:1" x14ac:dyDescent="0.2">
      <c r="A4850" t="s">
        <v>1133</v>
      </c>
    </row>
    <row r="4851" spans="1:1" x14ac:dyDescent="0.2">
      <c r="A4851" t="s">
        <v>1134</v>
      </c>
    </row>
    <row r="4852" spans="1:1" x14ac:dyDescent="0.2">
      <c r="A4852" t="s">
        <v>1135</v>
      </c>
    </row>
    <row r="4853" spans="1:1" x14ac:dyDescent="0.2">
      <c r="A4853" t="s">
        <v>1136</v>
      </c>
    </row>
    <row r="4854" spans="1:1" x14ac:dyDescent="0.2">
      <c r="A4854" t="s">
        <v>1137</v>
      </c>
    </row>
    <row r="4855" spans="1:1" x14ac:dyDescent="0.2">
      <c r="A4855" t="s">
        <v>1138</v>
      </c>
    </row>
    <row r="4856" spans="1:1" x14ac:dyDescent="0.2">
      <c r="A4856" t="s">
        <v>1139</v>
      </c>
    </row>
    <row r="4857" spans="1:1" x14ac:dyDescent="0.2">
      <c r="A4857" t="s">
        <v>1140</v>
      </c>
    </row>
    <row r="4858" spans="1:1" x14ac:dyDescent="0.2">
      <c r="A4858" t="s">
        <v>1141</v>
      </c>
    </row>
    <row r="4859" spans="1:1" x14ac:dyDescent="0.2">
      <c r="A4859" t="s">
        <v>1142</v>
      </c>
    </row>
    <row r="4860" spans="1:1" x14ac:dyDescent="0.2">
      <c r="A4860" t="s">
        <v>1143</v>
      </c>
    </row>
    <row r="4861" spans="1:1" x14ac:dyDescent="0.2">
      <c r="A4861" t="s">
        <v>1144</v>
      </c>
    </row>
    <row r="4862" spans="1:1" x14ac:dyDescent="0.2">
      <c r="A4862" t="s">
        <v>1145</v>
      </c>
    </row>
    <row r="4863" spans="1:1" x14ac:dyDescent="0.2">
      <c r="A4863" t="s">
        <v>1146</v>
      </c>
    </row>
    <row r="4864" spans="1:1" x14ac:dyDescent="0.2">
      <c r="A4864" t="s">
        <v>1147</v>
      </c>
    </row>
    <row r="4865" spans="1:1" x14ac:dyDescent="0.2">
      <c r="A4865" t="s">
        <v>1148</v>
      </c>
    </row>
    <row r="4866" spans="1:1" x14ac:dyDescent="0.2">
      <c r="A4866" t="s">
        <v>1149</v>
      </c>
    </row>
    <row r="4867" spans="1:1" x14ac:dyDescent="0.2">
      <c r="A4867" t="s">
        <v>1150</v>
      </c>
    </row>
    <row r="4868" spans="1:1" x14ac:dyDescent="0.2">
      <c r="A4868" t="s">
        <v>1151</v>
      </c>
    </row>
    <row r="4869" spans="1:1" x14ac:dyDescent="0.2">
      <c r="A4869" t="s">
        <v>1152</v>
      </c>
    </row>
    <row r="4870" spans="1:1" x14ac:dyDescent="0.2">
      <c r="A4870" t="s">
        <v>1153</v>
      </c>
    </row>
    <row r="4871" spans="1:1" x14ac:dyDescent="0.2">
      <c r="A4871" t="s">
        <v>1154</v>
      </c>
    </row>
    <row r="4872" spans="1:1" x14ac:dyDescent="0.2">
      <c r="A4872" t="s">
        <v>1155</v>
      </c>
    </row>
    <row r="4873" spans="1:1" x14ac:dyDescent="0.2">
      <c r="A4873" t="s">
        <v>1156</v>
      </c>
    </row>
    <row r="4874" spans="1:1" x14ac:dyDescent="0.2">
      <c r="A4874" t="s">
        <v>1157</v>
      </c>
    </row>
    <row r="4875" spans="1:1" x14ac:dyDescent="0.2">
      <c r="A4875" t="s">
        <v>1158</v>
      </c>
    </row>
    <row r="4876" spans="1:1" x14ac:dyDescent="0.2">
      <c r="A4876" t="s">
        <v>1159</v>
      </c>
    </row>
    <row r="4877" spans="1:1" x14ac:dyDescent="0.2">
      <c r="A4877" t="s">
        <v>1160</v>
      </c>
    </row>
    <row r="4878" spans="1:1" x14ac:dyDescent="0.2">
      <c r="A4878" t="s">
        <v>1161</v>
      </c>
    </row>
    <row r="4879" spans="1:1" x14ac:dyDescent="0.2">
      <c r="A4879" t="s">
        <v>1162</v>
      </c>
    </row>
    <row r="4880" spans="1:1" x14ac:dyDescent="0.2">
      <c r="A4880" t="s">
        <v>1163</v>
      </c>
    </row>
    <row r="4881" spans="1:1" x14ac:dyDescent="0.2">
      <c r="A4881" t="s">
        <v>1164</v>
      </c>
    </row>
    <row r="4882" spans="1:1" x14ac:dyDescent="0.2">
      <c r="A4882" t="s">
        <v>1165</v>
      </c>
    </row>
    <row r="4883" spans="1:1" x14ac:dyDescent="0.2">
      <c r="A4883" t="s">
        <v>1166</v>
      </c>
    </row>
    <row r="4884" spans="1:1" x14ac:dyDescent="0.2">
      <c r="A4884" t="s">
        <v>1167</v>
      </c>
    </row>
    <row r="4885" spans="1:1" x14ac:dyDescent="0.2">
      <c r="A4885" t="s">
        <v>1168</v>
      </c>
    </row>
    <row r="4886" spans="1:1" x14ac:dyDescent="0.2">
      <c r="A4886" t="s">
        <v>1169</v>
      </c>
    </row>
    <row r="4887" spans="1:1" x14ac:dyDescent="0.2">
      <c r="A4887" t="s">
        <v>1170</v>
      </c>
    </row>
    <row r="4888" spans="1:1" x14ac:dyDescent="0.2">
      <c r="A4888" t="s">
        <v>1171</v>
      </c>
    </row>
    <row r="4889" spans="1:1" x14ac:dyDescent="0.2">
      <c r="A4889" t="s">
        <v>1172</v>
      </c>
    </row>
    <row r="4890" spans="1:1" x14ac:dyDescent="0.2">
      <c r="A4890" t="s">
        <v>1173</v>
      </c>
    </row>
    <row r="4891" spans="1:1" x14ac:dyDescent="0.2">
      <c r="A4891" t="s">
        <v>1174</v>
      </c>
    </row>
    <row r="4892" spans="1:1" x14ac:dyDescent="0.2">
      <c r="A4892" t="s">
        <v>1175</v>
      </c>
    </row>
    <row r="4893" spans="1:1" x14ac:dyDescent="0.2">
      <c r="A4893" t="s">
        <v>1176</v>
      </c>
    </row>
    <row r="4894" spans="1:1" x14ac:dyDescent="0.2">
      <c r="A4894" t="s">
        <v>1177</v>
      </c>
    </row>
    <row r="4895" spans="1:1" x14ac:dyDescent="0.2">
      <c r="A4895" t="s">
        <v>1178</v>
      </c>
    </row>
    <row r="4896" spans="1:1" x14ac:dyDescent="0.2">
      <c r="A4896" t="s">
        <v>1179</v>
      </c>
    </row>
    <row r="4897" spans="1:1" x14ac:dyDescent="0.2">
      <c r="A4897" t="s">
        <v>1180</v>
      </c>
    </row>
    <row r="4898" spans="1:1" x14ac:dyDescent="0.2">
      <c r="A4898" t="s">
        <v>1181</v>
      </c>
    </row>
    <row r="4899" spans="1:1" x14ac:dyDescent="0.2">
      <c r="A4899" t="s">
        <v>1182</v>
      </c>
    </row>
    <row r="4900" spans="1:1" x14ac:dyDescent="0.2">
      <c r="A4900" t="s">
        <v>1183</v>
      </c>
    </row>
    <row r="4901" spans="1:1" x14ac:dyDescent="0.2">
      <c r="A4901" t="s">
        <v>1184</v>
      </c>
    </row>
    <row r="4902" spans="1:1" x14ac:dyDescent="0.2">
      <c r="A4902" t="s">
        <v>1185</v>
      </c>
    </row>
    <row r="4903" spans="1:1" x14ac:dyDescent="0.2">
      <c r="A4903" t="s">
        <v>1186</v>
      </c>
    </row>
    <row r="4904" spans="1:1" x14ac:dyDescent="0.2">
      <c r="A4904" t="s">
        <v>1187</v>
      </c>
    </row>
    <row r="4905" spans="1:1" x14ac:dyDescent="0.2">
      <c r="A4905" t="s">
        <v>1188</v>
      </c>
    </row>
    <row r="4906" spans="1:1" x14ac:dyDescent="0.2">
      <c r="A4906" t="s">
        <v>1189</v>
      </c>
    </row>
    <row r="4907" spans="1:1" x14ac:dyDescent="0.2">
      <c r="A4907" t="s">
        <v>1190</v>
      </c>
    </row>
    <row r="4908" spans="1:1" x14ac:dyDescent="0.2">
      <c r="A4908" t="s">
        <v>1191</v>
      </c>
    </row>
    <row r="4909" spans="1:1" x14ac:dyDescent="0.2">
      <c r="A4909" t="s">
        <v>1192</v>
      </c>
    </row>
    <row r="4910" spans="1:1" x14ac:dyDescent="0.2">
      <c r="A4910" t="s">
        <v>1193</v>
      </c>
    </row>
    <row r="4911" spans="1:1" x14ac:dyDescent="0.2">
      <c r="A4911" t="s">
        <v>1194</v>
      </c>
    </row>
    <row r="4912" spans="1:1" x14ac:dyDescent="0.2">
      <c r="A4912" t="s">
        <v>1195</v>
      </c>
    </row>
    <row r="4913" spans="1:1" x14ac:dyDescent="0.2">
      <c r="A4913" t="s">
        <v>1196</v>
      </c>
    </row>
    <row r="4914" spans="1:1" x14ac:dyDescent="0.2">
      <c r="A4914" t="s">
        <v>1197</v>
      </c>
    </row>
    <row r="4915" spans="1:1" x14ac:dyDescent="0.2">
      <c r="A4915" t="s">
        <v>1198</v>
      </c>
    </row>
    <row r="4916" spans="1:1" x14ac:dyDescent="0.2">
      <c r="A4916" t="s">
        <v>1199</v>
      </c>
    </row>
    <row r="4917" spans="1:1" x14ac:dyDescent="0.2">
      <c r="A4917" t="s">
        <v>1200</v>
      </c>
    </row>
    <row r="4918" spans="1:1" x14ac:dyDescent="0.2">
      <c r="A4918" t="s">
        <v>1201</v>
      </c>
    </row>
    <row r="4919" spans="1:1" x14ac:dyDescent="0.2">
      <c r="A4919" t="s">
        <v>1202</v>
      </c>
    </row>
    <row r="4920" spans="1:1" x14ac:dyDescent="0.2">
      <c r="A4920" t="s">
        <v>1203</v>
      </c>
    </row>
    <row r="4921" spans="1:1" x14ac:dyDescent="0.2">
      <c r="A4921" t="s">
        <v>1204</v>
      </c>
    </row>
    <row r="4922" spans="1:1" x14ac:dyDescent="0.2">
      <c r="A4922" t="s">
        <v>1205</v>
      </c>
    </row>
    <row r="4923" spans="1:1" x14ac:dyDescent="0.2">
      <c r="A4923" t="s">
        <v>1206</v>
      </c>
    </row>
    <row r="4924" spans="1:1" x14ac:dyDescent="0.2">
      <c r="A4924" t="s">
        <v>1207</v>
      </c>
    </row>
    <row r="4925" spans="1:1" x14ac:dyDescent="0.2">
      <c r="A4925" t="s">
        <v>1208</v>
      </c>
    </row>
    <row r="4926" spans="1:1" x14ac:dyDescent="0.2">
      <c r="A4926" t="s">
        <v>1209</v>
      </c>
    </row>
    <row r="4927" spans="1:1" x14ac:dyDescent="0.2">
      <c r="A4927" t="s">
        <v>1210</v>
      </c>
    </row>
    <row r="4928" spans="1:1" x14ac:dyDescent="0.2">
      <c r="A4928" t="s">
        <v>1211</v>
      </c>
    </row>
    <row r="4929" spans="1:1" x14ac:dyDescent="0.2">
      <c r="A4929" t="s">
        <v>1212</v>
      </c>
    </row>
    <row r="4930" spans="1:1" x14ac:dyDescent="0.2">
      <c r="A4930" t="s">
        <v>1213</v>
      </c>
    </row>
    <row r="4931" spans="1:1" x14ac:dyDescent="0.2">
      <c r="A4931" t="s">
        <v>1214</v>
      </c>
    </row>
    <row r="4932" spans="1:1" x14ac:dyDescent="0.2">
      <c r="A4932" t="s">
        <v>1215</v>
      </c>
    </row>
    <row r="4933" spans="1:1" x14ac:dyDescent="0.2">
      <c r="A4933" t="s">
        <v>1216</v>
      </c>
    </row>
    <row r="4934" spans="1:1" x14ac:dyDescent="0.2">
      <c r="A4934" t="s">
        <v>1217</v>
      </c>
    </row>
    <row r="4935" spans="1:1" x14ac:dyDescent="0.2">
      <c r="A4935" t="s">
        <v>1218</v>
      </c>
    </row>
    <row r="4936" spans="1:1" x14ac:dyDescent="0.2">
      <c r="A4936" t="s">
        <v>1219</v>
      </c>
    </row>
    <row r="4937" spans="1:1" x14ac:dyDescent="0.2">
      <c r="A4937" t="s">
        <v>1220</v>
      </c>
    </row>
    <row r="4938" spans="1:1" x14ac:dyDescent="0.2">
      <c r="A4938" t="s">
        <v>1221</v>
      </c>
    </row>
    <row r="4939" spans="1:1" x14ac:dyDescent="0.2">
      <c r="A4939" t="s">
        <v>1222</v>
      </c>
    </row>
    <row r="4940" spans="1:1" x14ac:dyDescent="0.2">
      <c r="A4940" t="s">
        <v>1223</v>
      </c>
    </row>
    <row r="4941" spans="1:1" x14ac:dyDescent="0.2">
      <c r="A4941" t="s">
        <v>1224</v>
      </c>
    </row>
    <row r="4942" spans="1:1" x14ac:dyDescent="0.2">
      <c r="A4942" t="s">
        <v>1225</v>
      </c>
    </row>
    <row r="4943" spans="1:1" x14ac:dyDescent="0.2">
      <c r="A4943" t="s">
        <v>1226</v>
      </c>
    </row>
    <row r="4944" spans="1:1" x14ac:dyDescent="0.2">
      <c r="A4944" t="s">
        <v>1227</v>
      </c>
    </row>
    <row r="4945" spans="1:1" x14ac:dyDescent="0.2">
      <c r="A4945" t="s">
        <v>1228</v>
      </c>
    </row>
    <row r="4946" spans="1:1" x14ac:dyDescent="0.2">
      <c r="A4946" t="s">
        <v>1229</v>
      </c>
    </row>
    <row r="4947" spans="1:1" x14ac:dyDescent="0.2">
      <c r="A4947" t="s">
        <v>1230</v>
      </c>
    </row>
    <row r="4948" spans="1:1" x14ac:dyDescent="0.2">
      <c r="A4948" t="s">
        <v>1231</v>
      </c>
    </row>
    <row r="4949" spans="1:1" x14ac:dyDescent="0.2">
      <c r="A4949" t="s">
        <v>1232</v>
      </c>
    </row>
    <row r="4950" spans="1:1" x14ac:dyDescent="0.2">
      <c r="A4950" t="s">
        <v>1233</v>
      </c>
    </row>
    <row r="4951" spans="1:1" x14ac:dyDescent="0.2">
      <c r="A4951" t="s">
        <v>1234</v>
      </c>
    </row>
    <row r="4952" spans="1:1" x14ac:dyDescent="0.2">
      <c r="A4952" t="s">
        <v>1235</v>
      </c>
    </row>
    <row r="4953" spans="1:1" x14ac:dyDescent="0.2">
      <c r="A4953" t="s">
        <v>1236</v>
      </c>
    </row>
    <row r="4954" spans="1:1" x14ac:dyDescent="0.2">
      <c r="A4954" t="s">
        <v>1237</v>
      </c>
    </row>
    <row r="4955" spans="1:1" x14ac:dyDescent="0.2">
      <c r="A4955" t="s">
        <v>1238</v>
      </c>
    </row>
    <row r="4956" spans="1:1" x14ac:dyDescent="0.2">
      <c r="A4956" t="s">
        <v>1239</v>
      </c>
    </row>
    <row r="4957" spans="1:1" x14ac:dyDescent="0.2">
      <c r="A4957" t="s">
        <v>1240</v>
      </c>
    </row>
    <row r="4958" spans="1:1" x14ac:dyDescent="0.2">
      <c r="A4958" t="s">
        <v>1241</v>
      </c>
    </row>
    <row r="4959" spans="1:1" x14ac:dyDescent="0.2">
      <c r="A4959" t="s">
        <v>1242</v>
      </c>
    </row>
    <row r="4960" spans="1:1" x14ac:dyDescent="0.2">
      <c r="A4960" t="s">
        <v>1243</v>
      </c>
    </row>
    <row r="4961" spans="1:1" x14ac:dyDescent="0.2">
      <c r="A4961" t="s">
        <v>1244</v>
      </c>
    </row>
    <row r="4962" spans="1:1" x14ac:dyDescent="0.2">
      <c r="A4962" t="s">
        <v>1245</v>
      </c>
    </row>
    <row r="4963" spans="1:1" x14ac:dyDescent="0.2">
      <c r="A4963" t="s">
        <v>1246</v>
      </c>
    </row>
    <row r="4964" spans="1:1" x14ac:dyDescent="0.2">
      <c r="A4964" t="s">
        <v>1247</v>
      </c>
    </row>
    <row r="4965" spans="1:1" x14ac:dyDescent="0.2">
      <c r="A4965" t="s">
        <v>1248</v>
      </c>
    </row>
    <row r="4966" spans="1:1" x14ac:dyDescent="0.2">
      <c r="A4966" t="s">
        <v>1249</v>
      </c>
    </row>
    <row r="4967" spans="1:1" x14ac:dyDescent="0.2">
      <c r="A4967" t="s">
        <v>1250</v>
      </c>
    </row>
    <row r="4968" spans="1:1" x14ac:dyDescent="0.2">
      <c r="A4968" t="s">
        <v>1251</v>
      </c>
    </row>
    <row r="4969" spans="1:1" x14ac:dyDescent="0.2">
      <c r="A4969" t="s">
        <v>1252</v>
      </c>
    </row>
    <row r="4970" spans="1:1" x14ac:dyDescent="0.2">
      <c r="A4970" t="s">
        <v>1253</v>
      </c>
    </row>
    <row r="4971" spans="1:1" x14ac:dyDescent="0.2">
      <c r="A4971" t="s">
        <v>1254</v>
      </c>
    </row>
    <row r="4972" spans="1:1" x14ac:dyDescent="0.2">
      <c r="A4972" t="s">
        <v>1255</v>
      </c>
    </row>
    <row r="4973" spans="1:1" x14ac:dyDescent="0.2">
      <c r="A4973" t="s">
        <v>1256</v>
      </c>
    </row>
    <row r="4974" spans="1:1" x14ac:dyDescent="0.2">
      <c r="A4974" t="s">
        <v>1257</v>
      </c>
    </row>
    <row r="4975" spans="1:1" x14ac:dyDescent="0.2">
      <c r="A4975" t="s">
        <v>1258</v>
      </c>
    </row>
    <row r="4976" spans="1:1" x14ac:dyDescent="0.2">
      <c r="A4976" t="s">
        <v>1259</v>
      </c>
    </row>
    <row r="4977" spans="1:1" x14ac:dyDescent="0.2">
      <c r="A4977" t="s">
        <v>1260</v>
      </c>
    </row>
    <row r="4978" spans="1:1" x14ac:dyDescent="0.2">
      <c r="A4978" t="s">
        <v>1261</v>
      </c>
    </row>
    <row r="4979" spans="1:1" x14ac:dyDescent="0.2">
      <c r="A4979" t="s">
        <v>1262</v>
      </c>
    </row>
    <row r="4980" spans="1:1" x14ac:dyDescent="0.2">
      <c r="A4980" t="s">
        <v>1263</v>
      </c>
    </row>
    <row r="4981" spans="1:1" x14ac:dyDescent="0.2">
      <c r="A4981" t="s">
        <v>1264</v>
      </c>
    </row>
    <row r="4982" spans="1:1" x14ac:dyDescent="0.2">
      <c r="A4982" t="s">
        <v>1265</v>
      </c>
    </row>
    <row r="4983" spans="1:1" x14ac:dyDescent="0.2">
      <c r="A4983" t="s">
        <v>1266</v>
      </c>
    </row>
    <row r="4984" spans="1:1" x14ac:dyDescent="0.2">
      <c r="A4984" t="s">
        <v>1267</v>
      </c>
    </row>
    <row r="4985" spans="1:1" x14ac:dyDescent="0.2">
      <c r="A4985" t="s">
        <v>1268</v>
      </c>
    </row>
    <row r="4986" spans="1:1" x14ac:dyDescent="0.2">
      <c r="A4986" t="s">
        <v>1269</v>
      </c>
    </row>
    <row r="4987" spans="1:1" x14ac:dyDescent="0.2">
      <c r="A4987" t="s">
        <v>1270</v>
      </c>
    </row>
    <row r="4988" spans="1:1" x14ac:dyDescent="0.2">
      <c r="A4988" t="s">
        <v>1271</v>
      </c>
    </row>
    <row r="4989" spans="1:1" x14ac:dyDescent="0.2">
      <c r="A4989" t="s">
        <v>1272</v>
      </c>
    </row>
    <row r="4990" spans="1:1" x14ac:dyDescent="0.2">
      <c r="A4990" t="s">
        <v>1273</v>
      </c>
    </row>
    <row r="4991" spans="1:1" x14ac:dyDescent="0.2">
      <c r="A4991" t="s">
        <v>1274</v>
      </c>
    </row>
    <row r="4992" spans="1:1" x14ac:dyDescent="0.2">
      <c r="A4992" t="s">
        <v>1275</v>
      </c>
    </row>
    <row r="4993" spans="1:1" x14ac:dyDescent="0.2">
      <c r="A4993" t="s">
        <v>1276</v>
      </c>
    </row>
    <row r="4994" spans="1:1" x14ac:dyDescent="0.2">
      <c r="A4994" t="s">
        <v>1277</v>
      </c>
    </row>
    <row r="4995" spans="1:1" x14ac:dyDescent="0.2">
      <c r="A4995" t="s">
        <v>1278</v>
      </c>
    </row>
    <row r="4996" spans="1:1" x14ac:dyDescent="0.2">
      <c r="A4996" t="s">
        <v>1279</v>
      </c>
    </row>
    <row r="4997" spans="1:1" x14ac:dyDescent="0.2">
      <c r="A4997" t="s">
        <v>1280</v>
      </c>
    </row>
    <row r="4998" spans="1:1" x14ac:dyDescent="0.2">
      <c r="A4998" t="s">
        <v>1281</v>
      </c>
    </row>
    <row r="4999" spans="1:1" x14ac:dyDescent="0.2">
      <c r="A4999" t="s">
        <v>1282</v>
      </c>
    </row>
    <row r="5000" spans="1:1" x14ac:dyDescent="0.2">
      <c r="A5000" t="s">
        <v>1283</v>
      </c>
    </row>
    <row r="5001" spans="1:1" x14ac:dyDescent="0.2">
      <c r="A5001" t="s">
        <v>1284</v>
      </c>
    </row>
    <row r="5002" spans="1:1" x14ac:dyDescent="0.2">
      <c r="A5002" t="s">
        <v>1285</v>
      </c>
    </row>
    <row r="5003" spans="1:1" x14ac:dyDescent="0.2">
      <c r="A5003" t="s">
        <v>1286</v>
      </c>
    </row>
    <row r="5004" spans="1:1" x14ac:dyDescent="0.2">
      <c r="A5004" t="s">
        <v>2879</v>
      </c>
    </row>
    <row r="5005" spans="1:1" x14ac:dyDescent="0.2">
      <c r="A5005" t="s">
        <v>1053</v>
      </c>
    </row>
    <row r="5006" spans="1:1" x14ac:dyDescent="0.2">
      <c r="A5006" t="s">
        <v>2880</v>
      </c>
    </row>
    <row r="5007" spans="1:1" x14ac:dyDescent="0.2">
      <c r="A5007" t="s">
        <v>2768</v>
      </c>
    </row>
    <row r="5008" spans="1:1" x14ac:dyDescent="0.2">
      <c r="A5008" t="s">
        <v>2769</v>
      </c>
    </row>
    <row r="5009" spans="1:1" x14ac:dyDescent="0.2">
      <c r="A5009" t="s">
        <v>1054</v>
      </c>
    </row>
    <row r="5010" spans="1:1" x14ac:dyDescent="0.2">
      <c r="A5010" t="s">
        <v>1055</v>
      </c>
    </row>
    <row r="5011" spans="1:1" x14ac:dyDescent="0.2">
      <c r="A5011" t="s">
        <v>2770</v>
      </c>
    </row>
    <row r="5012" spans="1:1" x14ac:dyDescent="0.2">
      <c r="A5012" t="s">
        <v>1056</v>
      </c>
    </row>
    <row r="5013" spans="1:1" x14ac:dyDescent="0.2">
      <c r="A5013" t="s">
        <v>1057</v>
      </c>
    </row>
    <row r="5014" spans="1:1" x14ac:dyDescent="0.2">
      <c r="A5014" t="s">
        <v>1058</v>
      </c>
    </row>
    <row r="5015" spans="1:1" x14ac:dyDescent="0.2">
      <c r="A5015" t="s">
        <v>1059</v>
      </c>
    </row>
    <row r="5016" spans="1:1" x14ac:dyDescent="0.2">
      <c r="A5016" t="s">
        <v>1060</v>
      </c>
    </row>
    <row r="5017" spans="1:1" x14ac:dyDescent="0.2">
      <c r="A5017" t="s">
        <v>1061</v>
      </c>
    </row>
    <row r="5018" spans="1:1" x14ac:dyDescent="0.2">
      <c r="A5018" t="s">
        <v>1062</v>
      </c>
    </row>
    <row r="5019" spans="1:1" x14ac:dyDescent="0.2">
      <c r="A5019" t="s">
        <v>1063</v>
      </c>
    </row>
    <row r="5020" spans="1:1" x14ac:dyDescent="0.2">
      <c r="A5020" t="s">
        <v>1064</v>
      </c>
    </row>
    <row r="5021" spans="1:1" x14ac:dyDescent="0.2">
      <c r="A5021" t="s">
        <v>1065</v>
      </c>
    </row>
    <row r="5022" spans="1:1" x14ac:dyDescent="0.2">
      <c r="A5022" t="s">
        <v>1066</v>
      </c>
    </row>
    <row r="5023" spans="1:1" x14ac:dyDescent="0.2">
      <c r="A5023" t="s">
        <v>1067</v>
      </c>
    </row>
    <row r="5024" spans="1:1" x14ac:dyDescent="0.2">
      <c r="A5024" t="s">
        <v>1068</v>
      </c>
    </row>
    <row r="5025" spans="1:1" x14ac:dyDescent="0.2">
      <c r="A5025" t="s">
        <v>1069</v>
      </c>
    </row>
    <row r="5026" spans="1:1" x14ac:dyDescent="0.2">
      <c r="A5026" t="s">
        <v>1070</v>
      </c>
    </row>
    <row r="5027" spans="1:1" x14ac:dyDescent="0.2">
      <c r="A5027" t="s">
        <v>1071</v>
      </c>
    </row>
    <row r="5028" spans="1:1" x14ac:dyDescent="0.2">
      <c r="A5028" t="s">
        <v>1072</v>
      </c>
    </row>
    <row r="5029" spans="1:1" x14ac:dyDescent="0.2">
      <c r="A5029" t="s">
        <v>1073</v>
      </c>
    </row>
    <row r="5030" spans="1:1" x14ac:dyDescent="0.2">
      <c r="A5030" t="s">
        <v>1074</v>
      </c>
    </row>
    <row r="5031" spans="1:1" x14ac:dyDescent="0.2">
      <c r="A5031" t="s">
        <v>1075</v>
      </c>
    </row>
    <row r="5032" spans="1:1" x14ac:dyDescent="0.2">
      <c r="A5032" t="s">
        <v>1076</v>
      </c>
    </row>
    <row r="5033" spans="1:1" x14ac:dyDescent="0.2">
      <c r="A5033" t="s">
        <v>1077</v>
      </c>
    </row>
    <row r="5034" spans="1:1" x14ac:dyDescent="0.2">
      <c r="A5034" t="s">
        <v>1078</v>
      </c>
    </row>
    <row r="5035" spans="1:1" x14ac:dyDescent="0.2">
      <c r="A5035" t="s">
        <v>1079</v>
      </c>
    </row>
    <row r="5036" spans="1:1" x14ac:dyDescent="0.2">
      <c r="A5036" t="s">
        <v>1080</v>
      </c>
    </row>
    <row r="5037" spans="1:1" x14ac:dyDescent="0.2">
      <c r="A5037" t="s">
        <v>1081</v>
      </c>
    </row>
    <row r="5038" spans="1:1" x14ac:dyDescent="0.2">
      <c r="A5038" t="s">
        <v>1082</v>
      </c>
    </row>
    <row r="5039" spans="1:1" x14ac:dyDescent="0.2">
      <c r="A5039" t="s">
        <v>1083</v>
      </c>
    </row>
    <row r="5040" spans="1:1" x14ac:dyDescent="0.2">
      <c r="A5040" t="s">
        <v>2771</v>
      </c>
    </row>
    <row r="5041" spans="1:1" x14ac:dyDescent="0.2">
      <c r="A5041" t="s">
        <v>2772</v>
      </c>
    </row>
    <row r="5042" spans="1:1" x14ac:dyDescent="0.2">
      <c r="A5042" t="s">
        <v>2773</v>
      </c>
    </row>
    <row r="5043" spans="1:1" x14ac:dyDescent="0.2">
      <c r="A5043" t="s">
        <v>2774</v>
      </c>
    </row>
    <row r="5044" spans="1:1" x14ac:dyDescent="0.2">
      <c r="A5044" t="s">
        <v>2775</v>
      </c>
    </row>
    <row r="5045" spans="1:1" x14ac:dyDescent="0.2">
      <c r="A5045" t="s">
        <v>2776</v>
      </c>
    </row>
    <row r="5046" spans="1:1" x14ac:dyDescent="0.2">
      <c r="A5046" t="s">
        <v>1084</v>
      </c>
    </row>
    <row r="5047" spans="1:1" x14ac:dyDescent="0.2">
      <c r="A5047" t="s">
        <v>1085</v>
      </c>
    </row>
    <row r="5048" spans="1:1" x14ac:dyDescent="0.2">
      <c r="A5048" t="s">
        <v>1086</v>
      </c>
    </row>
    <row r="5049" spans="1:1" x14ac:dyDescent="0.2">
      <c r="A5049" t="s">
        <v>1087</v>
      </c>
    </row>
    <row r="5050" spans="1:1" x14ac:dyDescent="0.2">
      <c r="A5050" t="s">
        <v>1088</v>
      </c>
    </row>
    <row r="5051" spans="1:1" x14ac:dyDescent="0.2">
      <c r="A5051" t="s">
        <v>1089</v>
      </c>
    </row>
    <row r="5052" spans="1:1" x14ac:dyDescent="0.2">
      <c r="A5052" t="s">
        <v>1090</v>
      </c>
    </row>
    <row r="5053" spans="1:1" x14ac:dyDescent="0.2">
      <c r="A5053" t="s">
        <v>1091</v>
      </c>
    </row>
    <row r="5054" spans="1:1" x14ac:dyDescent="0.2">
      <c r="A5054" t="s">
        <v>1092</v>
      </c>
    </row>
    <row r="5055" spans="1:1" x14ac:dyDescent="0.2">
      <c r="A5055" t="s">
        <v>1093</v>
      </c>
    </row>
    <row r="5056" spans="1:1" x14ac:dyDescent="0.2">
      <c r="A5056" t="s">
        <v>1094</v>
      </c>
    </row>
    <row r="5057" spans="1:1" x14ac:dyDescent="0.2">
      <c r="A5057" t="s">
        <v>1095</v>
      </c>
    </row>
    <row r="5058" spans="1:1" x14ac:dyDescent="0.2">
      <c r="A5058" t="s">
        <v>1096</v>
      </c>
    </row>
    <row r="5059" spans="1:1" x14ac:dyDescent="0.2">
      <c r="A5059" t="s">
        <v>1097</v>
      </c>
    </row>
    <row r="5060" spans="1:1" x14ac:dyDescent="0.2">
      <c r="A5060" t="s">
        <v>1098</v>
      </c>
    </row>
    <row r="5061" spans="1:1" x14ac:dyDescent="0.2">
      <c r="A5061" t="s">
        <v>1099</v>
      </c>
    </row>
    <row r="5062" spans="1:1" x14ac:dyDescent="0.2">
      <c r="A5062" t="s">
        <v>1100</v>
      </c>
    </row>
    <row r="5063" spans="1:1" x14ac:dyDescent="0.2">
      <c r="A5063" t="s">
        <v>1101</v>
      </c>
    </row>
    <row r="5064" spans="1:1" x14ac:dyDescent="0.2">
      <c r="A5064" t="s">
        <v>1102</v>
      </c>
    </row>
    <row r="5065" spans="1:1" x14ac:dyDescent="0.2">
      <c r="A5065" t="s">
        <v>1103</v>
      </c>
    </row>
    <row r="5066" spans="1:1" x14ac:dyDescent="0.2">
      <c r="A5066" t="s">
        <v>1104</v>
      </c>
    </row>
    <row r="5067" spans="1:1" x14ac:dyDescent="0.2">
      <c r="A5067" t="s">
        <v>1105</v>
      </c>
    </row>
    <row r="5068" spans="1:1" x14ac:dyDescent="0.2">
      <c r="A5068" t="s">
        <v>1106</v>
      </c>
    </row>
    <row r="5069" spans="1:1" x14ac:dyDescent="0.2">
      <c r="A5069" t="s">
        <v>1107</v>
      </c>
    </row>
    <row r="5070" spans="1:1" x14ac:dyDescent="0.2">
      <c r="A5070" t="s">
        <v>1108</v>
      </c>
    </row>
    <row r="5071" spans="1:1" x14ac:dyDescent="0.2">
      <c r="A5071" t="s">
        <v>1109</v>
      </c>
    </row>
    <row r="5072" spans="1:1" x14ac:dyDescent="0.2">
      <c r="A5072" t="s">
        <v>1110</v>
      </c>
    </row>
    <row r="5073" spans="1:1" x14ac:dyDescent="0.2">
      <c r="A5073" t="s">
        <v>1111</v>
      </c>
    </row>
    <row r="5074" spans="1:1" x14ac:dyDescent="0.2">
      <c r="A5074" t="s">
        <v>1112</v>
      </c>
    </row>
    <row r="5075" spans="1:1" x14ac:dyDescent="0.2">
      <c r="A5075" t="s">
        <v>1113</v>
      </c>
    </row>
    <row r="5076" spans="1:1" x14ac:dyDescent="0.2">
      <c r="A5076" t="s">
        <v>1114</v>
      </c>
    </row>
    <row r="5077" spans="1:1" x14ac:dyDescent="0.2">
      <c r="A5077" t="s">
        <v>1115</v>
      </c>
    </row>
    <row r="5078" spans="1:1" x14ac:dyDescent="0.2">
      <c r="A5078" t="s">
        <v>1116</v>
      </c>
    </row>
    <row r="5079" spans="1:1" x14ac:dyDescent="0.2">
      <c r="A5079" t="s">
        <v>1117</v>
      </c>
    </row>
    <row r="5080" spans="1:1" x14ac:dyDescent="0.2">
      <c r="A5080" t="s">
        <v>1118</v>
      </c>
    </row>
    <row r="5081" spans="1:1" x14ac:dyDescent="0.2">
      <c r="A5081" t="s">
        <v>1119</v>
      </c>
    </row>
    <row r="5082" spans="1:1" x14ac:dyDescent="0.2">
      <c r="A5082" t="s">
        <v>1120</v>
      </c>
    </row>
    <row r="5083" spans="1:1" x14ac:dyDescent="0.2">
      <c r="A5083" t="s">
        <v>1288</v>
      </c>
    </row>
    <row r="5084" spans="1:1" x14ac:dyDescent="0.2">
      <c r="A5084" t="s">
        <v>2881</v>
      </c>
    </row>
    <row r="5085" spans="1:1" x14ac:dyDescent="0.2">
      <c r="A5085" t="s">
        <v>2882</v>
      </c>
    </row>
    <row r="5086" spans="1:1" x14ac:dyDescent="0.2">
      <c r="A5086" t="s">
        <v>2883</v>
      </c>
    </row>
    <row r="5087" spans="1:1" x14ac:dyDescent="0.2">
      <c r="A5087" t="s">
        <v>2884</v>
      </c>
    </row>
    <row r="5088" spans="1:1" x14ac:dyDescent="0.2">
      <c r="A5088" t="s">
        <v>1289</v>
      </c>
    </row>
    <row r="5089" spans="1:1" x14ac:dyDescent="0.2">
      <c r="A5089" t="s">
        <v>2781</v>
      </c>
    </row>
    <row r="5090" spans="1:1" x14ac:dyDescent="0.2">
      <c r="A5090" t="s">
        <v>2885</v>
      </c>
    </row>
    <row r="5091" spans="1:1" x14ac:dyDescent="0.2">
      <c r="A5091" t="s">
        <v>1122</v>
      </c>
    </row>
    <row r="5092" spans="1:1" x14ac:dyDescent="0.2">
      <c r="A5092" t="s">
        <v>1123</v>
      </c>
    </row>
    <row r="5093" spans="1:1" x14ac:dyDescent="0.2">
      <c r="A5093" t="s">
        <v>1124</v>
      </c>
    </row>
    <row r="5094" spans="1:1" x14ac:dyDescent="0.2">
      <c r="A5094" t="s">
        <v>1125</v>
      </c>
    </row>
    <row r="5095" spans="1:1" x14ac:dyDescent="0.2">
      <c r="A5095" t="s">
        <v>1126</v>
      </c>
    </row>
    <row r="5096" spans="1:1" x14ac:dyDescent="0.2">
      <c r="A5096" t="s">
        <v>1127</v>
      </c>
    </row>
    <row r="5097" spans="1:1" x14ac:dyDescent="0.2">
      <c r="A5097" t="s">
        <v>1128</v>
      </c>
    </row>
    <row r="5098" spans="1:1" x14ac:dyDescent="0.2">
      <c r="A5098" t="s">
        <v>1129</v>
      </c>
    </row>
    <row r="5099" spans="1:1" x14ac:dyDescent="0.2">
      <c r="A5099" t="s">
        <v>1130</v>
      </c>
    </row>
    <row r="5100" spans="1:1" x14ac:dyDescent="0.2">
      <c r="A5100" t="s">
        <v>1131</v>
      </c>
    </row>
    <row r="5101" spans="1:1" x14ac:dyDescent="0.2">
      <c r="A5101" t="s">
        <v>1132</v>
      </c>
    </row>
    <row r="5102" spans="1:1" x14ac:dyDescent="0.2">
      <c r="A5102" t="s">
        <v>1133</v>
      </c>
    </row>
    <row r="5103" spans="1:1" x14ac:dyDescent="0.2">
      <c r="A5103" t="s">
        <v>1134</v>
      </c>
    </row>
    <row r="5104" spans="1:1" x14ac:dyDescent="0.2">
      <c r="A5104" t="s">
        <v>1135</v>
      </c>
    </row>
    <row r="5105" spans="1:1" x14ac:dyDescent="0.2">
      <c r="A5105" t="s">
        <v>1136</v>
      </c>
    </row>
    <row r="5106" spans="1:1" x14ac:dyDescent="0.2">
      <c r="A5106" t="s">
        <v>1137</v>
      </c>
    </row>
    <row r="5107" spans="1:1" x14ac:dyDescent="0.2">
      <c r="A5107" t="s">
        <v>1138</v>
      </c>
    </row>
    <row r="5108" spans="1:1" x14ac:dyDescent="0.2">
      <c r="A5108" t="s">
        <v>1139</v>
      </c>
    </row>
    <row r="5109" spans="1:1" x14ac:dyDescent="0.2">
      <c r="A5109" t="s">
        <v>1140</v>
      </c>
    </row>
    <row r="5110" spans="1:1" x14ac:dyDescent="0.2">
      <c r="A5110" t="s">
        <v>1141</v>
      </c>
    </row>
    <row r="5111" spans="1:1" x14ac:dyDescent="0.2">
      <c r="A5111" t="s">
        <v>1142</v>
      </c>
    </row>
    <row r="5112" spans="1:1" x14ac:dyDescent="0.2">
      <c r="A5112" t="s">
        <v>1143</v>
      </c>
    </row>
    <row r="5113" spans="1:1" x14ac:dyDescent="0.2">
      <c r="A5113" t="s">
        <v>1144</v>
      </c>
    </row>
    <row r="5114" spans="1:1" x14ac:dyDescent="0.2">
      <c r="A5114" t="s">
        <v>1145</v>
      </c>
    </row>
    <row r="5115" spans="1:1" x14ac:dyDescent="0.2">
      <c r="A5115" t="s">
        <v>1146</v>
      </c>
    </row>
    <row r="5116" spans="1:1" x14ac:dyDescent="0.2">
      <c r="A5116" t="s">
        <v>1147</v>
      </c>
    </row>
    <row r="5117" spans="1:1" x14ac:dyDescent="0.2">
      <c r="A5117" t="s">
        <v>1148</v>
      </c>
    </row>
    <row r="5118" spans="1:1" x14ac:dyDescent="0.2">
      <c r="A5118" t="s">
        <v>1149</v>
      </c>
    </row>
    <row r="5119" spans="1:1" x14ac:dyDescent="0.2">
      <c r="A5119" t="s">
        <v>1150</v>
      </c>
    </row>
    <row r="5120" spans="1:1" x14ac:dyDescent="0.2">
      <c r="A5120" t="s">
        <v>1151</v>
      </c>
    </row>
    <row r="5121" spans="1:1" x14ac:dyDescent="0.2">
      <c r="A5121" t="s">
        <v>1152</v>
      </c>
    </row>
    <row r="5122" spans="1:1" x14ac:dyDescent="0.2">
      <c r="A5122" t="s">
        <v>1153</v>
      </c>
    </row>
    <row r="5123" spans="1:1" x14ac:dyDescent="0.2">
      <c r="A5123" t="s">
        <v>1154</v>
      </c>
    </row>
    <row r="5124" spans="1:1" x14ac:dyDescent="0.2">
      <c r="A5124" t="s">
        <v>1155</v>
      </c>
    </row>
    <row r="5125" spans="1:1" x14ac:dyDescent="0.2">
      <c r="A5125" t="s">
        <v>1156</v>
      </c>
    </row>
    <row r="5126" spans="1:1" x14ac:dyDescent="0.2">
      <c r="A5126" t="s">
        <v>1157</v>
      </c>
    </row>
    <row r="5127" spans="1:1" x14ac:dyDescent="0.2">
      <c r="A5127" t="s">
        <v>1158</v>
      </c>
    </row>
    <row r="5128" spans="1:1" x14ac:dyDescent="0.2">
      <c r="A5128" t="s">
        <v>1159</v>
      </c>
    </row>
    <row r="5129" spans="1:1" x14ac:dyDescent="0.2">
      <c r="A5129" t="s">
        <v>1160</v>
      </c>
    </row>
    <row r="5130" spans="1:1" x14ac:dyDescent="0.2">
      <c r="A5130" t="s">
        <v>1161</v>
      </c>
    </row>
    <row r="5131" spans="1:1" x14ac:dyDescent="0.2">
      <c r="A5131" t="s">
        <v>1162</v>
      </c>
    </row>
    <row r="5132" spans="1:1" x14ac:dyDescent="0.2">
      <c r="A5132" t="s">
        <v>1163</v>
      </c>
    </row>
    <row r="5133" spans="1:1" x14ac:dyDescent="0.2">
      <c r="A5133" t="s">
        <v>1164</v>
      </c>
    </row>
    <row r="5134" spans="1:1" x14ac:dyDescent="0.2">
      <c r="A5134" t="s">
        <v>1165</v>
      </c>
    </row>
    <row r="5135" spans="1:1" x14ac:dyDescent="0.2">
      <c r="A5135" t="s">
        <v>1166</v>
      </c>
    </row>
    <row r="5136" spans="1:1" x14ac:dyDescent="0.2">
      <c r="A5136" t="s">
        <v>1167</v>
      </c>
    </row>
    <row r="5137" spans="1:1" x14ac:dyDescent="0.2">
      <c r="A5137" t="s">
        <v>1168</v>
      </c>
    </row>
    <row r="5138" spans="1:1" x14ac:dyDescent="0.2">
      <c r="A5138" t="s">
        <v>1169</v>
      </c>
    </row>
    <row r="5139" spans="1:1" x14ac:dyDescent="0.2">
      <c r="A5139" t="s">
        <v>1170</v>
      </c>
    </row>
    <row r="5140" spans="1:1" x14ac:dyDescent="0.2">
      <c r="A5140" t="s">
        <v>1171</v>
      </c>
    </row>
    <row r="5141" spans="1:1" x14ac:dyDescent="0.2">
      <c r="A5141" t="s">
        <v>1172</v>
      </c>
    </row>
    <row r="5142" spans="1:1" x14ac:dyDescent="0.2">
      <c r="A5142" t="s">
        <v>1173</v>
      </c>
    </row>
    <row r="5143" spans="1:1" x14ac:dyDescent="0.2">
      <c r="A5143" t="s">
        <v>1174</v>
      </c>
    </row>
    <row r="5144" spans="1:1" x14ac:dyDescent="0.2">
      <c r="A5144" t="s">
        <v>1175</v>
      </c>
    </row>
    <row r="5145" spans="1:1" x14ac:dyDescent="0.2">
      <c r="A5145" t="s">
        <v>1176</v>
      </c>
    </row>
    <row r="5146" spans="1:1" x14ac:dyDescent="0.2">
      <c r="A5146" t="s">
        <v>1177</v>
      </c>
    </row>
    <row r="5147" spans="1:1" x14ac:dyDescent="0.2">
      <c r="A5147" t="s">
        <v>1178</v>
      </c>
    </row>
    <row r="5148" spans="1:1" x14ac:dyDescent="0.2">
      <c r="A5148" t="s">
        <v>1179</v>
      </c>
    </row>
    <row r="5149" spans="1:1" x14ac:dyDescent="0.2">
      <c r="A5149" t="s">
        <v>1180</v>
      </c>
    </row>
    <row r="5150" spans="1:1" x14ac:dyDescent="0.2">
      <c r="A5150" t="s">
        <v>1181</v>
      </c>
    </row>
    <row r="5151" spans="1:1" x14ac:dyDescent="0.2">
      <c r="A5151" t="s">
        <v>1182</v>
      </c>
    </row>
    <row r="5152" spans="1:1" x14ac:dyDescent="0.2">
      <c r="A5152" t="s">
        <v>1183</v>
      </c>
    </row>
    <row r="5153" spans="1:1" x14ac:dyDescent="0.2">
      <c r="A5153" t="s">
        <v>1184</v>
      </c>
    </row>
    <row r="5154" spans="1:1" x14ac:dyDescent="0.2">
      <c r="A5154" t="s">
        <v>1185</v>
      </c>
    </row>
    <row r="5155" spans="1:1" x14ac:dyDescent="0.2">
      <c r="A5155" t="s">
        <v>1186</v>
      </c>
    </row>
    <row r="5156" spans="1:1" x14ac:dyDescent="0.2">
      <c r="A5156" t="s">
        <v>1187</v>
      </c>
    </row>
    <row r="5157" spans="1:1" x14ac:dyDescent="0.2">
      <c r="A5157" t="s">
        <v>1188</v>
      </c>
    </row>
    <row r="5158" spans="1:1" x14ac:dyDescent="0.2">
      <c r="A5158" t="s">
        <v>1189</v>
      </c>
    </row>
    <row r="5159" spans="1:1" x14ac:dyDescent="0.2">
      <c r="A5159" t="s">
        <v>1190</v>
      </c>
    </row>
    <row r="5160" spans="1:1" x14ac:dyDescent="0.2">
      <c r="A5160" t="s">
        <v>1191</v>
      </c>
    </row>
    <row r="5161" spans="1:1" x14ac:dyDescent="0.2">
      <c r="A5161" t="s">
        <v>1192</v>
      </c>
    </row>
    <row r="5162" spans="1:1" x14ac:dyDescent="0.2">
      <c r="A5162" t="s">
        <v>1193</v>
      </c>
    </row>
    <row r="5163" spans="1:1" x14ac:dyDescent="0.2">
      <c r="A5163" t="s">
        <v>1194</v>
      </c>
    </row>
    <row r="5164" spans="1:1" x14ac:dyDescent="0.2">
      <c r="A5164" t="s">
        <v>1195</v>
      </c>
    </row>
    <row r="5165" spans="1:1" x14ac:dyDescent="0.2">
      <c r="A5165" t="s">
        <v>1196</v>
      </c>
    </row>
    <row r="5166" spans="1:1" x14ac:dyDescent="0.2">
      <c r="A5166" t="s">
        <v>1197</v>
      </c>
    </row>
    <row r="5167" spans="1:1" x14ac:dyDescent="0.2">
      <c r="A5167" t="s">
        <v>1198</v>
      </c>
    </row>
    <row r="5168" spans="1:1" x14ac:dyDescent="0.2">
      <c r="A5168" t="s">
        <v>1199</v>
      </c>
    </row>
    <row r="5169" spans="1:1" x14ac:dyDescent="0.2">
      <c r="A5169" t="s">
        <v>1200</v>
      </c>
    </row>
    <row r="5170" spans="1:1" x14ac:dyDescent="0.2">
      <c r="A5170" t="s">
        <v>1201</v>
      </c>
    </row>
    <row r="5171" spans="1:1" x14ac:dyDescent="0.2">
      <c r="A5171" t="s">
        <v>1202</v>
      </c>
    </row>
    <row r="5172" spans="1:1" x14ac:dyDescent="0.2">
      <c r="A5172" t="s">
        <v>1203</v>
      </c>
    </row>
    <row r="5173" spans="1:1" x14ac:dyDescent="0.2">
      <c r="A5173" t="s">
        <v>1204</v>
      </c>
    </row>
    <row r="5174" spans="1:1" x14ac:dyDescent="0.2">
      <c r="A5174" t="s">
        <v>1205</v>
      </c>
    </row>
    <row r="5175" spans="1:1" x14ac:dyDescent="0.2">
      <c r="A5175" t="s">
        <v>1206</v>
      </c>
    </row>
    <row r="5176" spans="1:1" x14ac:dyDescent="0.2">
      <c r="A5176" t="s">
        <v>1207</v>
      </c>
    </row>
    <row r="5177" spans="1:1" x14ac:dyDescent="0.2">
      <c r="A5177" t="s">
        <v>1208</v>
      </c>
    </row>
    <row r="5178" spans="1:1" x14ac:dyDescent="0.2">
      <c r="A5178" t="s">
        <v>1209</v>
      </c>
    </row>
    <row r="5179" spans="1:1" x14ac:dyDescent="0.2">
      <c r="A5179" t="s">
        <v>1210</v>
      </c>
    </row>
    <row r="5180" spans="1:1" x14ac:dyDescent="0.2">
      <c r="A5180" t="s">
        <v>1211</v>
      </c>
    </row>
    <row r="5181" spans="1:1" x14ac:dyDescent="0.2">
      <c r="A5181" t="s">
        <v>1212</v>
      </c>
    </row>
    <row r="5182" spans="1:1" x14ac:dyDescent="0.2">
      <c r="A5182" t="s">
        <v>1213</v>
      </c>
    </row>
    <row r="5183" spans="1:1" x14ac:dyDescent="0.2">
      <c r="A5183" t="s">
        <v>1214</v>
      </c>
    </row>
    <row r="5184" spans="1:1" x14ac:dyDescent="0.2">
      <c r="A5184" t="s">
        <v>1215</v>
      </c>
    </row>
    <row r="5185" spans="1:1" x14ac:dyDescent="0.2">
      <c r="A5185" t="s">
        <v>1216</v>
      </c>
    </row>
    <row r="5186" spans="1:1" x14ac:dyDescent="0.2">
      <c r="A5186" t="s">
        <v>1217</v>
      </c>
    </row>
    <row r="5187" spans="1:1" x14ac:dyDescent="0.2">
      <c r="A5187" t="s">
        <v>1218</v>
      </c>
    </row>
    <row r="5188" spans="1:1" x14ac:dyDescent="0.2">
      <c r="A5188" t="s">
        <v>1219</v>
      </c>
    </row>
    <row r="5189" spans="1:1" x14ac:dyDescent="0.2">
      <c r="A5189" t="s">
        <v>1220</v>
      </c>
    </row>
    <row r="5190" spans="1:1" x14ac:dyDescent="0.2">
      <c r="A5190" t="s">
        <v>1221</v>
      </c>
    </row>
    <row r="5191" spans="1:1" x14ac:dyDescent="0.2">
      <c r="A5191" t="s">
        <v>1222</v>
      </c>
    </row>
    <row r="5192" spans="1:1" x14ac:dyDescent="0.2">
      <c r="A5192" t="s">
        <v>1223</v>
      </c>
    </row>
    <row r="5193" spans="1:1" x14ac:dyDescent="0.2">
      <c r="A5193" t="s">
        <v>1224</v>
      </c>
    </row>
    <row r="5194" spans="1:1" x14ac:dyDescent="0.2">
      <c r="A5194" t="s">
        <v>1225</v>
      </c>
    </row>
    <row r="5195" spans="1:1" x14ac:dyDescent="0.2">
      <c r="A5195" t="s">
        <v>1226</v>
      </c>
    </row>
    <row r="5196" spans="1:1" x14ac:dyDescent="0.2">
      <c r="A5196" t="s">
        <v>1227</v>
      </c>
    </row>
    <row r="5197" spans="1:1" x14ac:dyDescent="0.2">
      <c r="A5197" t="s">
        <v>1228</v>
      </c>
    </row>
    <row r="5198" spans="1:1" x14ac:dyDescent="0.2">
      <c r="A5198" t="s">
        <v>1229</v>
      </c>
    </row>
    <row r="5199" spans="1:1" x14ac:dyDescent="0.2">
      <c r="A5199" t="s">
        <v>1230</v>
      </c>
    </row>
    <row r="5200" spans="1:1" x14ac:dyDescent="0.2">
      <c r="A5200" t="s">
        <v>1231</v>
      </c>
    </row>
    <row r="5201" spans="1:1" x14ac:dyDescent="0.2">
      <c r="A5201" t="s">
        <v>1232</v>
      </c>
    </row>
    <row r="5202" spans="1:1" x14ac:dyDescent="0.2">
      <c r="A5202" t="s">
        <v>1233</v>
      </c>
    </row>
    <row r="5203" spans="1:1" x14ac:dyDescent="0.2">
      <c r="A5203" t="s">
        <v>1234</v>
      </c>
    </row>
    <row r="5204" spans="1:1" x14ac:dyDescent="0.2">
      <c r="A5204" t="s">
        <v>1235</v>
      </c>
    </row>
    <row r="5205" spans="1:1" x14ac:dyDescent="0.2">
      <c r="A5205" t="s">
        <v>1236</v>
      </c>
    </row>
    <row r="5206" spans="1:1" x14ac:dyDescent="0.2">
      <c r="A5206" t="s">
        <v>1237</v>
      </c>
    </row>
    <row r="5207" spans="1:1" x14ac:dyDescent="0.2">
      <c r="A5207" t="s">
        <v>1238</v>
      </c>
    </row>
    <row r="5208" spans="1:1" x14ac:dyDescent="0.2">
      <c r="A5208" t="s">
        <v>1239</v>
      </c>
    </row>
    <row r="5209" spans="1:1" x14ac:dyDescent="0.2">
      <c r="A5209" t="s">
        <v>1240</v>
      </c>
    </row>
    <row r="5210" spans="1:1" x14ac:dyDescent="0.2">
      <c r="A5210" t="s">
        <v>1241</v>
      </c>
    </row>
    <row r="5211" spans="1:1" x14ac:dyDescent="0.2">
      <c r="A5211" t="s">
        <v>1242</v>
      </c>
    </row>
    <row r="5212" spans="1:1" x14ac:dyDescent="0.2">
      <c r="A5212" t="s">
        <v>1243</v>
      </c>
    </row>
    <row r="5213" spans="1:1" x14ac:dyDescent="0.2">
      <c r="A5213" t="s">
        <v>1244</v>
      </c>
    </row>
    <row r="5214" spans="1:1" x14ac:dyDescent="0.2">
      <c r="A5214" t="s">
        <v>1245</v>
      </c>
    </row>
    <row r="5215" spans="1:1" x14ac:dyDescent="0.2">
      <c r="A5215" t="s">
        <v>1246</v>
      </c>
    </row>
    <row r="5216" spans="1:1" x14ac:dyDescent="0.2">
      <c r="A5216" t="s">
        <v>1247</v>
      </c>
    </row>
    <row r="5217" spans="1:1" x14ac:dyDescent="0.2">
      <c r="A5217" t="s">
        <v>1248</v>
      </c>
    </row>
    <row r="5218" spans="1:1" x14ac:dyDescent="0.2">
      <c r="A5218" t="s">
        <v>1249</v>
      </c>
    </row>
    <row r="5219" spans="1:1" x14ac:dyDescent="0.2">
      <c r="A5219" t="s">
        <v>1250</v>
      </c>
    </row>
    <row r="5220" spans="1:1" x14ac:dyDescent="0.2">
      <c r="A5220" t="s">
        <v>1251</v>
      </c>
    </row>
    <row r="5221" spans="1:1" x14ac:dyDescent="0.2">
      <c r="A5221" t="s">
        <v>1252</v>
      </c>
    </row>
    <row r="5222" spans="1:1" x14ac:dyDescent="0.2">
      <c r="A5222" t="s">
        <v>1253</v>
      </c>
    </row>
    <row r="5223" spans="1:1" x14ac:dyDescent="0.2">
      <c r="A5223" t="s">
        <v>1254</v>
      </c>
    </row>
    <row r="5224" spans="1:1" x14ac:dyDescent="0.2">
      <c r="A5224" t="s">
        <v>1255</v>
      </c>
    </row>
    <row r="5225" spans="1:1" x14ac:dyDescent="0.2">
      <c r="A5225" t="s">
        <v>1256</v>
      </c>
    </row>
    <row r="5226" spans="1:1" x14ac:dyDescent="0.2">
      <c r="A5226" t="s">
        <v>1257</v>
      </c>
    </row>
    <row r="5227" spans="1:1" x14ac:dyDescent="0.2">
      <c r="A5227" t="s">
        <v>1258</v>
      </c>
    </row>
    <row r="5228" spans="1:1" x14ac:dyDescent="0.2">
      <c r="A5228" t="s">
        <v>1259</v>
      </c>
    </row>
    <row r="5229" spans="1:1" x14ac:dyDescent="0.2">
      <c r="A5229" t="s">
        <v>1260</v>
      </c>
    </row>
    <row r="5230" spans="1:1" x14ac:dyDescent="0.2">
      <c r="A5230" t="s">
        <v>1261</v>
      </c>
    </row>
    <row r="5231" spans="1:1" x14ac:dyDescent="0.2">
      <c r="A5231" t="s">
        <v>1262</v>
      </c>
    </row>
    <row r="5232" spans="1:1" x14ac:dyDescent="0.2">
      <c r="A5232" t="s">
        <v>1263</v>
      </c>
    </row>
    <row r="5233" spans="1:1" x14ac:dyDescent="0.2">
      <c r="A5233" t="s">
        <v>1264</v>
      </c>
    </row>
    <row r="5234" spans="1:1" x14ac:dyDescent="0.2">
      <c r="A5234" t="s">
        <v>1265</v>
      </c>
    </row>
    <row r="5235" spans="1:1" x14ac:dyDescent="0.2">
      <c r="A5235" t="s">
        <v>1266</v>
      </c>
    </row>
    <row r="5236" spans="1:1" x14ac:dyDescent="0.2">
      <c r="A5236" t="s">
        <v>1267</v>
      </c>
    </row>
    <row r="5237" spans="1:1" x14ac:dyDescent="0.2">
      <c r="A5237" t="s">
        <v>1268</v>
      </c>
    </row>
    <row r="5238" spans="1:1" x14ac:dyDescent="0.2">
      <c r="A5238" t="s">
        <v>1269</v>
      </c>
    </row>
    <row r="5239" spans="1:1" x14ac:dyDescent="0.2">
      <c r="A5239" t="s">
        <v>1270</v>
      </c>
    </row>
    <row r="5240" spans="1:1" x14ac:dyDescent="0.2">
      <c r="A5240" t="s">
        <v>1271</v>
      </c>
    </row>
    <row r="5241" spans="1:1" x14ac:dyDescent="0.2">
      <c r="A5241" t="s">
        <v>1272</v>
      </c>
    </row>
    <row r="5242" spans="1:1" x14ac:dyDescent="0.2">
      <c r="A5242" t="s">
        <v>1273</v>
      </c>
    </row>
    <row r="5243" spans="1:1" x14ac:dyDescent="0.2">
      <c r="A5243" t="s">
        <v>1274</v>
      </c>
    </row>
    <row r="5244" spans="1:1" x14ac:dyDescent="0.2">
      <c r="A5244" t="s">
        <v>1275</v>
      </c>
    </row>
    <row r="5245" spans="1:1" x14ac:dyDescent="0.2">
      <c r="A5245" t="s">
        <v>1276</v>
      </c>
    </row>
    <row r="5246" spans="1:1" x14ac:dyDescent="0.2">
      <c r="A5246" t="s">
        <v>1277</v>
      </c>
    </row>
    <row r="5247" spans="1:1" x14ac:dyDescent="0.2">
      <c r="A5247" t="s">
        <v>1278</v>
      </c>
    </row>
    <row r="5248" spans="1:1" x14ac:dyDescent="0.2">
      <c r="A5248" t="s">
        <v>1279</v>
      </c>
    </row>
    <row r="5249" spans="1:1" x14ac:dyDescent="0.2">
      <c r="A5249" t="s">
        <v>1280</v>
      </c>
    </row>
    <row r="5250" spans="1:1" x14ac:dyDescent="0.2">
      <c r="A5250" t="s">
        <v>1281</v>
      </c>
    </row>
    <row r="5251" spans="1:1" x14ac:dyDescent="0.2">
      <c r="A5251" t="s">
        <v>1282</v>
      </c>
    </row>
    <row r="5252" spans="1:1" x14ac:dyDescent="0.2">
      <c r="A5252" t="s">
        <v>1283</v>
      </c>
    </row>
    <row r="5253" spans="1:1" x14ac:dyDescent="0.2">
      <c r="A5253" t="s">
        <v>1284</v>
      </c>
    </row>
    <row r="5254" spans="1:1" x14ac:dyDescent="0.2">
      <c r="A5254" t="s">
        <v>1285</v>
      </c>
    </row>
    <row r="5255" spans="1:1" x14ac:dyDescent="0.2">
      <c r="A5255" t="s">
        <v>1286</v>
      </c>
    </row>
    <row r="5256" spans="1:1" x14ac:dyDescent="0.2">
      <c r="A5256" t="s">
        <v>2886</v>
      </c>
    </row>
    <row r="5257" spans="1:1" x14ac:dyDescent="0.2">
      <c r="A5257" t="s">
        <v>1053</v>
      </c>
    </row>
    <row r="5258" spans="1:1" x14ac:dyDescent="0.2">
      <c r="A5258" t="s">
        <v>2887</v>
      </c>
    </row>
    <row r="5259" spans="1:1" x14ac:dyDescent="0.2">
      <c r="A5259" t="s">
        <v>2768</v>
      </c>
    </row>
    <row r="5260" spans="1:1" x14ac:dyDescent="0.2">
      <c r="A5260" t="s">
        <v>2769</v>
      </c>
    </row>
    <row r="5261" spans="1:1" x14ac:dyDescent="0.2">
      <c r="A5261" t="s">
        <v>1054</v>
      </c>
    </row>
    <row r="5262" spans="1:1" x14ac:dyDescent="0.2">
      <c r="A5262" t="s">
        <v>1055</v>
      </c>
    </row>
    <row r="5263" spans="1:1" x14ac:dyDescent="0.2">
      <c r="A5263" t="s">
        <v>2888</v>
      </c>
    </row>
    <row r="5264" spans="1:1" x14ac:dyDescent="0.2">
      <c r="A5264" t="s">
        <v>1056</v>
      </c>
    </row>
    <row r="5265" spans="1:1" x14ac:dyDescent="0.2">
      <c r="A5265" t="s">
        <v>1057</v>
      </c>
    </row>
    <row r="5266" spans="1:1" x14ac:dyDescent="0.2">
      <c r="A5266" t="s">
        <v>1058</v>
      </c>
    </row>
    <row r="5267" spans="1:1" x14ac:dyDescent="0.2">
      <c r="A5267" t="s">
        <v>1059</v>
      </c>
    </row>
    <row r="5268" spans="1:1" x14ac:dyDescent="0.2">
      <c r="A5268" t="s">
        <v>1060</v>
      </c>
    </row>
    <row r="5269" spans="1:1" x14ac:dyDescent="0.2">
      <c r="A5269" t="s">
        <v>1061</v>
      </c>
    </row>
    <row r="5270" spans="1:1" x14ac:dyDescent="0.2">
      <c r="A5270" t="s">
        <v>1062</v>
      </c>
    </row>
    <row r="5271" spans="1:1" x14ac:dyDescent="0.2">
      <c r="A5271" t="s">
        <v>1063</v>
      </c>
    </row>
    <row r="5272" spans="1:1" x14ac:dyDescent="0.2">
      <c r="A5272" t="s">
        <v>1064</v>
      </c>
    </row>
    <row r="5273" spans="1:1" x14ac:dyDescent="0.2">
      <c r="A5273" t="s">
        <v>1065</v>
      </c>
    </row>
    <row r="5274" spans="1:1" x14ac:dyDescent="0.2">
      <c r="A5274" t="s">
        <v>1066</v>
      </c>
    </row>
    <row r="5275" spans="1:1" x14ac:dyDescent="0.2">
      <c r="A5275" t="s">
        <v>1067</v>
      </c>
    </row>
    <row r="5276" spans="1:1" x14ac:dyDescent="0.2">
      <c r="A5276" t="s">
        <v>1068</v>
      </c>
    </row>
    <row r="5277" spans="1:1" x14ac:dyDescent="0.2">
      <c r="A5277" t="s">
        <v>1069</v>
      </c>
    </row>
    <row r="5278" spans="1:1" x14ac:dyDescent="0.2">
      <c r="A5278" t="s">
        <v>1070</v>
      </c>
    </row>
    <row r="5279" spans="1:1" x14ac:dyDescent="0.2">
      <c r="A5279" t="s">
        <v>1071</v>
      </c>
    </row>
    <row r="5280" spans="1:1" x14ac:dyDescent="0.2">
      <c r="A5280" t="s">
        <v>1072</v>
      </c>
    </row>
    <row r="5281" spans="1:1" x14ac:dyDescent="0.2">
      <c r="A5281" t="s">
        <v>1073</v>
      </c>
    </row>
    <row r="5282" spans="1:1" x14ac:dyDescent="0.2">
      <c r="A5282" t="s">
        <v>1074</v>
      </c>
    </row>
    <row r="5283" spans="1:1" x14ac:dyDescent="0.2">
      <c r="A5283" t="s">
        <v>1075</v>
      </c>
    </row>
    <row r="5284" spans="1:1" x14ac:dyDescent="0.2">
      <c r="A5284" t="s">
        <v>1076</v>
      </c>
    </row>
    <row r="5285" spans="1:1" x14ac:dyDescent="0.2">
      <c r="A5285" t="s">
        <v>1077</v>
      </c>
    </row>
    <row r="5286" spans="1:1" x14ac:dyDescent="0.2">
      <c r="A5286" t="s">
        <v>1078</v>
      </c>
    </row>
    <row r="5287" spans="1:1" x14ac:dyDescent="0.2">
      <c r="A5287" t="s">
        <v>1079</v>
      </c>
    </row>
    <row r="5288" spans="1:1" x14ac:dyDescent="0.2">
      <c r="A5288" t="s">
        <v>1080</v>
      </c>
    </row>
    <row r="5289" spans="1:1" x14ac:dyDescent="0.2">
      <c r="A5289" t="s">
        <v>1081</v>
      </c>
    </row>
    <row r="5290" spans="1:1" x14ac:dyDescent="0.2">
      <c r="A5290" t="s">
        <v>1082</v>
      </c>
    </row>
    <row r="5291" spans="1:1" x14ac:dyDescent="0.2">
      <c r="A5291" t="s">
        <v>1083</v>
      </c>
    </row>
    <row r="5292" spans="1:1" x14ac:dyDescent="0.2">
      <c r="A5292" t="s">
        <v>2771</v>
      </c>
    </row>
    <row r="5293" spans="1:1" x14ac:dyDescent="0.2">
      <c r="A5293" t="s">
        <v>2772</v>
      </c>
    </row>
    <row r="5294" spans="1:1" x14ac:dyDescent="0.2">
      <c r="A5294" t="s">
        <v>2773</v>
      </c>
    </row>
    <row r="5295" spans="1:1" x14ac:dyDescent="0.2">
      <c r="A5295" t="s">
        <v>2774</v>
      </c>
    </row>
    <row r="5296" spans="1:1" x14ac:dyDescent="0.2">
      <c r="A5296" t="s">
        <v>2775</v>
      </c>
    </row>
    <row r="5297" spans="1:1" x14ac:dyDescent="0.2">
      <c r="A5297" t="s">
        <v>2776</v>
      </c>
    </row>
    <row r="5298" spans="1:1" x14ac:dyDescent="0.2">
      <c r="A5298" t="s">
        <v>1084</v>
      </c>
    </row>
    <row r="5299" spans="1:1" x14ac:dyDescent="0.2">
      <c r="A5299" t="s">
        <v>1085</v>
      </c>
    </row>
    <row r="5300" spans="1:1" x14ac:dyDescent="0.2">
      <c r="A5300" t="s">
        <v>1086</v>
      </c>
    </row>
    <row r="5301" spans="1:1" x14ac:dyDescent="0.2">
      <c r="A5301" t="s">
        <v>1087</v>
      </c>
    </row>
    <row r="5302" spans="1:1" x14ac:dyDescent="0.2">
      <c r="A5302" t="s">
        <v>1088</v>
      </c>
    </row>
    <row r="5303" spans="1:1" x14ac:dyDescent="0.2">
      <c r="A5303" t="s">
        <v>1089</v>
      </c>
    </row>
    <row r="5304" spans="1:1" x14ac:dyDescent="0.2">
      <c r="A5304" t="s">
        <v>1090</v>
      </c>
    </row>
    <row r="5305" spans="1:1" x14ac:dyDescent="0.2">
      <c r="A5305" t="s">
        <v>1091</v>
      </c>
    </row>
    <row r="5306" spans="1:1" x14ac:dyDescent="0.2">
      <c r="A5306" t="s">
        <v>1092</v>
      </c>
    </row>
    <row r="5307" spans="1:1" x14ac:dyDescent="0.2">
      <c r="A5307" t="s">
        <v>1093</v>
      </c>
    </row>
    <row r="5308" spans="1:1" x14ac:dyDescent="0.2">
      <c r="A5308" t="s">
        <v>1094</v>
      </c>
    </row>
    <row r="5309" spans="1:1" x14ac:dyDescent="0.2">
      <c r="A5309" t="s">
        <v>1095</v>
      </c>
    </row>
    <row r="5310" spans="1:1" x14ac:dyDescent="0.2">
      <c r="A5310" t="s">
        <v>1096</v>
      </c>
    </row>
    <row r="5311" spans="1:1" x14ac:dyDescent="0.2">
      <c r="A5311" t="s">
        <v>1097</v>
      </c>
    </row>
    <row r="5312" spans="1:1" x14ac:dyDescent="0.2">
      <c r="A5312" t="s">
        <v>1098</v>
      </c>
    </row>
    <row r="5313" spans="1:1" x14ac:dyDescent="0.2">
      <c r="A5313" t="s">
        <v>1099</v>
      </c>
    </row>
    <row r="5314" spans="1:1" x14ac:dyDescent="0.2">
      <c r="A5314" t="s">
        <v>1100</v>
      </c>
    </row>
    <row r="5315" spans="1:1" x14ac:dyDescent="0.2">
      <c r="A5315" t="s">
        <v>1101</v>
      </c>
    </row>
    <row r="5316" spans="1:1" x14ac:dyDescent="0.2">
      <c r="A5316" t="s">
        <v>1102</v>
      </c>
    </row>
    <row r="5317" spans="1:1" x14ac:dyDescent="0.2">
      <c r="A5317" t="s">
        <v>1103</v>
      </c>
    </row>
    <row r="5318" spans="1:1" x14ac:dyDescent="0.2">
      <c r="A5318" t="s">
        <v>1104</v>
      </c>
    </row>
    <row r="5319" spans="1:1" x14ac:dyDescent="0.2">
      <c r="A5319" t="s">
        <v>1105</v>
      </c>
    </row>
    <row r="5320" spans="1:1" x14ac:dyDescent="0.2">
      <c r="A5320" t="s">
        <v>1106</v>
      </c>
    </row>
    <row r="5321" spans="1:1" x14ac:dyDescent="0.2">
      <c r="A5321" t="s">
        <v>1107</v>
      </c>
    </row>
    <row r="5322" spans="1:1" x14ac:dyDescent="0.2">
      <c r="A5322" t="s">
        <v>1108</v>
      </c>
    </row>
    <row r="5323" spans="1:1" x14ac:dyDescent="0.2">
      <c r="A5323" t="s">
        <v>1109</v>
      </c>
    </row>
    <row r="5324" spans="1:1" x14ac:dyDescent="0.2">
      <c r="A5324" t="s">
        <v>1110</v>
      </c>
    </row>
    <row r="5325" spans="1:1" x14ac:dyDescent="0.2">
      <c r="A5325" t="s">
        <v>1111</v>
      </c>
    </row>
    <row r="5326" spans="1:1" x14ac:dyDescent="0.2">
      <c r="A5326" t="s">
        <v>1112</v>
      </c>
    </row>
    <row r="5327" spans="1:1" x14ac:dyDescent="0.2">
      <c r="A5327" t="s">
        <v>1113</v>
      </c>
    </row>
    <row r="5328" spans="1:1" x14ac:dyDescent="0.2">
      <c r="A5328" t="s">
        <v>1114</v>
      </c>
    </row>
    <row r="5329" spans="1:1" x14ac:dyDescent="0.2">
      <c r="A5329" t="s">
        <v>1115</v>
      </c>
    </row>
    <row r="5330" spans="1:1" x14ac:dyDescent="0.2">
      <c r="A5330" t="s">
        <v>1116</v>
      </c>
    </row>
    <row r="5331" spans="1:1" x14ac:dyDescent="0.2">
      <c r="A5331" t="s">
        <v>1117</v>
      </c>
    </row>
    <row r="5332" spans="1:1" x14ac:dyDescent="0.2">
      <c r="A5332" t="s">
        <v>1118</v>
      </c>
    </row>
    <row r="5333" spans="1:1" x14ac:dyDescent="0.2">
      <c r="A5333" t="s">
        <v>1119</v>
      </c>
    </row>
    <row r="5334" spans="1:1" x14ac:dyDescent="0.2">
      <c r="A5334" t="s">
        <v>1120</v>
      </c>
    </row>
    <row r="5335" spans="1:1" x14ac:dyDescent="0.2">
      <c r="A5335" t="s">
        <v>1288</v>
      </c>
    </row>
    <row r="5336" spans="1:1" x14ac:dyDescent="0.2">
      <c r="A5336" t="s">
        <v>2889</v>
      </c>
    </row>
    <row r="5337" spans="1:1" x14ac:dyDescent="0.2">
      <c r="A5337" t="s">
        <v>2890</v>
      </c>
    </row>
    <row r="5338" spans="1:1" x14ac:dyDescent="0.2">
      <c r="A5338" t="s">
        <v>2883</v>
      </c>
    </row>
    <row r="5339" spans="1:1" x14ac:dyDescent="0.2">
      <c r="A5339" t="s">
        <v>2884</v>
      </c>
    </row>
    <row r="5340" spans="1:1" x14ac:dyDescent="0.2">
      <c r="A5340" t="s">
        <v>1289</v>
      </c>
    </row>
    <row r="5341" spans="1:1" x14ac:dyDescent="0.2">
      <c r="A5341" t="s">
        <v>2781</v>
      </c>
    </row>
    <row r="5342" spans="1:1" x14ac:dyDescent="0.2">
      <c r="A5342" t="s">
        <v>2891</v>
      </c>
    </row>
    <row r="5343" spans="1:1" x14ac:dyDescent="0.2">
      <c r="A5343" t="s">
        <v>1122</v>
      </c>
    </row>
    <row r="5344" spans="1:1" x14ac:dyDescent="0.2">
      <c r="A5344" t="s">
        <v>1123</v>
      </c>
    </row>
    <row r="5345" spans="1:1" x14ac:dyDescent="0.2">
      <c r="A5345" t="s">
        <v>1124</v>
      </c>
    </row>
    <row r="5346" spans="1:1" x14ac:dyDescent="0.2">
      <c r="A5346" t="s">
        <v>1125</v>
      </c>
    </row>
    <row r="5347" spans="1:1" x14ac:dyDescent="0.2">
      <c r="A5347" t="s">
        <v>1126</v>
      </c>
    </row>
    <row r="5348" spans="1:1" x14ac:dyDescent="0.2">
      <c r="A5348" t="s">
        <v>1127</v>
      </c>
    </row>
    <row r="5349" spans="1:1" x14ac:dyDescent="0.2">
      <c r="A5349" t="s">
        <v>1128</v>
      </c>
    </row>
    <row r="5350" spans="1:1" x14ac:dyDescent="0.2">
      <c r="A5350" t="s">
        <v>1129</v>
      </c>
    </row>
    <row r="5351" spans="1:1" x14ac:dyDescent="0.2">
      <c r="A5351" t="s">
        <v>1130</v>
      </c>
    </row>
    <row r="5352" spans="1:1" x14ac:dyDescent="0.2">
      <c r="A5352" t="s">
        <v>1131</v>
      </c>
    </row>
    <row r="5353" spans="1:1" x14ac:dyDescent="0.2">
      <c r="A5353" t="s">
        <v>1132</v>
      </c>
    </row>
    <row r="5354" spans="1:1" x14ac:dyDescent="0.2">
      <c r="A5354" t="s">
        <v>1133</v>
      </c>
    </row>
    <row r="5355" spans="1:1" x14ac:dyDescent="0.2">
      <c r="A5355" t="s">
        <v>1134</v>
      </c>
    </row>
    <row r="5356" spans="1:1" x14ac:dyDescent="0.2">
      <c r="A5356" t="s">
        <v>1135</v>
      </c>
    </row>
    <row r="5357" spans="1:1" x14ac:dyDescent="0.2">
      <c r="A5357" t="s">
        <v>1136</v>
      </c>
    </row>
    <row r="5358" spans="1:1" x14ac:dyDescent="0.2">
      <c r="A5358" t="s">
        <v>1137</v>
      </c>
    </row>
    <row r="5359" spans="1:1" x14ac:dyDescent="0.2">
      <c r="A5359" t="s">
        <v>1138</v>
      </c>
    </row>
    <row r="5360" spans="1:1" x14ac:dyDescent="0.2">
      <c r="A5360" t="s">
        <v>1139</v>
      </c>
    </row>
    <row r="5361" spans="1:1" x14ac:dyDescent="0.2">
      <c r="A5361" t="s">
        <v>1140</v>
      </c>
    </row>
    <row r="5362" spans="1:1" x14ac:dyDescent="0.2">
      <c r="A5362" t="s">
        <v>1141</v>
      </c>
    </row>
    <row r="5363" spans="1:1" x14ac:dyDescent="0.2">
      <c r="A5363" t="s">
        <v>1142</v>
      </c>
    </row>
    <row r="5364" spans="1:1" x14ac:dyDescent="0.2">
      <c r="A5364" t="s">
        <v>1143</v>
      </c>
    </row>
    <row r="5365" spans="1:1" x14ac:dyDescent="0.2">
      <c r="A5365" t="s">
        <v>1144</v>
      </c>
    </row>
    <row r="5366" spans="1:1" x14ac:dyDescent="0.2">
      <c r="A5366" t="s">
        <v>1145</v>
      </c>
    </row>
    <row r="5367" spans="1:1" x14ac:dyDescent="0.2">
      <c r="A5367" t="s">
        <v>1146</v>
      </c>
    </row>
    <row r="5368" spans="1:1" x14ac:dyDescent="0.2">
      <c r="A5368" t="s">
        <v>1147</v>
      </c>
    </row>
    <row r="5369" spans="1:1" x14ac:dyDescent="0.2">
      <c r="A5369" t="s">
        <v>1148</v>
      </c>
    </row>
    <row r="5370" spans="1:1" x14ac:dyDescent="0.2">
      <c r="A5370" t="s">
        <v>1149</v>
      </c>
    </row>
    <row r="5371" spans="1:1" x14ac:dyDescent="0.2">
      <c r="A5371" t="s">
        <v>1150</v>
      </c>
    </row>
    <row r="5372" spans="1:1" x14ac:dyDescent="0.2">
      <c r="A5372" t="s">
        <v>1151</v>
      </c>
    </row>
    <row r="5373" spans="1:1" x14ac:dyDescent="0.2">
      <c r="A5373" t="s">
        <v>1152</v>
      </c>
    </row>
    <row r="5374" spans="1:1" x14ac:dyDescent="0.2">
      <c r="A5374" t="s">
        <v>1153</v>
      </c>
    </row>
    <row r="5375" spans="1:1" x14ac:dyDescent="0.2">
      <c r="A5375" t="s">
        <v>1154</v>
      </c>
    </row>
    <row r="5376" spans="1:1" x14ac:dyDescent="0.2">
      <c r="A5376" t="s">
        <v>1155</v>
      </c>
    </row>
    <row r="5377" spans="1:1" x14ac:dyDescent="0.2">
      <c r="A5377" t="s">
        <v>1156</v>
      </c>
    </row>
    <row r="5378" spans="1:1" x14ac:dyDescent="0.2">
      <c r="A5378" t="s">
        <v>1157</v>
      </c>
    </row>
    <row r="5379" spans="1:1" x14ac:dyDescent="0.2">
      <c r="A5379" t="s">
        <v>1158</v>
      </c>
    </row>
    <row r="5380" spans="1:1" x14ac:dyDescent="0.2">
      <c r="A5380" t="s">
        <v>1159</v>
      </c>
    </row>
    <row r="5381" spans="1:1" x14ac:dyDescent="0.2">
      <c r="A5381" t="s">
        <v>1160</v>
      </c>
    </row>
    <row r="5382" spans="1:1" x14ac:dyDescent="0.2">
      <c r="A5382" t="s">
        <v>1161</v>
      </c>
    </row>
    <row r="5383" spans="1:1" x14ac:dyDescent="0.2">
      <c r="A5383" t="s">
        <v>1162</v>
      </c>
    </row>
    <row r="5384" spans="1:1" x14ac:dyDescent="0.2">
      <c r="A5384" t="s">
        <v>1163</v>
      </c>
    </row>
    <row r="5385" spans="1:1" x14ac:dyDescent="0.2">
      <c r="A5385" t="s">
        <v>1164</v>
      </c>
    </row>
    <row r="5386" spans="1:1" x14ac:dyDescent="0.2">
      <c r="A5386" t="s">
        <v>1165</v>
      </c>
    </row>
    <row r="5387" spans="1:1" x14ac:dyDescent="0.2">
      <c r="A5387" t="s">
        <v>1166</v>
      </c>
    </row>
    <row r="5388" spans="1:1" x14ac:dyDescent="0.2">
      <c r="A5388" t="s">
        <v>1167</v>
      </c>
    </row>
    <row r="5389" spans="1:1" x14ac:dyDescent="0.2">
      <c r="A5389" t="s">
        <v>1168</v>
      </c>
    </row>
    <row r="5390" spans="1:1" x14ac:dyDescent="0.2">
      <c r="A5390" t="s">
        <v>1169</v>
      </c>
    </row>
    <row r="5391" spans="1:1" x14ac:dyDescent="0.2">
      <c r="A5391" t="s">
        <v>1170</v>
      </c>
    </row>
    <row r="5392" spans="1:1" x14ac:dyDescent="0.2">
      <c r="A5392" t="s">
        <v>1171</v>
      </c>
    </row>
    <row r="5393" spans="1:1" x14ac:dyDescent="0.2">
      <c r="A5393" t="s">
        <v>1172</v>
      </c>
    </row>
    <row r="5394" spans="1:1" x14ac:dyDescent="0.2">
      <c r="A5394" t="s">
        <v>1173</v>
      </c>
    </row>
    <row r="5395" spans="1:1" x14ac:dyDescent="0.2">
      <c r="A5395" t="s">
        <v>1174</v>
      </c>
    </row>
    <row r="5396" spans="1:1" x14ac:dyDescent="0.2">
      <c r="A5396" t="s">
        <v>1175</v>
      </c>
    </row>
    <row r="5397" spans="1:1" x14ac:dyDescent="0.2">
      <c r="A5397" t="s">
        <v>1176</v>
      </c>
    </row>
    <row r="5398" spans="1:1" x14ac:dyDescent="0.2">
      <c r="A5398" t="s">
        <v>1177</v>
      </c>
    </row>
    <row r="5399" spans="1:1" x14ac:dyDescent="0.2">
      <c r="A5399" t="s">
        <v>1178</v>
      </c>
    </row>
    <row r="5400" spans="1:1" x14ac:dyDescent="0.2">
      <c r="A5400" t="s">
        <v>1179</v>
      </c>
    </row>
    <row r="5401" spans="1:1" x14ac:dyDescent="0.2">
      <c r="A5401" t="s">
        <v>1180</v>
      </c>
    </row>
    <row r="5402" spans="1:1" x14ac:dyDescent="0.2">
      <c r="A5402" t="s">
        <v>1181</v>
      </c>
    </row>
    <row r="5403" spans="1:1" x14ac:dyDescent="0.2">
      <c r="A5403" t="s">
        <v>1182</v>
      </c>
    </row>
    <row r="5404" spans="1:1" x14ac:dyDescent="0.2">
      <c r="A5404" t="s">
        <v>1183</v>
      </c>
    </row>
    <row r="5405" spans="1:1" x14ac:dyDescent="0.2">
      <c r="A5405" t="s">
        <v>1184</v>
      </c>
    </row>
    <row r="5406" spans="1:1" x14ac:dyDescent="0.2">
      <c r="A5406" t="s">
        <v>1185</v>
      </c>
    </row>
    <row r="5407" spans="1:1" x14ac:dyDescent="0.2">
      <c r="A5407" t="s">
        <v>1186</v>
      </c>
    </row>
    <row r="5408" spans="1:1" x14ac:dyDescent="0.2">
      <c r="A5408" t="s">
        <v>1187</v>
      </c>
    </row>
    <row r="5409" spans="1:1" x14ac:dyDescent="0.2">
      <c r="A5409" t="s">
        <v>1188</v>
      </c>
    </row>
    <row r="5410" spans="1:1" x14ac:dyDescent="0.2">
      <c r="A5410" t="s">
        <v>1189</v>
      </c>
    </row>
    <row r="5411" spans="1:1" x14ac:dyDescent="0.2">
      <c r="A5411" t="s">
        <v>1190</v>
      </c>
    </row>
    <row r="5412" spans="1:1" x14ac:dyDescent="0.2">
      <c r="A5412" t="s">
        <v>1191</v>
      </c>
    </row>
    <row r="5413" spans="1:1" x14ac:dyDescent="0.2">
      <c r="A5413" t="s">
        <v>1192</v>
      </c>
    </row>
    <row r="5414" spans="1:1" x14ac:dyDescent="0.2">
      <c r="A5414" t="s">
        <v>1193</v>
      </c>
    </row>
    <row r="5415" spans="1:1" x14ac:dyDescent="0.2">
      <c r="A5415" t="s">
        <v>1194</v>
      </c>
    </row>
    <row r="5416" spans="1:1" x14ac:dyDescent="0.2">
      <c r="A5416" t="s">
        <v>1195</v>
      </c>
    </row>
    <row r="5417" spans="1:1" x14ac:dyDescent="0.2">
      <c r="A5417" t="s">
        <v>1196</v>
      </c>
    </row>
    <row r="5418" spans="1:1" x14ac:dyDescent="0.2">
      <c r="A5418" t="s">
        <v>1197</v>
      </c>
    </row>
    <row r="5419" spans="1:1" x14ac:dyDescent="0.2">
      <c r="A5419" t="s">
        <v>1198</v>
      </c>
    </row>
    <row r="5420" spans="1:1" x14ac:dyDescent="0.2">
      <c r="A5420" t="s">
        <v>1199</v>
      </c>
    </row>
    <row r="5421" spans="1:1" x14ac:dyDescent="0.2">
      <c r="A5421" t="s">
        <v>1200</v>
      </c>
    </row>
    <row r="5422" spans="1:1" x14ac:dyDescent="0.2">
      <c r="A5422" t="s">
        <v>1201</v>
      </c>
    </row>
    <row r="5423" spans="1:1" x14ac:dyDescent="0.2">
      <c r="A5423" t="s">
        <v>1202</v>
      </c>
    </row>
    <row r="5424" spans="1:1" x14ac:dyDescent="0.2">
      <c r="A5424" t="s">
        <v>1203</v>
      </c>
    </row>
    <row r="5425" spans="1:1" x14ac:dyDescent="0.2">
      <c r="A5425" t="s">
        <v>1204</v>
      </c>
    </row>
    <row r="5426" spans="1:1" x14ac:dyDescent="0.2">
      <c r="A5426" t="s">
        <v>1205</v>
      </c>
    </row>
    <row r="5427" spans="1:1" x14ac:dyDescent="0.2">
      <c r="A5427" t="s">
        <v>1206</v>
      </c>
    </row>
    <row r="5428" spans="1:1" x14ac:dyDescent="0.2">
      <c r="A5428" t="s">
        <v>1207</v>
      </c>
    </row>
    <row r="5429" spans="1:1" x14ac:dyDescent="0.2">
      <c r="A5429" t="s">
        <v>1208</v>
      </c>
    </row>
    <row r="5430" spans="1:1" x14ac:dyDescent="0.2">
      <c r="A5430" t="s">
        <v>1209</v>
      </c>
    </row>
    <row r="5431" spans="1:1" x14ac:dyDescent="0.2">
      <c r="A5431" t="s">
        <v>1210</v>
      </c>
    </row>
    <row r="5432" spans="1:1" x14ac:dyDescent="0.2">
      <c r="A5432" t="s">
        <v>1211</v>
      </c>
    </row>
    <row r="5433" spans="1:1" x14ac:dyDescent="0.2">
      <c r="A5433" t="s">
        <v>1212</v>
      </c>
    </row>
    <row r="5434" spans="1:1" x14ac:dyDescent="0.2">
      <c r="A5434" t="s">
        <v>1213</v>
      </c>
    </row>
    <row r="5435" spans="1:1" x14ac:dyDescent="0.2">
      <c r="A5435" t="s">
        <v>1214</v>
      </c>
    </row>
    <row r="5436" spans="1:1" x14ac:dyDescent="0.2">
      <c r="A5436" t="s">
        <v>1215</v>
      </c>
    </row>
    <row r="5437" spans="1:1" x14ac:dyDescent="0.2">
      <c r="A5437" t="s">
        <v>1216</v>
      </c>
    </row>
    <row r="5438" spans="1:1" x14ac:dyDescent="0.2">
      <c r="A5438" t="s">
        <v>1217</v>
      </c>
    </row>
    <row r="5439" spans="1:1" x14ac:dyDescent="0.2">
      <c r="A5439" t="s">
        <v>1218</v>
      </c>
    </row>
    <row r="5440" spans="1:1" x14ac:dyDescent="0.2">
      <c r="A5440" t="s">
        <v>1219</v>
      </c>
    </row>
    <row r="5441" spans="1:1" x14ac:dyDescent="0.2">
      <c r="A5441" t="s">
        <v>1220</v>
      </c>
    </row>
    <row r="5442" spans="1:1" x14ac:dyDescent="0.2">
      <c r="A5442" t="s">
        <v>1221</v>
      </c>
    </row>
    <row r="5443" spans="1:1" x14ac:dyDescent="0.2">
      <c r="A5443" t="s">
        <v>1222</v>
      </c>
    </row>
    <row r="5444" spans="1:1" x14ac:dyDescent="0.2">
      <c r="A5444" t="s">
        <v>1223</v>
      </c>
    </row>
    <row r="5445" spans="1:1" x14ac:dyDescent="0.2">
      <c r="A5445" t="s">
        <v>1224</v>
      </c>
    </row>
    <row r="5446" spans="1:1" x14ac:dyDescent="0.2">
      <c r="A5446" t="s">
        <v>1225</v>
      </c>
    </row>
    <row r="5447" spans="1:1" x14ac:dyDescent="0.2">
      <c r="A5447" t="s">
        <v>1226</v>
      </c>
    </row>
    <row r="5448" spans="1:1" x14ac:dyDescent="0.2">
      <c r="A5448" t="s">
        <v>1227</v>
      </c>
    </row>
    <row r="5449" spans="1:1" x14ac:dyDescent="0.2">
      <c r="A5449" t="s">
        <v>1228</v>
      </c>
    </row>
    <row r="5450" spans="1:1" x14ac:dyDescent="0.2">
      <c r="A5450" t="s">
        <v>1229</v>
      </c>
    </row>
    <row r="5451" spans="1:1" x14ac:dyDescent="0.2">
      <c r="A5451" t="s">
        <v>1230</v>
      </c>
    </row>
    <row r="5452" spans="1:1" x14ac:dyDescent="0.2">
      <c r="A5452" t="s">
        <v>1231</v>
      </c>
    </row>
    <row r="5453" spans="1:1" x14ac:dyDescent="0.2">
      <c r="A5453" t="s">
        <v>1232</v>
      </c>
    </row>
    <row r="5454" spans="1:1" x14ac:dyDescent="0.2">
      <c r="A5454" t="s">
        <v>1233</v>
      </c>
    </row>
    <row r="5455" spans="1:1" x14ac:dyDescent="0.2">
      <c r="A5455" t="s">
        <v>1234</v>
      </c>
    </row>
    <row r="5456" spans="1:1" x14ac:dyDescent="0.2">
      <c r="A5456" t="s">
        <v>1235</v>
      </c>
    </row>
    <row r="5457" spans="1:1" x14ac:dyDescent="0.2">
      <c r="A5457" t="s">
        <v>1236</v>
      </c>
    </row>
    <row r="5458" spans="1:1" x14ac:dyDescent="0.2">
      <c r="A5458" t="s">
        <v>1237</v>
      </c>
    </row>
    <row r="5459" spans="1:1" x14ac:dyDescent="0.2">
      <c r="A5459" t="s">
        <v>1238</v>
      </c>
    </row>
    <row r="5460" spans="1:1" x14ac:dyDescent="0.2">
      <c r="A5460" t="s">
        <v>1239</v>
      </c>
    </row>
    <row r="5461" spans="1:1" x14ac:dyDescent="0.2">
      <c r="A5461" t="s">
        <v>1240</v>
      </c>
    </row>
    <row r="5462" spans="1:1" x14ac:dyDescent="0.2">
      <c r="A5462" t="s">
        <v>1241</v>
      </c>
    </row>
    <row r="5463" spans="1:1" x14ac:dyDescent="0.2">
      <c r="A5463" t="s">
        <v>1242</v>
      </c>
    </row>
    <row r="5464" spans="1:1" x14ac:dyDescent="0.2">
      <c r="A5464" t="s">
        <v>1243</v>
      </c>
    </row>
    <row r="5465" spans="1:1" x14ac:dyDescent="0.2">
      <c r="A5465" t="s">
        <v>1244</v>
      </c>
    </row>
    <row r="5466" spans="1:1" x14ac:dyDescent="0.2">
      <c r="A5466" t="s">
        <v>1245</v>
      </c>
    </row>
    <row r="5467" spans="1:1" x14ac:dyDescent="0.2">
      <c r="A5467" t="s">
        <v>1246</v>
      </c>
    </row>
    <row r="5468" spans="1:1" x14ac:dyDescent="0.2">
      <c r="A5468" t="s">
        <v>1247</v>
      </c>
    </row>
    <row r="5469" spans="1:1" x14ac:dyDescent="0.2">
      <c r="A5469" t="s">
        <v>1248</v>
      </c>
    </row>
    <row r="5470" spans="1:1" x14ac:dyDescent="0.2">
      <c r="A5470" t="s">
        <v>1249</v>
      </c>
    </row>
    <row r="5471" spans="1:1" x14ac:dyDescent="0.2">
      <c r="A5471" t="s">
        <v>1250</v>
      </c>
    </row>
    <row r="5472" spans="1:1" x14ac:dyDescent="0.2">
      <c r="A5472" t="s">
        <v>1251</v>
      </c>
    </row>
    <row r="5473" spans="1:1" x14ac:dyDescent="0.2">
      <c r="A5473" t="s">
        <v>1252</v>
      </c>
    </row>
    <row r="5474" spans="1:1" x14ac:dyDescent="0.2">
      <c r="A5474" t="s">
        <v>1253</v>
      </c>
    </row>
    <row r="5475" spans="1:1" x14ac:dyDescent="0.2">
      <c r="A5475" t="s">
        <v>1254</v>
      </c>
    </row>
    <row r="5476" spans="1:1" x14ac:dyDescent="0.2">
      <c r="A5476" t="s">
        <v>1255</v>
      </c>
    </row>
    <row r="5477" spans="1:1" x14ac:dyDescent="0.2">
      <c r="A5477" t="s">
        <v>1256</v>
      </c>
    </row>
    <row r="5478" spans="1:1" x14ac:dyDescent="0.2">
      <c r="A5478" t="s">
        <v>1257</v>
      </c>
    </row>
    <row r="5479" spans="1:1" x14ac:dyDescent="0.2">
      <c r="A5479" t="s">
        <v>1258</v>
      </c>
    </row>
    <row r="5480" spans="1:1" x14ac:dyDescent="0.2">
      <c r="A5480" t="s">
        <v>1259</v>
      </c>
    </row>
    <row r="5481" spans="1:1" x14ac:dyDescent="0.2">
      <c r="A5481" t="s">
        <v>1260</v>
      </c>
    </row>
    <row r="5482" spans="1:1" x14ac:dyDescent="0.2">
      <c r="A5482" t="s">
        <v>1261</v>
      </c>
    </row>
    <row r="5483" spans="1:1" x14ac:dyDescent="0.2">
      <c r="A5483" t="s">
        <v>1262</v>
      </c>
    </row>
    <row r="5484" spans="1:1" x14ac:dyDescent="0.2">
      <c r="A5484" t="s">
        <v>1263</v>
      </c>
    </row>
    <row r="5485" spans="1:1" x14ac:dyDescent="0.2">
      <c r="A5485" t="s">
        <v>1264</v>
      </c>
    </row>
    <row r="5486" spans="1:1" x14ac:dyDescent="0.2">
      <c r="A5486" t="s">
        <v>1265</v>
      </c>
    </row>
    <row r="5487" spans="1:1" x14ac:dyDescent="0.2">
      <c r="A5487" t="s">
        <v>1266</v>
      </c>
    </row>
    <row r="5488" spans="1:1" x14ac:dyDescent="0.2">
      <c r="A5488" t="s">
        <v>1267</v>
      </c>
    </row>
    <row r="5489" spans="1:1" x14ac:dyDescent="0.2">
      <c r="A5489" t="s">
        <v>1268</v>
      </c>
    </row>
    <row r="5490" spans="1:1" x14ac:dyDescent="0.2">
      <c r="A5490" t="s">
        <v>1269</v>
      </c>
    </row>
    <row r="5491" spans="1:1" x14ac:dyDescent="0.2">
      <c r="A5491" t="s">
        <v>1270</v>
      </c>
    </row>
    <row r="5492" spans="1:1" x14ac:dyDescent="0.2">
      <c r="A5492" t="s">
        <v>1271</v>
      </c>
    </row>
    <row r="5493" spans="1:1" x14ac:dyDescent="0.2">
      <c r="A5493" t="s">
        <v>1272</v>
      </c>
    </row>
    <row r="5494" spans="1:1" x14ac:dyDescent="0.2">
      <c r="A5494" t="s">
        <v>1273</v>
      </c>
    </row>
    <row r="5495" spans="1:1" x14ac:dyDescent="0.2">
      <c r="A5495" t="s">
        <v>1274</v>
      </c>
    </row>
    <row r="5496" spans="1:1" x14ac:dyDescent="0.2">
      <c r="A5496" t="s">
        <v>1275</v>
      </c>
    </row>
    <row r="5497" spans="1:1" x14ac:dyDescent="0.2">
      <c r="A5497" t="s">
        <v>1276</v>
      </c>
    </row>
    <row r="5498" spans="1:1" x14ac:dyDescent="0.2">
      <c r="A5498" t="s">
        <v>1277</v>
      </c>
    </row>
    <row r="5499" spans="1:1" x14ac:dyDescent="0.2">
      <c r="A5499" t="s">
        <v>1278</v>
      </c>
    </row>
    <row r="5500" spans="1:1" x14ac:dyDescent="0.2">
      <c r="A5500" t="s">
        <v>1279</v>
      </c>
    </row>
    <row r="5501" spans="1:1" x14ac:dyDescent="0.2">
      <c r="A5501" t="s">
        <v>1280</v>
      </c>
    </row>
    <row r="5502" spans="1:1" x14ac:dyDescent="0.2">
      <c r="A5502" t="s">
        <v>1281</v>
      </c>
    </row>
    <row r="5503" spans="1:1" x14ac:dyDescent="0.2">
      <c r="A5503" t="s">
        <v>1282</v>
      </c>
    </row>
    <row r="5504" spans="1:1" x14ac:dyDescent="0.2">
      <c r="A5504" t="s">
        <v>1283</v>
      </c>
    </row>
    <row r="5505" spans="1:1" x14ac:dyDescent="0.2">
      <c r="A5505" t="s">
        <v>1284</v>
      </c>
    </row>
    <row r="5506" spans="1:1" x14ac:dyDescent="0.2">
      <c r="A5506" t="s">
        <v>1285</v>
      </c>
    </row>
    <row r="5507" spans="1:1" x14ac:dyDescent="0.2">
      <c r="A5507" t="s">
        <v>1286</v>
      </c>
    </row>
    <row r="5508" spans="1:1" x14ac:dyDescent="0.2">
      <c r="A5508" t="s">
        <v>2892</v>
      </c>
    </row>
    <row r="5509" spans="1:1" x14ac:dyDescent="0.2">
      <c r="A5509" t="s">
        <v>1053</v>
      </c>
    </row>
    <row r="5510" spans="1:1" x14ac:dyDescent="0.2">
      <c r="A5510" t="s">
        <v>2893</v>
      </c>
    </row>
    <row r="5511" spans="1:1" x14ac:dyDescent="0.2">
      <c r="A5511" t="s">
        <v>2768</v>
      </c>
    </row>
    <row r="5512" spans="1:1" x14ac:dyDescent="0.2">
      <c r="A5512" t="s">
        <v>2769</v>
      </c>
    </row>
    <row r="5513" spans="1:1" x14ac:dyDescent="0.2">
      <c r="A5513" t="s">
        <v>1054</v>
      </c>
    </row>
    <row r="5514" spans="1:1" x14ac:dyDescent="0.2">
      <c r="A5514" t="s">
        <v>1055</v>
      </c>
    </row>
    <row r="5515" spans="1:1" x14ac:dyDescent="0.2">
      <c r="A5515" t="s">
        <v>2807</v>
      </c>
    </row>
    <row r="5516" spans="1:1" x14ac:dyDescent="0.2">
      <c r="A5516" t="s">
        <v>1056</v>
      </c>
    </row>
    <row r="5517" spans="1:1" x14ac:dyDescent="0.2">
      <c r="A5517" t="s">
        <v>1057</v>
      </c>
    </row>
    <row r="5518" spans="1:1" x14ac:dyDescent="0.2">
      <c r="A5518" t="s">
        <v>1058</v>
      </c>
    </row>
    <row r="5519" spans="1:1" x14ac:dyDescent="0.2">
      <c r="A5519" t="s">
        <v>1059</v>
      </c>
    </row>
    <row r="5520" spans="1:1" x14ac:dyDescent="0.2">
      <c r="A5520" t="s">
        <v>1060</v>
      </c>
    </row>
    <row r="5521" spans="1:1" x14ac:dyDescent="0.2">
      <c r="A5521" t="s">
        <v>1061</v>
      </c>
    </row>
    <row r="5522" spans="1:1" x14ac:dyDescent="0.2">
      <c r="A5522" t="s">
        <v>1062</v>
      </c>
    </row>
    <row r="5523" spans="1:1" x14ac:dyDescent="0.2">
      <c r="A5523" t="s">
        <v>1063</v>
      </c>
    </row>
    <row r="5524" spans="1:1" x14ac:dyDescent="0.2">
      <c r="A5524" t="s">
        <v>1064</v>
      </c>
    </row>
    <row r="5525" spans="1:1" x14ac:dyDescent="0.2">
      <c r="A5525" t="s">
        <v>1065</v>
      </c>
    </row>
    <row r="5526" spans="1:1" x14ac:dyDescent="0.2">
      <c r="A5526" t="s">
        <v>1066</v>
      </c>
    </row>
    <row r="5527" spans="1:1" x14ac:dyDescent="0.2">
      <c r="A5527" t="s">
        <v>1067</v>
      </c>
    </row>
    <row r="5528" spans="1:1" x14ac:dyDescent="0.2">
      <c r="A5528" t="s">
        <v>1068</v>
      </c>
    </row>
    <row r="5529" spans="1:1" x14ac:dyDescent="0.2">
      <c r="A5529" t="s">
        <v>1069</v>
      </c>
    </row>
    <row r="5530" spans="1:1" x14ac:dyDescent="0.2">
      <c r="A5530" t="s">
        <v>1070</v>
      </c>
    </row>
    <row r="5531" spans="1:1" x14ac:dyDescent="0.2">
      <c r="A5531" t="s">
        <v>1071</v>
      </c>
    </row>
    <row r="5532" spans="1:1" x14ac:dyDescent="0.2">
      <c r="A5532" t="s">
        <v>1072</v>
      </c>
    </row>
    <row r="5533" spans="1:1" x14ac:dyDescent="0.2">
      <c r="A5533" t="s">
        <v>1073</v>
      </c>
    </row>
    <row r="5534" spans="1:1" x14ac:dyDescent="0.2">
      <c r="A5534" t="s">
        <v>1074</v>
      </c>
    </row>
    <row r="5535" spans="1:1" x14ac:dyDescent="0.2">
      <c r="A5535" t="s">
        <v>1075</v>
      </c>
    </row>
    <row r="5536" spans="1:1" x14ac:dyDescent="0.2">
      <c r="A5536" t="s">
        <v>1076</v>
      </c>
    </row>
    <row r="5537" spans="1:1" x14ac:dyDescent="0.2">
      <c r="A5537" t="s">
        <v>1077</v>
      </c>
    </row>
    <row r="5538" spans="1:1" x14ac:dyDescent="0.2">
      <c r="A5538" t="s">
        <v>1078</v>
      </c>
    </row>
    <row r="5539" spans="1:1" x14ac:dyDescent="0.2">
      <c r="A5539" t="s">
        <v>1079</v>
      </c>
    </row>
    <row r="5540" spans="1:1" x14ac:dyDescent="0.2">
      <c r="A5540" t="s">
        <v>1080</v>
      </c>
    </row>
    <row r="5541" spans="1:1" x14ac:dyDescent="0.2">
      <c r="A5541" t="s">
        <v>1081</v>
      </c>
    </row>
    <row r="5542" spans="1:1" x14ac:dyDescent="0.2">
      <c r="A5542" t="s">
        <v>1082</v>
      </c>
    </row>
    <row r="5543" spans="1:1" x14ac:dyDescent="0.2">
      <c r="A5543" t="s">
        <v>1083</v>
      </c>
    </row>
    <row r="5544" spans="1:1" x14ac:dyDescent="0.2">
      <c r="A5544" t="s">
        <v>2771</v>
      </c>
    </row>
    <row r="5545" spans="1:1" x14ac:dyDescent="0.2">
      <c r="A5545" t="s">
        <v>2772</v>
      </c>
    </row>
    <row r="5546" spans="1:1" x14ac:dyDescent="0.2">
      <c r="A5546" t="s">
        <v>2773</v>
      </c>
    </row>
    <row r="5547" spans="1:1" x14ac:dyDescent="0.2">
      <c r="A5547" t="s">
        <v>2774</v>
      </c>
    </row>
    <row r="5548" spans="1:1" x14ac:dyDescent="0.2">
      <c r="A5548" t="s">
        <v>2775</v>
      </c>
    </row>
    <row r="5549" spans="1:1" x14ac:dyDescent="0.2">
      <c r="A5549" t="s">
        <v>2776</v>
      </c>
    </row>
    <row r="5550" spans="1:1" x14ac:dyDescent="0.2">
      <c r="A5550" t="s">
        <v>1084</v>
      </c>
    </row>
    <row r="5551" spans="1:1" x14ac:dyDescent="0.2">
      <c r="A5551" t="s">
        <v>1085</v>
      </c>
    </row>
    <row r="5552" spans="1:1" x14ac:dyDescent="0.2">
      <c r="A5552" t="s">
        <v>1086</v>
      </c>
    </row>
    <row r="5553" spans="1:1" x14ac:dyDescent="0.2">
      <c r="A5553" t="s">
        <v>1087</v>
      </c>
    </row>
    <row r="5554" spans="1:1" x14ac:dyDescent="0.2">
      <c r="A5554" t="s">
        <v>1088</v>
      </c>
    </row>
    <row r="5555" spans="1:1" x14ac:dyDescent="0.2">
      <c r="A5555" t="s">
        <v>1089</v>
      </c>
    </row>
    <row r="5556" spans="1:1" x14ac:dyDescent="0.2">
      <c r="A5556" t="s">
        <v>1090</v>
      </c>
    </row>
    <row r="5557" spans="1:1" x14ac:dyDescent="0.2">
      <c r="A5557" t="s">
        <v>1091</v>
      </c>
    </row>
    <row r="5558" spans="1:1" x14ac:dyDescent="0.2">
      <c r="A5558" t="s">
        <v>1092</v>
      </c>
    </row>
    <row r="5559" spans="1:1" x14ac:dyDescent="0.2">
      <c r="A5559" t="s">
        <v>1093</v>
      </c>
    </row>
    <row r="5560" spans="1:1" x14ac:dyDescent="0.2">
      <c r="A5560" t="s">
        <v>1094</v>
      </c>
    </row>
    <row r="5561" spans="1:1" x14ac:dyDescent="0.2">
      <c r="A5561" t="s">
        <v>1095</v>
      </c>
    </row>
    <row r="5562" spans="1:1" x14ac:dyDescent="0.2">
      <c r="A5562" t="s">
        <v>1096</v>
      </c>
    </row>
    <row r="5563" spans="1:1" x14ac:dyDescent="0.2">
      <c r="A5563" t="s">
        <v>1097</v>
      </c>
    </row>
    <row r="5564" spans="1:1" x14ac:dyDescent="0.2">
      <c r="A5564" t="s">
        <v>1098</v>
      </c>
    </row>
    <row r="5565" spans="1:1" x14ac:dyDescent="0.2">
      <c r="A5565" t="s">
        <v>1099</v>
      </c>
    </row>
    <row r="5566" spans="1:1" x14ac:dyDescent="0.2">
      <c r="A5566" t="s">
        <v>1100</v>
      </c>
    </row>
    <row r="5567" spans="1:1" x14ac:dyDescent="0.2">
      <c r="A5567" t="s">
        <v>1101</v>
      </c>
    </row>
    <row r="5568" spans="1:1" x14ac:dyDescent="0.2">
      <c r="A5568" t="s">
        <v>1102</v>
      </c>
    </row>
    <row r="5569" spans="1:1" x14ac:dyDescent="0.2">
      <c r="A5569" t="s">
        <v>1103</v>
      </c>
    </row>
    <row r="5570" spans="1:1" x14ac:dyDescent="0.2">
      <c r="A5570" t="s">
        <v>1104</v>
      </c>
    </row>
    <row r="5571" spans="1:1" x14ac:dyDescent="0.2">
      <c r="A5571" t="s">
        <v>1105</v>
      </c>
    </row>
    <row r="5572" spans="1:1" x14ac:dyDescent="0.2">
      <c r="A5572" t="s">
        <v>1106</v>
      </c>
    </row>
    <row r="5573" spans="1:1" x14ac:dyDescent="0.2">
      <c r="A5573" t="s">
        <v>1107</v>
      </c>
    </row>
    <row r="5574" spans="1:1" x14ac:dyDescent="0.2">
      <c r="A5574" t="s">
        <v>1108</v>
      </c>
    </row>
    <row r="5575" spans="1:1" x14ac:dyDescent="0.2">
      <c r="A5575" t="s">
        <v>1109</v>
      </c>
    </row>
    <row r="5576" spans="1:1" x14ac:dyDescent="0.2">
      <c r="A5576" t="s">
        <v>1110</v>
      </c>
    </row>
    <row r="5577" spans="1:1" x14ac:dyDescent="0.2">
      <c r="A5577" t="s">
        <v>1111</v>
      </c>
    </row>
    <row r="5578" spans="1:1" x14ac:dyDescent="0.2">
      <c r="A5578" t="s">
        <v>1112</v>
      </c>
    </row>
    <row r="5579" spans="1:1" x14ac:dyDescent="0.2">
      <c r="A5579" t="s">
        <v>1113</v>
      </c>
    </row>
    <row r="5580" spans="1:1" x14ac:dyDescent="0.2">
      <c r="A5580" t="s">
        <v>1114</v>
      </c>
    </row>
    <row r="5581" spans="1:1" x14ac:dyDescent="0.2">
      <c r="A5581" t="s">
        <v>1115</v>
      </c>
    </row>
    <row r="5582" spans="1:1" x14ac:dyDescent="0.2">
      <c r="A5582" t="s">
        <v>1116</v>
      </c>
    </row>
    <row r="5583" spans="1:1" x14ac:dyDescent="0.2">
      <c r="A5583" t="s">
        <v>1117</v>
      </c>
    </row>
    <row r="5584" spans="1:1" x14ac:dyDescent="0.2">
      <c r="A5584" t="s">
        <v>1118</v>
      </c>
    </row>
    <row r="5585" spans="1:1" x14ac:dyDescent="0.2">
      <c r="A5585" t="s">
        <v>1119</v>
      </c>
    </row>
    <row r="5586" spans="1:1" x14ac:dyDescent="0.2">
      <c r="A5586" t="s">
        <v>1120</v>
      </c>
    </row>
    <row r="5587" spans="1:1" x14ac:dyDescent="0.2">
      <c r="A5587" t="s">
        <v>1288</v>
      </c>
    </row>
    <row r="5588" spans="1:1" x14ac:dyDescent="0.2">
      <c r="A5588" t="s">
        <v>2894</v>
      </c>
    </row>
    <row r="5589" spans="1:1" x14ac:dyDescent="0.2">
      <c r="A5589" t="s">
        <v>2895</v>
      </c>
    </row>
    <row r="5590" spans="1:1" x14ac:dyDescent="0.2">
      <c r="A5590" t="s">
        <v>2896</v>
      </c>
    </row>
    <row r="5591" spans="1:1" x14ac:dyDescent="0.2">
      <c r="A5591" t="s">
        <v>2897</v>
      </c>
    </row>
    <row r="5592" spans="1:1" x14ac:dyDescent="0.2">
      <c r="A5592" t="s">
        <v>1289</v>
      </c>
    </row>
    <row r="5593" spans="1:1" x14ac:dyDescent="0.2">
      <c r="A5593" t="s">
        <v>2781</v>
      </c>
    </row>
    <row r="5594" spans="1:1" x14ac:dyDescent="0.2">
      <c r="A5594" t="s">
        <v>2898</v>
      </c>
    </row>
    <row r="5595" spans="1:1" x14ac:dyDescent="0.2">
      <c r="A5595" t="s">
        <v>1122</v>
      </c>
    </row>
    <row r="5596" spans="1:1" x14ac:dyDescent="0.2">
      <c r="A5596" t="s">
        <v>1123</v>
      </c>
    </row>
    <row r="5597" spans="1:1" x14ac:dyDescent="0.2">
      <c r="A5597" t="s">
        <v>1124</v>
      </c>
    </row>
    <row r="5598" spans="1:1" x14ac:dyDescent="0.2">
      <c r="A5598" t="s">
        <v>1125</v>
      </c>
    </row>
    <row r="5599" spans="1:1" x14ac:dyDescent="0.2">
      <c r="A5599" t="s">
        <v>1126</v>
      </c>
    </row>
    <row r="5600" spans="1:1" x14ac:dyDescent="0.2">
      <c r="A5600" t="s">
        <v>1127</v>
      </c>
    </row>
    <row r="5601" spans="1:1" x14ac:dyDescent="0.2">
      <c r="A5601" t="s">
        <v>1128</v>
      </c>
    </row>
    <row r="5602" spans="1:1" x14ac:dyDescent="0.2">
      <c r="A5602" t="s">
        <v>1129</v>
      </c>
    </row>
    <row r="5603" spans="1:1" x14ac:dyDescent="0.2">
      <c r="A5603" t="s">
        <v>1130</v>
      </c>
    </row>
    <row r="5604" spans="1:1" x14ac:dyDescent="0.2">
      <c r="A5604" t="s">
        <v>1131</v>
      </c>
    </row>
    <row r="5605" spans="1:1" x14ac:dyDescent="0.2">
      <c r="A5605" t="s">
        <v>1132</v>
      </c>
    </row>
    <row r="5606" spans="1:1" x14ac:dyDescent="0.2">
      <c r="A5606" t="s">
        <v>1133</v>
      </c>
    </row>
    <row r="5607" spans="1:1" x14ac:dyDescent="0.2">
      <c r="A5607" t="s">
        <v>1134</v>
      </c>
    </row>
    <row r="5608" spans="1:1" x14ac:dyDescent="0.2">
      <c r="A5608" t="s">
        <v>1135</v>
      </c>
    </row>
    <row r="5609" spans="1:1" x14ac:dyDescent="0.2">
      <c r="A5609" t="s">
        <v>1136</v>
      </c>
    </row>
    <row r="5610" spans="1:1" x14ac:dyDescent="0.2">
      <c r="A5610" t="s">
        <v>1137</v>
      </c>
    </row>
    <row r="5611" spans="1:1" x14ac:dyDescent="0.2">
      <c r="A5611" t="s">
        <v>1138</v>
      </c>
    </row>
    <row r="5612" spans="1:1" x14ac:dyDescent="0.2">
      <c r="A5612" t="s">
        <v>1139</v>
      </c>
    </row>
    <row r="5613" spans="1:1" x14ac:dyDescent="0.2">
      <c r="A5613" t="s">
        <v>1140</v>
      </c>
    </row>
    <row r="5614" spans="1:1" x14ac:dyDescent="0.2">
      <c r="A5614" t="s">
        <v>1141</v>
      </c>
    </row>
    <row r="5615" spans="1:1" x14ac:dyDescent="0.2">
      <c r="A5615" t="s">
        <v>1142</v>
      </c>
    </row>
    <row r="5616" spans="1:1" x14ac:dyDescent="0.2">
      <c r="A5616" t="s">
        <v>1143</v>
      </c>
    </row>
    <row r="5617" spans="1:1" x14ac:dyDescent="0.2">
      <c r="A5617" t="s">
        <v>1144</v>
      </c>
    </row>
    <row r="5618" spans="1:1" x14ac:dyDescent="0.2">
      <c r="A5618" t="s">
        <v>1145</v>
      </c>
    </row>
    <row r="5619" spans="1:1" x14ac:dyDescent="0.2">
      <c r="A5619" t="s">
        <v>1146</v>
      </c>
    </row>
    <row r="5620" spans="1:1" x14ac:dyDescent="0.2">
      <c r="A5620" t="s">
        <v>1147</v>
      </c>
    </row>
    <row r="5621" spans="1:1" x14ac:dyDescent="0.2">
      <c r="A5621" t="s">
        <v>1148</v>
      </c>
    </row>
    <row r="5622" spans="1:1" x14ac:dyDescent="0.2">
      <c r="A5622" t="s">
        <v>1149</v>
      </c>
    </row>
    <row r="5623" spans="1:1" x14ac:dyDescent="0.2">
      <c r="A5623" t="s">
        <v>1150</v>
      </c>
    </row>
    <row r="5624" spans="1:1" x14ac:dyDescent="0.2">
      <c r="A5624" t="s">
        <v>1151</v>
      </c>
    </row>
    <row r="5625" spans="1:1" x14ac:dyDescent="0.2">
      <c r="A5625" t="s">
        <v>1152</v>
      </c>
    </row>
    <row r="5626" spans="1:1" x14ac:dyDescent="0.2">
      <c r="A5626" t="s">
        <v>1153</v>
      </c>
    </row>
    <row r="5627" spans="1:1" x14ac:dyDescent="0.2">
      <c r="A5627" t="s">
        <v>1154</v>
      </c>
    </row>
    <row r="5628" spans="1:1" x14ac:dyDescent="0.2">
      <c r="A5628" t="s">
        <v>1155</v>
      </c>
    </row>
    <row r="5629" spans="1:1" x14ac:dyDescent="0.2">
      <c r="A5629" t="s">
        <v>1156</v>
      </c>
    </row>
    <row r="5630" spans="1:1" x14ac:dyDescent="0.2">
      <c r="A5630" t="s">
        <v>1157</v>
      </c>
    </row>
    <row r="5631" spans="1:1" x14ac:dyDescent="0.2">
      <c r="A5631" t="s">
        <v>1158</v>
      </c>
    </row>
    <row r="5632" spans="1:1" x14ac:dyDescent="0.2">
      <c r="A5632" t="s">
        <v>1159</v>
      </c>
    </row>
    <row r="5633" spans="1:1" x14ac:dyDescent="0.2">
      <c r="A5633" t="s">
        <v>1160</v>
      </c>
    </row>
    <row r="5634" spans="1:1" x14ac:dyDescent="0.2">
      <c r="A5634" t="s">
        <v>1161</v>
      </c>
    </row>
    <row r="5635" spans="1:1" x14ac:dyDescent="0.2">
      <c r="A5635" t="s">
        <v>1162</v>
      </c>
    </row>
    <row r="5636" spans="1:1" x14ac:dyDescent="0.2">
      <c r="A5636" t="s">
        <v>1163</v>
      </c>
    </row>
    <row r="5637" spans="1:1" x14ac:dyDescent="0.2">
      <c r="A5637" t="s">
        <v>1164</v>
      </c>
    </row>
    <row r="5638" spans="1:1" x14ac:dyDescent="0.2">
      <c r="A5638" t="s">
        <v>1165</v>
      </c>
    </row>
    <row r="5639" spans="1:1" x14ac:dyDescent="0.2">
      <c r="A5639" t="s">
        <v>1166</v>
      </c>
    </row>
    <row r="5640" spans="1:1" x14ac:dyDescent="0.2">
      <c r="A5640" t="s">
        <v>1167</v>
      </c>
    </row>
    <row r="5641" spans="1:1" x14ac:dyDescent="0.2">
      <c r="A5641" t="s">
        <v>1168</v>
      </c>
    </row>
    <row r="5642" spans="1:1" x14ac:dyDescent="0.2">
      <c r="A5642" t="s">
        <v>1169</v>
      </c>
    </row>
    <row r="5643" spans="1:1" x14ac:dyDescent="0.2">
      <c r="A5643" t="s">
        <v>1170</v>
      </c>
    </row>
    <row r="5644" spans="1:1" x14ac:dyDescent="0.2">
      <c r="A5644" t="s">
        <v>1171</v>
      </c>
    </row>
    <row r="5645" spans="1:1" x14ac:dyDescent="0.2">
      <c r="A5645" t="s">
        <v>1172</v>
      </c>
    </row>
    <row r="5646" spans="1:1" x14ac:dyDescent="0.2">
      <c r="A5646" t="s">
        <v>1173</v>
      </c>
    </row>
    <row r="5647" spans="1:1" x14ac:dyDescent="0.2">
      <c r="A5647" t="s">
        <v>1174</v>
      </c>
    </row>
    <row r="5648" spans="1:1" x14ac:dyDescent="0.2">
      <c r="A5648" t="s">
        <v>1175</v>
      </c>
    </row>
    <row r="5649" spans="1:1" x14ac:dyDescent="0.2">
      <c r="A5649" t="s">
        <v>1176</v>
      </c>
    </row>
    <row r="5650" spans="1:1" x14ac:dyDescent="0.2">
      <c r="A5650" t="s">
        <v>1177</v>
      </c>
    </row>
    <row r="5651" spans="1:1" x14ac:dyDescent="0.2">
      <c r="A5651" t="s">
        <v>1178</v>
      </c>
    </row>
    <row r="5652" spans="1:1" x14ac:dyDescent="0.2">
      <c r="A5652" t="s">
        <v>1179</v>
      </c>
    </row>
    <row r="5653" spans="1:1" x14ac:dyDescent="0.2">
      <c r="A5653" t="s">
        <v>1180</v>
      </c>
    </row>
    <row r="5654" spans="1:1" x14ac:dyDescent="0.2">
      <c r="A5654" t="s">
        <v>1181</v>
      </c>
    </row>
    <row r="5655" spans="1:1" x14ac:dyDescent="0.2">
      <c r="A5655" t="s">
        <v>1182</v>
      </c>
    </row>
    <row r="5656" spans="1:1" x14ac:dyDescent="0.2">
      <c r="A5656" t="s">
        <v>1183</v>
      </c>
    </row>
    <row r="5657" spans="1:1" x14ac:dyDescent="0.2">
      <c r="A5657" t="s">
        <v>1184</v>
      </c>
    </row>
    <row r="5658" spans="1:1" x14ac:dyDescent="0.2">
      <c r="A5658" t="s">
        <v>1185</v>
      </c>
    </row>
    <row r="5659" spans="1:1" x14ac:dyDescent="0.2">
      <c r="A5659" t="s">
        <v>1186</v>
      </c>
    </row>
    <row r="5660" spans="1:1" x14ac:dyDescent="0.2">
      <c r="A5660" t="s">
        <v>1187</v>
      </c>
    </row>
    <row r="5661" spans="1:1" x14ac:dyDescent="0.2">
      <c r="A5661" t="s">
        <v>1188</v>
      </c>
    </row>
    <row r="5662" spans="1:1" x14ac:dyDescent="0.2">
      <c r="A5662" t="s">
        <v>1189</v>
      </c>
    </row>
    <row r="5663" spans="1:1" x14ac:dyDescent="0.2">
      <c r="A5663" t="s">
        <v>1190</v>
      </c>
    </row>
    <row r="5664" spans="1:1" x14ac:dyDescent="0.2">
      <c r="A5664" t="s">
        <v>1191</v>
      </c>
    </row>
    <row r="5665" spans="1:1" x14ac:dyDescent="0.2">
      <c r="A5665" t="s">
        <v>1192</v>
      </c>
    </row>
    <row r="5666" spans="1:1" x14ac:dyDescent="0.2">
      <c r="A5666" t="s">
        <v>1193</v>
      </c>
    </row>
    <row r="5667" spans="1:1" x14ac:dyDescent="0.2">
      <c r="A5667" t="s">
        <v>1194</v>
      </c>
    </row>
    <row r="5668" spans="1:1" x14ac:dyDescent="0.2">
      <c r="A5668" t="s">
        <v>1195</v>
      </c>
    </row>
    <row r="5669" spans="1:1" x14ac:dyDescent="0.2">
      <c r="A5669" t="s">
        <v>1196</v>
      </c>
    </row>
    <row r="5670" spans="1:1" x14ac:dyDescent="0.2">
      <c r="A5670" t="s">
        <v>1197</v>
      </c>
    </row>
    <row r="5671" spans="1:1" x14ac:dyDescent="0.2">
      <c r="A5671" t="s">
        <v>1198</v>
      </c>
    </row>
    <row r="5672" spans="1:1" x14ac:dyDescent="0.2">
      <c r="A5672" t="s">
        <v>1199</v>
      </c>
    </row>
    <row r="5673" spans="1:1" x14ac:dyDescent="0.2">
      <c r="A5673" t="s">
        <v>1200</v>
      </c>
    </row>
    <row r="5674" spans="1:1" x14ac:dyDescent="0.2">
      <c r="A5674" t="s">
        <v>1201</v>
      </c>
    </row>
    <row r="5675" spans="1:1" x14ac:dyDescent="0.2">
      <c r="A5675" t="s">
        <v>1202</v>
      </c>
    </row>
    <row r="5676" spans="1:1" x14ac:dyDescent="0.2">
      <c r="A5676" t="s">
        <v>1203</v>
      </c>
    </row>
    <row r="5677" spans="1:1" x14ac:dyDescent="0.2">
      <c r="A5677" t="s">
        <v>1204</v>
      </c>
    </row>
    <row r="5678" spans="1:1" x14ac:dyDescent="0.2">
      <c r="A5678" t="s">
        <v>1205</v>
      </c>
    </row>
    <row r="5679" spans="1:1" x14ac:dyDescent="0.2">
      <c r="A5679" t="s">
        <v>1206</v>
      </c>
    </row>
    <row r="5680" spans="1:1" x14ac:dyDescent="0.2">
      <c r="A5680" t="s">
        <v>1207</v>
      </c>
    </row>
    <row r="5681" spans="1:1" x14ac:dyDescent="0.2">
      <c r="A5681" t="s">
        <v>1208</v>
      </c>
    </row>
    <row r="5682" spans="1:1" x14ac:dyDescent="0.2">
      <c r="A5682" t="s">
        <v>1209</v>
      </c>
    </row>
    <row r="5683" spans="1:1" x14ac:dyDescent="0.2">
      <c r="A5683" t="s">
        <v>1210</v>
      </c>
    </row>
    <row r="5684" spans="1:1" x14ac:dyDescent="0.2">
      <c r="A5684" t="s">
        <v>1211</v>
      </c>
    </row>
    <row r="5685" spans="1:1" x14ac:dyDescent="0.2">
      <c r="A5685" t="s">
        <v>1212</v>
      </c>
    </row>
    <row r="5686" spans="1:1" x14ac:dyDescent="0.2">
      <c r="A5686" t="s">
        <v>1213</v>
      </c>
    </row>
    <row r="5687" spans="1:1" x14ac:dyDescent="0.2">
      <c r="A5687" t="s">
        <v>1214</v>
      </c>
    </row>
    <row r="5688" spans="1:1" x14ac:dyDescent="0.2">
      <c r="A5688" t="s">
        <v>1215</v>
      </c>
    </row>
    <row r="5689" spans="1:1" x14ac:dyDescent="0.2">
      <c r="A5689" t="s">
        <v>1216</v>
      </c>
    </row>
    <row r="5690" spans="1:1" x14ac:dyDescent="0.2">
      <c r="A5690" t="s">
        <v>1217</v>
      </c>
    </row>
    <row r="5691" spans="1:1" x14ac:dyDescent="0.2">
      <c r="A5691" t="s">
        <v>1218</v>
      </c>
    </row>
    <row r="5692" spans="1:1" x14ac:dyDescent="0.2">
      <c r="A5692" t="s">
        <v>1219</v>
      </c>
    </row>
    <row r="5693" spans="1:1" x14ac:dyDescent="0.2">
      <c r="A5693" t="s">
        <v>1220</v>
      </c>
    </row>
    <row r="5694" spans="1:1" x14ac:dyDescent="0.2">
      <c r="A5694" t="s">
        <v>1221</v>
      </c>
    </row>
    <row r="5695" spans="1:1" x14ac:dyDescent="0.2">
      <c r="A5695" t="s">
        <v>1222</v>
      </c>
    </row>
    <row r="5696" spans="1:1" x14ac:dyDescent="0.2">
      <c r="A5696" t="s">
        <v>1223</v>
      </c>
    </row>
    <row r="5697" spans="1:1" x14ac:dyDescent="0.2">
      <c r="A5697" t="s">
        <v>1224</v>
      </c>
    </row>
    <row r="5698" spans="1:1" x14ac:dyDescent="0.2">
      <c r="A5698" t="s">
        <v>1225</v>
      </c>
    </row>
    <row r="5699" spans="1:1" x14ac:dyDescent="0.2">
      <c r="A5699" t="s">
        <v>1226</v>
      </c>
    </row>
    <row r="5700" spans="1:1" x14ac:dyDescent="0.2">
      <c r="A5700" t="s">
        <v>1227</v>
      </c>
    </row>
    <row r="5701" spans="1:1" x14ac:dyDescent="0.2">
      <c r="A5701" t="s">
        <v>1228</v>
      </c>
    </row>
    <row r="5702" spans="1:1" x14ac:dyDescent="0.2">
      <c r="A5702" t="s">
        <v>1229</v>
      </c>
    </row>
    <row r="5703" spans="1:1" x14ac:dyDescent="0.2">
      <c r="A5703" t="s">
        <v>1230</v>
      </c>
    </row>
    <row r="5704" spans="1:1" x14ac:dyDescent="0.2">
      <c r="A5704" t="s">
        <v>1231</v>
      </c>
    </row>
    <row r="5705" spans="1:1" x14ac:dyDescent="0.2">
      <c r="A5705" t="s">
        <v>1232</v>
      </c>
    </row>
    <row r="5706" spans="1:1" x14ac:dyDescent="0.2">
      <c r="A5706" t="s">
        <v>1233</v>
      </c>
    </row>
    <row r="5707" spans="1:1" x14ac:dyDescent="0.2">
      <c r="A5707" t="s">
        <v>1234</v>
      </c>
    </row>
    <row r="5708" spans="1:1" x14ac:dyDescent="0.2">
      <c r="A5708" t="s">
        <v>1235</v>
      </c>
    </row>
    <row r="5709" spans="1:1" x14ac:dyDescent="0.2">
      <c r="A5709" t="s">
        <v>1236</v>
      </c>
    </row>
    <row r="5710" spans="1:1" x14ac:dyDescent="0.2">
      <c r="A5710" t="s">
        <v>1237</v>
      </c>
    </row>
    <row r="5711" spans="1:1" x14ac:dyDescent="0.2">
      <c r="A5711" t="s">
        <v>1238</v>
      </c>
    </row>
    <row r="5712" spans="1:1" x14ac:dyDescent="0.2">
      <c r="A5712" t="s">
        <v>1239</v>
      </c>
    </row>
    <row r="5713" spans="1:1" x14ac:dyDescent="0.2">
      <c r="A5713" t="s">
        <v>1240</v>
      </c>
    </row>
    <row r="5714" spans="1:1" x14ac:dyDescent="0.2">
      <c r="A5714" t="s">
        <v>1241</v>
      </c>
    </row>
    <row r="5715" spans="1:1" x14ac:dyDescent="0.2">
      <c r="A5715" t="s">
        <v>1242</v>
      </c>
    </row>
    <row r="5716" spans="1:1" x14ac:dyDescent="0.2">
      <c r="A5716" t="s">
        <v>1243</v>
      </c>
    </row>
    <row r="5717" spans="1:1" x14ac:dyDescent="0.2">
      <c r="A5717" t="s">
        <v>1244</v>
      </c>
    </row>
    <row r="5718" spans="1:1" x14ac:dyDescent="0.2">
      <c r="A5718" t="s">
        <v>1245</v>
      </c>
    </row>
    <row r="5719" spans="1:1" x14ac:dyDescent="0.2">
      <c r="A5719" t="s">
        <v>1246</v>
      </c>
    </row>
    <row r="5720" spans="1:1" x14ac:dyDescent="0.2">
      <c r="A5720" t="s">
        <v>1247</v>
      </c>
    </row>
    <row r="5721" spans="1:1" x14ac:dyDescent="0.2">
      <c r="A5721" t="s">
        <v>1248</v>
      </c>
    </row>
    <row r="5722" spans="1:1" x14ac:dyDescent="0.2">
      <c r="A5722" t="s">
        <v>1249</v>
      </c>
    </row>
    <row r="5723" spans="1:1" x14ac:dyDescent="0.2">
      <c r="A5723" t="s">
        <v>1250</v>
      </c>
    </row>
    <row r="5724" spans="1:1" x14ac:dyDescent="0.2">
      <c r="A5724" t="s">
        <v>1251</v>
      </c>
    </row>
    <row r="5725" spans="1:1" x14ac:dyDescent="0.2">
      <c r="A5725" t="s">
        <v>1252</v>
      </c>
    </row>
    <row r="5726" spans="1:1" x14ac:dyDescent="0.2">
      <c r="A5726" t="s">
        <v>1253</v>
      </c>
    </row>
    <row r="5727" spans="1:1" x14ac:dyDescent="0.2">
      <c r="A5727" t="s">
        <v>1254</v>
      </c>
    </row>
    <row r="5728" spans="1:1" x14ac:dyDescent="0.2">
      <c r="A5728" t="s">
        <v>1255</v>
      </c>
    </row>
    <row r="5729" spans="1:1" x14ac:dyDescent="0.2">
      <c r="A5729" t="s">
        <v>1256</v>
      </c>
    </row>
    <row r="5730" spans="1:1" x14ac:dyDescent="0.2">
      <c r="A5730" t="s">
        <v>1257</v>
      </c>
    </row>
    <row r="5731" spans="1:1" x14ac:dyDescent="0.2">
      <c r="A5731" t="s">
        <v>1258</v>
      </c>
    </row>
    <row r="5732" spans="1:1" x14ac:dyDescent="0.2">
      <c r="A5732" t="s">
        <v>1259</v>
      </c>
    </row>
    <row r="5733" spans="1:1" x14ac:dyDescent="0.2">
      <c r="A5733" t="s">
        <v>1260</v>
      </c>
    </row>
    <row r="5734" spans="1:1" x14ac:dyDescent="0.2">
      <c r="A5734" t="s">
        <v>1261</v>
      </c>
    </row>
    <row r="5735" spans="1:1" x14ac:dyDescent="0.2">
      <c r="A5735" t="s">
        <v>1262</v>
      </c>
    </row>
    <row r="5736" spans="1:1" x14ac:dyDescent="0.2">
      <c r="A5736" t="s">
        <v>1263</v>
      </c>
    </row>
    <row r="5737" spans="1:1" x14ac:dyDescent="0.2">
      <c r="A5737" t="s">
        <v>1264</v>
      </c>
    </row>
    <row r="5738" spans="1:1" x14ac:dyDescent="0.2">
      <c r="A5738" t="s">
        <v>1265</v>
      </c>
    </row>
    <row r="5739" spans="1:1" x14ac:dyDescent="0.2">
      <c r="A5739" t="s">
        <v>1266</v>
      </c>
    </row>
    <row r="5740" spans="1:1" x14ac:dyDescent="0.2">
      <c r="A5740" t="s">
        <v>1267</v>
      </c>
    </row>
    <row r="5741" spans="1:1" x14ac:dyDescent="0.2">
      <c r="A5741" t="s">
        <v>1268</v>
      </c>
    </row>
    <row r="5742" spans="1:1" x14ac:dyDescent="0.2">
      <c r="A5742" t="s">
        <v>1269</v>
      </c>
    </row>
    <row r="5743" spans="1:1" x14ac:dyDescent="0.2">
      <c r="A5743" t="s">
        <v>1270</v>
      </c>
    </row>
    <row r="5744" spans="1:1" x14ac:dyDescent="0.2">
      <c r="A5744" t="s">
        <v>1271</v>
      </c>
    </row>
    <row r="5745" spans="1:1" x14ac:dyDescent="0.2">
      <c r="A5745" t="s">
        <v>1272</v>
      </c>
    </row>
    <row r="5746" spans="1:1" x14ac:dyDescent="0.2">
      <c r="A5746" t="s">
        <v>1273</v>
      </c>
    </row>
    <row r="5747" spans="1:1" x14ac:dyDescent="0.2">
      <c r="A5747" t="s">
        <v>1274</v>
      </c>
    </row>
    <row r="5748" spans="1:1" x14ac:dyDescent="0.2">
      <c r="A5748" t="s">
        <v>1275</v>
      </c>
    </row>
    <row r="5749" spans="1:1" x14ac:dyDescent="0.2">
      <c r="A5749" t="s">
        <v>1276</v>
      </c>
    </row>
    <row r="5750" spans="1:1" x14ac:dyDescent="0.2">
      <c r="A5750" t="s">
        <v>1277</v>
      </c>
    </row>
    <row r="5751" spans="1:1" x14ac:dyDescent="0.2">
      <c r="A5751" t="s">
        <v>1278</v>
      </c>
    </row>
    <row r="5752" spans="1:1" x14ac:dyDescent="0.2">
      <c r="A5752" t="s">
        <v>1279</v>
      </c>
    </row>
    <row r="5753" spans="1:1" x14ac:dyDescent="0.2">
      <c r="A5753" t="s">
        <v>1280</v>
      </c>
    </row>
    <row r="5754" spans="1:1" x14ac:dyDescent="0.2">
      <c r="A5754" t="s">
        <v>1281</v>
      </c>
    </row>
    <row r="5755" spans="1:1" x14ac:dyDescent="0.2">
      <c r="A5755" t="s">
        <v>1282</v>
      </c>
    </row>
    <row r="5756" spans="1:1" x14ac:dyDescent="0.2">
      <c r="A5756" t="s">
        <v>1283</v>
      </c>
    </row>
    <row r="5757" spans="1:1" x14ac:dyDescent="0.2">
      <c r="A5757" t="s">
        <v>1284</v>
      </c>
    </row>
    <row r="5758" spans="1:1" x14ac:dyDescent="0.2">
      <c r="A5758" t="s">
        <v>1285</v>
      </c>
    </row>
    <row r="5759" spans="1:1" x14ac:dyDescent="0.2">
      <c r="A5759" t="s">
        <v>1286</v>
      </c>
    </row>
    <row r="5760" spans="1:1" x14ac:dyDescent="0.2">
      <c r="A5760" t="s">
        <v>2899</v>
      </c>
    </row>
    <row r="5761" spans="1:1" x14ac:dyDescent="0.2">
      <c r="A5761" t="s">
        <v>1053</v>
      </c>
    </row>
    <row r="5762" spans="1:1" x14ac:dyDescent="0.2">
      <c r="A5762" t="s">
        <v>2900</v>
      </c>
    </row>
    <row r="5763" spans="1:1" x14ac:dyDescent="0.2">
      <c r="A5763" t="s">
        <v>2768</v>
      </c>
    </row>
    <row r="5764" spans="1:1" x14ac:dyDescent="0.2">
      <c r="A5764" t="s">
        <v>2769</v>
      </c>
    </row>
    <row r="5765" spans="1:1" x14ac:dyDescent="0.2">
      <c r="A5765" t="s">
        <v>1054</v>
      </c>
    </row>
    <row r="5766" spans="1:1" x14ac:dyDescent="0.2">
      <c r="A5766" t="s">
        <v>1055</v>
      </c>
    </row>
    <row r="5767" spans="1:1" x14ac:dyDescent="0.2">
      <c r="A5767" t="s">
        <v>2901</v>
      </c>
    </row>
    <row r="5768" spans="1:1" x14ac:dyDescent="0.2">
      <c r="A5768" t="s">
        <v>1056</v>
      </c>
    </row>
    <row r="5769" spans="1:1" x14ac:dyDescent="0.2">
      <c r="A5769" t="s">
        <v>1057</v>
      </c>
    </row>
    <row r="5770" spans="1:1" x14ac:dyDescent="0.2">
      <c r="A5770" t="s">
        <v>1058</v>
      </c>
    </row>
    <row r="5771" spans="1:1" x14ac:dyDescent="0.2">
      <c r="A5771" t="s">
        <v>1059</v>
      </c>
    </row>
    <row r="5772" spans="1:1" x14ac:dyDescent="0.2">
      <c r="A5772" t="s">
        <v>1060</v>
      </c>
    </row>
    <row r="5773" spans="1:1" x14ac:dyDescent="0.2">
      <c r="A5773" t="s">
        <v>1061</v>
      </c>
    </row>
    <row r="5774" spans="1:1" x14ac:dyDescent="0.2">
      <c r="A5774" t="s">
        <v>1062</v>
      </c>
    </row>
    <row r="5775" spans="1:1" x14ac:dyDescent="0.2">
      <c r="A5775" t="s">
        <v>1063</v>
      </c>
    </row>
    <row r="5776" spans="1:1" x14ac:dyDescent="0.2">
      <c r="A5776" t="s">
        <v>1064</v>
      </c>
    </row>
    <row r="5777" spans="1:1" x14ac:dyDescent="0.2">
      <c r="A5777" t="s">
        <v>1065</v>
      </c>
    </row>
    <row r="5778" spans="1:1" x14ac:dyDescent="0.2">
      <c r="A5778" t="s">
        <v>1066</v>
      </c>
    </row>
    <row r="5779" spans="1:1" x14ac:dyDescent="0.2">
      <c r="A5779" t="s">
        <v>1067</v>
      </c>
    </row>
    <row r="5780" spans="1:1" x14ac:dyDescent="0.2">
      <c r="A5780" t="s">
        <v>1068</v>
      </c>
    </row>
    <row r="5781" spans="1:1" x14ac:dyDescent="0.2">
      <c r="A5781" t="s">
        <v>1069</v>
      </c>
    </row>
    <row r="5782" spans="1:1" x14ac:dyDescent="0.2">
      <c r="A5782" t="s">
        <v>1070</v>
      </c>
    </row>
    <row r="5783" spans="1:1" x14ac:dyDescent="0.2">
      <c r="A5783" t="s">
        <v>1071</v>
      </c>
    </row>
    <row r="5784" spans="1:1" x14ac:dyDescent="0.2">
      <c r="A5784" t="s">
        <v>1072</v>
      </c>
    </row>
    <row r="5785" spans="1:1" x14ac:dyDescent="0.2">
      <c r="A5785" t="s">
        <v>1073</v>
      </c>
    </row>
    <row r="5786" spans="1:1" x14ac:dyDescent="0.2">
      <c r="A5786" t="s">
        <v>1074</v>
      </c>
    </row>
    <row r="5787" spans="1:1" x14ac:dyDescent="0.2">
      <c r="A5787" t="s">
        <v>1075</v>
      </c>
    </row>
    <row r="5788" spans="1:1" x14ac:dyDescent="0.2">
      <c r="A5788" t="s">
        <v>1076</v>
      </c>
    </row>
    <row r="5789" spans="1:1" x14ac:dyDescent="0.2">
      <c r="A5789" t="s">
        <v>1077</v>
      </c>
    </row>
    <row r="5790" spans="1:1" x14ac:dyDescent="0.2">
      <c r="A5790" t="s">
        <v>1078</v>
      </c>
    </row>
    <row r="5791" spans="1:1" x14ac:dyDescent="0.2">
      <c r="A5791" t="s">
        <v>1079</v>
      </c>
    </row>
    <row r="5792" spans="1:1" x14ac:dyDescent="0.2">
      <c r="A5792" t="s">
        <v>1080</v>
      </c>
    </row>
    <row r="5793" spans="1:1" x14ac:dyDescent="0.2">
      <c r="A5793" t="s">
        <v>1081</v>
      </c>
    </row>
    <row r="5794" spans="1:1" x14ac:dyDescent="0.2">
      <c r="A5794" t="s">
        <v>1082</v>
      </c>
    </row>
    <row r="5795" spans="1:1" x14ac:dyDescent="0.2">
      <c r="A5795" t="s">
        <v>1083</v>
      </c>
    </row>
    <row r="5796" spans="1:1" x14ac:dyDescent="0.2">
      <c r="A5796" t="s">
        <v>2771</v>
      </c>
    </row>
    <row r="5797" spans="1:1" x14ac:dyDescent="0.2">
      <c r="A5797" t="s">
        <v>2772</v>
      </c>
    </row>
    <row r="5798" spans="1:1" x14ac:dyDescent="0.2">
      <c r="A5798" t="s">
        <v>2773</v>
      </c>
    </row>
    <row r="5799" spans="1:1" x14ac:dyDescent="0.2">
      <c r="A5799" t="s">
        <v>2774</v>
      </c>
    </row>
    <row r="5800" spans="1:1" x14ac:dyDescent="0.2">
      <c r="A5800" t="s">
        <v>2775</v>
      </c>
    </row>
    <row r="5801" spans="1:1" x14ac:dyDescent="0.2">
      <c r="A5801" t="s">
        <v>2776</v>
      </c>
    </row>
    <row r="5802" spans="1:1" x14ac:dyDescent="0.2">
      <c r="A5802" t="s">
        <v>1084</v>
      </c>
    </row>
    <row r="5803" spans="1:1" x14ac:dyDescent="0.2">
      <c r="A5803" t="s">
        <v>1085</v>
      </c>
    </row>
    <row r="5804" spans="1:1" x14ac:dyDescent="0.2">
      <c r="A5804" t="s">
        <v>1086</v>
      </c>
    </row>
    <row r="5805" spans="1:1" x14ac:dyDescent="0.2">
      <c r="A5805" t="s">
        <v>1087</v>
      </c>
    </row>
    <row r="5806" spans="1:1" x14ac:dyDescent="0.2">
      <c r="A5806" t="s">
        <v>1088</v>
      </c>
    </row>
    <row r="5807" spans="1:1" x14ac:dyDescent="0.2">
      <c r="A5807" t="s">
        <v>1089</v>
      </c>
    </row>
    <row r="5808" spans="1:1" x14ac:dyDescent="0.2">
      <c r="A5808" t="s">
        <v>1090</v>
      </c>
    </row>
    <row r="5809" spans="1:1" x14ac:dyDescent="0.2">
      <c r="A5809" t="s">
        <v>1091</v>
      </c>
    </row>
    <row r="5810" spans="1:1" x14ac:dyDescent="0.2">
      <c r="A5810" t="s">
        <v>1092</v>
      </c>
    </row>
    <row r="5811" spans="1:1" x14ac:dyDescent="0.2">
      <c r="A5811" t="s">
        <v>1093</v>
      </c>
    </row>
    <row r="5812" spans="1:1" x14ac:dyDescent="0.2">
      <c r="A5812" t="s">
        <v>1094</v>
      </c>
    </row>
    <row r="5813" spans="1:1" x14ac:dyDescent="0.2">
      <c r="A5813" t="s">
        <v>1095</v>
      </c>
    </row>
    <row r="5814" spans="1:1" x14ac:dyDescent="0.2">
      <c r="A5814" t="s">
        <v>1096</v>
      </c>
    </row>
    <row r="5815" spans="1:1" x14ac:dyDescent="0.2">
      <c r="A5815" t="s">
        <v>1097</v>
      </c>
    </row>
    <row r="5816" spans="1:1" x14ac:dyDescent="0.2">
      <c r="A5816" t="s">
        <v>1098</v>
      </c>
    </row>
    <row r="5817" spans="1:1" x14ac:dyDescent="0.2">
      <c r="A5817" t="s">
        <v>1099</v>
      </c>
    </row>
    <row r="5818" spans="1:1" x14ac:dyDescent="0.2">
      <c r="A5818" t="s">
        <v>1100</v>
      </c>
    </row>
    <row r="5819" spans="1:1" x14ac:dyDescent="0.2">
      <c r="A5819" t="s">
        <v>1101</v>
      </c>
    </row>
    <row r="5820" spans="1:1" x14ac:dyDescent="0.2">
      <c r="A5820" t="s">
        <v>1102</v>
      </c>
    </row>
    <row r="5821" spans="1:1" x14ac:dyDescent="0.2">
      <c r="A5821" t="s">
        <v>1103</v>
      </c>
    </row>
    <row r="5822" spans="1:1" x14ac:dyDescent="0.2">
      <c r="A5822" t="s">
        <v>1104</v>
      </c>
    </row>
    <row r="5823" spans="1:1" x14ac:dyDescent="0.2">
      <c r="A5823" t="s">
        <v>1105</v>
      </c>
    </row>
    <row r="5824" spans="1:1" x14ac:dyDescent="0.2">
      <c r="A5824" t="s">
        <v>1106</v>
      </c>
    </row>
    <row r="5825" spans="1:1" x14ac:dyDescent="0.2">
      <c r="A5825" t="s">
        <v>1107</v>
      </c>
    </row>
    <row r="5826" spans="1:1" x14ac:dyDescent="0.2">
      <c r="A5826" t="s">
        <v>1108</v>
      </c>
    </row>
    <row r="5827" spans="1:1" x14ac:dyDescent="0.2">
      <c r="A5827" t="s">
        <v>1109</v>
      </c>
    </row>
    <row r="5828" spans="1:1" x14ac:dyDescent="0.2">
      <c r="A5828" t="s">
        <v>1110</v>
      </c>
    </row>
    <row r="5829" spans="1:1" x14ac:dyDescent="0.2">
      <c r="A5829" t="s">
        <v>1111</v>
      </c>
    </row>
    <row r="5830" spans="1:1" x14ac:dyDescent="0.2">
      <c r="A5830" t="s">
        <v>1112</v>
      </c>
    </row>
    <row r="5831" spans="1:1" x14ac:dyDescent="0.2">
      <c r="A5831" t="s">
        <v>1113</v>
      </c>
    </row>
    <row r="5832" spans="1:1" x14ac:dyDescent="0.2">
      <c r="A5832" t="s">
        <v>1114</v>
      </c>
    </row>
    <row r="5833" spans="1:1" x14ac:dyDescent="0.2">
      <c r="A5833" t="s">
        <v>1115</v>
      </c>
    </row>
    <row r="5834" spans="1:1" x14ac:dyDescent="0.2">
      <c r="A5834" t="s">
        <v>1116</v>
      </c>
    </row>
    <row r="5835" spans="1:1" x14ac:dyDescent="0.2">
      <c r="A5835" t="s">
        <v>1117</v>
      </c>
    </row>
    <row r="5836" spans="1:1" x14ac:dyDescent="0.2">
      <c r="A5836" t="s">
        <v>1118</v>
      </c>
    </row>
    <row r="5837" spans="1:1" x14ac:dyDescent="0.2">
      <c r="A5837" t="s">
        <v>1119</v>
      </c>
    </row>
    <row r="5838" spans="1:1" x14ac:dyDescent="0.2">
      <c r="A5838" t="s">
        <v>1120</v>
      </c>
    </row>
    <row r="5839" spans="1:1" x14ac:dyDescent="0.2">
      <c r="A5839" t="s">
        <v>1288</v>
      </c>
    </row>
    <row r="5840" spans="1:1" x14ac:dyDescent="0.2">
      <c r="A5840" t="s">
        <v>2902</v>
      </c>
    </row>
    <row r="5841" spans="1:1" x14ac:dyDescent="0.2">
      <c r="A5841" t="s">
        <v>2903</v>
      </c>
    </row>
    <row r="5842" spans="1:1" x14ac:dyDescent="0.2">
      <c r="A5842" t="s">
        <v>2896</v>
      </c>
    </row>
    <row r="5843" spans="1:1" x14ac:dyDescent="0.2">
      <c r="A5843" t="s">
        <v>2897</v>
      </c>
    </row>
    <row r="5844" spans="1:1" x14ac:dyDescent="0.2">
      <c r="A5844" t="s">
        <v>1289</v>
      </c>
    </row>
    <row r="5845" spans="1:1" x14ac:dyDescent="0.2">
      <c r="A5845" t="s">
        <v>2781</v>
      </c>
    </row>
    <row r="5846" spans="1:1" x14ac:dyDescent="0.2">
      <c r="A5846" t="s">
        <v>2904</v>
      </c>
    </row>
    <row r="5847" spans="1:1" x14ac:dyDescent="0.2">
      <c r="A5847" t="s">
        <v>1122</v>
      </c>
    </row>
    <row r="5848" spans="1:1" x14ac:dyDescent="0.2">
      <c r="A5848" t="s">
        <v>1123</v>
      </c>
    </row>
    <row r="5849" spans="1:1" x14ac:dyDescent="0.2">
      <c r="A5849" t="s">
        <v>1124</v>
      </c>
    </row>
    <row r="5850" spans="1:1" x14ac:dyDescent="0.2">
      <c r="A5850" t="s">
        <v>1125</v>
      </c>
    </row>
    <row r="5851" spans="1:1" x14ac:dyDescent="0.2">
      <c r="A5851" t="s">
        <v>1126</v>
      </c>
    </row>
    <row r="5852" spans="1:1" x14ac:dyDescent="0.2">
      <c r="A5852" t="s">
        <v>1127</v>
      </c>
    </row>
    <row r="5853" spans="1:1" x14ac:dyDescent="0.2">
      <c r="A5853" t="s">
        <v>1128</v>
      </c>
    </row>
    <row r="5854" spans="1:1" x14ac:dyDescent="0.2">
      <c r="A5854" t="s">
        <v>1129</v>
      </c>
    </row>
    <row r="5855" spans="1:1" x14ac:dyDescent="0.2">
      <c r="A5855" t="s">
        <v>1130</v>
      </c>
    </row>
    <row r="5856" spans="1:1" x14ac:dyDescent="0.2">
      <c r="A5856" t="s">
        <v>1131</v>
      </c>
    </row>
    <row r="5857" spans="1:1" x14ac:dyDescent="0.2">
      <c r="A5857" t="s">
        <v>1132</v>
      </c>
    </row>
    <row r="5858" spans="1:1" x14ac:dyDescent="0.2">
      <c r="A5858" t="s">
        <v>1133</v>
      </c>
    </row>
    <row r="5859" spans="1:1" x14ac:dyDescent="0.2">
      <c r="A5859" t="s">
        <v>1134</v>
      </c>
    </row>
    <row r="5860" spans="1:1" x14ac:dyDescent="0.2">
      <c r="A5860" t="s">
        <v>1135</v>
      </c>
    </row>
    <row r="5861" spans="1:1" x14ac:dyDescent="0.2">
      <c r="A5861" t="s">
        <v>1136</v>
      </c>
    </row>
    <row r="5862" spans="1:1" x14ac:dyDescent="0.2">
      <c r="A5862" t="s">
        <v>1137</v>
      </c>
    </row>
    <row r="5863" spans="1:1" x14ac:dyDescent="0.2">
      <c r="A5863" t="s">
        <v>1138</v>
      </c>
    </row>
    <row r="5864" spans="1:1" x14ac:dyDescent="0.2">
      <c r="A5864" t="s">
        <v>1139</v>
      </c>
    </row>
    <row r="5865" spans="1:1" x14ac:dyDescent="0.2">
      <c r="A5865" t="s">
        <v>1140</v>
      </c>
    </row>
    <row r="5866" spans="1:1" x14ac:dyDescent="0.2">
      <c r="A5866" t="s">
        <v>1141</v>
      </c>
    </row>
    <row r="5867" spans="1:1" x14ac:dyDescent="0.2">
      <c r="A5867" t="s">
        <v>1142</v>
      </c>
    </row>
    <row r="5868" spans="1:1" x14ac:dyDescent="0.2">
      <c r="A5868" t="s">
        <v>1143</v>
      </c>
    </row>
    <row r="5869" spans="1:1" x14ac:dyDescent="0.2">
      <c r="A5869" t="s">
        <v>1144</v>
      </c>
    </row>
    <row r="5870" spans="1:1" x14ac:dyDescent="0.2">
      <c r="A5870" t="s">
        <v>1145</v>
      </c>
    </row>
    <row r="5871" spans="1:1" x14ac:dyDescent="0.2">
      <c r="A5871" t="s">
        <v>1146</v>
      </c>
    </row>
    <row r="5872" spans="1:1" x14ac:dyDescent="0.2">
      <c r="A5872" t="s">
        <v>1147</v>
      </c>
    </row>
    <row r="5873" spans="1:1" x14ac:dyDescent="0.2">
      <c r="A5873" t="s">
        <v>1148</v>
      </c>
    </row>
    <row r="5874" spans="1:1" x14ac:dyDescent="0.2">
      <c r="A5874" t="s">
        <v>1149</v>
      </c>
    </row>
    <row r="5875" spans="1:1" x14ac:dyDescent="0.2">
      <c r="A5875" t="s">
        <v>1150</v>
      </c>
    </row>
    <row r="5876" spans="1:1" x14ac:dyDescent="0.2">
      <c r="A5876" t="s">
        <v>1151</v>
      </c>
    </row>
    <row r="5877" spans="1:1" x14ac:dyDescent="0.2">
      <c r="A5877" t="s">
        <v>1152</v>
      </c>
    </row>
    <row r="5878" spans="1:1" x14ac:dyDescent="0.2">
      <c r="A5878" t="s">
        <v>1153</v>
      </c>
    </row>
    <row r="5879" spans="1:1" x14ac:dyDescent="0.2">
      <c r="A5879" t="s">
        <v>1154</v>
      </c>
    </row>
    <row r="5880" spans="1:1" x14ac:dyDescent="0.2">
      <c r="A5880" t="s">
        <v>1155</v>
      </c>
    </row>
    <row r="5881" spans="1:1" x14ac:dyDescent="0.2">
      <c r="A5881" t="s">
        <v>1156</v>
      </c>
    </row>
    <row r="5882" spans="1:1" x14ac:dyDescent="0.2">
      <c r="A5882" t="s">
        <v>1157</v>
      </c>
    </row>
    <row r="5883" spans="1:1" x14ac:dyDescent="0.2">
      <c r="A5883" t="s">
        <v>1158</v>
      </c>
    </row>
    <row r="5884" spans="1:1" x14ac:dyDescent="0.2">
      <c r="A5884" t="s">
        <v>1159</v>
      </c>
    </row>
    <row r="5885" spans="1:1" x14ac:dyDescent="0.2">
      <c r="A5885" t="s">
        <v>1160</v>
      </c>
    </row>
    <row r="5886" spans="1:1" x14ac:dyDescent="0.2">
      <c r="A5886" t="s">
        <v>1161</v>
      </c>
    </row>
    <row r="5887" spans="1:1" x14ac:dyDescent="0.2">
      <c r="A5887" t="s">
        <v>1162</v>
      </c>
    </row>
    <row r="5888" spans="1:1" x14ac:dyDescent="0.2">
      <c r="A5888" t="s">
        <v>1163</v>
      </c>
    </row>
    <row r="5889" spans="1:1" x14ac:dyDescent="0.2">
      <c r="A5889" t="s">
        <v>1164</v>
      </c>
    </row>
    <row r="5890" spans="1:1" x14ac:dyDescent="0.2">
      <c r="A5890" t="s">
        <v>1165</v>
      </c>
    </row>
    <row r="5891" spans="1:1" x14ac:dyDescent="0.2">
      <c r="A5891" t="s">
        <v>1166</v>
      </c>
    </row>
    <row r="5892" spans="1:1" x14ac:dyDescent="0.2">
      <c r="A5892" t="s">
        <v>1167</v>
      </c>
    </row>
    <row r="5893" spans="1:1" x14ac:dyDescent="0.2">
      <c r="A5893" t="s">
        <v>1168</v>
      </c>
    </row>
    <row r="5894" spans="1:1" x14ac:dyDescent="0.2">
      <c r="A5894" t="s">
        <v>1169</v>
      </c>
    </row>
    <row r="5895" spans="1:1" x14ac:dyDescent="0.2">
      <c r="A5895" t="s">
        <v>1170</v>
      </c>
    </row>
    <row r="5896" spans="1:1" x14ac:dyDescent="0.2">
      <c r="A5896" t="s">
        <v>1171</v>
      </c>
    </row>
    <row r="5897" spans="1:1" x14ac:dyDescent="0.2">
      <c r="A5897" t="s">
        <v>1172</v>
      </c>
    </row>
    <row r="5898" spans="1:1" x14ac:dyDescent="0.2">
      <c r="A5898" t="s">
        <v>1173</v>
      </c>
    </row>
    <row r="5899" spans="1:1" x14ac:dyDescent="0.2">
      <c r="A5899" t="s">
        <v>1174</v>
      </c>
    </row>
    <row r="5900" spans="1:1" x14ac:dyDescent="0.2">
      <c r="A5900" t="s">
        <v>1175</v>
      </c>
    </row>
    <row r="5901" spans="1:1" x14ac:dyDescent="0.2">
      <c r="A5901" t="s">
        <v>1176</v>
      </c>
    </row>
    <row r="5902" spans="1:1" x14ac:dyDescent="0.2">
      <c r="A5902" t="s">
        <v>1177</v>
      </c>
    </row>
    <row r="5903" spans="1:1" x14ac:dyDescent="0.2">
      <c r="A5903" t="s">
        <v>1178</v>
      </c>
    </row>
    <row r="5904" spans="1:1" x14ac:dyDescent="0.2">
      <c r="A5904" t="s">
        <v>1179</v>
      </c>
    </row>
    <row r="5905" spans="1:1" x14ac:dyDescent="0.2">
      <c r="A5905" t="s">
        <v>1180</v>
      </c>
    </row>
    <row r="5906" spans="1:1" x14ac:dyDescent="0.2">
      <c r="A5906" t="s">
        <v>1181</v>
      </c>
    </row>
    <row r="5907" spans="1:1" x14ac:dyDescent="0.2">
      <c r="A5907" t="s">
        <v>1182</v>
      </c>
    </row>
    <row r="5908" spans="1:1" x14ac:dyDescent="0.2">
      <c r="A5908" t="s">
        <v>1183</v>
      </c>
    </row>
    <row r="5909" spans="1:1" x14ac:dyDescent="0.2">
      <c r="A5909" t="s">
        <v>1184</v>
      </c>
    </row>
    <row r="5910" spans="1:1" x14ac:dyDescent="0.2">
      <c r="A5910" t="s">
        <v>1185</v>
      </c>
    </row>
    <row r="5911" spans="1:1" x14ac:dyDescent="0.2">
      <c r="A5911" t="s">
        <v>1186</v>
      </c>
    </row>
    <row r="5912" spans="1:1" x14ac:dyDescent="0.2">
      <c r="A5912" t="s">
        <v>1187</v>
      </c>
    </row>
    <row r="5913" spans="1:1" x14ac:dyDescent="0.2">
      <c r="A5913" t="s">
        <v>1188</v>
      </c>
    </row>
    <row r="5914" spans="1:1" x14ac:dyDescent="0.2">
      <c r="A5914" t="s">
        <v>1189</v>
      </c>
    </row>
    <row r="5915" spans="1:1" x14ac:dyDescent="0.2">
      <c r="A5915" t="s">
        <v>1190</v>
      </c>
    </row>
    <row r="5916" spans="1:1" x14ac:dyDescent="0.2">
      <c r="A5916" t="s">
        <v>1191</v>
      </c>
    </row>
    <row r="5917" spans="1:1" x14ac:dyDescent="0.2">
      <c r="A5917" t="s">
        <v>1192</v>
      </c>
    </row>
    <row r="5918" spans="1:1" x14ac:dyDescent="0.2">
      <c r="A5918" t="s">
        <v>1193</v>
      </c>
    </row>
    <row r="5919" spans="1:1" x14ac:dyDescent="0.2">
      <c r="A5919" t="s">
        <v>1194</v>
      </c>
    </row>
    <row r="5920" spans="1:1" x14ac:dyDescent="0.2">
      <c r="A5920" t="s">
        <v>1195</v>
      </c>
    </row>
    <row r="5921" spans="1:1" x14ac:dyDescent="0.2">
      <c r="A5921" t="s">
        <v>1196</v>
      </c>
    </row>
    <row r="5922" spans="1:1" x14ac:dyDescent="0.2">
      <c r="A5922" t="s">
        <v>1197</v>
      </c>
    </row>
    <row r="5923" spans="1:1" x14ac:dyDescent="0.2">
      <c r="A5923" t="s">
        <v>1198</v>
      </c>
    </row>
    <row r="5924" spans="1:1" x14ac:dyDescent="0.2">
      <c r="A5924" t="s">
        <v>1199</v>
      </c>
    </row>
    <row r="5925" spans="1:1" x14ac:dyDescent="0.2">
      <c r="A5925" t="s">
        <v>1200</v>
      </c>
    </row>
    <row r="5926" spans="1:1" x14ac:dyDescent="0.2">
      <c r="A5926" t="s">
        <v>1201</v>
      </c>
    </row>
    <row r="5927" spans="1:1" x14ac:dyDescent="0.2">
      <c r="A5927" t="s">
        <v>1202</v>
      </c>
    </row>
    <row r="5928" spans="1:1" x14ac:dyDescent="0.2">
      <c r="A5928" t="s">
        <v>1203</v>
      </c>
    </row>
    <row r="5929" spans="1:1" x14ac:dyDescent="0.2">
      <c r="A5929" t="s">
        <v>1204</v>
      </c>
    </row>
    <row r="5930" spans="1:1" x14ac:dyDescent="0.2">
      <c r="A5930" t="s">
        <v>1205</v>
      </c>
    </row>
    <row r="5931" spans="1:1" x14ac:dyDescent="0.2">
      <c r="A5931" t="s">
        <v>1206</v>
      </c>
    </row>
    <row r="5932" spans="1:1" x14ac:dyDescent="0.2">
      <c r="A5932" t="s">
        <v>1207</v>
      </c>
    </row>
    <row r="5933" spans="1:1" x14ac:dyDescent="0.2">
      <c r="A5933" t="s">
        <v>1208</v>
      </c>
    </row>
    <row r="5934" spans="1:1" x14ac:dyDescent="0.2">
      <c r="A5934" t="s">
        <v>1209</v>
      </c>
    </row>
    <row r="5935" spans="1:1" x14ac:dyDescent="0.2">
      <c r="A5935" t="s">
        <v>1210</v>
      </c>
    </row>
    <row r="5936" spans="1:1" x14ac:dyDescent="0.2">
      <c r="A5936" t="s">
        <v>1211</v>
      </c>
    </row>
    <row r="5937" spans="1:1" x14ac:dyDescent="0.2">
      <c r="A5937" t="s">
        <v>1212</v>
      </c>
    </row>
    <row r="5938" spans="1:1" x14ac:dyDescent="0.2">
      <c r="A5938" t="s">
        <v>1213</v>
      </c>
    </row>
    <row r="5939" spans="1:1" x14ac:dyDescent="0.2">
      <c r="A5939" t="s">
        <v>1214</v>
      </c>
    </row>
    <row r="5940" spans="1:1" x14ac:dyDescent="0.2">
      <c r="A5940" t="s">
        <v>1215</v>
      </c>
    </row>
    <row r="5941" spans="1:1" x14ac:dyDescent="0.2">
      <c r="A5941" t="s">
        <v>1216</v>
      </c>
    </row>
    <row r="5942" spans="1:1" x14ac:dyDescent="0.2">
      <c r="A5942" t="s">
        <v>1217</v>
      </c>
    </row>
    <row r="5943" spans="1:1" x14ac:dyDescent="0.2">
      <c r="A5943" t="s">
        <v>1218</v>
      </c>
    </row>
    <row r="5944" spans="1:1" x14ac:dyDescent="0.2">
      <c r="A5944" t="s">
        <v>1219</v>
      </c>
    </row>
    <row r="5945" spans="1:1" x14ac:dyDescent="0.2">
      <c r="A5945" t="s">
        <v>1220</v>
      </c>
    </row>
    <row r="5946" spans="1:1" x14ac:dyDescent="0.2">
      <c r="A5946" t="s">
        <v>1221</v>
      </c>
    </row>
    <row r="5947" spans="1:1" x14ac:dyDescent="0.2">
      <c r="A5947" t="s">
        <v>1222</v>
      </c>
    </row>
    <row r="5948" spans="1:1" x14ac:dyDescent="0.2">
      <c r="A5948" t="s">
        <v>1223</v>
      </c>
    </row>
    <row r="5949" spans="1:1" x14ac:dyDescent="0.2">
      <c r="A5949" t="s">
        <v>1224</v>
      </c>
    </row>
    <row r="5950" spans="1:1" x14ac:dyDescent="0.2">
      <c r="A5950" t="s">
        <v>1225</v>
      </c>
    </row>
    <row r="5951" spans="1:1" x14ac:dyDescent="0.2">
      <c r="A5951" t="s">
        <v>1226</v>
      </c>
    </row>
    <row r="5952" spans="1:1" x14ac:dyDescent="0.2">
      <c r="A5952" t="s">
        <v>1227</v>
      </c>
    </row>
    <row r="5953" spans="1:1" x14ac:dyDescent="0.2">
      <c r="A5953" t="s">
        <v>1228</v>
      </c>
    </row>
    <row r="5954" spans="1:1" x14ac:dyDescent="0.2">
      <c r="A5954" t="s">
        <v>1229</v>
      </c>
    </row>
    <row r="5955" spans="1:1" x14ac:dyDescent="0.2">
      <c r="A5955" t="s">
        <v>1230</v>
      </c>
    </row>
    <row r="5956" spans="1:1" x14ac:dyDescent="0.2">
      <c r="A5956" t="s">
        <v>1231</v>
      </c>
    </row>
    <row r="5957" spans="1:1" x14ac:dyDescent="0.2">
      <c r="A5957" t="s">
        <v>1232</v>
      </c>
    </row>
    <row r="5958" spans="1:1" x14ac:dyDescent="0.2">
      <c r="A5958" t="s">
        <v>1233</v>
      </c>
    </row>
    <row r="5959" spans="1:1" x14ac:dyDescent="0.2">
      <c r="A5959" t="s">
        <v>1234</v>
      </c>
    </row>
    <row r="5960" spans="1:1" x14ac:dyDescent="0.2">
      <c r="A5960" t="s">
        <v>1235</v>
      </c>
    </row>
    <row r="5961" spans="1:1" x14ac:dyDescent="0.2">
      <c r="A5961" t="s">
        <v>1236</v>
      </c>
    </row>
    <row r="5962" spans="1:1" x14ac:dyDescent="0.2">
      <c r="A5962" t="s">
        <v>1237</v>
      </c>
    </row>
    <row r="5963" spans="1:1" x14ac:dyDescent="0.2">
      <c r="A5963" t="s">
        <v>1238</v>
      </c>
    </row>
    <row r="5964" spans="1:1" x14ac:dyDescent="0.2">
      <c r="A5964" t="s">
        <v>1239</v>
      </c>
    </row>
    <row r="5965" spans="1:1" x14ac:dyDescent="0.2">
      <c r="A5965" t="s">
        <v>1240</v>
      </c>
    </row>
    <row r="5966" spans="1:1" x14ac:dyDescent="0.2">
      <c r="A5966" t="s">
        <v>1241</v>
      </c>
    </row>
    <row r="5967" spans="1:1" x14ac:dyDescent="0.2">
      <c r="A5967" t="s">
        <v>1242</v>
      </c>
    </row>
    <row r="5968" spans="1:1" x14ac:dyDescent="0.2">
      <c r="A5968" t="s">
        <v>1243</v>
      </c>
    </row>
    <row r="5969" spans="1:1" x14ac:dyDescent="0.2">
      <c r="A5969" t="s">
        <v>1244</v>
      </c>
    </row>
    <row r="5970" spans="1:1" x14ac:dyDescent="0.2">
      <c r="A5970" t="s">
        <v>1245</v>
      </c>
    </row>
    <row r="5971" spans="1:1" x14ac:dyDescent="0.2">
      <c r="A5971" t="s">
        <v>1246</v>
      </c>
    </row>
    <row r="5972" spans="1:1" x14ac:dyDescent="0.2">
      <c r="A5972" t="s">
        <v>1247</v>
      </c>
    </row>
    <row r="5973" spans="1:1" x14ac:dyDescent="0.2">
      <c r="A5973" t="s">
        <v>1248</v>
      </c>
    </row>
    <row r="5974" spans="1:1" x14ac:dyDescent="0.2">
      <c r="A5974" t="s">
        <v>1249</v>
      </c>
    </row>
    <row r="5975" spans="1:1" x14ac:dyDescent="0.2">
      <c r="A5975" t="s">
        <v>1250</v>
      </c>
    </row>
    <row r="5976" spans="1:1" x14ac:dyDescent="0.2">
      <c r="A5976" t="s">
        <v>1251</v>
      </c>
    </row>
    <row r="5977" spans="1:1" x14ac:dyDescent="0.2">
      <c r="A5977" t="s">
        <v>1252</v>
      </c>
    </row>
    <row r="5978" spans="1:1" x14ac:dyDescent="0.2">
      <c r="A5978" t="s">
        <v>1253</v>
      </c>
    </row>
    <row r="5979" spans="1:1" x14ac:dyDescent="0.2">
      <c r="A5979" t="s">
        <v>1254</v>
      </c>
    </row>
    <row r="5980" spans="1:1" x14ac:dyDescent="0.2">
      <c r="A5980" t="s">
        <v>1255</v>
      </c>
    </row>
    <row r="5981" spans="1:1" x14ac:dyDescent="0.2">
      <c r="A5981" t="s">
        <v>1256</v>
      </c>
    </row>
    <row r="5982" spans="1:1" x14ac:dyDescent="0.2">
      <c r="A5982" t="s">
        <v>1257</v>
      </c>
    </row>
    <row r="5983" spans="1:1" x14ac:dyDescent="0.2">
      <c r="A5983" t="s">
        <v>1258</v>
      </c>
    </row>
    <row r="5984" spans="1:1" x14ac:dyDescent="0.2">
      <c r="A5984" t="s">
        <v>1259</v>
      </c>
    </row>
    <row r="5985" spans="1:1" x14ac:dyDescent="0.2">
      <c r="A5985" t="s">
        <v>1260</v>
      </c>
    </row>
    <row r="5986" spans="1:1" x14ac:dyDescent="0.2">
      <c r="A5986" t="s">
        <v>1261</v>
      </c>
    </row>
    <row r="5987" spans="1:1" x14ac:dyDescent="0.2">
      <c r="A5987" t="s">
        <v>1262</v>
      </c>
    </row>
    <row r="5988" spans="1:1" x14ac:dyDescent="0.2">
      <c r="A5988" t="s">
        <v>1263</v>
      </c>
    </row>
    <row r="5989" spans="1:1" x14ac:dyDescent="0.2">
      <c r="A5989" t="s">
        <v>1264</v>
      </c>
    </row>
    <row r="5990" spans="1:1" x14ac:dyDescent="0.2">
      <c r="A5990" t="s">
        <v>1265</v>
      </c>
    </row>
    <row r="5991" spans="1:1" x14ac:dyDescent="0.2">
      <c r="A5991" t="s">
        <v>1266</v>
      </c>
    </row>
    <row r="5992" spans="1:1" x14ac:dyDescent="0.2">
      <c r="A5992" t="s">
        <v>1267</v>
      </c>
    </row>
    <row r="5993" spans="1:1" x14ac:dyDescent="0.2">
      <c r="A5993" t="s">
        <v>1268</v>
      </c>
    </row>
    <row r="5994" spans="1:1" x14ac:dyDescent="0.2">
      <c r="A5994" t="s">
        <v>1269</v>
      </c>
    </row>
    <row r="5995" spans="1:1" x14ac:dyDescent="0.2">
      <c r="A5995" t="s">
        <v>1270</v>
      </c>
    </row>
    <row r="5996" spans="1:1" x14ac:dyDescent="0.2">
      <c r="A5996" t="s">
        <v>1271</v>
      </c>
    </row>
    <row r="5997" spans="1:1" x14ac:dyDescent="0.2">
      <c r="A5997" t="s">
        <v>1272</v>
      </c>
    </row>
    <row r="5998" spans="1:1" x14ac:dyDescent="0.2">
      <c r="A5998" t="s">
        <v>1273</v>
      </c>
    </row>
    <row r="5999" spans="1:1" x14ac:dyDescent="0.2">
      <c r="A5999" t="s">
        <v>1274</v>
      </c>
    </row>
    <row r="6000" spans="1:1" x14ac:dyDescent="0.2">
      <c r="A6000" t="s">
        <v>1275</v>
      </c>
    </row>
    <row r="6001" spans="1:1" x14ac:dyDescent="0.2">
      <c r="A6001" t="s">
        <v>1276</v>
      </c>
    </row>
    <row r="6002" spans="1:1" x14ac:dyDescent="0.2">
      <c r="A6002" t="s">
        <v>1277</v>
      </c>
    </row>
    <row r="6003" spans="1:1" x14ac:dyDescent="0.2">
      <c r="A6003" t="s">
        <v>1278</v>
      </c>
    </row>
    <row r="6004" spans="1:1" x14ac:dyDescent="0.2">
      <c r="A6004" t="s">
        <v>1279</v>
      </c>
    </row>
    <row r="6005" spans="1:1" x14ac:dyDescent="0.2">
      <c r="A6005" t="s">
        <v>1280</v>
      </c>
    </row>
    <row r="6006" spans="1:1" x14ac:dyDescent="0.2">
      <c r="A6006" t="s">
        <v>1281</v>
      </c>
    </row>
    <row r="6007" spans="1:1" x14ac:dyDescent="0.2">
      <c r="A6007" t="s">
        <v>1282</v>
      </c>
    </row>
    <row r="6008" spans="1:1" x14ac:dyDescent="0.2">
      <c r="A6008" t="s">
        <v>1283</v>
      </c>
    </row>
    <row r="6009" spans="1:1" x14ac:dyDescent="0.2">
      <c r="A6009" t="s">
        <v>1284</v>
      </c>
    </row>
    <row r="6010" spans="1:1" x14ac:dyDescent="0.2">
      <c r="A6010" t="s">
        <v>1285</v>
      </c>
    </row>
    <row r="6011" spans="1:1" x14ac:dyDescent="0.2">
      <c r="A6011" t="s">
        <v>1286</v>
      </c>
    </row>
    <row r="6012" spans="1:1" x14ac:dyDescent="0.2">
      <c r="A6012" t="s">
        <v>2905</v>
      </c>
    </row>
    <row r="6013" spans="1:1" x14ac:dyDescent="0.2">
      <c r="A6013" t="s">
        <v>1053</v>
      </c>
    </row>
    <row r="6014" spans="1:1" x14ac:dyDescent="0.2">
      <c r="A6014" t="s">
        <v>2906</v>
      </c>
    </row>
    <row r="6015" spans="1:1" x14ac:dyDescent="0.2">
      <c r="A6015" t="s">
        <v>2768</v>
      </c>
    </row>
    <row r="6016" spans="1:1" x14ac:dyDescent="0.2">
      <c r="A6016" t="s">
        <v>2769</v>
      </c>
    </row>
    <row r="6017" spans="1:1" x14ac:dyDescent="0.2">
      <c r="A6017" t="s">
        <v>1054</v>
      </c>
    </row>
    <row r="6018" spans="1:1" x14ac:dyDescent="0.2">
      <c r="A6018" t="s">
        <v>1055</v>
      </c>
    </row>
    <row r="6019" spans="1:1" x14ac:dyDescent="0.2">
      <c r="A6019" t="s">
        <v>2807</v>
      </c>
    </row>
    <row r="6020" spans="1:1" x14ac:dyDescent="0.2">
      <c r="A6020" t="s">
        <v>1056</v>
      </c>
    </row>
    <row r="6021" spans="1:1" x14ac:dyDescent="0.2">
      <c r="A6021" t="s">
        <v>1057</v>
      </c>
    </row>
    <row r="6022" spans="1:1" x14ac:dyDescent="0.2">
      <c r="A6022" t="s">
        <v>1058</v>
      </c>
    </row>
    <row r="6023" spans="1:1" x14ac:dyDescent="0.2">
      <c r="A6023" t="s">
        <v>1059</v>
      </c>
    </row>
    <row r="6024" spans="1:1" x14ac:dyDescent="0.2">
      <c r="A6024" t="s">
        <v>1060</v>
      </c>
    </row>
    <row r="6025" spans="1:1" x14ac:dyDescent="0.2">
      <c r="A6025" t="s">
        <v>1061</v>
      </c>
    </row>
    <row r="6026" spans="1:1" x14ac:dyDescent="0.2">
      <c r="A6026" t="s">
        <v>1062</v>
      </c>
    </row>
    <row r="6027" spans="1:1" x14ac:dyDescent="0.2">
      <c r="A6027" t="s">
        <v>1063</v>
      </c>
    </row>
    <row r="6028" spans="1:1" x14ac:dyDescent="0.2">
      <c r="A6028" t="s">
        <v>1064</v>
      </c>
    </row>
    <row r="6029" spans="1:1" x14ac:dyDescent="0.2">
      <c r="A6029" t="s">
        <v>1065</v>
      </c>
    </row>
    <row r="6030" spans="1:1" x14ac:dyDescent="0.2">
      <c r="A6030" t="s">
        <v>1066</v>
      </c>
    </row>
    <row r="6031" spans="1:1" x14ac:dyDescent="0.2">
      <c r="A6031" t="s">
        <v>1067</v>
      </c>
    </row>
    <row r="6032" spans="1:1" x14ac:dyDescent="0.2">
      <c r="A6032" t="s">
        <v>1068</v>
      </c>
    </row>
    <row r="6033" spans="1:1" x14ac:dyDescent="0.2">
      <c r="A6033" t="s">
        <v>1069</v>
      </c>
    </row>
    <row r="6034" spans="1:1" x14ac:dyDescent="0.2">
      <c r="A6034" t="s">
        <v>1070</v>
      </c>
    </row>
    <row r="6035" spans="1:1" x14ac:dyDescent="0.2">
      <c r="A6035" t="s">
        <v>1071</v>
      </c>
    </row>
    <row r="6036" spans="1:1" x14ac:dyDescent="0.2">
      <c r="A6036" t="s">
        <v>1072</v>
      </c>
    </row>
    <row r="6037" spans="1:1" x14ac:dyDescent="0.2">
      <c r="A6037" t="s">
        <v>1073</v>
      </c>
    </row>
    <row r="6038" spans="1:1" x14ac:dyDescent="0.2">
      <c r="A6038" t="s">
        <v>1074</v>
      </c>
    </row>
    <row r="6039" spans="1:1" x14ac:dyDescent="0.2">
      <c r="A6039" t="s">
        <v>1075</v>
      </c>
    </row>
    <row r="6040" spans="1:1" x14ac:dyDescent="0.2">
      <c r="A6040" t="s">
        <v>1076</v>
      </c>
    </row>
    <row r="6041" spans="1:1" x14ac:dyDescent="0.2">
      <c r="A6041" t="s">
        <v>1077</v>
      </c>
    </row>
    <row r="6042" spans="1:1" x14ac:dyDescent="0.2">
      <c r="A6042" t="s">
        <v>1078</v>
      </c>
    </row>
    <row r="6043" spans="1:1" x14ac:dyDescent="0.2">
      <c r="A6043" t="s">
        <v>1079</v>
      </c>
    </row>
    <row r="6044" spans="1:1" x14ac:dyDescent="0.2">
      <c r="A6044" t="s">
        <v>1080</v>
      </c>
    </row>
    <row r="6045" spans="1:1" x14ac:dyDescent="0.2">
      <c r="A6045" t="s">
        <v>1081</v>
      </c>
    </row>
    <row r="6046" spans="1:1" x14ac:dyDescent="0.2">
      <c r="A6046" t="s">
        <v>1082</v>
      </c>
    </row>
    <row r="6047" spans="1:1" x14ac:dyDescent="0.2">
      <c r="A6047" t="s">
        <v>1083</v>
      </c>
    </row>
    <row r="6048" spans="1:1" x14ac:dyDescent="0.2">
      <c r="A6048" t="s">
        <v>2771</v>
      </c>
    </row>
    <row r="6049" spans="1:1" x14ac:dyDescent="0.2">
      <c r="A6049" t="s">
        <v>2772</v>
      </c>
    </row>
    <row r="6050" spans="1:1" x14ac:dyDescent="0.2">
      <c r="A6050" t="s">
        <v>2773</v>
      </c>
    </row>
    <row r="6051" spans="1:1" x14ac:dyDescent="0.2">
      <c r="A6051" t="s">
        <v>2774</v>
      </c>
    </row>
    <row r="6052" spans="1:1" x14ac:dyDescent="0.2">
      <c r="A6052" t="s">
        <v>2775</v>
      </c>
    </row>
    <row r="6053" spans="1:1" x14ac:dyDescent="0.2">
      <c r="A6053" t="s">
        <v>2776</v>
      </c>
    </row>
    <row r="6054" spans="1:1" x14ac:dyDescent="0.2">
      <c r="A6054" t="s">
        <v>1084</v>
      </c>
    </row>
    <row r="6055" spans="1:1" x14ac:dyDescent="0.2">
      <c r="A6055" t="s">
        <v>1085</v>
      </c>
    </row>
    <row r="6056" spans="1:1" x14ac:dyDescent="0.2">
      <c r="A6056" t="s">
        <v>1086</v>
      </c>
    </row>
    <row r="6057" spans="1:1" x14ac:dyDescent="0.2">
      <c r="A6057" t="s">
        <v>1087</v>
      </c>
    </row>
    <row r="6058" spans="1:1" x14ac:dyDescent="0.2">
      <c r="A6058" t="s">
        <v>1088</v>
      </c>
    </row>
    <row r="6059" spans="1:1" x14ac:dyDescent="0.2">
      <c r="A6059" t="s">
        <v>1089</v>
      </c>
    </row>
    <row r="6060" spans="1:1" x14ac:dyDescent="0.2">
      <c r="A6060" t="s">
        <v>1090</v>
      </c>
    </row>
    <row r="6061" spans="1:1" x14ac:dyDescent="0.2">
      <c r="A6061" t="s">
        <v>1091</v>
      </c>
    </row>
    <row r="6062" spans="1:1" x14ac:dyDescent="0.2">
      <c r="A6062" t="s">
        <v>1092</v>
      </c>
    </row>
    <row r="6063" spans="1:1" x14ac:dyDescent="0.2">
      <c r="A6063" t="s">
        <v>1093</v>
      </c>
    </row>
    <row r="6064" spans="1:1" x14ac:dyDescent="0.2">
      <c r="A6064" t="s">
        <v>1094</v>
      </c>
    </row>
    <row r="6065" spans="1:1" x14ac:dyDescent="0.2">
      <c r="A6065" t="s">
        <v>1095</v>
      </c>
    </row>
    <row r="6066" spans="1:1" x14ac:dyDescent="0.2">
      <c r="A6066" t="s">
        <v>1096</v>
      </c>
    </row>
    <row r="6067" spans="1:1" x14ac:dyDescent="0.2">
      <c r="A6067" t="s">
        <v>1097</v>
      </c>
    </row>
    <row r="6068" spans="1:1" x14ac:dyDescent="0.2">
      <c r="A6068" t="s">
        <v>1098</v>
      </c>
    </row>
    <row r="6069" spans="1:1" x14ac:dyDescent="0.2">
      <c r="A6069" t="s">
        <v>1099</v>
      </c>
    </row>
    <row r="6070" spans="1:1" x14ac:dyDescent="0.2">
      <c r="A6070" t="s">
        <v>1100</v>
      </c>
    </row>
    <row r="6071" spans="1:1" x14ac:dyDescent="0.2">
      <c r="A6071" t="s">
        <v>1101</v>
      </c>
    </row>
    <row r="6072" spans="1:1" x14ac:dyDescent="0.2">
      <c r="A6072" t="s">
        <v>1102</v>
      </c>
    </row>
    <row r="6073" spans="1:1" x14ac:dyDescent="0.2">
      <c r="A6073" t="s">
        <v>1103</v>
      </c>
    </row>
    <row r="6074" spans="1:1" x14ac:dyDescent="0.2">
      <c r="A6074" t="s">
        <v>1104</v>
      </c>
    </row>
    <row r="6075" spans="1:1" x14ac:dyDescent="0.2">
      <c r="A6075" t="s">
        <v>1105</v>
      </c>
    </row>
    <row r="6076" spans="1:1" x14ac:dyDescent="0.2">
      <c r="A6076" t="s">
        <v>1106</v>
      </c>
    </row>
    <row r="6077" spans="1:1" x14ac:dyDescent="0.2">
      <c r="A6077" t="s">
        <v>1107</v>
      </c>
    </row>
    <row r="6078" spans="1:1" x14ac:dyDescent="0.2">
      <c r="A6078" t="s">
        <v>1108</v>
      </c>
    </row>
    <row r="6079" spans="1:1" x14ac:dyDescent="0.2">
      <c r="A6079" t="s">
        <v>1109</v>
      </c>
    </row>
    <row r="6080" spans="1:1" x14ac:dyDescent="0.2">
      <c r="A6080" t="s">
        <v>1110</v>
      </c>
    </row>
    <row r="6081" spans="1:1" x14ac:dyDescent="0.2">
      <c r="A6081" t="s">
        <v>1111</v>
      </c>
    </row>
    <row r="6082" spans="1:1" x14ac:dyDescent="0.2">
      <c r="A6082" t="s">
        <v>1112</v>
      </c>
    </row>
    <row r="6083" spans="1:1" x14ac:dyDescent="0.2">
      <c r="A6083" t="s">
        <v>1113</v>
      </c>
    </row>
    <row r="6084" spans="1:1" x14ac:dyDescent="0.2">
      <c r="A6084" t="s">
        <v>1114</v>
      </c>
    </row>
    <row r="6085" spans="1:1" x14ac:dyDescent="0.2">
      <c r="A6085" t="s">
        <v>1115</v>
      </c>
    </row>
    <row r="6086" spans="1:1" x14ac:dyDescent="0.2">
      <c r="A6086" t="s">
        <v>1116</v>
      </c>
    </row>
    <row r="6087" spans="1:1" x14ac:dyDescent="0.2">
      <c r="A6087" t="s">
        <v>1117</v>
      </c>
    </row>
    <row r="6088" spans="1:1" x14ac:dyDescent="0.2">
      <c r="A6088" t="s">
        <v>1118</v>
      </c>
    </row>
    <row r="6089" spans="1:1" x14ac:dyDescent="0.2">
      <c r="A6089" t="s">
        <v>1119</v>
      </c>
    </row>
    <row r="6090" spans="1:1" x14ac:dyDescent="0.2">
      <c r="A6090" t="s">
        <v>1120</v>
      </c>
    </row>
    <row r="6091" spans="1:1" x14ac:dyDescent="0.2">
      <c r="A6091" t="s">
        <v>1288</v>
      </c>
    </row>
    <row r="6092" spans="1:1" x14ac:dyDescent="0.2">
      <c r="A6092" t="s">
        <v>2907</v>
      </c>
    </row>
    <row r="6093" spans="1:1" x14ac:dyDescent="0.2">
      <c r="A6093" t="s">
        <v>2908</v>
      </c>
    </row>
    <row r="6094" spans="1:1" x14ac:dyDescent="0.2">
      <c r="A6094" t="s">
        <v>2909</v>
      </c>
    </row>
    <row r="6095" spans="1:1" x14ac:dyDescent="0.2">
      <c r="A6095" t="s">
        <v>2910</v>
      </c>
    </row>
    <row r="6096" spans="1:1" x14ac:dyDescent="0.2">
      <c r="A6096" t="s">
        <v>1289</v>
      </c>
    </row>
    <row r="6097" spans="1:1" x14ac:dyDescent="0.2">
      <c r="A6097" t="s">
        <v>2781</v>
      </c>
    </row>
    <row r="6098" spans="1:1" x14ac:dyDescent="0.2">
      <c r="A6098" t="s">
        <v>2911</v>
      </c>
    </row>
    <row r="6099" spans="1:1" x14ac:dyDescent="0.2">
      <c r="A6099" t="s">
        <v>1122</v>
      </c>
    </row>
    <row r="6100" spans="1:1" x14ac:dyDescent="0.2">
      <c r="A6100" t="s">
        <v>1123</v>
      </c>
    </row>
    <row r="6101" spans="1:1" x14ac:dyDescent="0.2">
      <c r="A6101" t="s">
        <v>1124</v>
      </c>
    </row>
    <row r="6102" spans="1:1" x14ac:dyDescent="0.2">
      <c r="A6102" t="s">
        <v>1125</v>
      </c>
    </row>
    <row r="6103" spans="1:1" x14ac:dyDescent="0.2">
      <c r="A6103" t="s">
        <v>1126</v>
      </c>
    </row>
    <row r="6104" spans="1:1" x14ac:dyDescent="0.2">
      <c r="A6104" t="s">
        <v>1127</v>
      </c>
    </row>
    <row r="6105" spans="1:1" x14ac:dyDescent="0.2">
      <c r="A6105" t="s">
        <v>1128</v>
      </c>
    </row>
    <row r="6106" spans="1:1" x14ac:dyDescent="0.2">
      <c r="A6106" t="s">
        <v>1129</v>
      </c>
    </row>
    <row r="6107" spans="1:1" x14ac:dyDescent="0.2">
      <c r="A6107" t="s">
        <v>1130</v>
      </c>
    </row>
    <row r="6108" spans="1:1" x14ac:dyDescent="0.2">
      <c r="A6108" t="s">
        <v>1131</v>
      </c>
    </row>
    <row r="6109" spans="1:1" x14ac:dyDescent="0.2">
      <c r="A6109" t="s">
        <v>1132</v>
      </c>
    </row>
    <row r="6110" spans="1:1" x14ac:dyDescent="0.2">
      <c r="A6110" t="s">
        <v>1133</v>
      </c>
    </row>
    <row r="6111" spans="1:1" x14ac:dyDescent="0.2">
      <c r="A6111" t="s">
        <v>1134</v>
      </c>
    </row>
    <row r="6112" spans="1:1" x14ac:dyDescent="0.2">
      <c r="A6112" t="s">
        <v>1135</v>
      </c>
    </row>
    <row r="6113" spans="1:1" x14ac:dyDescent="0.2">
      <c r="A6113" t="s">
        <v>1136</v>
      </c>
    </row>
    <row r="6114" spans="1:1" x14ac:dyDescent="0.2">
      <c r="A6114" t="s">
        <v>1137</v>
      </c>
    </row>
    <row r="6115" spans="1:1" x14ac:dyDescent="0.2">
      <c r="A6115" t="s">
        <v>1138</v>
      </c>
    </row>
    <row r="6116" spans="1:1" x14ac:dyDescent="0.2">
      <c r="A6116" t="s">
        <v>1139</v>
      </c>
    </row>
    <row r="6117" spans="1:1" x14ac:dyDescent="0.2">
      <c r="A6117" t="s">
        <v>1140</v>
      </c>
    </row>
    <row r="6118" spans="1:1" x14ac:dyDescent="0.2">
      <c r="A6118" t="s">
        <v>1141</v>
      </c>
    </row>
    <row r="6119" spans="1:1" x14ac:dyDescent="0.2">
      <c r="A6119" t="s">
        <v>1142</v>
      </c>
    </row>
    <row r="6120" spans="1:1" x14ac:dyDescent="0.2">
      <c r="A6120" t="s">
        <v>1143</v>
      </c>
    </row>
    <row r="6121" spans="1:1" x14ac:dyDescent="0.2">
      <c r="A6121" t="s">
        <v>1144</v>
      </c>
    </row>
    <row r="6122" spans="1:1" x14ac:dyDescent="0.2">
      <c r="A6122" t="s">
        <v>1145</v>
      </c>
    </row>
    <row r="6123" spans="1:1" x14ac:dyDescent="0.2">
      <c r="A6123" t="s">
        <v>1146</v>
      </c>
    </row>
    <row r="6124" spans="1:1" x14ac:dyDescent="0.2">
      <c r="A6124" t="s">
        <v>1147</v>
      </c>
    </row>
    <row r="6125" spans="1:1" x14ac:dyDescent="0.2">
      <c r="A6125" t="s">
        <v>1148</v>
      </c>
    </row>
    <row r="6126" spans="1:1" x14ac:dyDescent="0.2">
      <c r="A6126" t="s">
        <v>1149</v>
      </c>
    </row>
    <row r="6127" spans="1:1" x14ac:dyDescent="0.2">
      <c r="A6127" t="s">
        <v>1150</v>
      </c>
    </row>
    <row r="6128" spans="1:1" x14ac:dyDescent="0.2">
      <c r="A6128" t="s">
        <v>1151</v>
      </c>
    </row>
    <row r="6129" spans="1:1" x14ac:dyDescent="0.2">
      <c r="A6129" t="s">
        <v>1152</v>
      </c>
    </row>
    <row r="6130" spans="1:1" x14ac:dyDescent="0.2">
      <c r="A6130" t="s">
        <v>1153</v>
      </c>
    </row>
    <row r="6131" spans="1:1" x14ac:dyDescent="0.2">
      <c r="A6131" t="s">
        <v>1154</v>
      </c>
    </row>
    <row r="6132" spans="1:1" x14ac:dyDescent="0.2">
      <c r="A6132" t="s">
        <v>1155</v>
      </c>
    </row>
    <row r="6133" spans="1:1" x14ac:dyDescent="0.2">
      <c r="A6133" t="s">
        <v>1156</v>
      </c>
    </row>
    <row r="6134" spans="1:1" x14ac:dyDescent="0.2">
      <c r="A6134" t="s">
        <v>1157</v>
      </c>
    </row>
    <row r="6135" spans="1:1" x14ac:dyDescent="0.2">
      <c r="A6135" t="s">
        <v>1158</v>
      </c>
    </row>
    <row r="6136" spans="1:1" x14ac:dyDescent="0.2">
      <c r="A6136" t="s">
        <v>1159</v>
      </c>
    </row>
    <row r="6137" spans="1:1" x14ac:dyDescent="0.2">
      <c r="A6137" t="s">
        <v>1160</v>
      </c>
    </row>
    <row r="6138" spans="1:1" x14ac:dyDescent="0.2">
      <c r="A6138" t="s">
        <v>1161</v>
      </c>
    </row>
    <row r="6139" spans="1:1" x14ac:dyDescent="0.2">
      <c r="A6139" t="s">
        <v>1162</v>
      </c>
    </row>
    <row r="6140" spans="1:1" x14ac:dyDescent="0.2">
      <c r="A6140" t="s">
        <v>1163</v>
      </c>
    </row>
    <row r="6141" spans="1:1" x14ac:dyDescent="0.2">
      <c r="A6141" t="s">
        <v>1164</v>
      </c>
    </row>
    <row r="6142" spans="1:1" x14ac:dyDescent="0.2">
      <c r="A6142" t="s">
        <v>1165</v>
      </c>
    </row>
    <row r="6143" spans="1:1" x14ac:dyDescent="0.2">
      <c r="A6143" t="s">
        <v>1166</v>
      </c>
    </row>
    <row r="6144" spans="1:1" x14ac:dyDescent="0.2">
      <c r="A6144" t="s">
        <v>1167</v>
      </c>
    </row>
    <row r="6145" spans="1:1" x14ac:dyDescent="0.2">
      <c r="A6145" t="s">
        <v>1168</v>
      </c>
    </row>
    <row r="6146" spans="1:1" x14ac:dyDescent="0.2">
      <c r="A6146" t="s">
        <v>1169</v>
      </c>
    </row>
    <row r="6147" spans="1:1" x14ac:dyDescent="0.2">
      <c r="A6147" t="s">
        <v>1170</v>
      </c>
    </row>
    <row r="6148" spans="1:1" x14ac:dyDescent="0.2">
      <c r="A6148" t="s">
        <v>1171</v>
      </c>
    </row>
    <row r="6149" spans="1:1" x14ac:dyDescent="0.2">
      <c r="A6149" t="s">
        <v>1172</v>
      </c>
    </row>
    <row r="6150" spans="1:1" x14ac:dyDescent="0.2">
      <c r="A6150" t="s">
        <v>1173</v>
      </c>
    </row>
    <row r="6151" spans="1:1" x14ac:dyDescent="0.2">
      <c r="A6151" t="s">
        <v>1174</v>
      </c>
    </row>
    <row r="6152" spans="1:1" x14ac:dyDescent="0.2">
      <c r="A6152" t="s">
        <v>1175</v>
      </c>
    </row>
    <row r="6153" spans="1:1" x14ac:dyDescent="0.2">
      <c r="A6153" t="s">
        <v>1176</v>
      </c>
    </row>
    <row r="6154" spans="1:1" x14ac:dyDescent="0.2">
      <c r="A6154" t="s">
        <v>1177</v>
      </c>
    </row>
    <row r="6155" spans="1:1" x14ac:dyDescent="0.2">
      <c r="A6155" t="s">
        <v>1178</v>
      </c>
    </row>
    <row r="6156" spans="1:1" x14ac:dyDescent="0.2">
      <c r="A6156" t="s">
        <v>1179</v>
      </c>
    </row>
    <row r="6157" spans="1:1" x14ac:dyDescent="0.2">
      <c r="A6157" t="s">
        <v>1180</v>
      </c>
    </row>
    <row r="6158" spans="1:1" x14ac:dyDescent="0.2">
      <c r="A6158" t="s">
        <v>1181</v>
      </c>
    </row>
    <row r="6159" spans="1:1" x14ac:dyDescent="0.2">
      <c r="A6159" t="s">
        <v>1182</v>
      </c>
    </row>
    <row r="6160" spans="1:1" x14ac:dyDescent="0.2">
      <c r="A6160" t="s">
        <v>1183</v>
      </c>
    </row>
    <row r="6161" spans="1:1" x14ac:dyDescent="0.2">
      <c r="A6161" t="s">
        <v>1184</v>
      </c>
    </row>
    <row r="6162" spans="1:1" x14ac:dyDescent="0.2">
      <c r="A6162" t="s">
        <v>1185</v>
      </c>
    </row>
    <row r="6163" spans="1:1" x14ac:dyDescent="0.2">
      <c r="A6163" t="s">
        <v>1186</v>
      </c>
    </row>
    <row r="6164" spans="1:1" x14ac:dyDescent="0.2">
      <c r="A6164" t="s">
        <v>1187</v>
      </c>
    </row>
    <row r="6165" spans="1:1" x14ac:dyDescent="0.2">
      <c r="A6165" t="s">
        <v>1188</v>
      </c>
    </row>
    <row r="6166" spans="1:1" x14ac:dyDescent="0.2">
      <c r="A6166" t="s">
        <v>1189</v>
      </c>
    </row>
    <row r="6167" spans="1:1" x14ac:dyDescent="0.2">
      <c r="A6167" t="s">
        <v>1190</v>
      </c>
    </row>
    <row r="6168" spans="1:1" x14ac:dyDescent="0.2">
      <c r="A6168" t="s">
        <v>1191</v>
      </c>
    </row>
    <row r="6169" spans="1:1" x14ac:dyDescent="0.2">
      <c r="A6169" t="s">
        <v>1192</v>
      </c>
    </row>
    <row r="6170" spans="1:1" x14ac:dyDescent="0.2">
      <c r="A6170" t="s">
        <v>1193</v>
      </c>
    </row>
    <row r="6171" spans="1:1" x14ac:dyDescent="0.2">
      <c r="A6171" t="s">
        <v>1194</v>
      </c>
    </row>
    <row r="6172" spans="1:1" x14ac:dyDescent="0.2">
      <c r="A6172" t="s">
        <v>1195</v>
      </c>
    </row>
    <row r="6173" spans="1:1" x14ac:dyDescent="0.2">
      <c r="A6173" t="s">
        <v>1196</v>
      </c>
    </row>
    <row r="6174" spans="1:1" x14ac:dyDescent="0.2">
      <c r="A6174" t="s">
        <v>1197</v>
      </c>
    </row>
    <row r="6175" spans="1:1" x14ac:dyDescent="0.2">
      <c r="A6175" t="s">
        <v>1198</v>
      </c>
    </row>
    <row r="6176" spans="1:1" x14ac:dyDescent="0.2">
      <c r="A6176" t="s">
        <v>1199</v>
      </c>
    </row>
    <row r="6177" spans="1:1" x14ac:dyDescent="0.2">
      <c r="A6177" t="s">
        <v>1200</v>
      </c>
    </row>
    <row r="6178" spans="1:1" x14ac:dyDescent="0.2">
      <c r="A6178" t="s">
        <v>1201</v>
      </c>
    </row>
    <row r="6179" spans="1:1" x14ac:dyDescent="0.2">
      <c r="A6179" t="s">
        <v>1202</v>
      </c>
    </row>
    <row r="6180" spans="1:1" x14ac:dyDescent="0.2">
      <c r="A6180" t="s">
        <v>1203</v>
      </c>
    </row>
    <row r="6181" spans="1:1" x14ac:dyDescent="0.2">
      <c r="A6181" t="s">
        <v>1204</v>
      </c>
    </row>
    <row r="6182" spans="1:1" x14ac:dyDescent="0.2">
      <c r="A6182" t="s">
        <v>1205</v>
      </c>
    </row>
    <row r="6183" spans="1:1" x14ac:dyDescent="0.2">
      <c r="A6183" t="s">
        <v>1206</v>
      </c>
    </row>
    <row r="6184" spans="1:1" x14ac:dyDescent="0.2">
      <c r="A6184" t="s">
        <v>1207</v>
      </c>
    </row>
    <row r="6185" spans="1:1" x14ac:dyDescent="0.2">
      <c r="A6185" t="s">
        <v>1208</v>
      </c>
    </row>
    <row r="6186" spans="1:1" x14ac:dyDescent="0.2">
      <c r="A6186" t="s">
        <v>1209</v>
      </c>
    </row>
    <row r="6187" spans="1:1" x14ac:dyDescent="0.2">
      <c r="A6187" t="s">
        <v>1210</v>
      </c>
    </row>
    <row r="6188" spans="1:1" x14ac:dyDescent="0.2">
      <c r="A6188" t="s">
        <v>1211</v>
      </c>
    </row>
    <row r="6189" spans="1:1" x14ac:dyDescent="0.2">
      <c r="A6189" t="s">
        <v>1212</v>
      </c>
    </row>
    <row r="6190" spans="1:1" x14ac:dyDescent="0.2">
      <c r="A6190" t="s">
        <v>1213</v>
      </c>
    </row>
    <row r="6191" spans="1:1" x14ac:dyDescent="0.2">
      <c r="A6191" t="s">
        <v>1214</v>
      </c>
    </row>
    <row r="6192" spans="1:1" x14ac:dyDescent="0.2">
      <c r="A6192" t="s">
        <v>1215</v>
      </c>
    </row>
    <row r="6193" spans="1:1" x14ac:dyDescent="0.2">
      <c r="A6193" t="s">
        <v>1216</v>
      </c>
    </row>
    <row r="6194" spans="1:1" x14ac:dyDescent="0.2">
      <c r="A6194" t="s">
        <v>1217</v>
      </c>
    </row>
    <row r="6195" spans="1:1" x14ac:dyDescent="0.2">
      <c r="A6195" t="s">
        <v>1218</v>
      </c>
    </row>
    <row r="6196" spans="1:1" x14ac:dyDescent="0.2">
      <c r="A6196" t="s">
        <v>1219</v>
      </c>
    </row>
    <row r="6197" spans="1:1" x14ac:dyDescent="0.2">
      <c r="A6197" t="s">
        <v>1220</v>
      </c>
    </row>
    <row r="6198" spans="1:1" x14ac:dyDescent="0.2">
      <c r="A6198" t="s">
        <v>1221</v>
      </c>
    </row>
    <row r="6199" spans="1:1" x14ac:dyDescent="0.2">
      <c r="A6199" t="s">
        <v>1222</v>
      </c>
    </row>
    <row r="6200" spans="1:1" x14ac:dyDescent="0.2">
      <c r="A6200" t="s">
        <v>1223</v>
      </c>
    </row>
    <row r="6201" spans="1:1" x14ac:dyDescent="0.2">
      <c r="A6201" t="s">
        <v>1224</v>
      </c>
    </row>
    <row r="6202" spans="1:1" x14ac:dyDescent="0.2">
      <c r="A6202" t="s">
        <v>1225</v>
      </c>
    </row>
    <row r="6203" spans="1:1" x14ac:dyDescent="0.2">
      <c r="A6203" t="s">
        <v>1226</v>
      </c>
    </row>
    <row r="6204" spans="1:1" x14ac:dyDescent="0.2">
      <c r="A6204" t="s">
        <v>1227</v>
      </c>
    </row>
    <row r="6205" spans="1:1" x14ac:dyDescent="0.2">
      <c r="A6205" t="s">
        <v>1228</v>
      </c>
    </row>
    <row r="6206" spans="1:1" x14ac:dyDescent="0.2">
      <c r="A6206" t="s">
        <v>1229</v>
      </c>
    </row>
    <row r="6207" spans="1:1" x14ac:dyDescent="0.2">
      <c r="A6207" t="s">
        <v>1230</v>
      </c>
    </row>
    <row r="6208" spans="1:1" x14ac:dyDescent="0.2">
      <c r="A6208" t="s">
        <v>1231</v>
      </c>
    </row>
    <row r="6209" spans="1:1" x14ac:dyDescent="0.2">
      <c r="A6209" t="s">
        <v>1232</v>
      </c>
    </row>
    <row r="6210" spans="1:1" x14ac:dyDescent="0.2">
      <c r="A6210" t="s">
        <v>1233</v>
      </c>
    </row>
    <row r="6211" spans="1:1" x14ac:dyDescent="0.2">
      <c r="A6211" t="s">
        <v>1234</v>
      </c>
    </row>
    <row r="6212" spans="1:1" x14ac:dyDescent="0.2">
      <c r="A6212" t="s">
        <v>1235</v>
      </c>
    </row>
    <row r="6213" spans="1:1" x14ac:dyDescent="0.2">
      <c r="A6213" t="s">
        <v>1236</v>
      </c>
    </row>
    <row r="6214" spans="1:1" x14ac:dyDescent="0.2">
      <c r="A6214" t="s">
        <v>1237</v>
      </c>
    </row>
    <row r="6215" spans="1:1" x14ac:dyDescent="0.2">
      <c r="A6215" t="s">
        <v>1238</v>
      </c>
    </row>
    <row r="6216" spans="1:1" x14ac:dyDescent="0.2">
      <c r="A6216" t="s">
        <v>1239</v>
      </c>
    </row>
    <row r="6217" spans="1:1" x14ac:dyDescent="0.2">
      <c r="A6217" t="s">
        <v>1240</v>
      </c>
    </row>
    <row r="6218" spans="1:1" x14ac:dyDescent="0.2">
      <c r="A6218" t="s">
        <v>1241</v>
      </c>
    </row>
    <row r="6219" spans="1:1" x14ac:dyDescent="0.2">
      <c r="A6219" t="s">
        <v>1242</v>
      </c>
    </row>
    <row r="6220" spans="1:1" x14ac:dyDescent="0.2">
      <c r="A6220" t="s">
        <v>1243</v>
      </c>
    </row>
    <row r="6221" spans="1:1" x14ac:dyDescent="0.2">
      <c r="A6221" t="s">
        <v>1244</v>
      </c>
    </row>
    <row r="6222" spans="1:1" x14ac:dyDescent="0.2">
      <c r="A6222" t="s">
        <v>1245</v>
      </c>
    </row>
    <row r="6223" spans="1:1" x14ac:dyDescent="0.2">
      <c r="A6223" t="s">
        <v>1246</v>
      </c>
    </row>
    <row r="6224" spans="1:1" x14ac:dyDescent="0.2">
      <c r="A6224" t="s">
        <v>1247</v>
      </c>
    </row>
    <row r="6225" spans="1:1" x14ac:dyDescent="0.2">
      <c r="A6225" t="s">
        <v>1248</v>
      </c>
    </row>
    <row r="6226" spans="1:1" x14ac:dyDescent="0.2">
      <c r="A6226" t="s">
        <v>1249</v>
      </c>
    </row>
    <row r="6227" spans="1:1" x14ac:dyDescent="0.2">
      <c r="A6227" t="s">
        <v>1250</v>
      </c>
    </row>
    <row r="6228" spans="1:1" x14ac:dyDescent="0.2">
      <c r="A6228" t="s">
        <v>1251</v>
      </c>
    </row>
    <row r="6229" spans="1:1" x14ac:dyDescent="0.2">
      <c r="A6229" t="s">
        <v>1252</v>
      </c>
    </row>
    <row r="6230" spans="1:1" x14ac:dyDescent="0.2">
      <c r="A6230" t="s">
        <v>1253</v>
      </c>
    </row>
    <row r="6231" spans="1:1" x14ac:dyDescent="0.2">
      <c r="A6231" t="s">
        <v>1254</v>
      </c>
    </row>
    <row r="6232" spans="1:1" x14ac:dyDescent="0.2">
      <c r="A6232" t="s">
        <v>1255</v>
      </c>
    </row>
    <row r="6233" spans="1:1" x14ac:dyDescent="0.2">
      <c r="A6233" t="s">
        <v>1256</v>
      </c>
    </row>
    <row r="6234" spans="1:1" x14ac:dyDescent="0.2">
      <c r="A6234" t="s">
        <v>1257</v>
      </c>
    </row>
    <row r="6235" spans="1:1" x14ac:dyDescent="0.2">
      <c r="A6235" t="s">
        <v>1258</v>
      </c>
    </row>
    <row r="6236" spans="1:1" x14ac:dyDescent="0.2">
      <c r="A6236" t="s">
        <v>1259</v>
      </c>
    </row>
    <row r="6237" spans="1:1" x14ac:dyDescent="0.2">
      <c r="A6237" t="s">
        <v>1260</v>
      </c>
    </row>
    <row r="6238" spans="1:1" x14ac:dyDescent="0.2">
      <c r="A6238" t="s">
        <v>1261</v>
      </c>
    </row>
    <row r="6239" spans="1:1" x14ac:dyDescent="0.2">
      <c r="A6239" t="s">
        <v>1262</v>
      </c>
    </row>
    <row r="6240" spans="1:1" x14ac:dyDescent="0.2">
      <c r="A6240" t="s">
        <v>1263</v>
      </c>
    </row>
    <row r="6241" spans="1:1" x14ac:dyDescent="0.2">
      <c r="A6241" t="s">
        <v>1264</v>
      </c>
    </row>
    <row r="6242" spans="1:1" x14ac:dyDescent="0.2">
      <c r="A6242" t="s">
        <v>1265</v>
      </c>
    </row>
    <row r="6243" spans="1:1" x14ac:dyDescent="0.2">
      <c r="A6243" t="s">
        <v>1266</v>
      </c>
    </row>
    <row r="6244" spans="1:1" x14ac:dyDescent="0.2">
      <c r="A6244" t="s">
        <v>1267</v>
      </c>
    </row>
    <row r="6245" spans="1:1" x14ac:dyDescent="0.2">
      <c r="A6245" t="s">
        <v>1268</v>
      </c>
    </row>
    <row r="6246" spans="1:1" x14ac:dyDescent="0.2">
      <c r="A6246" t="s">
        <v>1269</v>
      </c>
    </row>
    <row r="6247" spans="1:1" x14ac:dyDescent="0.2">
      <c r="A6247" t="s">
        <v>1270</v>
      </c>
    </row>
    <row r="6248" spans="1:1" x14ac:dyDescent="0.2">
      <c r="A6248" t="s">
        <v>1271</v>
      </c>
    </row>
    <row r="6249" spans="1:1" x14ac:dyDescent="0.2">
      <c r="A6249" t="s">
        <v>1272</v>
      </c>
    </row>
    <row r="6250" spans="1:1" x14ac:dyDescent="0.2">
      <c r="A6250" t="s">
        <v>1273</v>
      </c>
    </row>
    <row r="6251" spans="1:1" x14ac:dyDescent="0.2">
      <c r="A6251" t="s">
        <v>1274</v>
      </c>
    </row>
    <row r="6252" spans="1:1" x14ac:dyDescent="0.2">
      <c r="A6252" t="s">
        <v>1275</v>
      </c>
    </row>
    <row r="6253" spans="1:1" x14ac:dyDescent="0.2">
      <c r="A6253" t="s">
        <v>1276</v>
      </c>
    </row>
    <row r="6254" spans="1:1" x14ac:dyDescent="0.2">
      <c r="A6254" t="s">
        <v>1277</v>
      </c>
    </row>
    <row r="6255" spans="1:1" x14ac:dyDescent="0.2">
      <c r="A6255" t="s">
        <v>1278</v>
      </c>
    </row>
    <row r="6256" spans="1:1" x14ac:dyDescent="0.2">
      <c r="A6256" t="s">
        <v>1279</v>
      </c>
    </row>
    <row r="6257" spans="1:1" x14ac:dyDescent="0.2">
      <c r="A6257" t="s">
        <v>1280</v>
      </c>
    </row>
    <row r="6258" spans="1:1" x14ac:dyDescent="0.2">
      <c r="A6258" t="s">
        <v>1281</v>
      </c>
    </row>
    <row r="6259" spans="1:1" x14ac:dyDescent="0.2">
      <c r="A6259" t="s">
        <v>1282</v>
      </c>
    </row>
    <row r="6260" spans="1:1" x14ac:dyDescent="0.2">
      <c r="A6260" t="s">
        <v>1283</v>
      </c>
    </row>
    <row r="6261" spans="1:1" x14ac:dyDescent="0.2">
      <c r="A6261" t="s">
        <v>1284</v>
      </c>
    </row>
    <row r="6262" spans="1:1" x14ac:dyDescent="0.2">
      <c r="A6262" t="s">
        <v>1285</v>
      </c>
    </row>
    <row r="6263" spans="1:1" x14ac:dyDescent="0.2">
      <c r="A6263" t="s">
        <v>1286</v>
      </c>
    </row>
    <row r="6264" spans="1:1" x14ac:dyDescent="0.2">
      <c r="A6264" t="s">
        <v>2912</v>
      </c>
    </row>
    <row r="6265" spans="1:1" x14ac:dyDescent="0.2">
      <c r="A6265" t="s">
        <v>1053</v>
      </c>
    </row>
    <row r="6266" spans="1:1" x14ac:dyDescent="0.2">
      <c r="A6266" t="s">
        <v>2913</v>
      </c>
    </row>
    <row r="6267" spans="1:1" x14ac:dyDescent="0.2">
      <c r="A6267" t="s">
        <v>2768</v>
      </c>
    </row>
    <row r="6268" spans="1:1" x14ac:dyDescent="0.2">
      <c r="A6268" t="s">
        <v>2769</v>
      </c>
    </row>
    <row r="6269" spans="1:1" x14ac:dyDescent="0.2">
      <c r="A6269" t="s">
        <v>1054</v>
      </c>
    </row>
    <row r="6270" spans="1:1" x14ac:dyDescent="0.2">
      <c r="A6270" t="s">
        <v>1055</v>
      </c>
    </row>
    <row r="6271" spans="1:1" x14ac:dyDescent="0.2">
      <c r="A6271" t="s">
        <v>2770</v>
      </c>
    </row>
    <row r="6272" spans="1:1" x14ac:dyDescent="0.2">
      <c r="A6272" t="s">
        <v>1056</v>
      </c>
    </row>
    <row r="6273" spans="1:1" x14ac:dyDescent="0.2">
      <c r="A6273" t="s">
        <v>1057</v>
      </c>
    </row>
    <row r="6274" spans="1:1" x14ac:dyDescent="0.2">
      <c r="A6274" t="s">
        <v>1058</v>
      </c>
    </row>
    <row r="6275" spans="1:1" x14ac:dyDescent="0.2">
      <c r="A6275" t="s">
        <v>1059</v>
      </c>
    </row>
    <row r="6276" spans="1:1" x14ac:dyDescent="0.2">
      <c r="A6276" t="s">
        <v>1060</v>
      </c>
    </row>
    <row r="6277" spans="1:1" x14ac:dyDescent="0.2">
      <c r="A6277" t="s">
        <v>1061</v>
      </c>
    </row>
    <row r="6278" spans="1:1" x14ac:dyDescent="0.2">
      <c r="A6278" t="s">
        <v>1062</v>
      </c>
    </row>
    <row r="6279" spans="1:1" x14ac:dyDescent="0.2">
      <c r="A6279" t="s">
        <v>1063</v>
      </c>
    </row>
    <row r="6280" spans="1:1" x14ac:dyDescent="0.2">
      <c r="A6280" t="s">
        <v>1064</v>
      </c>
    </row>
    <row r="6281" spans="1:1" x14ac:dyDescent="0.2">
      <c r="A6281" t="s">
        <v>1065</v>
      </c>
    </row>
    <row r="6282" spans="1:1" x14ac:dyDescent="0.2">
      <c r="A6282" t="s">
        <v>1066</v>
      </c>
    </row>
    <row r="6283" spans="1:1" x14ac:dyDescent="0.2">
      <c r="A6283" t="s">
        <v>1067</v>
      </c>
    </row>
    <row r="6284" spans="1:1" x14ac:dyDescent="0.2">
      <c r="A6284" t="s">
        <v>1068</v>
      </c>
    </row>
    <row r="6285" spans="1:1" x14ac:dyDescent="0.2">
      <c r="A6285" t="s">
        <v>1069</v>
      </c>
    </row>
    <row r="6286" spans="1:1" x14ac:dyDescent="0.2">
      <c r="A6286" t="s">
        <v>1070</v>
      </c>
    </row>
    <row r="6287" spans="1:1" x14ac:dyDescent="0.2">
      <c r="A6287" t="s">
        <v>1071</v>
      </c>
    </row>
    <row r="6288" spans="1:1" x14ac:dyDescent="0.2">
      <c r="A6288" t="s">
        <v>1072</v>
      </c>
    </row>
    <row r="6289" spans="1:1" x14ac:dyDescent="0.2">
      <c r="A6289" t="s">
        <v>1073</v>
      </c>
    </row>
    <row r="6290" spans="1:1" x14ac:dyDescent="0.2">
      <c r="A6290" t="s">
        <v>1074</v>
      </c>
    </row>
    <row r="6291" spans="1:1" x14ac:dyDescent="0.2">
      <c r="A6291" t="s">
        <v>1075</v>
      </c>
    </row>
    <row r="6292" spans="1:1" x14ac:dyDescent="0.2">
      <c r="A6292" t="s">
        <v>1076</v>
      </c>
    </row>
    <row r="6293" spans="1:1" x14ac:dyDescent="0.2">
      <c r="A6293" t="s">
        <v>1077</v>
      </c>
    </row>
    <row r="6294" spans="1:1" x14ac:dyDescent="0.2">
      <c r="A6294" t="s">
        <v>1078</v>
      </c>
    </row>
    <row r="6295" spans="1:1" x14ac:dyDescent="0.2">
      <c r="A6295" t="s">
        <v>1079</v>
      </c>
    </row>
    <row r="6296" spans="1:1" x14ac:dyDescent="0.2">
      <c r="A6296" t="s">
        <v>1080</v>
      </c>
    </row>
    <row r="6297" spans="1:1" x14ac:dyDescent="0.2">
      <c r="A6297" t="s">
        <v>1081</v>
      </c>
    </row>
    <row r="6298" spans="1:1" x14ac:dyDescent="0.2">
      <c r="A6298" t="s">
        <v>1082</v>
      </c>
    </row>
    <row r="6299" spans="1:1" x14ac:dyDescent="0.2">
      <c r="A6299" t="s">
        <v>1083</v>
      </c>
    </row>
    <row r="6300" spans="1:1" x14ac:dyDescent="0.2">
      <c r="A6300" t="s">
        <v>2771</v>
      </c>
    </row>
    <row r="6301" spans="1:1" x14ac:dyDescent="0.2">
      <c r="A6301" t="s">
        <v>2772</v>
      </c>
    </row>
    <row r="6302" spans="1:1" x14ac:dyDescent="0.2">
      <c r="A6302" t="s">
        <v>2773</v>
      </c>
    </row>
    <row r="6303" spans="1:1" x14ac:dyDescent="0.2">
      <c r="A6303" t="s">
        <v>2774</v>
      </c>
    </row>
    <row r="6304" spans="1:1" x14ac:dyDescent="0.2">
      <c r="A6304" t="s">
        <v>2775</v>
      </c>
    </row>
    <row r="6305" spans="1:1" x14ac:dyDescent="0.2">
      <c r="A6305" t="s">
        <v>2776</v>
      </c>
    </row>
    <row r="6306" spans="1:1" x14ac:dyDescent="0.2">
      <c r="A6306" t="s">
        <v>1084</v>
      </c>
    </row>
    <row r="6307" spans="1:1" x14ac:dyDescent="0.2">
      <c r="A6307" t="s">
        <v>1085</v>
      </c>
    </row>
    <row r="6308" spans="1:1" x14ac:dyDescent="0.2">
      <c r="A6308" t="s">
        <v>1086</v>
      </c>
    </row>
    <row r="6309" spans="1:1" x14ac:dyDescent="0.2">
      <c r="A6309" t="s">
        <v>1087</v>
      </c>
    </row>
    <row r="6310" spans="1:1" x14ac:dyDescent="0.2">
      <c r="A6310" t="s">
        <v>1088</v>
      </c>
    </row>
    <row r="6311" spans="1:1" x14ac:dyDescent="0.2">
      <c r="A6311" t="s">
        <v>1089</v>
      </c>
    </row>
    <row r="6312" spans="1:1" x14ac:dyDescent="0.2">
      <c r="A6312" t="s">
        <v>1090</v>
      </c>
    </row>
    <row r="6313" spans="1:1" x14ac:dyDescent="0.2">
      <c r="A6313" t="s">
        <v>1091</v>
      </c>
    </row>
    <row r="6314" spans="1:1" x14ac:dyDescent="0.2">
      <c r="A6314" t="s">
        <v>1092</v>
      </c>
    </row>
    <row r="6315" spans="1:1" x14ac:dyDescent="0.2">
      <c r="A6315" t="s">
        <v>1093</v>
      </c>
    </row>
    <row r="6316" spans="1:1" x14ac:dyDescent="0.2">
      <c r="A6316" t="s">
        <v>1094</v>
      </c>
    </row>
    <row r="6317" spans="1:1" x14ac:dyDescent="0.2">
      <c r="A6317" t="s">
        <v>1095</v>
      </c>
    </row>
    <row r="6318" spans="1:1" x14ac:dyDescent="0.2">
      <c r="A6318" t="s">
        <v>1096</v>
      </c>
    </row>
    <row r="6319" spans="1:1" x14ac:dyDescent="0.2">
      <c r="A6319" t="s">
        <v>1097</v>
      </c>
    </row>
    <row r="6320" spans="1:1" x14ac:dyDescent="0.2">
      <c r="A6320" t="s">
        <v>1098</v>
      </c>
    </row>
    <row r="6321" spans="1:1" x14ac:dyDescent="0.2">
      <c r="A6321" t="s">
        <v>1099</v>
      </c>
    </row>
    <row r="6322" spans="1:1" x14ac:dyDescent="0.2">
      <c r="A6322" t="s">
        <v>1100</v>
      </c>
    </row>
    <row r="6323" spans="1:1" x14ac:dyDescent="0.2">
      <c r="A6323" t="s">
        <v>1101</v>
      </c>
    </row>
    <row r="6324" spans="1:1" x14ac:dyDescent="0.2">
      <c r="A6324" t="s">
        <v>1102</v>
      </c>
    </row>
    <row r="6325" spans="1:1" x14ac:dyDescent="0.2">
      <c r="A6325" t="s">
        <v>1103</v>
      </c>
    </row>
    <row r="6326" spans="1:1" x14ac:dyDescent="0.2">
      <c r="A6326" t="s">
        <v>1104</v>
      </c>
    </row>
    <row r="6327" spans="1:1" x14ac:dyDescent="0.2">
      <c r="A6327" t="s">
        <v>1105</v>
      </c>
    </row>
    <row r="6328" spans="1:1" x14ac:dyDescent="0.2">
      <c r="A6328" t="s">
        <v>1106</v>
      </c>
    </row>
    <row r="6329" spans="1:1" x14ac:dyDescent="0.2">
      <c r="A6329" t="s">
        <v>1107</v>
      </c>
    </row>
    <row r="6330" spans="1:1" x14ac:dyDescent="0.2">
      <c r="A6330" t="s">
        <v>1108</v>
      </c>
    </row>
    <row r="6331" spans="1:1" x14ac:dyDescent="0.2">
      <c r="A6331" t="s">
        <v>1109</v>
      </c>
    </row>
    <row r="6332" spans="1:1" x14ac:dyDescent="0.2">
      <c r="A6332" t="s">
        <v>1110</v>
      </c>
    </row>
    <row r="6333" spans="1:1" x14ac:dyDescent="0.2">
      <c r="A6333" t="s">
        <v>1111</v>
      </c>
    </row>
    <row r="6334" spans="1:1" x14ac:dyDescent="0.2">
      <c r="A6334" t="s">
        <v>1112</v>
      </c>
    </row>
    <row r="6335" spans="1:1" x14ac:dyDescent="0.2">
      <c r="A6335" t="s">
        <v>1113</v>
      </c>
    </row>
    <row r="6336" spans="1:1" x14ac:dyDescent="0.2">
      <c r="A6336" t="s">
        <v>1114</v>
      </c>
    </row>
    <row r="6337" spans="1:1" x14ac:dyDescent="0.2">
      <c r="A6337" t="s">
        <v>1115</v>
      </c>
    </row>
    <row r="6338" spans="1:1" x14ac:dyDescent="0.2">
      <c r="A6338" t="s">
        <v>1116</v>
      </c>
    </row>
    <row r="6339" spans="1:1" x14ac:dyDescent="0.2">
      <c r="A6339" t="s">
        <v>1117</v>
      </c>
    </row>
    <row r="6340" spans="1:1" x14ac:dyDescent="0.2">
      <c r="A6340" t="s">
        <v>1118</v>
      </c>
    </row>
    <row r="6341" spans="1:1" x14ac:dyDescent="0.2">
      <c r="A6341" t="s">
        <v>1119</v>
      </c>
    </row>
    <row r="6342" spans="1:1" x14ac:dyDescent="0.2">
      <c r="A6342" t="s">
        <v>1120</v>
      </c>
    </row>
    <row r="6343" spans="1:1" x14ac:dyDescent="0.2">
      <c r="A6343" t="s">
        <v>1288</v>
      </c>
    </row>
    <row r="6344" spans="1:1" x14ac:dyDescent="0.2">
      <c r="A6344" t="s">
        <v>2914</v>
      </c>
    </row>
    <row r="6345" spans="1:1" x14ac:dyDescent="0.2">
      <c r="A6345" t="s">
        <v>2915</v>
      </c>
    </row>
    <row r="6346" spans="1:1" x14ac:dyDescent="0.2">
      <c r="A6346" t="s">
        <v>2916</v>
      </c>
    </row>
    <row r="6347" spans="1:1" x14ac:dyDescent="0.2">
      <c r="A6347" t="s">
        <v>2917</v>
      </c>
    </row>
    <row r="6348" spans="1:1" x14ac:dyDescent="0.2">
      <c r="A6348" t="s">
        <v>1289</v>
      </c>
    </row>
    <row r="6349" spans="1:1" x14ac:dyDescent="0.2">
      <c r="A6349" t="s">
        <v>2781</v>
      </c>
    </row>
    <row r="6350" spans="1:1" x14ac:dyDescent="0.2">
      <c r="A6350" t="s">
        <v>2918</v>
      </c>
    </row>
    <row r="6351" spans="1:1" x14ac:dyDescent="0.2">
      <c r="A6351" t="s">
        <v>1122</v>
      </c>
    </row>
    <row r="6352" spans="1:1" x14ac:dyDescent="0.2">
      <c r="A6352" t="s">
        <v>1123</v>
      </c>
    </row>
    <row r="6353" spans="1:1" x14ac:dyDescent="0.2">
      <c r="A6353" t="s">
        <v>1124</v>
      </c>
    </row>
    <row r="6354" spans="1:1" x14ac:dyDescent="0.2">
      <c r="A6354" t="s">
        <v>1125</v>
      </c>
    </row>
    <row r="6355" spans="1:1" x14ac:dyDescent="0.2">
      <c r="A6355" t="s">
        <v>1126</v>
      </c>
    </row>
    <row r="6356" spans="1:1" x14ac:dyDescent="0.2">
      <c r="A6356" t="s">
        <v>1127</v>
      </c>
    </row>
    <row r="6357" spans="1:1" x14ac:dyDescent="0.2">
      <c r="A6357" t="s">
        <v>1128</v>
      </c>
    </row>
    <row r="6358" spans="1:1" x14ac:dyDescent="0.2">
      <c r="A6358" t="s">
        <v>1129</v>
      </c>
    </row>
    <row r="6359" spans="1:1" x14ac:dyDescent="0.2">
      <c r="A6359" t="s">
        <v>1130</v>
      </c>
    </row>
    <row r="6360" spans="1:1" x14ac:dyDescent="0.2">
      <c r="A6360" t="s">
        <v>1131</v>
      </c>
    </row>
    <row r="6361" spans="1:1" x14ac:dyDescent="0.2">
      <c r="A6361" t="s">
        <v>1132</v>
      </c>
    </row>
    <row r="6362" spans="1:1" x14ac:dyDescent="0.2">
      <c r="A6362" t="s">
        <v>1133</v>
      </c>
    </row>
    <row r="6363" spans="1:1" x14ac:dyDescent="0.2">
      <c r="A6363" t="s">
        <v>1134</v>
      </c>
    </row>
    <row r="6364" spans="1:1" x14ac:dyDescent="0.2">
      <c r="A6364" t="s">
        <v>1135</v>
      </c>
    </row>
    <row r="6365" spans="1:1" x14ac:dyDescent="0.2">
      <c r="A6365" t="s">
        <v>1136</v>
      </c>
    </row>
    <row r="6366" spans="1:1" x14ac:dyDescent="0.2">
      <c r="A6366" t="s">
        <v>1137</v>
      </c>
    </row>
    <row r="6367" spans="1:1" x14ac:dyDescent="0.2">
      <c r="A6367" t="s">
        <v>1138</v>
      </c>
    </row>
    <row r="6368" spans="1:1" x14ac:dyDescent="0.2">
      <c r="A6368" t="s">
        <v>1139</v>
      </c>
    </row>
    <row r="6369" spans="1:1" x14ac:dyDescent="0.2">
      <c r="A6369" t="s">
        <v>1140</v>
      </c>
    </row>
    <row r="6370" spans="1:1" x14ac:dyDescent="0.2">
      <c r="A6370" t="s">
        <v>1141</v>
      </c>
    </row>
    <row r="6371" spans="1:1" x14ac:dyDescent="0.2">
      <c r="A6371" t="s">
        <v>1142</v>
      </c>
    </row>
    <row r="6372" spans="1:1" x14ac:dyDescent="0.2">
      <c r="A6372" t="s">
        <v>1143</v>
      </c>
    </row>
    <row r="6373" spans="1:1" x14ac:dyDescent="0.2">
      <c r="A6373" t="s">
        <v>1144</v>
      </c>
    </row>
    <row r="6374" spans="1:1" x14ac:dyDescent="0.2">
      <c r="A6374" t="s">
        <v>1145</v>
      </c>
    </row>
    <row r="6375" spans="1:1" x14ac:dyDescent="0.2">
      <c r="A6375" t="s">
        <v>1146</v>
      </c>
    </row>
    <row r="6376" spans="1:1" x14ac:dyDescent="0.2">
      <c r="A6376" t="s">
        <v>1147</v>
      </c>
    </row>
    <row r="6377" spans="1:1" x14ac:dyDescent="0.2">
      <c r="A6377" t="s">
        <v>1148</v>
      </c>
    </row>
    <row r="6378" spans="1:1" x14ac:dyDescent="0.2">
      <c r="A6378" t="s">
        <v>1149</v>
      </c>
    </row>
    <row r="6379" spans="1:1" x14ac:dyDescent="0.2">
      <c r="A6379" t="s">
        <v>1150</v>
      </c>
    </row>
    <row r="6380" spans="1:1" x14ac:dyDescent="0.2">
      <c r="A6380" t="s">
        <v>1151</v>
      </c>
    </row>
    <row r="6381" spans="1:1" x14ac:dyDescent="0.2">
      <c r="A6381" t="s">
        <v>1152</v>
      </c>
    </row>
    <row r="6382" spans="1:1" x14ac:dyDescent="0.2">
      <c r="A6382" t="s">
        <v>1153</v>
      </c>
    </row>
    <row r="6383" spans="1:1" x14ac:dyDescent="0.2">
      <c r="A6383" t="s">
        <v>1154</v>
      </c>
    </row>
    <row r="6384" spans="1:1" x14ac:dyDescent="0.2">
      <c r="A6384" t="s">
        <v>1155</v>
      </c>
    </row>
    <row r="6385" spans="1:1" x14ac:dyDescent="0.2">
      <c r="A6385" t="s">
        <v>1156</v>
      </c>
    </row>
    <row r="6386" spans="1:1" x14ac:dyDescent="0.2">
      <c r="A6386" t="s">
        <v>1157</v>
      </c>
    </row>
    <row r="6387" spans="1:1" x14ac:dyDescent="0.2">
      <c r="A6387" t="s">
        <v>1158</v>
      </c>
    </row>
    <row r="6388" spans="1:1" x14ac:dyDescent="0.2">
      <c r="A6388" t="s">
        <v>1159</v>
      </c>
    </row>
    <row r="6389" spans="1:1" x14ac:dyDescent="0.2">
      <c r="A6389" t="s">
        <v>1160</v>
      </c>
    </row>
    <row r="6390" spans="1:1" x14ac:dyDescent="0.2">
      <c r="A6390" t="s">
        <v>1161</v>
      </c>
    </row>
    <row r="6391" spans="1:1" x14ac:dyDescent="0.2">
      <c r="A6391" t="s">
        <v>1162</v>
      </c>
    </row>
    <row r="6392" spans="1:1" x14ac:dyDescent="0.2">
      <c r="A6392" t="s">
        <v>1163</v>
      </c>
    </row>
    <row r="6393" spans="1:1" x14ac:dyDescent="0.2">
      <c r="A6393" t="s">
        <v>1164</v>
      </c>
    </row>
    <row r="6394" spans="1:1" x14ac:dyDescent="0.2">
      <c r="A6394" t="s">
        <v>1165</v>
      </c>
    </row>
    <row r="6395" spans="1:1" x14ac:dyDescent="0.2">
      <c r="A6395" t="s">
        <v>1166</v>
      </c>
    </row>
    <row r="6396" spans="1:1" x14ac:dyDescent="0.2">
      <c r="A6396" t="s">
        <v>1167</v>
      </c>
    </row>
    <row r="6397" spans="1:1" x14ac:dyDescent="0.2">
      <c r="A6397" t="s">
        <v>1168</v>
      </c>
    </row>
    <row r="6398" spans="1:1" x14ac:dyDescent="0.2">
      <c r="A6398" t="s">
        <v>1169</v>
      </c>
    </row>
    <row r="6399" spans="1:1" x14ac:dyDescent="0.2">
      <c r="A6399" t="s">
        <v>1170</v>
      </c>
    </row>
    <row r="6400" spans="1:1" x14ac:dyDescent="0.2">
      <c r="A6400" t="s">
        <v>1171</v>
      </c>
    </row>
    <row r="6401" spans="1:1" x14ac:dyDescent="0.2">
      <c r="A6401" t="s">
        <v>1172</v>
      </c>
    </row>
    <row r="6402" spans="1:1" x14ac:dyDescent="0.2">
      <c r="A6402" t="s">
        <v>1173</v>
      </c>
    </row>
    <row r="6403" spans="1:1" x14ac:dyDescent="0.2">
      <c r="A6403" t="s">
        <v>1174</v>
      </c>
    </row>
    <row r="6404" spans="1:1" x14ac:dyDescent="0.2">
      <c r="A6404" t="s">
        <v>1175</v>
      </c>
    </row>
    <row r="6405" spans="1:1" x14ac:dyDescent="0.2">
      <c r="A6405" t="s">
        <v>1176</v>
      </c>
    </row>
    <row r="6406" spans="1:1" x14ac:dyDescent="0.2">
      <c r="A6406" t="s">
        <v>1177</v>
      </c>
    </row>
    <row r="6407" spans="1:1" x14ac:dyDescent="0.2">
      <c r="A6407" t="s">
        <v>1178</v>
      </c>
    </row>
    <row r="6408" spans="1:1" x14ac:dyDescent="0.2">
      <c r="A6408" t="s">
        <v>1179</v>
      </c>
    </row>
    <row r="6409" spans="1:1" x14ac:dyDescent="0.2">
      <c r="A6409" t="s">
        <v>1180</v>
      </c>
    </row>
    <row r="6410" spans="1:1" x14ac:dyDescent="0.2">
      <c r="A6410" t="s">
        <v>1181</v>
      </c>
    </row>
    <row r="6411" spans="1:1" x14ac:dyDescent="0.2">
      <c r="A6411" t="s">
        <v>1182</v>
      </c>
    </row>
    <row r="6412" spans="1:1" x14ac:dyDescent="0.2">
      <c r="A6412" t="s">
        <v>1183</v>
      </c>
    </row>
    <row r="6413" spans="1:1" x14ac:dyDescent="0.2">
      <c r="A6413" t="s">
        <v>1184</v>
      </c>
    </row>
    <row r="6414" spans="1:1" x14ac:dyDescent="0.2">
      <c r="A6414" t="s">
        <v>1185</v>
      </c>
    </row>
    <row r="6415" spans="1:1" x14ac:dyDescent="0.2">
      <c r="A6415" t="s">
        <v>1186</v>
      </c>
    </row>
    <row r="6416" spans="1:1" x14ac:dyDescent="0.2">
      <c r="A6416" t="s">
        <v>1187</v>
      </c>
    </row>
    <row r="6417" spans="1:1" x14ac:dyDescent="0.2">
      <c r="A6417" t="s">
        <v>1188</v>
      </c>
    </row>
    <row r="6418" spans="1:1" x14ac:dyDescent="0.2">
      <c r="A6418" t="s">
        <v>1189</v>
      </c>
    </row>
    <row r="6419" spans="1:1" x14ac:dyDescent="0.2">
      <c r="A6419" t="s">
        <v>1190</v>
      </c>
    </row>
    <row r="6420" spans="1:1" x14ac:dyDescent="0.2">
      <c r="A6420" t="s">
        <v>1191</v>
      </c>
    </row>
    <row r="6421" spans="1:1" x14ac:dyDescent="0.2">
      <c r="A6421" t="s">
        <v>1192</v>
      </c>
    </row>
    <row r="6422" spans="1:1" x14ac:dyDescent="0.2">
      <c r="A6422" t="s">
        <v>1193</v>
      </c>
    </row>
    <row r="6423" spans="1:1" x14ac:dyDescent="0.2">
      <c r="A6423" t="s">
        <v>1194</v>
      </c>
    </row>
    <row r="6424" spans="1:1" x14ac:dyDescent="0.2">
      <c r="A6424" t="s">
        <v>1195</v>
      </c>
    </row>
    <row r="6425" spans="1:1" x14ac:dyDescent="0.2">
      <c r="A6425" t="s">
        <v>1196</v>
      </c>
    </row>
    <row r="6426" spans="1:1" x14ac:dyDescent="0.2">
      <c r="A6426" t="s">
        <v>1197</v>
      </c>
    </row>
    <row r="6427" spans="1:1" x14ac:dyDescent="0.2">
      <c r="A6427" t="s">
        <v>1198</v>
      </c>
    </row>
    <row r="6428" spans="1:1" x14ac:dyDescent="0.2">
      <c r="A6428" t="s">
        <v>1199</v>
      </c>
    </row>
    <row r="6429" spans="1:1" x14ac:dyDescent="0.2">
      <c r="A6429" t="s">
        <v>1200</v>
      </c>
    </row>
    <row r="6430" spans="1:1" x14ac:dyDescent="0.2">
      <c r="A6430" t="s">
        <v>1201</v>
      </c>
    </row>
    <row r="6431" spans="1:1" x14ac:dyDescent="0.2">
      <c r="A6431" t="s">
        <v>1202</v>
      </c>
    </row>
    <row r="6432" spans="1:1" x14ac:dyDescent="0.2">
      <c r="A6432" t="s">
        <v>1203</v>
      </c>
    </row>
    <row r="6433" spans="1:1" x14ac:dyDescent="0.2">
      <c r="A6433" t="s">
        <v>1204</v>
      </c>
    </row>
    <row r="6434" spans="1:1" x14ac:dyDescent="0.2">
      <c r="A6434" t="s">
        <v>1205</v>
      </c>
    </row>
    <row r="6435" spans="1:1" x14ac:dyDescent="0.2">
      <c r="A6435" t="s">
        <v>1206</v>
      </c>
    </row>
    <row r="6436" spans="1:1" x14ac:dyDescent="0.2">
      <c r="A6436" t="s">
        <v>1207</v>
      </c>
    </row>
    <row r="6437" spans="1:1" x14ac:dyDescent="0.2">
      <c r="A6437" t="s">
        <v>1208</v>
      </c>
    </row>
    <row r="6438" spans="1:1" x14ac:dyDescent="0.2">
      <c r="A6438" t="s">
        <v>1209</v>
      </c>
    </row>
    <row r="6439" spans="1:1" x14ac:dyDescent="0.2">
      <c r="A6439" t="s">
        <v>1210</v>
      </c>
    </row>
    <row r="6440" spans="1:1" x14ac:dyDescent="0.2">
      <c r="A6440" t="s">
        <v>1211</v>
      </c>
    </row>
    <row r="6441" spans="1:1" x14ac:dyDescent="0.2">
      <c r="A6441" t="s">
        <v>1212</v>
      </c>
    </row>
    <row r="6442" spans="1:1" x14ac:dyDescent="0.2">
      <c r="A6442" t="s">
        <v>1213</v>
      </c>
    </row>
    <row r="6443" spans="1:1" x14ac:dyDescent="0.2">
      <c r="A6443" t="s">
        <v>1214</v>
      </c>
    </row>
    <row r="6444" spans="1:1" x14ac:dyDescent="0.2">
      <c r="A6444" t="s">
        <v>1215</v>
      </c>
    </row>
    <row r="6445" spans="1:1" x14ac:dyDescent="0.2">
      <c r="A6445" t="s">
        <v>1216</v>
      </c>
    </row>
    <row r="6446" spans="1:1" x14ac:dyDescent="0.2">
      <c r="A6446" t="s">
        <v>1217</v>
      </c>
    </row>
    <row r="6447" spans="1:1" x14ac:dyDescent="0.2">
      <c r="A6447" t="s">
        <v>1218</v>
      </c>
    </row>
    <row r="6448" spans="1:1" x14ac:dyDescent="0.2">
      <c r="A6448" t="s">
        <v>1219</v>
      </c>
    </row>
    <row r="6449" spans="1:1" x14ac:dyDescent="0.2">
      <c r="A6449" t="s">
        <v>1220</v>
      </c>
    </row>
    <row r="6450" spans="1:1" x14ac:dyDescent="0.2">
      <c r="A6450" t="s">
        <v>1221</v>
      </c>
    </row>
    <row r="6451" spans="1:1" x14ac:dyDescent="0.2">
      <c r="A6451" t="s">
        <v>1222</v>
      </c>
    </row>
    <row r="6452" spans="1:1" x14ac:dyDescent="0.2">
      <c r="A6452" t="s">
        <v>1223</v>
      </c>
    </row>
    <row r="6453" spans="1:1" x14ac:dyDescent="0.2">
      <c r="A6453" t="s">
        <v>1224</v>
      </c>
    </row>
    <row r="6454" spans="1:1" x14ac:dyDescent="0.2">
      <c r="A6454" t="s">
        <v>1225</v>
      </c>
    </row>
    <row r="6455" spans="1:1" x14ac:dyDescent="0.2">
      <c r="A6455" t="s">
        <v>1226</v>
      </c>
    </row>
    <row r="6456" spans="1:1" x14ac:dyDescent="0.2">
      <c r="A6456" t="s">
        <v>1227</v>
      </c>
    </row>
    <row r="6457" spans="1:1" x14ac:dyDescent="0.2">
      <c r="A6457" t="s">
        <v>1228</v>
      </c>
    </row>
    <row r="6458" spans="1:1" x14ac:dyDescent="0.2">
      <c r="A6458" t="s">
        <v>1229</v>
      </c>
    </row>
    <row r="6459" spans="1:1" x14ac:dyDescent="0.2">
      <c r="A6459" t="s">
        <v>1230</v>
      </c>
    </row>
    <row r="6460" spans="1:1" x14ac:dyDescent="0.2">
      <c r="A6460" t="s">
        <v>1231</v>
      </c>
    </row>
    <row r="6461" spans="1:1" x14ac:dyDescent="0.2">
      <c r="A6461" t="s">
        <v>1232</v>
      </c>
    </row>
    <row r="6462" spans="1:1" x14ac:dyDescent="0.2">
      <c r="A6462" t="s">
        <v>1233</v>
      </c>
    </row>
    <row r="6463" spans="1:1" x14ac:dyDescent="0.2">
      <c r="A6463" t="s">
        <v>1234</v>
      </c>
    </row>
    <row r="6464" spans="1:1" x14ac:dyDescent="0.2">
      <c r="A6464" t="s">
        <v>1235</v>
      </c>
    </row>
    <row r="6465" spans="1:1" x14ac:dyDescent="0.2">
      <c r="A6465" t="s">
        <v>1236</v>
      </c>
    </row>
    <row r="6466" spans="1:1" x14ac:dyDescent="0.2">
      <c r="A6466" t="s">
        <v>1237</v>
      </c>
    </row>
    <row r="6467" spans="1:1" x14ac:dyDescent="0.2">
      <c r="A6467" t="s">
        <v>1238</v>
      </c>
    </row>
    <row r="6468" spans="1:1" x14ac:dyDescent="0.2">
      <c r="A6468" t="s">
        <v>1239</v>
      </c>
    </row>
    <row r="6469" spans="1:1" x14ac:dyDescent="0.2">
      <c r="A6469" t="s">
        <v>1240</v>
      </c>
    </row>
    <row r="6470" spans="1:1" x14ac:dyDescent="0.2">
      <c r="A6470" t="s">
        <v>1241</v>
      </c>
    </row>
    <row r="6471" spans="1:1" x14ac:dyDescent="0.2">
      <c r="A6471" t="s">
        <v>1242</v>
      </c>
    </row>
    <row r="6472" spans="1:1" x14ac:dyDescent="0.2">
      <c r="A6472" t="s">
        <v>1243</v>
      </c>
    </row>
    <row r="6473" spans="1:1" x14ac:dyDescent="0.2">
      <c r="A6473" t="s">
        <v>1244</v>
      </c>
    </row>
    <row r="6474" spans="1:1" x14ac:dyDescent="0.2">
      <c r="A6474" t="s">
        <v>1245</v>
      </c>
    </row>
    <row r="6475" spans="1:1" x14ac:dyDescent="0.2">
      <c r="A6475" t="s">
        <v>1246</v>
      </c>
    </row>
    <row r="6476" spans="1:1" x14ac:dyDescent="0.2">
      <c r="A6476" t="s">
        <v>1247</v>
      </c>
    </row>
    <row r="6477" spans="1:1" x14ac:dyDescent="0.2">
      <c r="A6477" t="s">
        <v>1248</v>
      </c>
    </row>
    <row r="6478" spans="1:1" x14ac:dyDescent="0.2">
      <c r="A6478" t="s">
        <v>1249</v>
      </c>
    </row>
    <row r="6479" spans="1:1" x14ac:dyDescent="0.2">
      <c r="A6479" t="s">
        <v>1250</v>
      </c>
    </row>
    <row r="6480" spans="1:1" x14ac:dyDescent="0.2">
      <c r="A6480" t="s">
        <v>1251</v>
      </c>
    </row>
    <row r="6481" spans="1:1" x14ac:dyDescent="0.2">
      <c r="A6481" t="s">
        <v>1252</v>
      </c>
    </row>
    <row r="6482" spans="1:1" x14ac:dyDescent="0.2">
      <c r="A6482" t="s">
        <v>1253</v>
      </c>
    </row>
    <row r="6483" spans="1:1" x14ac:dyDescent="0.2">
      <c r="A6483" t="s">
        <v>1254</v>
      </c>
    </row>
    <row r="6484" spans="1:1" x14ac:dyDescent="0.2">
      <c r="A6484" t="s">
        <v>1255</v>
      </c>
    </row>
    <row r="6485" spans="1:1" x14ac:dyDescent="0.2">
      <c r="A6485" t="s">
        <v>1256</v>
      </c>
    </row>
    <row r="6486" spans="1:1" x14ac:dyDescent="0.2">
      <c r="A6486" t="s">
        <v>1257</v>
      </c>
    </row>
    <row r="6487" spans="1:1" x14ac:dyDescent="0.2">
      <c r="A6487" t="s">
        <v>1258</v>
      </c>
    </row>
    <row r="6488" spans="1:1" x14ac:dyDescent="0.2">
      <c r="A6488" t="s">
        <v>1259</v>
      </c>
    </row>
    <row r="6489" spans="1:1" x14ac:dyDescent="0.2">
      <c r="A6489" t="s">
        <v>1260</v>
      </c>
    </row>
    <row r="6490" spans="1:1" x14ac:dyDescent="0.2">
      <c r="A6490" t="s">
        <v>1261</v>
      </c>
    </row>
    <row r="6491" spans="1:1" x14ac:dyDescent="0.2">
      <c r="A6491" t="s">
        <v>1262</v>
      </c>
    </row>
    <row r="6492" spans="1:1" x14ac:dyDescent="0.2">
      <c r="A6492" t="s">
        <v>1263</v>
      </c>
    </row>
    <row r="6493" spans="1:1" x14ac:dyDescent="0.2">
      <c r="A6493" t="s">
        <v>1264</v>
      </c>
    </row>
    <row r="6494" spans="1:1" x14ac:dyDescent="0.2">
      <c r="A6494" t="s">
        <v>1265</v>
      </c>
    </row>
    <row r="6495" spans="1:1" x14ac:dyDescent="0.2">
      <c r="A6495" t="s">
        <v>1266</v>
      </c>
    </row>
    <row r="6496" spans="1:1" x14ac:dyDescent="0.2">
      <c r="A6496" t="s">
        <v>1267</v>
      </c>
    </row>
    <row r="6497" spans="1:1" x14ac:dyDescent="0.2">
      <c r="A6497" t="s">
        <v>1268</v>
      </c>
    </row>
    <row r="6498" spans="1:1" x14ac:dyDescent="0.2">
      <c r="A6498" t="s">
        <v>1269</v>
      </c>
    </row>
    <row r="6499" spans="1:1" x14ac:dyDescent="0.2">
      <c r="A6499" t="s">
        <v>1270</v>
      </c>
    </row>
    <row r="6500" spans="1:1" x14ac:dyDescent="0.2">
      <c r="A6500" t="s">
        <v>1271</v>
      </c>
    </row>
    <row r="6501" spans="1:1" x14ac:dyDescent="0.2">
      <c r="A6501" t="s">
        <v>1272</v>
      </c>
    </row>
    <row r="6502" spans="1:1" x14ac:dyDescent="0.2">
      <c r="A6502" t="s">
        <v>1273</v>
      </c>
    </row>
    <row r="6503" spans="1:1" x14ac:dyDescent="0.2">
      <c r="A6503" t="s">
        <v>1274</v>
      </c>
    </row>
    <row r="6504" spans="1:1" x14ac:dyDescent="0.2">
      <c r="A6504" t="s">
        <v>1275</v>
      </c>
    </row>
    <row r="6505" spans="1:1" x14ac:dyDescent="0.2">
      <c r="A6505" t="s">
        <v>1276</v>
      </c>
    </row>
    <row r="6506" spans="1:1" x14ac:dyDescent="0.2">
      <c r="A6506" t="s">
        <v>1277</v>
      </c>
    </row>
    <row r="6507" spans="1:1" x14ac:dyDescent="0.2">
      <c r="A6507" t="s">
        <v>1278</v>
      </c>
    </row>
    <row r="6508" spans="1:1" x14ac:dyDescent="0.2">
      <c r="A6508" t="s">
        <v>1279</v>
      </c>
    </row>
    <row r="6509" spans="1:1" x14ac:dyDescent="0.2">
      <c r="A6509" t="s">
        <v>1280</v>
      </c>
    </row>
    <row r="6510" spans="1:1" x14ac:dyDescent="0.2">
      <c r="A6510" t="s">
        <v>1281</v>
      </c>
    </row>
    <row r="6511" spans="1:1" x14ac:dyDescent="0.2">
      <c r="A6511" t="s">
        <v>1282</v>
      </c>
    </row>
    <row r="6512" spans="1:1" x14ac:dyDescent="0.2">
      <c r="A6512" t="s">
        <v>1283</v>
      </c>
    </row>
    <row r="6513" spans="1:1" x14ac:dyDescent="0.2">
      <c r="A6513" t="s">
        <v>1284</v>
      </c>
    </row>
    <row r="6514" spans="1:1" x14ac:dyDescent="0.2">
      <c r="A6514" t="s">
        <v>1285</v>
      </c>
    </row>
    <row r="6515" spans="1:1" x14ac:dyDescent="0.2">
      <c r="A6515" t="s">
        <v>1286</v>
      </c>
    </row>
    <row r="6516" spans="1:1" x14ac:dyDescent="0.2">
      <c r="A6516" t="s">
        <v>2919</v>
      </c>
    </row>
    <row r="6517" spans="1:1" x14ac:dyDescent="0.2">
      <c r="A6517" t="s">
        <v>1053</v>
      </c>
    </row>
    <row r="6518" spans="1:1" x14ac:dyDescent="0.2">
      <c r="A6518" t="s">
        <v>2920</v>
      </c>
    </row>
    <row r="6519" spans="1:1" x14ac:dyDescent="0.2">
      <c r="A6519" t="s">
        <v>2768</v>
      </c>
    </row>
    <row r="6520" spans="1:1" x14ac:dyDescent="0.2">
      <c r="A6520" t="s">
        <v>2769</v>
      </c>
    </row>
    <row r="6521" spans="1:1" x14ac:dyDescent="0.2">
      <c r="A6521" t="s">
        <v>1054</v>
      </c>
    </row>
    <row r="6522" spans="1:1" x14ac:dyDescent="0.2">
      <c r="A6522" t="s">
        <v>1055</v>
      </c>
    </row>
    <row r="6523" spans="1:1" x14ac:dyDescent="0.2">
      <c r="A6523" t="s">
        <v>2807</v>
      </c>
    </row>
    <row r="6524" spans="1:1" x14ac:dyDescent="0.2">
      <c r="A6524" t="s">
        <v>1056</v>
      </c>
    </row>
    <row r="6525" spans="1:1" x14ac:dyDescent="0.2">
      <c r="A6525" t="s">
        <v>1057</v>
      </c>
    </row>
    <row r="6526" spans="1:1" x14ac:dyDescent="0.2">
      <c r="A6526" t="s">
        <v>1058</v>
      </c>
    </row>
    <row r="6527" spans="1:1" x14ac:dyDescent="0.2">
      <c r="A6527" t="s">
        <v>1059</v>
      </c>
    </row>
    <row r="6528" spans="1:1" x14ac:dyDescent="0.2">
      <c r="A6528" t="s">
        <v>1060</v>
      </c>
    </row>
    <row r="6529" spans="1:1" x14ac:dyDescent="0.2">
      <c r="A6529" t="s">
        <v>1061</v>
      </c>
    </row>
    <row r="6530" spans="1:1" x14ac:dyDescent="0.2">
      <c r="A6530" t="s">
        <v>1062</v>
      </c>
    </row>
    <row r="6531" spans="1:1" x14ac:dyDescent="0.2">
      <c r="A6531" t="s">
        <v>1063</v>
      </c>
    </row>
    <row r="6532" spans="1:1" x14ac:dyDescent="0.2">
      <c r="A6532" t="s">
        <v>1064</v>
      </c>
    </row>
    <row r="6533" spans="1:1" x14ac:dyDescent="0.2">
      <c r="A6533" t="s">
        <v>1065</v>
      </c>
    </row>
    <row r="6534" spans="1:1" x14ac:dyDescent="0.2">
      <c r="A6534" t="s">
        <v>1066</v>
      </c>
    </row>
    <row r="6535" spans="1:1" x14ac:dyDescent="0.2">
      <c r="A6535" t="s">
        <v>1067</v>
      </c>
    </row>
    <row r="6536" spans="1:1" x14ac:dyDescent="0.2">
      <c r="A6536" t="s">
        <v>1068</v>
      </c>
    </row>
    <row r="6537" spans="1:1" x14ac:dyDescent="0.2">
      <c r="A6537" t="s">
        <v>1069</v>
      </c>
    </row>
    <row r="6538" spans="1:1" x14ac:dyDescent="0.2">
      <c r="A6538" t="s">
        <v>1070</v>
      </c>
    </row>
    <row r="6539" spans="1:1" x14ac:dyDescent="0.2">
      <c r="A6539" t="s">
        <v>1071</v>
      </c>
    </row>
    <row r="6540" spans="1:1" x14ac:dyDescent="0.2">
      <c r="A6540" t="s">
        <v>1072</v>
      </c>
    </row>
    <row r="6541" spans="1:1" x14ac:dyDescent="0.2">
      <c r="A6541" t="s">
        <v>1073</v>
      </c>
    </row>
    <row r="6542" spans="1:1" x14ac:dyDescent="0.2">
      <c r="A6542" t="s">
        <v>1074</v>
      </c>
    </row>
    <row r="6543" spans="1:1" x14ac:dyDescent="0.2">
      <c r="A6543" t="s">
        <v>1075</v>
      </c>
    </row>
    <row r="6544" spans="1:1" x14ac:dyDescent="0.2">
      <c r="A6544" t="s">
        <v>1076</v>
      </c>
    </row>
    <row r="6545" spans="1:1" x14ac:dyDescent="0.2">
      <c r="A6545" t="s">
        <v>1077</v>
      </c>
    </row>
    <row r="6546" spans="1:1" x14ac:dyDescent="0.2">
      <c r="A6546" t="s">
        <v>1078</v>
      </c>
    </row>
    <row r="6547" spans="1:1" x14ac:dyDescent="0.2">
      <c r="A6547" t="s">
        <v>1079</v>
      </c>
    </row>
    <row r="6548" spans="1:1" x14ac:dyDescent="0.2">
      <c r="A6548" t="s">
        <v>1080</v>
      </c>
    </row>
    <row r="6549" spans="1:1" x14ac:dyDescent="0.2">
      <c r="A6549" t="s">
        <v>1081</v>
      </c>
    </row>
    <row r="6550" spans="1:1" x14ac:dyDescent="0.2">
      <c r="A6550" t="s">
        <v>1082</v>
      </c>
    </row>
    <row r="6551" spans="1:1" x14ac:dyDescent="0.2">
      <c r="A6551" t="s">
        <v>1083</v>
      </c>
    </row>
    <row r="6552" spans="1:1" x14ac:dyDescent="0.2">
      <c r="A6552" t="s">
        <v>2771</v>
      </c>
    </row>
    <row r="6553" spans="1:1" x14ac:dyDescent="0.2">
      <c r="A6553" t="s">
        <v>2772</v>
      </c>
    </row>
    <row r="6554" spans="1:1" x14ac:dyDescent="0.2">
      <c r="A6554" t="s">
        <v>2773</v>
      </c>
    </row>
    <row r="6555" spans="1:1" x14ac:dyDescent="0.2">
      <c r="A6555" t="s">
        <v>2774</v>
      </c>
    </row>
    <row r="6556" spans="1:1" x14ac:dyDescent="0.2">
      <c r="A6556" t="s">
        <v>2775</v>
      </c>
    </row>
    <row r="6557" spans="1:1" x14ac:dyDescent="0.2">
      <c r="A6557" t="s">
        <v>2776</v>
      </c>
    </row>
    <row r="6558" spans="1:1" x14ac:dyDescent="0.2">
      <c r="A6558" t="s">
        <v>1084</v>
      </c>
    </row>
    <row r="6559" spans="1:1" x14ac:dyDescent="0.2">
      <c r="A6559" t="s">
        <v>1085</v>
      </c>
    </row>
    <row r="6560" spans="1:1" x14ac:dyDescent="0.2">
      <c r="A6560" t="s">
        <v>1086</v>
      </c>
    </row>
    <row r="6561" spans="1:1" x14ac:dyDescent="0.2">
      <c r="A6561" t="s">
        <v>1087</v>
      </c>
    </row>
    <row r="6562" spans="1:1" x14ac:dyDescent="0.2">
      <c r="A6562" t="s">
        <v>1088</v>
      </c>
    </row>
    <row r="6563" spans="1:1" x14ac:dyDescent="0.2">
      <c r="A6563" t="s">
        <v>1089</v>
      </c>
    </row>
    <row r="6564" spans="1:1" x14ac:dyDescent="0.2">
      <c r="A6564" t="s">
        <v>1090</v>
      </c>
    </row>
    <row r="6565" spans="1:1" x14ac:dyDescent="0.2">
      <c r="A6565" t="s">
        <v>1091</v>
      </c>
    </row>
    <row r="6566" spans="1:1" x14ac:dyDescent="0.2">
      <c r="A6566" t="s">
        <v>1092</v>
      </c>
    </row>
    <row r="6567" spans="1:1" x14ac:dyDescent="0.2">
      <c r="A6567" t="s">
        <v>1093</v>
      </c>
    </row>
    <row r="6568" spans="1:1" x14ac:dyDescent="0.2">
      <c r="A6568" t="s">
        <v>1094</v>
      </c>
    </row>
    <row r="6569" spans="1:1" x14ac:dyDescent="0.2">
      <c r="A6569" t="s">
        <v>1095</v>
      </c>
    </row>
    <row r="6570" spans="1:1" x14ac:dyDescent="0.2">
      <c r="A6570" t="s">
        <v>1096</v>
      </c>
    </row>
    <row r="6571" spans="1:1" x14ac:dyDescent="0.2">
      <c r="A6571" t="s">
        <v>1097</v>
      </c>
    </row>
    <row r="6572" spans="1:1" x14ac:dyDescent="0.2">
      <c r="A6572" t="s">
        <v>1098</v>
      </c>
    </row>
    <row r="6573" spans="1:1" x14ac:dyDescent="0.2">
      <c r="A6573" t="s">
        <v>1099</v>
      </c>
    </row>
    <row r="6574" spans="1:1" x14ac:dyDescent="0.2">
      <c r="A6574" t="s">
        <v>1100</v>
      </c>
    </row>
    <row r="6575" spans="1:1" x14ac:dyDescent="0.2">
      <c r="A6575" t="s">
        <v>1101</v>
      </c>
    </row>
    <row r="6576" spans="1:1" x14ac:dyDescent="0.2">
      <c r="A6576" t="s">
        <v>1102</v>
      </c>
    </row>
    <row r="6577" spans="1:1" x14ac:dyDescent="0.2">
      <c r="A6577" t="s">
        <v>1103</v>
      </c>
    </row>
    <row r="6578" spans="1:1" x14ac:dyDescent="0.2">
      <c r="A6578" t="s">
        <v>1104</v>
      </c>
    </row>
    <row r="6579" spans="1:1" x14ac:dyDescent="0.2">
      <c r="A6579" t="s">
        <v>1105</v>
      </c>
    </row>
    <row r="6580" spans="1:1" x14ac:dyDescent="0.2">
      <c r="A6580" t="s">
        <v>1106</v>
      </c>
    </row>
    <row r="6581" spans="1:1" x14ac:dyDescent="0.2">
      <c r="A6581" t="s">
        <v>1107</v>
      </c>
    </row>
    <row r="6582" spans="1:1" x14ac:dyDescent="0.2">
      <c r="A6582" t="s">
        <v>1108</v>
      </c>
    </row>
    <row r="6583" spans="1:1" x14ac:dyDescent="0.2">
      <c r="A6583" t="s">
        <v>1109</v>
      </c>
    </row>
    <row r="6584" spans="1:1" x14ac:dyDescent="0.2">
      <c r="A6584" t="s">
        <v>1110</v>
      </c>
    </row>
    <row r="6585" spans="1:1" x14ac:dyDescent="0.2">
      <c r="A6585" t="s">
        <v>1111</v>
      </c>
    </row>
    <row r="6586" spans="1:1" x14ac:dyDescent="0.2">
      <c r="A6586" t="s">
        <v>1112</v>
      </c>
    </row>
    <row r="6587" spans="1:1" x14ac:dyDescent="0.2">
      <c r="A6587" t="s">
        <v>1113</v>
      </c>
    </row>
    <row r="6588" spans="1:1" x14ac:dyDescent="0.2">
      <c r="A6588" t="s">
        <v>1114</v>
      </c>
    </row>
    <row r="6589" spans="1:1" x14ac:dyDescent="0.2">
      <c r="A6589" t="s">
        <v>1115</v>
      </c>
    </row>
    <row r="6590" spans="1:1" x14ac:dyDescent="0.2">
      <c r="A6590" t="s">
        <v>1116</v>
      </c>
    </row>
    <row r="6591" spans="1:1" x14ac:dyDescent="0.2">
      <c r="A6591" t="s">
        <v>1117</v>
      </c>
    </row>
    <row r="6592" spans="1:1" x14ac:dyDescent="0.2">
      <c r="A6592" t="s">
        <v>1118</v>
      </c>
    </row>
    <row r="6593" spans="1:1" x14ac:dyDescent="0.2">
      <c r="A6593" t="s">
        <v>1119</v>
      </c>
    </row>
    <row r="6594" spans="1:1" x14ac:dyDescent="0.2">
      <c r="A6594" t="s">
        <v>1120</v>
      </c>
    </row>
    <row r="6595" spans="1:1" x14ac:dyDescent="0.2">
      <c r="A6595" t="s">
        <v>1288</v>
      </c>
    </row>
    <row r="6596" spans="1:1" x14ac:dyDescent="0.2">
      <c r="A6596" t="s">
        <v>2921</v>
      </c>
    </row>
    <row r="6597" spans="1:1" x14ac:dyDescent="0.2">
      <c r="A6597" t="s">
        <v>2922</v>
      </c>
    </row>
    <row r="6598" spans="1:1" x14ac:dyDescent="0.2">
      <c r="A6598" t="s">
        <v>2916</v>
      </c>
    </row>
    <row r="6599" spans="1:1" x14ac:dyDescent="0.2">
      <c r="A6599" t="s">
        <v>2917</v>
      </c>
    </row>
    <row r="6600" spans="1:1" x14ac:dyDescent="0.2">
      <c r="A6600" t="s">
        <v>1289</v>
      </c>
    </row>
    <row r="6601" spans="1:1" x14ac:dyDescent="0.2">
      <c r="A6601" t="s">
        <v>2781</v>
      </c>
    </row>
    <row r="6602" spans="1:1" x14ac:dyDescent="0.2">
      <c r="A6602" t="s">
        <v>2923</v>
      </c>
    </row>
    <row r="6603" spans="1:1" x14ac:dyDescent="0.2">
      <c r="A6603" t="s">
        <v>1122</v>
      </c>
    </row>
    <row r="6604" spans="1:1" x14ac:dyDescent="0.2">
      <c r="A6604" t="s">
        <v>1123</v>
      </c>
    </row>
    <row r="6605" spans="1:1" x14ac:dyDescent="0.2">
      <c r="A6605" t="s">
        <v>1124</v>
      </c>
    </row>
    <row r="6606" spans="1:1" x14ac:dyDescent="0.2">
      <c r="A6606" t="s">
        <v>1125</v>
      </c>
    </row>
    <row r="6607" spans="1:1" x14ac:dyDescent="0.2">
      <c r="A6607" t="s">
        <v>1126</v>
      </c>
    </row>
    <row r="6608" spans="1:1" x14ac:dyDescent="0.2">
      <c r="A6608" t="s">
        <v>1127</v>
      </c>
    </row>
    <row r="6609" spans="1:1" x14ac:dyDescent="0.2">
      <c r="A6609" t="s">
        <v>1128</v>
      </c>
    </row>
    <row r="6610" spans="1:1" x14ac:dyDescent="0.2">
      <c r="A6610" t="s">
        <v>1129</v>
      </c>
    </row>
    <row r="6611" spans="1:1" x14ac:dyDescent="0.2">
      <c r="A6611" t="s">
        <v>1130</v>
      </c>
    </row>
    <row r="6612" spans="1:1" x14ac:dyDescent="0.2">
      <c r="A6612" t="s">
        <v>1131</v>
      </c>
    </row>
    <row r="6613" spans="1:1" x14ac:dyDescent="0.2">
      <c r="A6613" t="s">
        <v>1132</v>
      </c>
    </row>
    <row r="6614" spans="1:1" x14ac:dyDescent="0.2">
      <c r="A6614" t="s">
        <v>1133</v>
      </c>
    </row>
    <row r="6615" spans="1:1" x14ac:dyDescent="0.2">
      <c r="A6615" t="s">
        <v>1134</v>
      </c>
    </row>
    <row r="6616" spans="1:1" x14ac:dyDescent="0.2">
      <c r="A6616" t="s">
        <v>1135</v>
      </c>
    </row>
    <row r="6617" spans="1:1" x14ac:dyDescent="0.2">
      <c r="A6617" t="s">
        <v>1136</v>
      </c>
    </row>
    <row r="6618" spans="1:1" x14ac:dyDescent="0.2">
      <c r="A6618" t="s">
        <v>1137</v>
      </c>
    </row>
    <row r="6619" spans="1:1" x14ac:dyDescent="0.2">
      <c r="A6619" t="s">
        <v>1138</v>
      </c>
    </row>
    <row r="6620" spans="1:1" x14ac:dyDescent="0.2">
      <c r="A6620" t="s">
        <v>1139</v>
      </c>
    </row>
    <row r="6621" spans="1:1" x14ac:dyDescent="0.2">
      <c r="A6621" t="s">
        <v>1140</v>
      </c>
    </row>
    <row r="6622" spans="1:1" x14ac:dyDescent="0.2">
      <c r="A6622" t="s">
        <v>1141</v>
      </c>
    </row>
    <row r="6623" spans="1:1" x14ac:dyDescent="0.2">
      <c r="A6623" t="s">
        <v>1142</v>
      </c>
    </row>
    <row r="6624" spans="1:1" x14ac:dyDescent="0.2">
      <c r="A6624" t="s">
        <v>1143</v>
      </c>
    </row>
    <row r="6625" spans="1:1" x14ac:dyDescent="0.2">
      <c r="A6625" t="s">
        <v>1144</v>
      </c>
    </row>
    <row r="6626" spans="1:1" x14ac:dyDescent="0.2">
      <c r="A6626" t="s">
        <v>1145</v>
      </c>
    </row>
    <row r="6627" spans="1:1" x14ac:dyDescent="0.2">
      <c r="A6627" t="s">
        <v>1146</v>
      </c>
    </row>
    <row r="6628" spans="1:1" x14ac:dyDescent="0.2">
      <c r="A6628" t="s">
        <v>1147</v>
      </c>
    </row>
    <row r="6629" spans="1:1" x14ac:dyDescent="0.2">
      <c r="A6629" t="s">
        <v>1148</v>
      </c>
    </row>
    <row r="6630" spans="1:1" x14ac:dyDescent="0.2">
      <c r="A6630" t="s">
        <v>1149</v>
      </c>
    </row>
    <row r="6631" spans="1:1" x14ac:dyDescent="0.2">
      <c r="A6631" t="s">
        <v>1150</v>
      </c>
    </row>
    <row r="6632" spans="1:1" x14ac:dyDescent="0.2">
      <c r="A6632" t="s">
        <v>1151</v>
      </c>
    </row>
    <row r="6633" spans="1:1" x14ac:dyDescent="0.2">
      <c r="A6633" t="s">
        <v>1152</v>
      </c>
    </row>
    <row r="6634" spans="1:1" x14ac:dyDescent="0.2">
      <c r="A6634" t="s">
        <v>1153</v>
      </c>
    </row>
    <row r="6635" spans="1:1" x14ac:dyDescent="0.2">
      <c r="A6635" t="s">
        <v>1154</v>
      </c>
    </row>
    <row r="6636" spans="1:1" x14ac:dyDescent="0.2">
      <c r="A6636" t="s">
        <v>1155</v>
      </c>
    </row>
    <row r="6637" spans="1:1" x14ac:dyDescent="0.2">
      <c r="A6637" t="s">
        <v>1156</v>
      </c>
    </row>
    <row r="6638" spans="1:1" x14ac:dyDescent="0.2">
      <c r="A6638" t="s">
        <v>1157</v>
      </c>
    </row>
    <row r="6639" spans="1:1" x14ac:dyDescent="0.2">
      <c r="A6639" t="s">
        <v>1158</v>
      </c>
    </row>
    <row r="6640" spans="1:1" x14ac:dyDescent="0.2">
      <c r="A6640" t="s">
        <v>1159</v>
      </c>
    </row>
    <row r="6641" spans="1:1" x14ac:dyDescent="0.2">
      <c r="A6641" t="s">
        <v>1160</v>
      </c>
    </row>
    <row r="6642" spans="1:1" x14ac:dyDescent="0.2">
      <c r="A6642" t="s">
        <v>1161</v>
      </c>
    </row>
    <row r="6643" spans="1:1" x14ac:dyDescent="0.2">
      <c r="A6643" t="s">
        <v>1162</v>
      </c>
    </row>
    <row r="6644" spans="1:1" x14ac:dyDescent="0.2">
      <c r="A6644" t="s">
        <v>1163</v>
      </c>
    </row>
    <row r="6645" spans="1:1" x14ac:dyDescent="0.2">
      <c r="A6645" t="s">
        <v>1164</v>
      </c>
    </row>
    <row r="6646" spans="1:1" x14ac:dyDescent="0.2">
      <c r="A6646" t="s">
        <v>1165</v>
      </c>
    </row>
    <row r="6647" spans="1:1" x14ac:dyDescent="0.2">
      <c r="A6647" t="s">
        <v>1166</v>
      </c>
    </row>
    <row r="6648" spans="1:1" x14ac:dyDescent="0.2">
      <c r="A6648" t="s">
        <v>1167</v>
      </c>
    </row>
    <row r="6649" spans="1:1" x14ac:dyDescent="0.2">
      <c r="A6649" t="s">
        <v>1168</v>
      </c>
    </row>
    <row r="6650" spans="1:1" x14ac:dyDescent="0.2">
      <c r="A6650" t="s">
        <v>1169</v>
      </c>
    </row>
    <row r="6651" spans="1:1" x14ac:dyDescent="0.2">
      <c r="A6651" t="s">
        <v>1170</v>
      </c>
    </row>
    <row r="6652" spans="1:1" x14ac:dyDescent="0.2">
      <c r="A6652" t="s">
        <v>1171</v>
      </c>
    </row>
    <row r="6653" spans="1:1" x14ac:dyDescent="0.2">
      <c r="A6653" t="s">
        <v>1172</v>
      </c>
    </row>
    <row r="6654" spans="1:1" x14ac:dyDescent="0.2">
      <c r="A6654" t="s">
        <v>1173</v>
      </c>
    </row>
    <row r="6655" spans="1:1" x14ac:dyDescent="0.2">
      <c r="A6655" t="s">
        <v>1174</v>
      </c>
    </row>
    <row r="6656" spans="1:1" x14ac:dyDescent="0.2">
      <c r="A6656" t="s">
        <v>1175</v>
      </c>
    </row>
    <row r="6657" spans="1:1" x14ac:dyDescent="0.2">
      <c r="A6657" t="s">
        <v>1176</v>
      </c>
    </row>
    <row r="6658" spans="1:1" x14ac:dyDescent="0.2">
      <c r="A6658" t="s">
        <v>1177</v>
      </c>
    </row>
    <row r="6659" spans="1:1" x14ac:dyDescent="0.2">
      <c r="A6659" t="s">
        <v>1178</v>
      </c>
    </row>
    <row r="6660" spans="1:1" x14ac:dyDescent="0.2">
      <c r="A6660" t="s">
        <v>1179</v>
      </c>
    </row>
    <row r="6661" spans="1:1" x14ac:dyDescent="0.2">
      <c r="A6661" t="s">
        <v>1180</v>
      </c>
    </row>
    <row r="6662" spans="1:1" x14ac:dyDescent="0.2">
      <c r="A6662" t="s">
        <v>1181</v>
      </c>
    </row>
    <row r="6663" spans="1:1" x14ac:dyDescent="0.2">
      <c r="A6663" t="s">
        <v>1182</v>
      </c>
    </row>
    <row r="6664" spans="1:1" x14ac:dyDescent="0.2">
      <c r="A6664" t="s">
        <v>1183</v>
      </c>
    </row>
    <row r="6665" spans="1:1" x14ac:dyDescent="0.2">
      <c r="A6665" t="s">
        <v>1184</v>
      </c>
    </row>
    <row r="6666" spans="1:1" x14ac:dyDescent="0.2">
      <c r="A6666" t="s">
        <v>1185</v>
      </c>
    </row>
    <row r="6667" spans="1:1" x14ac:dyDescent="0.2">
      <c r="A6667" t="s">
        <v>1186</v>
      </c>
    </row>
    <row r="6668" spans="1:1" x14ac:dyDescent="0.2">
      <c r="A6668" t="s">
        <v>1187</v>
      </c>
    </row>
    <row r="6669" spans="1:1" x14ac:dyDescent="0.2">
      <c r="A6669" t="s">
        <v>1188</v>
      </c>
    </row>
    <row r="6670" spans="1:1" x14ac:dyDescent="0.2">
      <c r="A6670" t="s">
        <v>1189</v>
      </c>
    </row>
    <row r="6671" spans="1:1" x14ac:dyDescent="0.2">
      <c r="A6671" t="s">
        <v>1190</v>
      </c>
    </row>
    <row r="6672" spans="1:1" x14ac:dyDescent="0.2">
      <c r="A6672" t="s">
        <v>1191</v>
      </c>
    </row>
    <row r="6673" spans="1:1" x14ac:dyDescent="0.2">
      <c r="A6673" t="s">
        <v>1192</v>
      </c>
    </row>
    <row r="6674" spans="1:1" x14ac:dyDescent="0.2">
      <c r="A6674" t="s">
        <v>1193</v>
      </c>
    </row>
    <row r="6675" spans="1:1" x14ac:dyDescent="0.2">
      <c r="A6675" t="s">
        <v>1194</v>
      </c>
    </row>
    <row r="6676" spans="1:1" x14ac:dyDescent="0.2">
      <c r="A6676" t="s">
        <v>1195</v>
      </c>
    </row>
    <row r="6677" spans="1:1" x14ac:dyDescent="0.2">
      <c r="A6677" t="s">
        <v>1196</v>
      </c>
    </row>
    <row r="6678" spans="1:1" x14ac:dyDescent="0.2">
      <c r="A6678" t="s">
        <v>1197</v>
      </c>
    </row>
    <row r="6679" spans="1:1" x14ac:dyDescent="0.2">
      <c r="A6679" t="s">
        <v>1198</v>
      </c>
    </row>
    <row r="6680" spans="1:1" x14ac:dyDescent="0.2">
      <c r="A6680" t="s">
        <v>1199</v>
      </c>
    </row>
    <row r="6681" spans="1:1" x14ac:dyDescent="0.2">
      <c r="A6681" t="s">
        <v>1200</v>
      </c>
    </row>
    <row r="6682" spans="1:1" x14ac:dyDescent="0.2">
      <c r="A6682" t="s">
        <v>1201</v>
      </c>
    </row>
    <row r="6683" spans="1:1" x14ac:dyDescent="0.2">
      <c r="A6683" t="s">
        <v>1202</v>
      </c>
    </row>
    <row r="6684" spans="1:1" x14ac:dyDescent="0.2">
      <c r="A6684" t="s">
        <v>1203</v>
      </c>
    </row>
    <row r="6685" spans="1:1" x14ac:dyDescent="0.2">
      <c r="A6685" t="s">
        <v>1204</v>
      </c>
    </row>
    <row r="6686" spans="1:1" x14ac:dyDescent="0.2">
      <c r="A6686" t="s">
        <v>1205</v>
      </c>
    </row>
    <row r="6687" spans="1:1" x14ac:dyDescent="0.2">
      <c r="A6687" t="s">
        <v>1206</v>
      </c>
    </row>
    <row r="6688" spans="1:1" x14ac:dyDescent="0.2">
      <c r="A6688" t="s">
        <v>1207</v>
      </c>
    </row>
    <row r="6689" spans="1:1" x14ac:dyDescent="0.2">
      <c r="A6689" t="s">
        <v>1208</v>
      </c>
    </row>
    <row r="6690" spans="1:1" x14ac:dyDescent="0.2">
      <c r="A6690" t="s">
        <v>1209</v>
      </c>
    </row>
    <row r="6691" spans="1:1" x14ac:dyDescent="0.2">
      <c r="A6691" t="s">
        <v>1210</v>
      </c>
    </row>
    <row r="6692" spans="1:1" x14ac:dyDescent="0.2">
      <c r="A6692" t="s">
        <v>1211</v>
      </c>
    </row>
    <row r="6693" spans="1:1" x14ac:dyDescent="0.2">
      <c r="A6693" t="s">
        <v>1212</v>
      </c>
    </row>
    <row r="6694" spans="1:1" x14ac:dyDescent="0.2">
      <c r="A6694" t="s">
        <v>1213</v>
      </c>
    </row>
    <row r="6695" spans="1:1" x14ac:dyDescent="0.2">
      <c r="A6695" t="s">
        <v>1214</v>
      </c>
    </row>
    <row r="6696" spans="1:1" x14ac:dyDescent="0.2">
      <c r="A6696" t="s">
        <v>1215</v>
      </c>
    </row>
    <row r="6697" spans="1:1" x14ac:dyDescent="0.2">
      <c r="A6697" t="s">
        <v>1216</v>
      </c>
    </row>
    <row r="6698" spans="1:1" x14ac:dyDescent="0.2">
      <c r="A6698" t="s">
        <v>1217</v>
      </c>
    </row>
    <row r="6699" spans="1:1" x14ac:dyDescent="0.2">
      <c r="A6699" t="s">
        <v>1218</v>
      </c>
    </row>
    <row r="6700" spans="1:1" x14ac:dyDescent="0.2">
      <c r="A6700" t="s">
        <v>1219</v>
      </c>
    </row>
    <row r="6701" spans="1:1" x14ac:dyDescent="0.2">
      <c r="A6701" t="s">
        <v>1220</v>
      </c>
    </row>
    <row r="6702" spans="1:1" x14ac:dyDescent="0.2">
      <c r="A6702" t="s">
        <v>1221</v>
      </c>
    </row>
    <row r="6703" spans="1:1" x14ac:dyDescent="0.2">
      <c r="A6703" t="s">
        <v>1222</v>
      </c>
    </row>
    <row r="6704" spans="1:1" x14ac:dyDescent="0.2">
      <c r="A6704" t="s">
        <v>1223</v>
      </c>
    </row>
    <row r="6705" spans="1:1" x14ac:dyDescent="0.2">
      <c r="A6705" t="s">
        <v>1224</v>
      </c>
    </row>
    <row r="6706" spans="1:1" x14ac:dyDescent="0.2">
      <c r="A6706" t="s">
        <v>1225</v>
      </c>
    </row>
    <row r="6707" spans="1:1" x14ac:dyDescent="0.2">
      <c r="A6707" t="s">
        <v>1226</v>
      </c>
    </row>
    <row r="6708" spans="1:1" x14ac:dyDescent="0.2">
      <c r="A6708" t="s">
        <v>1227</v>
      </c>
    </row>
    <row r="6709" spans="1:1" x14ac:dyDescent="0.2">
      <c r="A6709" t="s">
        <v>1228</v>
      </c>
    </row>
    <row r="6710" spans="1:1" x14ac:dyDescent="0.2">
      <c r="A6710" t="s">
        <v>1229</v>
      </c>
    </row>
    <row r="6711" spans="1:1" x14ac:dyDescent="0.2">
      <c r="A6711" t="s">
        <v>1230</v>
      </c>
    </row>
    <row r="6712" spans="1:1" x14ac:dyDescent="0.2">
      <c r="A6712" t="s">
        <v>1231</v>
      </c>
    </row>
    <row r="6713" spans="1:1" x14ac:dyDescent="0.2">
      <c r="A6713" t="s">
        <v>1232</v>
      </c>
    </row>
    <row r="6714" spans="1:1" x14ac:dyDescent="0.2">
      <c r="A6714" t="s">
        <v>1233</v>
      </c>
    </row>
    <row r="6715" spans="1:1" x14ac:dyDescent="0.2">
      <c r="A6715" t="s">
        <v>1234</v>
      </c>
    </row>
    <row r="6716" spans="1:1" x14ac:dyDescent="0.2">
      <c r="A6716" t="s">
        <v>1235</v>
      </c>
    </row>
    <row r="6717" spans="1:1" x14ac:dyDescent="0.2">
      <c r="A6717" t="s">
        <v>1236</v>
      </c>
    </row>
    <row r="6718" spans="1:1" x14ac:dyDescent="0.2">
      <c r="A6718" t="s">
        <v>1237</v>
      </c>
    </row>
    <row r="6719" spans="1:1" x14ac:dyDescent="0.2">
      <c r="A6719" t="s">
        <v>1238</v>
      </c>
    </row>
    <row r="6720" spans="1:1" x14ac:dyDescent="0.2">
      <c r="A6720" t="s">
        <v>1239</v>
      </c>
    </row>
    <row r="6721" spans="1:1" x14ac:dyDescent="0.2">
      <c r="A6721" t="s">
        <v>1240</v>
      </c>
    </row>
    <row r="6722" spans="1:1" x14ac:dyDescent="0.2">
      <c r="A6722" t="s">
        <v>1241</v>
      </c>
    </row>
    <row r="6723" spans="1:1" x14ac:dyDescent="0.2">
      <c r="A6723" t="s">
        <v>1242</v>
      </c>
    </row>
    <row r="6724" spans="1:1" x14ac:dyDescent="0.2">
      <c r="A6724" t="s">
        <v>1243</v>
      </c>
    </row>
    <row r="6725" spans="1:1" x14ac:dyDescent="0.2">
      <c r="A6725" t="s">
        <v>1244</v>
      </c>
    </row>
    <row r="6726" spans="1:1" x14ac:dyDescent="0.2">
      <c r="A6726" t="s">
        <v>1245</v>
      </c>
    </row>
    <row r="6727" spans="1:1" x14ac:dyDescent="0.2">
      <c r="A6727" t="s">
        <v>1246</v>
      </c>
    </row>
    <row r="6728" spans="1:1" x14ac:dyDescent="0.2">
      <c r="A6728" t="s">
        <v>1247</v>
      </c>
    </row>
    <row r="6729" spans="1:1" x14ac:dyDescent="0.2">
      <c r="A6729" t="s">
        <v>1248</v>
      </c>
    </row>
    <row r="6730" spans="1:1" x14ac:dyDescent="0.2">
      <c r="A6730" t="s">
        <v>1249</v>
      </c>
    </row>
    <row r="6731" spans="1:1" x14ac:dyDescent="0.2">
      <c r="A6731" t="s">
        <v>1250</v>
      </c>
    </row>
    <row r="6732" spans="1:1" x14ac:dyDescent="0.2">
      <c r="A6732" t="s">
        <v>1251</v>
      </c>
    </row>
    <row r="6733" spans="1:1" x14ac:dyDescent="0.2">
      <c r="A6733" t="s">
        <v>1252</v>
      </c>
    </row>
    <row r="6734" spans="1:1" x14ac:dyDescent="0.2">
      <c r="A6734" t="s">
        <v>1253</v>
      </c>
    </row>
    <row r="6735" spans="1:1" x14ac:dyDescent="0.2">
      <c r="A6735" t="s">
        <v>1254</v>
      </c>
    </row>
    <row r="6736" spans="1:1" x14ac:dyDescent="0.2">
      <c r="A6736" t="s">
        <v>1255</v>
      </c>
    </row>
    <row r="6737" spans="1:1" x14ac:dyDescent="0.2">
      <c r="A6737" t="s">
        <v>1256</v>
      </c>
    </row>
    <row r="6738" spans="1:1" x14ac:dyDescent="0.2">
      <c r="A6738" t="s">
        <v>1257</v>
      </c>
    </row>
    <row r="6739" spans="1:1" x14ac:dyDescent="0.2">
      <c r="A6739" t="s">
        <v>1258</v>
      </c>
    </row>
    <row r="6740" spans="1:1" x14ac:dyDescent="0.2">
      <c r="A6740" t="s">
        <v>1259</v>
      </c>
    </row>
    <row r="6741" spans="1:1" x14ac:dyDescent="0.2">
      <c r="A6741" t="s">
        <v>1260</v>
      </c>
    </row>
    <row r="6742" spans="1:1" x14ac:dyDescent="0.2">
      <c r="A6742" t="s">
        <v>1261</v>
      </c>
    </row>
    <row r="6743" spans="1:1" x14ac:dyDescent="0.2">
      <c r="A6743" t="s">
        <v>1262</v>
      </c>
    </row>
    <row r="6744" spans="1:1" x14ac:dyDescent="0.2">
      <c r="A6744" t="s">
        <v>1263</v>
      </c>
    </row>
    <row r="6745" spans="1:1" x14ac:dyDescent="0.2">
      <c r="A6745" t="s">
        <v>1264</v>
      </c>
    </row>
    <row r="6746" spans="1:1" x14ac:dyDescent="0.2">
      <c r="A6746" t="s">
        <v>1265</v>
      </c>
    </row>
    <row r="6747" spans="1:1" x14ac:dyDescent="0.2">
      <c r="A6747" t="s">
        <v>1266</v>
      </c>
    </row>
    <row r="6748" spans="1:1" x14ac:dyDescent="0.2">
      <c r="A6748" t="s">
        <v>1267</v>
      </c>
    </row>
    <row r="6749" spans="1:1" x14ac:dyDescent="0.2">
      <c r="A6749" t="s">
        <v>1268</v>
      </c>
    </row>
    <row r="6750" spans="1:1" x14ac:dyDescent="0.2">
      <c r="A6750" t="s">
        <v>1269</v>
      </c>
    </row>
    <row r="6751" spans="1:1" x14ac:dyDescent="0.2">
      <c r="A6751" t="s">
        <v>1270</v>
      </c>
    </row>
    <row r="6752" spans="1:1" x14ac:dyDescent="0.2">
      <c r="A6752" t="s">
        <v>1271</v>
      </c>
    </row>
    <row r="6753" spans="1:1" x14ac:dyDescent="0.2">
      <c r="A6753" t="s">
        <v>1272</v>
      </c>
    </row>
    <row r="6754" spans="1:1" x14ac:dyDescent="0.2">
      <c r="A6754" t="s">
        <v>1273</v>
      </c>
    </row>
    <row r="6755" spans="1:1" x14ac:dyDescent="0.2">
      <c r="A6755" t="s">
        <v>1274</v>
      </c>
    </row>
    <row r="6756" spans="1:1" x14ac:dyDescent="0.2">
      <c r="A6756" t="s">
        <v>1275</v>
      </c>
    </row>
    <row r="6757" spans="1:1" x14ac:dyDescent="0.2">
      <c r="A6757" t="s">
        <v>1276</v>
      </c>
    </row>
    <row r="6758" spans="1:1" x14ac:dyDescent="0.2">
      <c r="A6758" t="s">
        <v>1277</v>
      </c>
    </row>
    <row r="6759" spans="1:1" x14ac:dyDescent="0.2">
      <c r="A6759" t="s">
        <v>1278</v>
      </c>
    </row>
    <row r="6760" spans="1:1" x14ac:dyDescent="0.2">
      <c r="A6760" t="s">
        <v>1279</v>
      </c>
    </row>
    <row r="6761" spans="1:1" x14ac:dyDescent="0.2">
      <c r="A6761" t="s">
        <v>1280</v>
      </c>
    </row>
    <row r="6762" spans="1:1" x14ac:dyDescent="0.2">
      <c r="A6762" t="s">
        <v>1281</v>
      </c>
    </row>
    <row r="6763" spans="1:1" x14ac:dyDescent="0.2">
      <c r="A6763" t="s">
        <v>1282</v>
      </c>
    </row>
    <row r="6764" spans="1:1" x14ac:dyDescent="0.2">
      <c r="A6764" t="s">
        <v>1283</v>
      </c>
    </row>
    <row r="6765" spans="1:1" x14ac:dyDescent="0.2">
      <c r="A6765" t="s">
        <v>1284</v>
      </c>
    </row>
    <row r="6766" spans="1:1" x14ac:dyDescent="0.2">
      <c r="A6766" t="s">
        <v>1285</v>
      </c>
    </row>
    <row r="6767" spans="1:1" x14ac:dyDescent="0.2">
      <c r="A6767" t="s">
        <v>1286</v>
      </c>
    </row>
    <row r="6768" spans="1:1" x14ac:dyDescent="0.2">
      <c r="A6768" t="s">
        <v>2924</v>
      </c>
    </row>
    <row r="6769" spans="1:1" x14ac:dyDescent="0.2">
      <c r="A6769" t="s">
        <v>1053</v>
      </c>
    </row>
    <row r="6770" spans="1:1" x14ac:dyDescent="0.2">
      <c r="A6770" t="s">
        <v>2925</v>
      </c>
    </row>
    <row r="6771" spans="1:1" x14ac:dyDescent="0.2">
      <c r="A6771" t="s">
        <v>2768</v>
      </c>
    </row>
    <row r="6772" spans="1:1" x14ac:dyDescent="0.2">
      <c r="A6772" t="s">
        <v>2769</v>
      </c>
    </row>
    <row r="6773" spans="1:1" x14ac:dyDescent="0.2">
      <c r="A6773" t="s">
        <v>1054</v>
      </c>
    </row>
    <row r="6774" spans="1:1" x14ac:dyDescent="0.2">
      <c r="A6774" t="s">
        <v>1055</v>
      </c>
    </row>
    <row r="6775" spans="1:1" x14ac:dyDescent="0.2">
      <c r="A6775" t="s">
        <v>2807</v>
      </c>
    </row>
    <row r="6776" spans="1:1" x14ac:dyDescent="0.2">
      <c r="A6776" t="s">
        <v>1056</v>
      </c>
    </row>
    <row r="6777" spans="1:1" x14ac:dyDescent="0.2">
      <c r="A6777" t="s">
        <v>1057</v>
      </c>
    </row>
    <row r="6778" spans="1:1" x14ac:dyDescent="0.2">
      <c r="A6778" t="s">
        <v>1058</v>
      </c>
    </row>
    <row r="6779" spans="1:1" x14ac:dyDescent="0.2">
      <c r="A6779" t="s">
        <v>1059</v>
      </c>
    </row>
    <row r="6780" spans="1:1" x14ac:dyDescent="0.2">
      <c r="A6780" t="s">
        <v>1060</v>
      </c>
    </row>
    <row r="6781" spans="1:1" x14ac:dyDescent="0.2">
      <c r="A6781" t="s">
        <v>1061</v>
      </c>
    </row>
    <row r="6782" spans="1:1" x14ac:dyDescent="0.2">
      <c r="A6782" t="s">
        <v>1062</v>
      </c>
    </row>
    <row r="6783" spans="1:1" x14ac:dyDescent="0.2">
      <c r="A6783" t="s">
        <v>1063</v>
      </c>
    </row>
    <row r="6784" spans="1:1" x14ac:dyDescent="0.2">
      <c r="A6784" t="s">
        <v>1064</v>
      </c>
    </row>
    <row r="6785" spans="1:1" x14ac:dyDescent="0.2">
      <c r="A6785" t="s">
        <v>1065</v>
      </c>
    </row>
    <row r="6786" spans="1:1" x14ac:dyDescent="0.2">
      <c r="A6786" t="s">
        <v>1066</v>
      </c>
    </row>
    <row r="6787" spans="1:1" x14ac:dyDescent="0.2">
      <c r="A6787" t="s">
        <v>1067</v>
      </c>
    </row>
    <row r="6788" spans="1:1" x14ac:dyDescent="0.2">
      <c r="A6788" t="s">
        <v>1068</v>
      </c>
    </row>
    <row r="6789" spans="1:1" x14ac:dyDescent="0.2">
      <c r="A6789" t="s">
        <v>1069</v>
      </c>
    </row>
    <row r="6790" spans="1:1" x14ac:dyDescent="0.2">
      <c r="A6790" t="s">
        <v>1070</v>
      </c>
    </row>
    <row r="6791" spans="1:1" x14ac:dyDescent="0.2">
      <c r="A6791" t="s">
        <v>1071</v>
      </c>
    </row>
    <row r="6792" spans="1:1" x14ac:dyDescent="0.2">
      <c r="A6792" t="s">
        <v>1072</v>
      </c>
    </row>
    <row r="6793" spans="1:1" x14ac:dyDescent="0.2">
      <c r="A6793" t="s">
        <v>1073</v>
      </c>
    </row>
    <row r="6794" spans="1:1" x14ac:dyDescent="0.2">
      <c r="A6794" t="s">
        <v>1074</v>
      </c>
    </row>
    <row r="6795" spans="1:1" x14ac:dyDescent="0.2">
      <c r="A6795" t="s">
        <v>1075</v>
      </c>
    </row>
    <row r="6796" spans="1:1" x14ac:dyDescent="0.2">
      <c r="A6796" t="s">
        <v>1076</v>
      </c>
    </row>
    <row r="6797" spans="1:1" x14ac:dyDescent="0.2">
      <c r="A6797" t="s">
        <v>1077</v>
      </c>
    </row>
    <row r="6798" spans="1:1" x14ac:dyDescent="0.2">
      <c r="A6798" t="s">
        <v>1078</v>
      </c>
    </row>
    <row r="6799" spans="1:1" x14ac:dyDescent="0.2">
      <c r="A6799" t="s">
        <v>1079</v>
      </c>
    </row>
    <row r="6800" spans="1:1" x14ac:dyDescent="0.2">
      <c r="A6800" t="s">
        <v>1080</v>
      </c>
    </row>
    <row r="6801" spans="1:1" x14ac:dyDescent="0.2">
      <c r="A6801" t="s">
        <v>1081</v>
      </c>
    </row>
    <row r="6802" spans="1:1" x14ac:dyDescent="0.2">
      <c r="A6802" t="s">
        <v>1082</v>
      </c>
    </row>
    <row r="6803" spans="1:1" x14ac:dyDescent="0.2">
      <c r="A6803" t="s">
        <v>1083</v>
      </c>
    </row>
    <row r="6804" spans="1:1" x14ac:dyDescent="0.2">
      <c r="A6804" t="s">
        <v>2771</v>
      </c>
    </row>
    <row r="6805" spans="1:1" x14ac:dyDescent="0.2">
      <c r="A6805" t="s">
        <v>2772</v>
      </c>
    </row>
    <row r="6806" spans="1:1" x14ac:dyDescent="0.2">
      <c r="A6806" t="s">
        <v>2773</v>
      </c>
    </row>
    <row r="6807" spans="1:1" x14ac:dyDescent="0.2">
      <c r="A6807" t="s">
        <v>2774</v>
      </c>
    </row>
    <row r="6808" spans="1:1" x14ac:dyDescent="0.2">
      <c r="A6808" t="s">
        <v>2775</v>
      </c>
    </row>
    <row r="6809" spans="1:1" x14ac:dyDescent="0.2">
      <c r="A6809" t="s">
        <v>2776</v>
      </c>
    </row>
    <row r="6810" spans="1:1" x14ac:dyDescent="0.2">
      <c r="A6810" t="s">
        <v>1084</v>
      </c>
    </row>
    <row r="6811" spans="1:1" x14ac:dyDescent="0.2">
      <c r="A6811" t="s">
        <v>1085</v>
      </c>
    </row>
    <row r="6812" spans="1:1" x14ac:dyDescent="0.2">
      <c r="A6812" t="s">
        <v>1086</v>
      </c>
    </row>
    <row r="6813" spans="1:1" x14ac:dyDescent="0.2">
      <c r="A6813" t="s">
        <v>1087</v>
      </c>
    </row>
    <row r="6814" spans="1:1" x14ac:dyDescent="0.2">
      <c r="A6814" t="s">
        <v>1088</v>
      </c>
    </row>
    <row r="6815" spans="1:1" x14ac:dyDescent="0.2">
      <c r="A6815" t="s">
        <v>1089</v>
      </c>
    </row>
    <row r="6816" spans="1:1" x14ac:dyDescent="0.2">
      <c r="A6816" t="s">
        <v>1090</v>
      </c>
    </row>
    <row r="6817" spans="1:1" x14ac:dyDescent="0.2">
      <c r="A6817" t="s">
        <v>1091</v>
      </c>
    </row>
    <row r="6818" spans="1:1" x14ac:dyDescent="0.2">
      <c r="A6818" t="s">
        <v>1092</v>
      </c>
    </row>
    <row r="6819" spans="1:1" x14ac:dyDescent="0.2">
      <c r="A6819" t="s">
        <v>1093</v>
      </c>
    </row>
    <row r="6820" spans="1:1" x14ac:dyDescent="0.2">
      <c r="A6820" t="s">
        <v>1094</v>
      </c>
    </row>
    <row r="6821" spans="1:1" x14ac:dyDescent="0.2">
      <c r="A6821" t="s">
        <v>1095</v>
      </c>
    </row>
    <row r="6822" spans="1:1" x14ac:dyDescent="0.2">
      <c r="A6822" t="s">
        <v>1096</v>
      </c>
    </row>
    <row r="6823" spans="1:1" x14ac:dyDescent="0.2">
      <c r="A6823" t="s">
        <v>1097</v>
      </c>
    </row>
    <row r="6824" spans="1:1" x14ac:dyDescent="0.2">
      <c r="A6824" t="s">
        <v>1098</v>
      </c>
    </row>
    <row r="6825" spans="1:1" x14ac:dyDescent="0.2">
      <c r="A6825" t="s">
        <v>1099</v>
      </c>
    </row>
    <row r="6826" spans="1:1" x14ac:dyDescent="0.2">
      <c r="A6826" t="s">
        <v>1100</v>
      </c>
    </row>
    <row r="6827" spans="1:1" x14ac:dyDescent="0.2">
      <c r="A6827" t="s">
        <v>1101</v>
      </c>
    </row>
    <row r="6828" spans="1:1" x14ac:dyDescent="0.2">
      <c r="A6828" t="s">
        <v>1102</v>
      </c>
    </row>
    <row r="6829" spans="1:1" x14ac:dyDescent="0.2">
      <c r="A6829" t="s">
        <v>1103</v>
      </c>
    </row>
    <row r="6830" spans="1:1" x14ac:dyDescent="0.2">
      <c r="A6830" t="s">
        <v>1104</v>
      </c>
    </row>
    <row r="6831" spans="1:1" x14ac:dyDescent="0.2">
      <c r="A6831" t="s">
        <v>1105</v>
      </c>
    </row>
    <row r="6832" spans="1:1" x14ac:dyDescent="0.2">
      <c r="A6832" t="s">
        <v>1106</v>
      </c>
    </row>
    <row r="6833" spans="1:1" x14ac:dyDescent="0.2">
      <c r="A6833" t="s">
        <v>1107</v>
      </c>
    </row>
    <row r="6834" spans="1:1" x14ac:dyDescent="0.2">
      <c r="A6834" t="s">
        <v>1108</v>
      </c>
    </row>
    <row r="6835" spans="1:1" x14ac:dyDescent="0.2">
      <c r="A6835" t="s">
        <v>1109</v>
      </c>
    </row>
    <row r="6836" spans="1:1" x14ac:dyDescent="0.2">
      <c r="A6836" t="s">
        <v>1110</v>
      </c>
    </row>
    <row r="6837" spans="1:1" x14ac:dyDescent="0.2">
      <c r="A6837" t="s">
        <v>1111</v>
      </c>
    </row>
    <row r="6838" spans="1:1" x14ac:dyDescent="0.2">
      <c r="A6838" t="s">
        <v>1112</v>
      </c>
    </row>
    <row r="6839" spans="1:1" x14ac:dyDescent="0.2">
      <c r="A6839" t="s">
        <v>1113</v>
      </c>
    </row>
    <row r="6840" spans="1:1" x14ac:dyDescent="0.2">
      <c r="A6840" t="s">
        <v>1114</v>
      </c>
    </row>
    <row r="6841" spans="1:1" x14ac:dyDescent="0.2">
      <c r="A6841" t="s">
        <v>1115</v>
      </c>
    </row>
    <row r="6842" spans="1:1" x14ac:dyDescent="0.2">
      <c r="A6842" t="s">
        <v>1116</v>
      </c>
    </row>
    <row r="6843" spans="1:1" x14ac:dyDescent="0.2">
      <c r="A6843" t="s">
        <v>1117</v>
      </c>
    </row>
    <row r="6844" spans="1:1" x14ac:dyDescent="0.2">
      <c r="A6844" t="s">
        <v>1118</v>
      </c>
    </row>
    <row r="6845" spans="1:1" x14ac:dyDescent="0.2">
      <c r="A6845" t="s">
        <v>1119</v>
      </c>
    </row>
    <row r="6846" spans="1:1" x14ac:dyDescent="0.2">
      <c r="A6846" t="s">
        <v>1120</v>
      </c>
    </row>
    <row r="6847" spans="1:1" x14ac:dyDescent="0.2">
      <c r="A6847" t="s">
        <v>1288</v>
      </c>
    </row>
    <row r="6848" spans="1:1" x14ac:dyDescent="0.2">
      <c r="A6848" t="s">
        <v>2926</v>
      </c>
    </row>
    <row r="6849" spans="1:1" x14ac:dyDescent="0.2">
      <c r="A6849" t="s">
        <v>2927</v>
      </c>
    </row>
    <row r="6850" spans="1:1" x14ac:dyDescent="0.2">
      <c r="A6850" t="s">
        <v>2916</v>
      </c>
    </row>
    <row r="6851" spans="1:1" x14ac:dyDescent="0.2">
      <c r="A6851" t="s">
        <v>2917</v>
      </c>
    </row>
    <row r="6852" spans="1:1" x14ac:dyDescent="0.2">
      <c r="A6852" t="s">
        <v>1289</v>
      </c>
    </row>
    <row r="6853" spans="1:1" x14ac:dyDescent="0.2">
      <c r="A6853" t="s">
        <v>2781</v>
      </c>
    </row>
    <row r="6854" spans="1:1" x14ac:dyDescent="0.2">
      <c r="A6854" t="s">
        <v>2928</v>
      </c>
    </row>
    <row r="6855" spans="1:1" x14ac:dyDescent="0.2">
      <c r="A6855" t="s">
        <v>1122</v>
      </c>
    </row>
    <row r="6856" spans="1:1" x14ac:dyDescent="0.2">
      <c r="A6856" t="s">
        <v>1123</v>
      </c>
    </row>
    <row r="6857" spans="1:1" x14ac:dyDescent="0.2">
      <c r="A6857" t="s">
        <v>1124</v>
      </c>
    </row>
    <row r="6858" spans="1:1" x14ac:dyDescent="0.2">
      <c r="A6858" t="s">
        <v>1125</v>
      </c>
    </row>
    <row r="6859" spans="1:1" x14ac:dyDescent="0.2">
      <c r="A6859" t="s">
        <v>1126</v>
      </c>
    </row>
    <row r="6860" spans="1:1" x14ac:dyDescent="0.2">
      <c r="A6860" t="s">
        <v>1127</v>
      </c>
    </row>
    <row r="6861" spans="1:1" x14ac:dyDescent="0.2">
      <c r="A6861" t="s">
        <v>1128</v>
      </c>
    </row>
    <row r="6862" spans="1:1" x14ac:dyDescent="0.2">
      <c r="A6862" t="s">
        <v>1129</v>
      </c>
    </row>
    <row r="6863" spans="1:1" x14ac:dyDescent="0.2">
      <c r="A6863" t="s">
        <v>1130</v>
      </c>
    </row>
    <row r="6864" spans="1:1" x14ac:dyDescent="0.2">
      <c r="A6864" t="s">
        <v>1131</v>
      </c>
    </row>
    <row r="6865" spans="1:1" x14ac:dyDescent="0.2">
      <c r="A6865" t="s">
        <v>1132</v>
      </c>
    </row>
    <row r="6866" spans="1:1" x14ac:dyDescent="0.2">
      <c r="A6866" t="s">
        <v>1133</v>
      </c>
    </row>
    <row r="6867" spans="1:1" x14ac:dyDescent="0.2">
      <c r="A6867" t="s">
        <v>1134</v>
      </c>
    </row>
    <row r="6868" spans="1:1" x14ac:dyDescent="0.2">
      <c r="A6868" t="s">
        <v>1135</v>
      </c>
    </row>
    <row r="6869" spans="1:1" x14ac:dyDescent="0.2">
      <c r="A6869" t="s">
        <v>1136</v>
      </c>
    </row>
    <row r="6870" spans="1:1" x14ac:dyDescent="0.2">
      <c r="A6870" t="s">
        <v>1137</v>
      </c>
    </row>
    <row r="6871" spans="1:1" x14ac:dyDescent="0.2">
      <c r="A6871" t="s">
        <v>1138</v>
      </c>
    </row>
    <row r="6872" spans="1:1" x14ac:dyDescent="0.2">
      <c r="A6872" t="s">
        <v>1139</v>
      </c>
    </row>
    <row r="6873" spans="1:1" x14ac:dyDescent="0.2">
      <c r="A6873" t="s">
        <v>1140</v>
      </c>
    </row>
    <row r="6874" spans="1:1" x14ac:dyDescent="0.2">
      <c r="A6874" t="s">
        <v>1141</v>
      </c>
    </row>
    <row r="6875" spans="1:1" x14ac:dyDescent="0.2">
      <c r="A6875" t="s">
        <v>1142</v>
      </c>
    </row>
    <row r="6876" spans="1:1" x14ac:dyDescent="0.2">
      <c r="A6876" t="s">
        <v>1143</v>
      </c>
    </row>
    <row r="6877" spans="1:1" x14ac:dyDescent="0.2">
      <c r="A6877" t="s">
        <v>1144</v>
      </c>
    </row>
    <row r="6878" spans="1:1" x14ac:dyDescent="0.2">
      <c r="A6878" t="s">
        <v>1145</v>
      </c>
    </row>
    <row r="6879" spans="1:1" x14ac:dyDescent="0.2">
      <c r="A6879" t="s">
        <v>1146</v>
      </c>
    </row>
    <row r="6880" spans="1:1" x14ac:dyDescent="0.2">
      <c r="A6880" t="s">
        <v>1147</v>
      </c>
    </row>
    <row r="6881" spans="1:1" x14ac:dyDescent="0.2">
      <c r="A6881" t="s">
        <v>1148</v>
      </c>
    </row>
    <row r="6882" spans="1:1" x14ac:dyDescent="0.2">
      <c r="A6882" t="s">
        <v>1149</v>
      </c>
    </row>
    <row r="6883" spans="1:1" x14ac:dyDescent="0.2">
      <c r="A6883" t="s">
        <v>1150</v>
      </c>
    </row>
    <row r="6884" spans="1:1" x14ac:dyDescent="0.2">
      <c r="A6884" t="s">
        <v>1151</v>
      </c>
    </row>
    <row r="6885" spans="1:1" x14ac:dyDescent="0.2">
      <c r="A6885" t="s">
        <v>1152</v>
      </c>
    </row>
    <row r="6886" spans="1:1" x14ac:dyDescent="0.2">
      <c r="A6886" t="s">
        <v>1153</v>
      </c>
    </row>
    <row r="6887" spans="1:1" x14ac:dyDescent="0.2">
      <c r="A6887" t="s">
        <v>1154</v>
      </c>
    </row>
    <row r="6888" spans="1:1" x14ac:dyDescent="0.2">
      <c r="A6888" t="s">
        <v>1155</v>
      </c>
    </row>
    <row r="6889" spans="1:1" x14ac:dyDescent="0.2">
      <c r="A6889" t="s">
        <v>1156</v>
      </c>
    </row>
    <row r="6890" spans="1:1" x14ac:dyDescent="0.2">
      <c r="A6890" t="s">
        <v>1157</v>
      </c>
    </row>
    <row r="6891" spans="1:1" x14ac:dyDescent="0.2">
      <c r="A6891" t="s">
        <v>1158</v>
      </c>
    </row>
    <row r="6892" spans="1:1" x14ac:dyDescent="0.2">
      <c r="A6892" t="s">
        <v>1159</v>
      </c>
    </row>
    <row r="6893" spans="1:1" x14ac:dyDescent="0.2">
      <c r="A6893" t="s">
        <v>1160</v>
      </c>
    </row>
    <row r="6894" spans="1:1" x14ac:dyDescent="0.2">
      <c r="A6894" t="s">
        <v>1161</v>
      </c>
    </row>
    <row r="6895" spans="1:1" x14ac:dyDescent="0.2">
      <c r="A6895" t="s">
        <v>1162</v>
      </c>
    </row>
    <row r="6896" spans="1:1" x14ac:dyDescent="0.2">
      <c r="A6896" t="s">
        <v>1163</v>
      </c>
    </row>
    <row r="6897" spans="1:1" x14ac:dyDescent="0.2">
      <c r="A6897" t="s">
        <v>1164</v>
      </c>
    </row>
    <row r="6898" spans="1:1" x14ac:dyDescent="0.2">
      <c r="A6898" t="s">
        <v>1165</v>
      </c>
    </row>
    <row r="6899" spans="1:1" x14ac:dyDescent="0.2">
      <c r="A6899" t="s">
        <v>1166</v>
      </c>
    </row>
    <row r="6900" spans="1:1" x14ac:dyDescent="0.2">
      <c r="A6900" t="s">
        <v>1167</v>
      </c>
    </row>
    <row r="6901" spans="1:1" x14ac:dyDescent="0.2">
      <c r="A6901" t="s">
        <v>1168</v>
      </c>
    </row>
    <row r="6902" spans="1:1" x14ac:dyDescent="0.2">
      <c r="A6902" t="s">
        <v>1169</v>
      </c>
    </row>
    <row r="6903" spans="1:1" x14ac:dyDescent="0.2">
      <c r="A6903" t="s">
        <v>1170</v>
      </c>
    </row>
    <row r="6904" spans="1:1" x14ac:dyDescent="0.2">
      <c r="A6904" t="s">
        <v>1171</v>
      </c>
    </row>
    <row r="6905" spans="1:1" x14ac:dyDescent="0.2">
      <c r="A6905" t="s">
        <v>1172</v>
      </c>
    </row>
    <row r="6906" spans="1:1" x14ac:dyDescent="0.2">
      <c r="A6906" t="s">
        <v>1173</v>
      </c>
    </row>
    <row r="6907" spans="1:1" x14ac:dyDescent="0.2">
      <c r="A6907" t="s">
        <v>1174</v>
      </c>
    </row>
    <row r="6908" spans="1:1" x14ac:dyDescent="0.2">
      <c r="A6908" t="s">
        <v>1175</v>
      </c>
    </row>
    <row r="6909" spans="1:1" x14ac:dyDescent="0.2">
      <c r="A6909" t="s">
        <v>1176</v>
      </c>
    </row>
    <row r="6910" spans="1:1" x14ac:dyDescent="0.2">
      <c r="A6910" t="s">
        <v>1177</v>
      </c>
    </row>
    <row r="6911" spans="1:1" x14ac:dyDescent="0.2">
      <c r="A6911" t="s">
        <v>1178</v>
      </c>
    </row>
    <row r="6912" spans="1:1" x14ac:dyDescent="0.2">
      <c r="A6912" t="s">
        <v>1179</v>
      </c>
    </row>
    <row r="6913" spans="1:1" x14ac:dyDescent="0.2">
      <c r="A6913" t="s">
        <v>1180</v>
      </c>
    </row>
    <row r="6914" spans="1:1" x14ac:dyDescent="0.2">
      <c r="A6914" t="s">
        <v>1181</v>
      </c>
    </row>
    <row r="6915" spans="1:1" x14ac:dyDescent="0.2">
      <c r="A6915" t="s">
        <v>1182</v>
      </c>
    </row>
    <row r="6916" spans="1:1" x14ac:dyDescent="0.2">
      <c r="A6916" t="s">
        <v>1183</v>
      </c>
    </row>
    <row r="6917" spans="1:1" x14ac:dyDescent="0.2">
      <c r="A6917" t="s">
        <v>1184</v>
      </c>
    </row>
    <row r="6918" spans="1:1" x14ac:dyDescent="0.2">
      <c r="A6918" t="s">
        <v>1185</v>
      </c>
    </row>
    <row r="6919" spans="1:1" x14ac:dyDescent="0.2">
      <c r="A6919" t="s">
        <v>1186</v>
      </c>
    </row>
    <row r="6920" spans="1:1" x14ac:dyDescent="0.2">
      <c r="A6920" t="s">
        <v>1187</v>
      </c>
    </row>
    <row r="6921" spans="1:1" x14ac:dyDescent="0.2">
      <c r="A6921" t="s">
        <v>1188</v>
      </c>
    </row>
    <row r="6922" spans="1:1" x14ac:dyDescent="0.2">
      <c r="A6922" t="s">
        <v>1189</v>
      </c>
    </row>
    <row r="6923" spans="1:1" x14ac:dyDescent="0.2">
      <c r="A6923" t="s">
        <v>1190</v>
      </c>
    </row>
    <row r="6924" spans="1:1" x14ac:dyDescent="0.2">
      <c r="A6924" t="s">
        <v>1191</v>
      </c>
    </row>
    <row r="6925" spans="1:1" x14ac:dyDescent="0.2">
      <c r="A6925" t="s">
        <v>1192</v>
      </c>
    </row>
    <row r="6926" spans="1:1" x14ac:dyDescent="0.2">
      <c r="A6926" t="s">
        <v>1193</v>
      </c>
    </row>
    <row r="6927" spans="1:1" x14ac:dyDescent="0.2">
      <c r="A6927" t="s">
        <v>1194</v>
      </c>
    </row>
    <row r="6928" spans="1:1" x14ac:dyDescent="0.2">
      <c r="A6928" t="s">
        <v>1195</v>
      </c>
    </row>
    <row r="6929" spans="1:1" x14ac:dyDescent="0.2">
      <c r="A6929" t="s">
        <v>1196</v>
      </c>
    </row>
    <row r="6930" spans="1:1" x14ac:dyDescent="0.2">
      <c r="A6930" t="s">
        <v>1197</v>
      </c>
    </row>
    <row r="6931" spans="1:1" x14ac:dyDescent="0.2">
      <c r="A6931" t="s">
        <v>1198</v>
      </c>
    </row>
    <row r="6932" spans="1:1" x14ac:dyDescent="0.2">
      <c r="A6932" t="s">
        <v>1199</v>
      </c>
    </row>
    <row r="6933" spans="1:1" x14ac:dyDescent="0.2">
      <c r="A6933" t="s">
        <v>1200</v>
      </c>
    </row>
    <row r="6934" spans="1:1" x14ac:dyDescent="0.2">
      <c r="A6934" t="s">
        <v>1201</v>
      </c>
    </row>
    <row r="6935" spans="1:1" x14ac:dyDescent="0.2">
      <c r="A6935" t="s">
        <v>1202</v>
      </c>
    </row>
    <row r="6936" spans="1:1" x14ac:dyDescent="0.2">
      <c r="A6936" t="s">
        <v>1203</v>
      </c>
    </row>
    <row r="6937" spans="1:1" x14ac:dyDescent="0.2">
      <c r="A6937" t="s">
        <v>1204</v>
      </c>
    </row>
    <row r="6938" spans="1:1" x14ac:dyDescent="0.2">
      <c r="A6938" t="s">
        <v>1205</v>
      </c>
    </row>
    <row r="6939" spans="1:1" x14ac:dyDescent="0.2">
      <c r="A6939" t="s">
        <v>1206</v>
      </c>
    </row>
    <row r="6940" spans="1:1" x14ac:dyDescent="0.2">
      <c r="A6940" t="s">
        <v>1207</v>
      </c>
    </row>
    <row r="6941" spans="1:1" x14ac:dyDescent="0.2">
      <c r="A6941" t="s">
        <v>1208</v>
      </c>
    </row>
    <row r="6942" spans="1:1" x14ac:dyDescent="0.2">
      <c r="A6942" t="s">
        <v>1209</v>
      </c>
    </row>
    <row r="6943" spans="1:1" x14ac:dyDescent="0.2">
      <c r="A6943" t="s">
        <v>1210</v>
      </c>
    </row>
    <row r="6944" spans="1:1" x14ac:dyDescent="0.2">
      <c r="A6944" t="s">
        <v>1211</v>
      </c>
    </row>
    <row r="6945" spans="1:1" x14ac:dyDescent="0.2">
      <c r="A6945" t="s">
        <v>1212</v>
      </c>
    </row>
    <row r="6946" spans="1:1" x14ac:dyDescent="0.2">
      <c r="A6946" t="s">
        <v>1213</v>
      </c>
    </row>
    <row r="6947" spans="1:1" x14ac:dyDescent="0.2">
      <c r="A6947" t="s">
        <v>1214</v>
      </c>
    </row>
    <row r="6948" spans="1:1" x14ac:dyDescent="0.2">
      <c r="A6948" t="s">
        <v>1215</v>
      </c>
    </row>
    <row r="6949" spans="1:1" x14ac:dyDescent="0.2">
      <c r="A6949" t="s">
        <v>1216</v>
      </c>
    </row>
    <row r="6950" spans="1:1" x14ac:dyDescent="0.2">
      <c r="A6950" t="s">
        <v>1217</v>
      </c>
    </row>
    <row r="6951" spans="1:1" x14ac:dyDescent="0.2">
      <c r="A6951" t="s">
        <v>1218</v>
      </c>
    </row>
    <row r="6952" spans="1:1" x14ac:dyDescent="0.2">
      <c r="A6952" t="s">
        <v>1219</v>
      </c>
    </row>
    <row r="6953" spans="1:1" x14ac:dyDescent="0.2">
      <c r="A6953" t="s">
        <v>1220</v>
      </c>
    </row>
    <row r="6954" spans="1:1" x14ac:dyDescent="0.2">
      <c r="A6954" t="s">
        <v>1221</v>
      </c>
    </row>
    <row r="6955" spans="1:1" x14ac:dyDescent="0.2">
      <c r="A6955" t="s">
        <v>1222</v>
      </c>
    </row>
    <row r="6956" spans="1:1" x14ac:dyDescent="0.2">
      <c r="A6956" t="s">
        <v>1223</v>
      </c>
    </row>
    <row r="6957" spans="1:1" x14ac:dyDescent="0.2">
      <c r="A6957" t="s">
        <v>1224</v>
      </c>
    </row>
    <row r="6958" spans="1:1" x14ac:dyDescent="0.2">
      <c r="A6958" t="s">
        <v>1225</v>
      </c>
    </row>
    <row r="6959" spans="1:1" x14ac:dyDescent="0.2">
      <c r="A6959" t="s">
        <v>1226</v>
      </c>
    </row>
    <row r="6960" spans="1:1" x14ac:dyDescent="0.2">
      <c r="A6960" t="s">
        <v>1227</v>
      </c>
    </row>
    <row r="6961" spans="1:1" x14ac:dyDescent="0.2">
      <c r="A6961" t="s">
        <v>1228</v>
      </c>
    </row>
    <row r="6962" spans="1:1" x14ac:dyDescent="0.2">
      <c r="A6962" t="s">
        <v>1229</v>
      </c>
    </row>
    <row r="6963" spans="1:1" x14ac:dyDescent="0.2">
      <c r="A6963" t="s">
        <v>1230</v>
      </c>
    </row>
    <row r="6964" spans="1:1" x14ac:dyDescent="0.2">
      <c r="A6964" t="s">
        <v>1231</v>
      </c>
    </row>
    <row r="6965" spans="1:1" x14ac:dyDescent="0.2">
      <c r="A6965" t="s">
        <v>1232</v>
      </c>
    </row>
    <row r="6966" spans="1:1" x14ac:dyDescent="0.2">
      <c r="A6966" t="s">
        <v>1233</v>
      </c>
    </row>
    <row r="6967" spans="1:1" x14ac:dyDescent="0.2">
      <c r="A6967" t="s">
        <v>1234</v>
      </c>
    </row>
    <row r="6968" spans="1:1" x14ac:dyDescent="0.2">
      <c r="A6968" t="s">
        <v>1235</v>
      </c>
    </row>
    <row r="6969" spans="1:1" x14ac:dyDescent="0.2">
      <c r="A6969" t="s">
        <v>1236</v>
      </c>
    </row>
    <row r="6970" spans="1:1" x14ac:dyDescent="0.2">
      <c r="A6970" t="s">
        <v>1237</v>
      </c>
    </row>
    <row r="6971" spans="1:1" x14ac:dyDescent="0.2">
      <c r="A6971" t="s">
        <v>1238</v>
      </c>
    </row>
    <row r="6972" spans="1:1" x14ac:dyDescent="0.2">
      <c r="A6972" t="s">
        <v>1239</v>
      </c>
    </row>
    <row r="6973" spans="1:1" x14ac:dyDescent="0.2">
      <c r="A6973" t="s">
        <v>1240</v>
      </c>
    </row>
    <row r="6974" spans="1:1" x14ac:dyDescent="0.2">
      <c r="A6974" t="s">
        <v>1241</v>
      </c>
    </row>
    <row r="6975" spans="1:1" x14ac:dyDescent="0.2">
      <c r="A6975" t="s">
        <v>1242</v>
      </c>
    </row>
    <row r="6976" spans="1:1" x14ac:dyDescent="0.2">
      <c r="A6976" t="s">
        <v>1243</v>
      </c>
    </row>
    <row r="6977" spans="1:1" x14ac:dyDescent="0.2">
      <c r="A6977" t="s">
        <v>1244</v>
      </c>
    </row>
    <row r="6978" spans="1:1" x14ac:dyDescent="0.2">
      <c r="A6978" t="s">
        <v>1245</v>
      </c>
    </row>
    <row r="6979" spans="1:1" x14ac:dyDescent="0.2">
      <c r="A6979" t="s">
        <v>1246</v>
      </c>
    </row>
    <row r="6980" spans="1:1" x14ac:dyDescent="0.2">
      <c r="A6980" t="s">
        <v>1247</v>
      </c>
    </row>
    <row r="6981" spans="1:1" x14ac:dyDescent="0.2">
      <c r="A6981" t="s">
        <v>1248</v>
      </c>
    </row>
    <row r="6982" spans="1:1" x14ac:dyDescent="0.2">
      <c r="A6982" t="s">
        <v>1249</v>
      </c>
    </row>
    <row r="6983" spans="1:1" x14ac:dyDescent="0.2">
      <c r="A6983" t="s">
        <v>1250</v>
      </c>
    </row>
    <row r="6984" spans="1:1" x14ac:dyDescent="0.2">
      <c r="A6984" t="s">
        <v>1251</v>
      </c>
    </row>
    <row r="6985" spans="1:1" x14ac:dyDescent="0.2">
      <c r="A6985" t="s">
        <v>1252</v>
      </c>
    </row>
    <row r="6986" spans="1:1" x14ac:dyDescent="0.2">
      <c r="A6986" t="s">
        <v>1253</v>
      </c>
    </row>
    <row r="6987" spans="1:1" x14ac:dyDescent="0.2">
      <c r="A6987" t="s">
        <v>1254</v>
      </c>
    </row>
    <row r="6988" spans="1:1" x14ac:dyDescent="0.2">
      <c r="A6988" t="s">
        <v>1255</v>
      </c>
    </row>
    <row r="6989" spans="1:1" x14ac:dyDescent="0.2">
      <c r="A6989" t="s">
        <v>1256</v>
      </c>
    </row>
    <row r="6990" spans="1:1" x14ac:dyDescent="0.2">
      <c r="A6990" t="s">
        <v>1257</v>
      </c>
    </row>
    <row r="6991" spans="1:1" x14ac:dyDescent="0.2">
      <c r="A6991" t="s">
        <v>1258</v>
      </c>
    </row>
    <row r="6992" spans="1:1" x14ac:dyDescent="0.2">
      <c r="A6992" t="s">
        <v>1259</v>
      </c>
    </row>
    <row r="6993" spans="1:1" x14ac:dyDescent="0.2">
      <c r="A6993" t="s">
        <v>1260</v>
      </c>
    </row>
    <row r="6994" spans="1:1" x14ac:dyDescent="0.2">
      <c r="A6994" t="s">
        <v>1261</v>
      </c>
    </row>
    <row r="6995" spans="1:1" x14ac:dyDescent="0.2">
      <c r="A6995" t="s">
        <v>1262</v>
      </c>
    </row>
    <row r="6996" spans="1:1" x14ac:dyDescent="0.2">
      <c r="A6996" t="s">
        <v>1263</v>
      </c>
    </row>
    <row r="6997" spans="1:1" x14ac:dyDescent="0.2">
      <c r="A6997" t="s">
        <v>1264</v>
      </c>
    </row>
    <row r="6998" spans="1:1" x14ac:dyDescent="0.2">
      <c r="A6998" t="s">
        <v>1265</v>
      </c>
    </row>
    <row r="6999" spans="1:1" x14ac:dyDescent="0.2">
      <c r="A6999" t="s">
        <v>1266</v>
      </c>
    </row>
    <row r="7000" spans="1:1" x14ac:dyDescent="0.2">
      <c r="A7000" t="s">
        <v>1267</v>
      </c>
    </row>
    <row r="7001" spans="1:1" x14ac:dyDescent="0.2">
      <c r="A7001" t="s">
        <v>1268</v>
      </c>
    </row>
    <row r="7002" spans="1:1" x14ac:dyDescent="0.2">
      <c r="A7002" t="s">
        <v>1269</v>
      </c>
    </row>
    <row r="7003" spans="1:1" x14ac:dyDescent="0.2">
      <c r="A7003" t="s">
        <v>1270</v>
      </c>
    </row>
    <row r="7004" spans="1:1" x14ac:dyDescent="0.2">
      <c r="A7004" t="s">
        <v>1271</v>
      </c>
    </row>
    <row r="7005" spans="1:1" x14ac:dyDescent="0.2">
      <c r="A7005" t="s">
        <v>1272</v>
      </c>
    </row>
    <row r="7006" spans="1:1" x14ac:dyDescent="0.2">
      <c r="A7006" t="s">
        <v>1273</v>
      </c>
    </row>
    <row r="7007" spans="1:1" x14ac:dyDescent="0.2">
      <c r="A7007" t="s">
        <v>1274</v>
      </c>
    </row>
    <row r="7008" spans="1:1" x14ac:dyDescent="0.2">
      <c r="A7008" t="s">
        <v>1275</v>
      </c>
    </row>
    <row r="7009" spans="1:1" x14ac:dyDescent="0.2">
      <c r="A7009" t="s">
        <v>1276</v>
      </c>
    </row>
    <row r="7010" spans="1:1" x14ac:dyDescent="0.2">
      <c r="A7010" t="s">
        <v>1277</v>
      </c>
    </row>
    <row r="7011" spans="1:1" x14ac:dyDescent="0.2">
      <c r="A7011" t="s">
        <v>1278</v>
      </c>
    </row>
    <row r="7012" spans="1:1" x14ac:dyDescent="0.2">
      <c r="A7012" t="s">
        <v>1279</v>
      </c>
    </row>
    <row r="7013" spans="1:1" x14ac:dyDescent="0.2">
      <c r="A7013" t="s">
        <v>1280</v>
      </c>
    </row>
    <row r="7014" spans="1:1" x14ac:dyDescent="0.2">
      <c r="A7014" t="s">
        <v>1281</v>
      </c>
    </row>
    <row r="7015" spans="1:1" x14ac:dyDescent="0.2">
      <c r="A7015" t="s">
        <v>1282</v>
      </c>
    </row>
    <row r="7016" spans="1:1" x14ac:dyDescent="0.2">
      <c r="A7016" t="s">
        <v>1283</v>
      </c>
    </row>
    <row r="7017" spans="1:1" x14ac:dyDescent="0.2">
      <c r="A7017" t="s">
        <v>1284</v>
      </c>
    </row>
    <row r="7018" spans="1:1" x14ac:dyDescent="0.2">
      <c r="A7018" t="s">
        <v>1285</v>
      </c>
    </row>
    <row r="7019" spans="1:1" x14ac:dyDescent="0.2">
      <c r="A7019" t="s">
        <v>1286</v>
      </c>
    </row>
    <row r="7020" spans="1:1" x14ac:dyDescent="0.2">
      <c r="A7020" t="s">
        <v>2929</v>
      </c>
    </row>
    <row r="7021" spans="1:1" x14ac:dyDescent="0.2">
      <c r="A7021" t="s">
        <v>1053</v>
      </c>
    </row>
    <row r="7022" spans="1:1" x14ac:dyDescent="0.2">
      <c r="A7022" t="s">
        <v>2930</v>
      </c>
    </row>
    <row r="7023" spans="1:1" x14ac:dyDescent="0.2">
      <c r="A7023" t="s">
        <v>2768</v>
      </c>
    </row>
    <row r="7024" spans="1:1" x14ac:dyDescent="0.2">
      <c r="A7024" t="s">
        <v>2769</v>
      </c>
    </row>
    <row r="7025" spans="1:1" x14ac:dyDescent="0.2">
      <c r="A7025" t="s">
        <v>1054</v>
      </c>
    </row>
    <row r="7026" spans="1:1" x14ac:dyDescent="0.2">
      <c r="A7026" t="s">
        <v>1055</v>
      </c>
    </row>
    <row r="7027" spans="1:1" x14ac:dyDescent="0.2">
      <c r="A7027" t="s">
        <v>2807</v>
      </c>
    </row>
    <row r="7028" spans="1:1" x14ac:dyDescent="0.2">
      <c r="A7028" t="s">
        <v>1056</v>
      </c>
    </row>
    <row r="7029" spans="1:1" x14ac:dyDescent="0.2">
      <c r="A7029" t="s">
        <v>1057</v>
      </c>
    </row>
    <row r="7030" spans="1:1" x14ac:dyDescent="0.2">
      <c r="A7030" t="s">
        <v>1058</v>
      </c>
    </row>
    <row r="7031" spans="1:1" x14ac:dyDescent="0.2">
      <c r="A7031" t="s">
        <v>1059</v>
      </c>
    </row>
    <row r="7032" spans="1:1" x14ac:dyDescent="0.2">
      <c r="A7032" t="s">
        <v>1060</v>
      </c>
    </row>
    <row r="7033" spans="1:1" x14ac:dyDescent="0.2">
      <c r="A7033" t="s">
        <v>1061</v>
      </c>
    </row>
    <row r="7034" spans="1:1" x14ac:dyDescent="0.2">
      <c r="A7034" t="s">
        <v>1062</v>
      </c>
    </row>
    <row r="7035" spans="1:1" x14ac:dyDescent="0.2">
      <c r="A7035" t="s">
        <v>1063</v>
      </c>
    </row>
    <row r="7036" spans="1:1" x14ac:dyDescent="0.2">
      <c r="A7036" t="s">
        <v>1064</v>
      </c>
    </row>
    <row r="7037" spans="1:1" x14ac:dyDescent="0.2">
      <c r="A7037" t="s">
        <v>1065</v>
      </c>
    </row>
    <row r="7038" spans="1:1" x14ac:dyDescent="0.2">
      <c r="A7038" t="s">
        <v>1066</v>
      </c>
    </row>
    <row r="7039" spans="1:1" x14ac:dyDescent="0.2">
      <c r="A7039" t="s">
        <v>1067</v>
      </c>
    </row>
    <row r="7040" spans="1:1" x14ac:dyDescent="0.2">
      <c r="A7040" t="s">
        <v>1068</v>
      </c>
    </row>
    <row r="7041" spans="1:1" x14ac:dyDescent="0.2">
      <c r="A7041" t="s">
        <v>1069</v>
      </c>
    </row>
    <row r="7042" spans="1:1" x14ac:dyDescent="0.2">
      <c r="A7042" t="s">
        <v>1070</v>
      </c>
    </row>
    <row r="7043" spans="1:1" x14ac:dyDescent="0.2">
      <c r="A7043" t="s">
        <v>1071</v>
      </c>
    </row>
    <row r="7044" spans="1:1" x14ac:dyDescent="0.2">
      <c r="A7044" t="s">
        <v>1072</v>
      </c>
    </row>
    <row r="7045" spans="1:1" x14ac:dyDescent="0.2">
      <c r="A7045" t="s">
        <v>1073</v>
      </c>
    </row>
    <row r="7046" spans="1:1" x14ac:dyDescent="0.2">
      <c r="A7046" t="s">
        <v>1074</v>
      </c>
    </row>
    <row r="7047" spans="1:1" x14ac:dyDescent="0.2">
      <c r="A7047" t="s">
        <v>1075</v>
      </c>
    </row>
    <row r="7048" spans="1:1" x14ac:dyDescent="0.2">
      <c r="A7048" t="s">
        <v>1076</v>
      </c>
    </row>
    <row r="7049" spans="1:1" x14ac:dyDescent="0.2">
      <c r="A7049" t="s">
        <v>1077</v>
      </c>
    </row>
    <row r="7050" spans="1:1" x14ac:dyDescent="0.2">
      <c r="A7050" t="s">
        <v>1078</v>
      </c>
    </row>
    <row r="7051" spans="1:1" x14ac:dyDescent="0.2">
      <c r="A7051" t="s">
        <v>1079</v>
      </c>
    </row>
    <row r="7052" spans="1:1" x14ac:dyDescent="0.2">
      <c r="A7052" t="s">
        <v>1080</v>
      </c>
    </row>
    <row r="7053" spans="1:1" x14ac:dyDescent="0.2">
      <c r="A7053" t="s">
        <v>1081</v>
      </c>
    </row>
    <row r="7054" spans="1:1" x14ac:dyDescent="0.2">
      <c r="A7054" t="s">
        <v>1082</v>
      </c>
    </row>
    <row r="7055" spans="1:1" x14ac:dyDescent="0.2">
      <c r="A7055" t="s">
        <v>1083</v>
      </c>
    </row>
    <row r="7056" spans="1:1" x14ac:dyDescent="0.2">
      <c r="A7056" t="s">
        <v>2771</v>
      </c>
    </row>
    <row r="7057" spans="1:1" x14ac:dyDescent="0.2">
      <c r="A7057" t="s">
        <v>2772</v>
      </c>
    </row>
    <row r="7058" spans="1:1" x14ac:dyDescent="0.2">
      <c r="A7058" t="s">
        <v>2773</v>
      </c>
    </row>
    <row r="7059" spans="1:1" x14ac:dyDescent="0.2">
      <c r="A7059" t="s">
        <v>2774</v>
      </c>
    </row>
    <row r="7060" spans="1:1" x14ac:dyDescent="0.2">
      <c r="A7060" t="s">
        <v>2775</v>
      </c>
    </row>
    <row r="7061" spans="1:1" x14ac:dyDescent="0.2">
      <c r="A7061" t="s">
        <v>2776</v>
      </c>
    </row>
    <row r="7062" spans="1:1" x14ac:dyDescent="0.2">
      <c r="A7062" t="s">
        <v>1084</v>
      </c>
    </row>
    <row r="7063" spans="1:1" x14ac:dyDescent="0.2">
      <c r="A7063" t="s">
        <v>1085</v>
      </c>
    </row>
    <row r="7064" spans="1:1" x14ac:dyDescent="0.2">
      <c r="A7064" t="s">
        <v>1086</v>
      </c>
    </row>
    <row r="7065" spans="1:1" x14ac:dyDescent="0.2">
      <c r="A7065" t="s">
        <v>1087</v>
      </c>
    </row>
    <row r="7066" spans="1:1" x14ac:dyDescent="0.2">
      <c r="A7066" t="s">
        <v>1088</v>
      </c>
    </row>
    <row r="7067" spans="1:1" x14ac:dyDescent="0.2">
      <c r="A7067" t="s">
        <v>1089</v>
      </c>
    </row>
    <row r="7068" spans="1:1" x14ac:dyDescent="0.2">
      <c r="A7068" t="s">
        <v>1090</v>
      </c>
    </row>
    <row r="7069" spans="1:1" x14ac:dyDescent="0.2">
      <c r="A7069" t="s">
        <v>1091</v>
      </c>
    </row>
    <row r="7070" spans="1:1" x14ac:dyDescent="0.2">
      <c r="A7070" t="s">
        <v>1092</v>
      </c>
    </row>
    <row r="7071" spans="1:1" x14ac:dyDescent="0.2">
      <c r="A7071" t="s">
        <v>1093</v>
      </c>
    </row>
    <row r="7072" spans="1:1" x14ac:dyDescent="0.2">
      <c r="A7072" t="s">
        <v>1094</v>
      </c>
    </row>
    <row r="7073" spans="1:1" x14ac:dyDescent="0.2">
      <c r="A7073" t="s">
        <v>1095</v>
      </c>
    </row>
    <row r="7074" spans="1:1" x14ac:dyDescent="0.2">
      <c r="A7074" t="s">
        <v>1096</v>
      </c>
    </row>
    <row r="7075" spans="1:1" x14ac:dyDescent="0.2">
      <c r="A7075" t="s">
        <v>1097</v>
      </c>
    </row>
    <row r="7076" spans="1:1" x14ac:dyDescent="0.2">
      <c r="A7076" t="s">
        <v>1098</v>
      </c>
    </row>
    <row r="7077" spans="1:1" x14ac:dyDescent="0.2">
      <c r="A7077" t="s">
        <v>1099</v>
      </c>
    </row>
    <row r="7078" spans="1:1" x14ac:dyDescent="0.2">
      <c r="A7078" t="s">
        <v>1100</v>
      </c>
    </row>
    <row r="7079" spans="1:1" x14ac:dyDescent="0.2">
      <c r="A7079" t="s">
        <v>1101</v>
      </c>
    </row>
    <row r="7080" spans="1:1" x14ac:dyDescent="0.2">
      <c r="A7080" t="s">
        <v>1102</v>
      </c>
    </row>
    <row r="7081" spans="1:1" x14ac:dyDescent="0.2">
      <c r="A7081" t="s">
        <v>1103</v>
      </c>
    </row>
    <row r="7082" spans="1:1" x14ac:dyDescent="0.2">
      <c r="A7082" t="s">
        <v>1104</v>
      </c>
    </row>
    <row r="7083" spans="1:1" x14ac:dyDescent="0.2">
      <c r="A7083" t="s">
        <v>1105</v>
      </c>
    </row>
    <row r="7084" spans="1:1" x14ac:dyDescent="0.2">
      <c r="A7084" t="s">
        <v>1106</v>
      </c>
    </row>
    <row r="7085" spans="1:1" x14ac:dyDescent="0.2">
      <c r="A7085" t="s">
        <v>1107</v>
      </c>
    </row>
    <row r="7086" spans="1:1" x14ac:dyDescent="0.2">
      <c r="A7086" t="s">
        <v>1108</v>
      </c>
    </row>
    <row r="7087" spans="1:1" x14ac:dyDescent="0.2">
      <c r="A7087" t="s">
        <v>1109</v>
      </c>
    </row>
    <row r="7088" spans="1:1" x14ac:dyDescent="0.2">
      <c r="A7088" t="s">
        <v>1110</v>
      </c>
    </row>
    <row r="7089" spans="1:1" x14ac:dyDescent="0.2">
      <c r="A7089" t="s">
        <v>1111</v>
      </c>
    </row>
    <row r="7090" spans="1:1" x14ac:dyDescent="0.2">
      <c r="A7090" t="s">
        <v>1112</v>
      </c>
    </row>
    <row r="7091" spans="1:1" x14ac:dyDescent="0.2">
      <c r="A7091" t="s">
        <v>1113</v>
      </c>
    </row>
    <row r="7092" spans="1:1" x14ac:dyDescent="0.2">
      <c r="A7092" t="s">
        <v>1114</v>
      </c>
    </row>
    <row r="7093" spans="1:1" x14ac:dyDescent="0.2">
      <c r="A7093" t="s">
        <v>1115</v>
      </c>
    </row>
    <row r="7094" spans="1:1" x14ac:dyDescent="0.2">
      <c r="A7094" t="s">
        <v>1116</v>
      </c>
    </row>
    <row r="7095" spans="1:1" x14ac:dyDescent="0.2">
      <c r="A7095" t="s">
        <v>1117</v>
      </c>
    </row>
    <row r="7096" spans="1:1" x14ac:dyDescent="0.2">
      <c r="A7096" t="s">
        <v>1118</v>
      </c>
    </row>
    <row r="7097" spans="1:1" x14ac:dyDescent="0.2">
      <c r="A7097" t="s">
        <v>1119</v>
      </c>
    </row>
    <row r="7098" spans="1:1" x14ac:dyDescent="0.2">
      <c r="A7098" t="s">
        <v>1120</v>
      </c>
    </row>
    <row r="7099" spans="1:1" x14ac:dyDescent="0.2">
      <c r="A7099" t="s">
        <v>1288</v>
      </c>
    </row>
    <row r="7100" spans="1:1" x14ac:dyDescent="0.2">
      <c r="A7100" t="s">
        <v>2931</v>
      </c>
    </row>
    <row r="7101" spans="1:1" x14ac:dyDescent="0.2">
      <c r="A7101" t="s">
        <v>2932</v>
      </c>
    </row>
    <row r="7102" spans="1:1" x14ac:dyDescent="0.2">
      <c r="A7102" t="s">
        <v>2933</v>
      </c>
    </row>
    <row r="7103" spans="1:1" x14ac:dyDescent="0.2">
      <c r="A7103" t="s">
        <v>2934</v>
      </c>
    </row>
    <row r="7104" spans="1:1" x14ac:dyDescent="0.2">
      <c r="A7104" t="s">
        <v>1289</v>
      </c>
    </row>
    <row r="7105" spans="1:1" x14ac:dyDescent="0.2">
      <c r="A7105" t="s">
        <v>2781</v>
      </c>
    </row>
    <row r="7106" spans="1:1" x14ac:dyDescent="0.2">
      <c r="A7106" t="s">
        <v>2935</v>
      </c>
    </row>
    <row r="7107" spans="1:1" x14ac:dyDescent="0.2">
      <c r="A7107" t="s">
        <v>1122</v>
      </c>
    </row>
    <row r="7108" spans="1:1" x14ac:dyDescent="0.2">
      <c r="A7108" t="s">
        <v>1123</v>
      </c>
    </row>
    <row r="7109" spans="1:1" x14ac:dyDescent="0.2">
      <c r="A7109" t="s">
        <v>1124</v>
      </c>
    </row>
    <row r="7110" spans="1:1" x14ac:dyDescent="0.2">
      <c r="A7110" t="s">
        <v>1125</v>
      </c>
    </row>
    <row r="7111" spans="1:1" x14ac:dyDescent="0.2">
      <c r="A7111" t="s">
        <v>1126</v>
      </c>
    </row>
    <row r="7112" spans="1:1" x14ac:dyDescent="0.2">
      <c r="A7112" t="s">
        <v>1127</v>
      </c>
    </row>
    <row r="7113" spans="1:1" x14ac:dyDescent="0.2">
      <c r="A7113" t="s">
        <v>1128</v>
      </c>
    </row>
    <row r="7114" spans="1:1" x14ac:dyDescent="0.2">
      <c r="A7114" t="s">
        <v>1129</v>
      </c>
    </row>
    <row r="7115" spans="1:1" x14ac:dyDescent="0.2">
      <c r="A7115" t="s">
        <v>1130</v>
      </c>
    </row>
    <row r="7116" spans="1:1" x14ac:dyDescent="0.2">
      <c r="A7116" t="s">
        <v>1131</v>
      </c>
    </row>
    <row r="7117" spans="1:1" x14ac:dyDescent="0.2">
      <c r="A7117" t="s">
        <v>1132</v>
      </c>
    </row>
    <row r="7118" spans="1:1" x14ac:dyDescent="0.2">
      <c r="A7118" t="s">
        <v>1133</v>
      </c>
    </row>
    <row r="7119" spans="1:1" x14ac:dyDescent="0.2">
      <c r="A7119" t="s">
        <v>1134</v>
      </c>
    </row>
    <row r="7120" spans="1:1" x14ac:dyDescent="0.2">
      <c r="A7120" t="s">
        <v>1135</v>
      </c>
    </row>
    <row r="7121" spans="1:1" x14ac:dyDescent="0.2">
      <c r="A7121" t="s">
        <v>1136</v>
      </c>
    </row>
    <row r="7122" spans="1:1" x14ac:dyDescent="0.2">
      <c r="A7122" t="s">
        <v>1137</v>
      </c>
    </row>
    <row r="7123" spans="1:1" x14ac:dyDescent="0.2">
      <c r="A7123" t="s">
        <v>1138</v>
      </c>
    </row>
    <row r="7124" spans="1:1" x14ac:dyDescent="0.2">
      <c r="A7124" t="s">
        <v>1139</v>
      </c>
    </row>
    <row r="7125" spans="1:1" x14ac:dyDescent="0.2">
      <c r="A7125" t="s">
        <v>1140</v>
      </c>
    </row>
    <row r="7126" spans="1:1" x14ac:dyDescent="0.2">
      <c r="A7126" t="s">
        <v>1141</v>
      </c>
    </row>
    <row r="7127" spans="1:1" x14ac:dyDescent="0.2">
      <c r="A7127" t="s">
        <v>1142</v>
      </c>
    </row>
    <row r="7128" spans="1:1" x14ac:dyDescent="0.2">
      <c r="A7128" t="s">
        <v>1143</v>
      </c>
    </row>
    <row r="7129" spans="1:1" x14ac:dyDescent="0.2">
      <c r="A7129" t="s">
        <v>1144</v>
      </c>
    </row>
    <row r="7130" spans="1:1" x14ac:dyDescent="0.2">
      <c r="A7130" t="s">
        <v>1145</v>
      </c>
    </row>
    <row r="7131" spans="1:1" x14ac:dyDescent="0.2">
      <c r="A7131" t="s">
        <v>1146</v>
      </c>
    </row>
    <row r="7132" spans="1:1" x14ac:dyDescent="0.2">
      <c r="A7132" t="s">
        <v>1147</v>
      </c>
    </row>
    <row r="7133" spans="1:1" x14ac:dyDescent="0.2">
      <c r="A7133" t="s">
        <v>1148</v>
      </c>
    </row>
    <row r="7134" spans="1:1" x14ac:dyDescent="0.2">
      <c r="A7134" t="s">
        <v>1149</v>
      </c>
    </row>
    <row r="7135" spans="1:1" x14ac:dyDescent="0.2">
      <c r="A7135" t="s">
        <v>1150</v>
      </c>
    </row>
    <row r="7136" spans="1:1" x14ac:dyDescent="0.2">
      <c r="A7136" t="s">
        <v>1151</v>
      </c>
    </row>
    <row r="7137" spans="1:1" x14ac:dyDescent="0.2">
      <c r="A7137" t="s">
        <v>1152</v>
      </c>
    </row>
    <row r="7138" spans="1:1" x14ac:dyDescent="0.2">
      <c r="A7138" t="s">
        <v>1153</v>
      </c>
    </row>
    <row r="7139" spans="1:1" x14ac:dyDescent="0.2">
      <c r="A7139" t="s">
        <v>1154</v>
      </c>
    </row>
    <row r="7140" spans="1:1" x14ac:dyDescent="0.2">
      <c r="A7140" t="s">
        <v>1155</v>
      </c>
    </row>
    <row r="7141" spans="1:1" x14ac:dyDescent="0.2">
      <c r="A7141" t="s">
        <v>1156</v>
      </c>
    </row>
    <row r="7142" spans="1:1" x14ac:dyDescent="0.2">
      <c r="A7142" t="s">
        <v>1157</v>
      </c>
    </row>
    <row r="7143" spans="1:1" x14ac:dyDescent="0.2">
      <c r="A7143" t="s">
        <v>1158</v>
      </c>
    </row>
    <row r="7144" spans="1:1" x14ac:dyDescent="0.2">
      <c r="A7144" t="s">
        <v>1159</v>
      </c>
    </row>
    <row r="7145" spans="1:1" x14ac:dyDescent="0.2">
      <c r="A7145" t="s">
        <v>1160</v>
      </c>
    </row>
    <row r="7146" spans="1:1" x14ac:dyDescent="0.2">
      <c r="A7146" t="s">
        <v>1161</v>
      </c>
    </row>
    <row r="7147" spans="1:1" x14ac:dyDescent="0.2">
      <c r="A7147" t="s">
        <v>1162</v>
      </c>
    </row>
    <row r="7148" spans="1:1" x14ac:dyDescent="0.2">
      <c r="A7148" t="s">
        <v>1163</v>
      </c>
    </row>
    <row r="7149" spans="1:1" x14ac:dyDescent="0.2">
      <c r="A7149" t="s">
        <v>1164</v>
      </c>
    </row>
    <row r="7150" spans="1:1" x14ac:dyDescent="0.2">
      <c r="A7150" t="s">
        <v>1165</v>
      </c>
    </row>
    <row r="7151" spans="1:1" x14ac:dyDescent="0.2">
      <c r="A7151" t="s">
        <v>1166</v>
      </c>
    </row>
    <row r="7152" spans="1:1" x14ac:dyDescent="0.2">
      <c r="A7152" t="s">
        <v>1167</v>
      </c>
    </row>
    <row r="7153" spans="1:1" x14ac:dyDescent="0.2">
      <c r="A7153" t="s">
        <v>1168</v>
      </c>
    </row>
    <row r="7154" spans="1:1" x14ac:dyDescent="0.2">
      <c r="A7154" t="s">
        <v>1169</v>
      </c>
    </row>
    <row r="7155" spans="1:1" x14ac:dyDescent="0.2">
      <c r="A7155" t="s">
        <v>1170</v>
      </c>
    </row>
    <row r="7156" spans="1:1" x14ac:dyDescent="0.2">
      <c r="A7156" t="s">
        <v>1171</v>
      </c>
    </row>
    <row r="7157" spans="1:1" x14ac:dyDescent="0.2">
      <c r="A7157" t="s">
        <v>1172</v>
      </c>
    </row>
    <row r="7158" spans="1:1" x14ac:dyDescent="0.2">
      <c r="A7158" t="s">
        <v>1173</v>
      </c>
    </row>
    <row r="7159" spans="1:1" x14ac:dyDescent="0.2">
      <c r="A7159" t="s">
        <v>1174</v>
      </c>
    </row>
    <row r="7160" spans="1:1" x14ac:dyDescent="0.2">
      <c r="A7160" t="s">
        <v>1175</v>
      </c>
    </row>
    <row r="7161" spans="1:1" x14ac:dyDescent="0.2">
      <c r="A7161" t="s">
        <v>1176</v>
      </c>
    </row>
    <row r="7162" spans="1:1" x14ac:dyDescent="0.2">
      <c r="A7162" t="s">
        <v>1177</v>
      </c>
    </row>
    <row r="7163" spans="1:1" x14ac:dyDescent="0.2">
      <c r="A7163" t="s">
        <v>1178</v>
      </c>
    </row>
    <row r="7164" spans="1:1" x14ac:dyDescent="0.2">
      <c r="A7164" t="s">
        <v>1179</v>
      </c>
    </row>
    <row r="7165" spans="1:1" x14ac:dyDescent="0.2">
      <c r="A7165" t="s">
        <v>1180</v>
      </c>
    </row>
    <row r="7166" spans="1:1" x14ac:dyDescent="0.2">
      <c r="A7166" t="s">
        <v>1181</v>
      </c>
    </row>
    <row r="7167" spans="1:1" x14ac:dyDescent="0.2">
      <c r="A7167" t="s">
        <v>1182</v>
      </c>
    </row>
    <row r="7168" spans="1:1" x14ac:dyDescent="0.2">
      <c r="A7168" t="s">
        <v>1183</v>
      </c>
    </row>
    <row r="7169" spans="1:1" x14ac:dyDescent="0.2">
      <c r="A7169" t="s">
        <v>1184</v>
      </c>
    </row>
    <row r="7170" spans="1:1" x14ac:dyDescent="0.2">
      <c r="A7170" t="s">
        <v>1185</v>
      </c>
    </row>
    <row r="7171" spans="1:1" x14ac:dyDescent="0.2">
      <c r="A7171" t="s">
        <v>1186</v>
      </c>
    </row>
    <row r="7172" spans="1:1" x14ac:dyDescent="0.2">
      <c r="A7172" t="s">
        <v>1187</v>
      </c>
    </row>
    <row r="7173" spans="1:1" x14ac:dyDescent="0.2">
      <c r="A7173" t="s">
        <v>1188</v>
      </c>
    </row>
    <row r="7174" spans="1:1" x14ac:dyDescent="0.2">
      <c r="A7174" t="s">
        <v>1189</v>
      </c>
    </row>
    <row r="7175" spans="1:1" x14ac:dyDescent="0.2">
      <c r="A7175" t="s">
        <v>1190</v>
      </c>
    </row>
    <row r="7176" spans="1:1" x14ac:dyDescent="0.2">
      <c r="A7176" t="s">
        <v>1191</v>
      </c>
    </row>
    <row r="7177" spans="1:1" x14ac:dyDescent="0.2">
      <c r="A7177" t="s">
        <v>1192</v>
      </c>
    </row>
    <row r="7178" spans="1:1" x14ac:dyDescent="0.2">
      <c r="A7178" t="s">
        <v>1193</v>
      </c>
    </row>
    <row r="7179" spans="1:1" x14ac:dyDescent="0.2">
      <c r="A7179" t="s">
        <v>1194</v>
      </c>
    </row>
    <row r="7180" spans="1:1" x14ac:dyDescent="0.2">
      <c r="A7180" t="s">
        <v>1195</v>
      </c>
    </row>
    <row r="7181" spans="1:1" x14ac:dyDescent="0.2">
      <c r="A7181" t="s">
        <v>1196</v>
      </c>
    </row>
    <row r="7182" spans="1:1" x14ac:dyDescent="0.2">
      <c r="A7182" t="s">
        <v>1197</v>
      </c>
    </row>
    <row r="7183" spans="1:1" x14ac:dyDescent="0.2">
      <c r="A7183" t="s">
        <v>1198</v>
      </c>
    </row>
    <row r="7184" spans="1:1" x14ac:dyDescent="0.2">
      <c r="A7184" t="s">
        <v>1199</v>
      </c>
    </row>
    <row r="7185" spans="1:1" x14ac:dyDescent="0.2">
      <c r="A7185" t="s">
        <v>1200</v>
      </c>
    </row>
    <row r="7186" spans="1:1" x14ac:dyDescent="0.2">
      <c r="A7186" t="s">
        <v>1201</v>
      </c>
    </row>
    <row r="7187" spans="1:1" x14ac:dyDescent="0.2">
      <c r="A7187" t="s">
        <v>1202</v>
      </c>
    </row>
    <row r="7188" spans="1:1" x14ac:dyDescent="0.2">
      <c r="A7188" t="s">
        <v>1203</v>
      </c>
    </row>
    <row r="7189" spans="1:1" x14ac:dyDescent="0.2">
      <c r="A7189" t="s">
        <v>1204</v>
      </c>
    </row>
    <row r="7190" spans="1:1" x14ac:dyDescent="0.2">
      <c r="A7190" t="s">
        <v>1205</v>
      </c>
    </row>
    <row r="7191" spans="1:1" x14ac:dyDescent="0.2">
      <c r="A7191" t="s">
        <v>1206</v>
      </c>
    </row>
    <row r="7192" spans="1:1" x14ac:dyDescent="0.2">
      <c r="A7192" t="s">
        <v>1207</v>
      </c>
    </row>
    <row r="7193" spans="1:1" x14ac:dyDescent="0.2">
      <c r="A7193" t="s">
        <v>1208</v>
      </c>
    </row>
    <row r="7194" spans="1:1" x14ac:dyDescent="0.2">
      <c r="A7194" t="s">
        <v>1209</v>
      </c>
    </row>
    <row r="7195" spans="1:1" x14ac:dyDescent="0.2">
      <c r="A7195" t="s">
        <v>1210</v>
      </c>
    </row>
    <row r="7196" spans="1:1" x14ac:dyDescent="0.2">
      <c r="A7196" t="s">
        <v>1211</v>
      </c>
    </row>
    <row r="7197" spans="1:1" x14ac:dyDescent="0.2">
      <c r="A7197" t="s">
        <v>1212</v>
      </c>
    </row>
    <row r="7198" spans="1:1" x14ac:dyDescent="0.2">
      <c r="A7198" t="s">
        <v>1213</v>
      </c>
    </row>
    <row r="7199" spans="1:1" x14ac:dyDescent="0.2">
      <c r="A7199" t="s">
        <v>1214</v>
      </c>
    </row>
    <row r="7200" spans="1:1" x14ac:dyDescent="0.2">
      <c r="A7200" t="s">
        <v>1215</v>
      </c>
    </row>
    <row r="7201" spans="1:1" x14ac:dyDescent="0.2">
      <c r="A7201" t="s">
        <v>1216</v>
      </c>
    </row>
    <row r="7202" spans="1:1" x14ac:dyDescent="0.2">
      <c r="A7202" t="s">
        <v>1217</v>
      </c>
    </row>
    <row r="7203" spans="1:1" x14ac:dyDescent="0.2">
      <c r="A7203" t="s">
        <v>1218</v>
      </c>
    </row>
    <row r="7204" spans="1:1" x14ac:dyDescent="0.2">
      <c r="A7204" t="s">
        <v>1219</v>
      </c>
    </row>
    <row r="7205" spans="1:1" x14ac:dyDescent="0.2">
      <c r="A7205" t="s">
        <v>1220</v>
      </c>
    </row>
    <row r="7206" spans="1:1" x14ac:dyDescent="0.2">
      <c r="A7206" t="s">
        <v>1221</v>
      </c>
    </row>
    <row r="7207" spans="1:1" x14ac:dyDescent="0.2">
      <c r="A7207" t="s">
        <v>1222</v>
      </c>
    </row>
    <row r="7208" spans="1:1" x14ac:dyDescent="0.2">
      <c r="A7208" t="s">
        <v>1223</v>
      </c>
    </row>
    <row r="7209" spans="1:1" x14ac:dyDescent="0.2">
      <c r="A7209" t="s">
        <v>1224</v>
      </c>
    </row>
    <row r="7210" spans="1:1" x14ac:dyDescent="0.2">
      <c r="A7210" t="s">
        <v>1225</v>
      </c>
    </row>
    <row r="7211" spans="1:1" x14ac:dyDescent="0.2">
      <c r="A7211" t="s">
        <v>1226</v>
      </c>
    </row>
    <row r="7212" spans="1:1" x14ac:dyDescent="0.2">
      <c r="A7212" t="s">
        <v>1227</v>
      </c>
    </row>
    <row r="7213" spans="1:1" x14ac:dyDescent="0.2">
      <c r="A7213" t="s">
        <v>1228</v>
      </c>
    </row>
    <row r="7214" spans="1:1" x14ac:dyDescent="0.2">
      <c r="A7214" t="s">
        <v>1229</v>
      </c>
    </row>
    <row r="7215" spans="1:1" x14ac:dyDescent="0.2">
      <c r="A7215" t="s">
        <v>1230</v>
      </c>
    </row>
    <row r="7216" spans="1:1" x14ac:dyDescent="0.2">
      <c r="A7216" t="s">
        <v>1231</v>
      </c>
    </row>
    <row r="7217" spans="1:1" x14ac:dyDescent="0.2">
      <c r="A7217" t="s">
        <v>1232</v>
      </c>
    </row>
    <row r="7218" spans="1:1" x14ac:dyDescent="0.2">
      <c r="A7218" t="s">
        <v>1233</v>
      </c>
    </row>
    <row r="7219" spans="1:1" x14ac:dyDescent="0.2">
      <c r="A7219" t="s">
        <v>1234</v>
      </c>
    </row>
    <row r="7220" spans="1:1" x14ac:dyDescent="0.2">
      <c r="A7220" t="s">
        <v>1235</v>
      </c>
    </row>
    <row r="7221" spans="1:1" x14ac:dyDescent="0.2">
      <c r="A7221" t="s">
        <v>1236</v>
      </c>
    </row>
    <row r="7222" spans="1:1" x14ac:dyDescent="0.2">
      <c r="A7222" t="s">
        <v>1237</v>
      </c>
    </row>
    <row r="7223" spans="1:1" x14ac:dyDescent="0.2">
      <c r="A7223" t="s">
        <v>1238</v>
      </c>
    </row>
    <row r="7224" spans="1:1" x14ac:dyDescent="0.2">
      <c r="A7224" t="s">
        <v>1239</v>
      </c>
    </row>
    <row r="7225" spans="1:1" x14ac:dyDescent="0.2">
      <c r="A7225" t="s">
        <v>1240</v>
      </c>
    </row>
    <row r="7226" spans="1:1" x14ac:dyDescent="0.2">
      <c r="A7226" t="s">
        <v>1241</v>
      </c>
    </row>
    <row r="7227" spans="1:1" x14ac:dyDescent="0.2">
      <c r="A7227" t="s">
        <v>1242</v>
      </c>
    </row>
    <row r="7228" spans="1:1" x14ac:dyDescent="0.2">
      <c r="A7228" t="s">
        <v>1243</v>
      </c>
    </row>
    <row r="7229" spans="1:1" x14ac:dyDescent="0.2">
      <c r="A7229" t="s">
        <v>1244</v>
      </c>
    </row>
    <row r="7230" spans="1:1" x14ac:dyDescent="0.2">
      <c r="A7230" t="s">
        <v>1245</v>
      </c>
    </row>
    <row r="7231" spans="1:1" x14ac:dyDescent="0.2">
      <c r="A7231" t="s">
        <v>1246</v>
      </c>
    </row>
    <row r="7232" spans="1:1" x14ac:dyDescent="0.2">
      <c r="A7232" t="s">
        <v>1247</v>
      </c>
    </row>
    <row r="7233" spans="1:1" x14ac:dyDescent="0.2">
      <c r="A7233" t="s">
        <v>1248</v>
      </c>
    </row>
    <row r="7234" spans="1:1" x14ac:dyDescent="0.2">
      <c r="A7234" t="s">
        <v>1249</v>
      </c>
    </row>
    <row r="7235" spans="1:1" x14ac:dyDescent="0.2">
      <c r="A7235" t="s">
        <v>1250</v>
      </c>
    </row>
    <row r="7236" spans="1:1" x14ac:dyDescent="0.2">
      <c r="A7236" t="s">
        <v>1251</v>
      </c>
    </row>
    <row r="7237" spans="1:1" x14ac:dyDescent="0.2">
      <c r="A7237" t="s">
        <v>1252</v>
      </c>
    </row>
    <row r="7238" spans="1:1" x14ac:dyDescent="0.2">
      <c r="A7238" t="s">
        <v>1253</v>
      </c>
    </row>
    <row r="7239" spans="1:1" x14ac:dyDescent="0.2">
      <c r="A7239" t="s">
        <v>1254</v>
      </c>
    </row>
    <row r="7240" spans="1:1" x14ac:dyDescent="0.2">
      <c r="A7240" t="s">
        <v>1255</v>
      </c>
    </row>
    <row r="7241" spans="1:1" x14ac:dyDescent="0.2">
      <c r="A7241" t="s">
        <v>1256</v>
      </c>
    </row>
    <row r="7242" spans="1:1" x14ac:dyDescent="0.2">
      <c r="A7242" t="s">
        <v>1257</v>
      </c>
    </row>
    <row r="7243" spans="1:1" x14ac:dyDescent="0.2">
      <c r="A7243" t="s">
        <v>1258</v>
      </c>
    </row>
    <row r="7244" spans="1:1" x14ac:dyDescent="0.2">
      <c r="A7244" t="s">
        <v>1259</v>
      </c>
    </row>
    <row r="7245" spans="1:1" x14ac:dyDescent="0.2">
      <c r="A7245" t="s">
        <v>1260</v>
      </c>
    </row>
    <row r="7246" spans="1:1" x14ac:dyDescent="0.2">
      <c r="A7246" t="s">
        <v>1261</v>
      </c>
    </row>
    <row r="7247" spans="1:1" x14ac:dyDescent="0.2">
      <c r="A7247" t="s">
        <v>1262</v>
      </c>
    </row>
    <row r="7248" spans="1:1" x14ac:dyDescent="0.2">
      <c r="A7248" t="s">
        <v>1263</v>
      </c>
    </row>
    <row r="7249" spans="1:1" x14ac:dyDescent="0.2">
      <c r="A7249" t="s">
        <v>1264</v>
      </c>
    </row>
    <row r="7250" spans="1:1" x14ac:dyDescent="0.2">
      <c r="A7250" t="s">
        <v>1265</v>
      </c>
    </row>
    <row r="7251" spans="1:1" x14ac:dyDescent="0.2">
      <c r="A7251" t="s">
        <v>1266</v>
      </c>
    </row>
    <row r="7252" spans="1:1" x14ac:dyDescent="0.2">
      <c r="A7252" t="s">
        <v>1267</v>
      </c>
    </row>
    <row r="7253" spans="1:1" x14ac:dyDescent="0.2">
      <c r="A7253" t="s">
        <v>1268</v>
      </c>
    </row>
    <row r="7254" spans="1:1" x14ac:dyDescent="0.2">
      <c r="A7254" t="s">
        <v>1269</v>
      </c>
    </row>
    <row r="7255" spans="1:1" x14ac:dyDescent="0.2">
      <c r="A7255" t="s">
        <v>1270</v>
      </c>
    </row>
    <row r="7256" spans="1:1" x14ac:dyDescent="0.2">
      <c r="A7256" t="s">
        <v>1271</v>
      </c>
    </row>
    <row r="7257" spans="1:1" x14ac:dyDescent="0.2">
      <c r="A7257" t="s">
        <v>1272</v>
      </c>
    </row>
    <row r="7258" spans="1:1" x14ac:dyDescent="0.2">
      <c r="A7258" t="s">
        <v>1273</v>
      </c>
    </row>
    <row r="7259" spans="1:1" x14ac:dyDescent="0.2">
      <c r="A7259" t="s">
        <v>1274</v>
      </c>
    </row>
    <row r="7260" spans="1:1" x14ac:dyDescent="0.2">
      <c r="A7260" t="s">
        <v>1275</v>
      </c>
    </row>
    <row r="7261" spans="1:1" x14ac:dyDescent="0.2">
      <c r="A7261" t="s">
        <v>1276</v>
      </c>
    </row>
    <row r="7262" spans="1:1" x14ac:dyDescent="0.2">
      <c r="A7262" t="s">
        <v>1277</v>
      </c>
    </row>
    <row r="7263" spans="1:1" x14ac:dyDescent="0.2">
      <c r="A7263" t="s">
        <v>1278</v>
      </c>
    </row>
    <row r="7264" spans="1:1" x14ac:dyDescent="0.2">
      <c r="A7264" t="s">
        <v>1279</v>
      </c>
    </row>
    <row r="7265" spans="1:1" x14ac:dyDescent="0.2">
      <c r="A7265" t="s">
        <v>1280</v>
      </c>
    </row>
    <row r="7266" spans="1:1" x14ac:dyDescent="0.2">
      <c r="A7266" t="s">
        <v>1281</v>
      </c>
    </row>
    <row r="7267" spans="1:1" x14ac:dyDescent="0.2">
      <c r="A7267" t="s">
        <v>1282</v>
      </c>
    </row>
    <row r="7268" spans="1:1" x14ac:dyDescent="0.2">
      <c r="A7268" t="s">
        <v>1283</v>
      </c>
    </row>
    <row r="7269" spans="1:1" x14ac:dyDescent="0.2">
      <c r="A7269" t="s">
        <v>1284</v>
      </c>
    </row>
    <row r="7270" spans="1:1" x14ac:dyDescent="0.2">
      <c r="A7270" t="s">
        <v>1285</v>
      </c>
    </row>
    <row r="7271" spans="1:1" x14ac:dyDescent="0.2">
      <c r="A7271" t="s">
        <v>1286</v>
      </c>
    </row>
    <row r="7272" spans="1:1" x14ac:dyDescent="0.2">
      <c r="A7272" t="s">
        <v>2936</v>
      </c>
    </row>
    <row r="7273" spans="1:1" x14ac:dyDescent="0.2">
      <c r="A7273" t="s">
        <v>1053</v>
      </c>
    </row>
    <row r="7274" spans="1:1" x14ac:dyDescent="0.2">
      <c r="A7274" t="s">
        <v>2937</v>
      </c>
    </row>
    <row r="7275" spans="1:1" x14ac:dyDescent="0.2">
      <c r="A7275" t="s">
        <v>2768</v>
      </c>
    </row>
    <row r="7276" spans="1:1" x14ac:dyDescent="0.2">
      <c r="A7276" t="s">
        <v>2769</v>
      </c>
    </row>
    <row r="7277" spans="1:1" x14ac:dyDescent="0.2">
      <c r="A7277" t="s">
        <v>1054</v>
      </c>
    </row>
    <row r="7278" spans="1:1" x14ac:dyDescent="0.2">
      <c r="A7278" t="s">
        <v>1055</v>
      </c>
    </row>
    <row r="7279" spans="1:1" x14ac:dyDescent="0.2">
      <c r="A7279" t="s">
        <v>2938</v>
      </c>
    </row>
    <row r="7280" spans="1:1" x14ac:dyDescent="0.2">
      <c r="A7280" t="s">
        <v>1056</v>
      </c>
    </row>
    <row r="7281" spans="1:1" x14ac:dyDescent="0.2">
      <c r="A7281" t="s">
        <v>1057</v>
      </c>
    </row>
    <row r="7282" spans="1:1" x14ac:dyDescent="0.2">
      <c r="A7282" t="s">
        <v>1058</v>
      </c>
    </row>
    <row r="7283" spans="1:1" x14ac:dyDescent="0.2">
      <c r="A7283" t="s">
        <v>1059</v>
      </c>
    </row>
    <row r="7284" spans="1:1" x14ac:dyDescent="0.2">
      <c r="A7284" t="s">
        <v>1060</v>
      </c>
    </row>
    <row r="7285" spans="1:1" x14ac:dyDescent="0.2">
      <c r="A7285" t="s">
        <v>1061</v>
      </c>
    </row>
    <row r="7286" spans="1:1" x14ac:dyDescent="0.2">
      <c r="A7286" t="s">
        <v>1062</v>
      </c>
    </row>
    <row r="7287" spans="1:1" x14ac:dyDescent="0.2">
      <c r="A7287" t="s">
        <v>1063</v>
      </c>
    </row>
    <row r="7288" spans="1:1" x14ac:dyDescent="0.2">
      <c r="A7288" t="s">
        <v>1064</v>
      </c>
    </row>
    <row r="7289" spans="1:1" x14ac:dyDescent="0.2">
      <c r="A7289" t="s">
        <v>1065</v>
      </c>
    </row>
    <row r="7290" spans="1:1" x14ac:dyDescent="0.2">
      <c r="A7290" t="s">
        <v>1066</v>
      </c>
    </row>
    <row r="7291" spans="1:1" x14ac:dyDescent="0.2">
      <c r="A7291" t="s">
        <v>1067</v>
      </c>
    </row>
    <row r="7292" spans="1:1" x14ac:dyDescent="0.2">
      <c r="A7292" t="s">
        <v>1068</v>
      </c>
    </row>
    <row r="7293" spans="1:1" x14ac:dyDescent="0.2">
      <c r="A7293" t="s">
        <v>1069</v>
      </c>
    </row>
    <row r="7294" spans="1:1" x14ac:dyDescent="0.2">
      <c r="A7294" t="s">
        <v>1070</v>
      </c>
    </row>
    <row r="7295" spans="1:1" x14ac:dyDescent="0.2">
      <c r="A7295" t="s">
        <v>1071</v>
      </c>
    </row>
    <row r="7296" spans="1:1" x14ac:dyDescent="0.2">
      <c r="A7296" t="s">
        <v>1072</v>
      </c>
    </row>
    <row r="7297" spans="1:1" x14ac:dyDescent="0.2">
      <c r="A7297" t="s">
        <v>1073</v>
      </c>
    </row>
    <row r="7298" spans="1:1" x14ac:dyDescent="0.2">
      <c r="A7298" t="s">
        <v>1074</v>
      </c>
    </row>
    <row r="7299" spans="1:1" x14ac:dyDescent="0.2">
      <c r="A7299" t="s">
        <v>1075</v>
      </c>
    </row>
    <row r="7300" spans="1:1" x14ac:dyDescent="0.2">
      <c r="A7300" t="s">
        <v>1076</v>
      </c>
    </row>
    <row r="7301" spans="1:1" x14ac:dyDescent="0.2">
      <c r="A7301" t="s">
        <v>1077</v>
      </c>
    </row>
    <row r="7302" spans="1:1" x14ac:dyDescent="0.2">
      <c r="A7302" t="s">
        <v>1078</v>
      </c>
    </row>
    <row r="7303" spans="1:1" x14ac:dyDescent="0.2">
      <c r="A7303" t="s">
        <v>1079</v>
      </c>
    </row>
    <row r="7304" spans="1:1" x14ac:dyDescent="0.2">
      <c r="A7304" t="s">
        <v>1080</v>
      </c>
    </row>
    <row r="7305" spans="1:1" x14ac:dyDescent="0.2">
      <c r="A7305" t="s">
        <v>1081</v>
      </c>
    </row>
    <row r="7306" spans="1:1" x14ac:dyDescent="0.2">
      <c r="A7306" t="s">
        <v>1082</v>
      </c>
    </row>
    <row r="7307" spans="1:1" x14ac:dyDescent="0.2">
      <c r="A7307" t="s">
        <v>1083</v>
      </c>
    </row>
    <row r="7308" spans="1:1" x14ac:dyDescent="0.2">
      <c r="A7308" t="s">
        <v>2771</v>
      </c>
    </row>
    <row r="7309" spans="1:1" x14ac:dyDescent="0.2">
      <c r="A7309" t="s">
        <v>2772</v>
      </c>
    </row>
    <row r="7310" spans="1:1" x14ac:dyDescent="0.2">
      <c r="A7310" t="s">
        <v>2773</v>
      </c>
    </row>
    <row r="7311" spans="1:1" x14ac:dyDescent="0.2">
      <c r="A7311" t="s">
        <v>2774</v>
      </c>
    </row>
    <row r="7312" spans="1:1" x14ac:dyDescent="0.2">
      <c r="A7312" t="s">
        <v>2775</v>
      </c>
    </row>
    <row r="7313" spans="1:1" x14ac:dyDescent="0.2">
      <c r="A7313" t="s">
        <v>2776</v>
      </c>
    </row>
    <row r="7314" spans="1:1" x14ac:dyDescent="0.2">
      <c r="A7314" t="s">
        <v>1084</v>
      </c>
    </row>
    <row r="7315" spans="1:1" x14ac:dyDescent="0.2">
      <c r="A7315" t="s">
        <v>1085</v>
      </c>
    </row>
    <row r="7316" spans="1:1" x14ac:dyDescent="0.2">
      <c r="A7316" t="s">
        <v>1086</v>
      </c>
    </row>
    <row r="7317" spans="1:1" x14ac:dyDescent="0.2">
      <c r="A7317" t="s">
        <v>1087</v>
      </c>
    </row>
    <row r="7318" spans="1:1" x14ac:dyDescent="0.2">
      <c r="A7318" t="s">
        <v>1088</v>
      </c>
    </row>
    <row r="7319" spans="1:1" x14ac:dyDescent="0.2">
      <c r="A7319" t="s">
        <v>1089</v>
      </c>
    </row>
    <row r="7320" spans="1:1" x14ac:dyDescent="0.2">
      <c r="A7320" t="s">
        <v>1090</v>
      </c>
    </row>
    <row r="7321" spans="1:1" x14ac:dyDescent="0.2">
      <c r="A7321" t="s">
        <v>1091</v>
      </c>
    </row>
    <row r="7322" spans="1:1" x14ac:dyDescent="0.2">
      <c r="A7322" t="s">
        <v>1092</v>
      </c>
    </row>
    <row r="7323" spans="1:1" x14ac:dyDescent="0.2">
      <c r="A7323" t="s">
        <v>1093</v>
      </c>
    </row>
    <row r="7324" spans="1:1" x14ac:dyDescent="0.2">
      <c r="A7324" t="s">
        <v>1094</v>
      </c>
    </row>
    <row r="7325" spans="1:1" x14ac:dyDescent="0.2">
      <c r="A7325" t="s">
        <v>1095</v>
      </c>
    </row>
    <row r="7326" spans="1:1" x14ac:dyDescent="0.2">
      <c r="A7326" t="s">
        <v>1096</v>
      </c>
    </row>
    <row r="7327" spans="1:1" x14ac:dyDescent="0.2">
      <c r="A7327" t="s">
        <v>1097</v>
      </c>
    </row>
    <row r="7328" spans="1:1" x14ac:dyDescent="0.2">
      <c r="A7328" t="s">
        <v>1098</v>
      </c>
    </row>
    <row r="7329" spans="1:1" x14ac:dyDescent="0.2">
      <c r="A7329" t="s">
        <v>1099</v>
      </c>
    </row>
    <row r="7330" spans="1:1" x14ac:dyDescent="0.2">
      <c r="A7330" t="s">
        <v>1100</v>
      </c>
    </row>
    <row r="7331" spans="1:1" x14ac:dyDescent="0.2">
      <c r="A7331" t="s">
        <v>1101</v>
      </c>
    </row>
    <row r="7332" spans="1:1" x14ac:dyDescent="0.2">
      <c r="A7332" t="s">
        <v>1102</v>
      </c>
    </row>
    <row r="7333" spans="1:1" x14ac:dyDescent="0.2">
      <c r="A7333" t="s">
        <v>1103</v>
      </c>
    </row>
    <row r="7334" spans="1:1" x14ac:dyDescent="0.2">
      <c r="A7334" t="s">
        <v>1104</v>
      </c>
    </row>
    <row r="7335" spans="1:1" x14ac:dyDescent="0.2">
      <c r="A7335" t="s">
        <v>1105</v>
      </c>
    </row>
    <row r="7336" spans="1:1" x14ac:dyDescent="0.2">
      <c r="A7336" t="s">
        <v>1106</v>
      </c>
    </row>
    <row r="7337" spans="1:1" x14ac:dyDescent="0.2">
      <c r="A7337" t="s">
        <v>1107</v>
      </c>
    </row>
    <row r="7338" spans="1:1" x14ac:dyDescent="0.2">
      <c r="A7338" t="s">
        <v>1108</v>
      </c>
    </row>
    <row r="7339" spans="1:1" x14ac:dyDescent="0.2">
      <c r="A7339" t="s">
        <v>1109</v>
      </c>
    </row>
    <row r="7340" spans="1:1" x14ac:dyDescent="0.2">
      <c r="A7340" t="s">
        <v>1110</v>
      </c>
    </row>
    <row r="7341" spans="1:1" x14ac:dyDescent="0.2">
      <c r="A7341" t="s">
        <v>1111</v>
      </c>
    </row>
    <row r="7342" spans="1:1" x14ac:dyDescent="0.2">
      <c r="A7342" t="s">
        <v>1112</v>
      </c>
    </row>
    <row r="7343" spans="1:1" x14ac:dyDescent="0.2">
      <c r="A7343" t="s">
        <v>1113</v>
      </c>
    </row>
    <row r="7344" spans="1:1" x14ac:dyDescent="0.2">
      <c r="A7344" t="s">
        <v>1114</v>
      </c>
    </row>
    <row r="7345" spans="1:1" x14ac:dyDescent="0.2">
      <c r="A7345" t="s">
        <v>1115</v>
      </c>
    </row>
    <row r="7346" spans="1:1" x14ac:dyDescent="0.2">
      <c r="A7346" t="s">
        <v>1116</v>
      </c>
    </row>
    <row r="7347" spans="1:1" x14ac:dyDescent="0.2">
      <c r="A7347" t="s">
        <v>1117</v>
      </c>
    </row>
    <row r="7348" spans="1:1" x14ac:dyDescent="0.2">
      <c r="A7348" t="s">
        <v>1118</v>
      </c>
    </row>
    <row r="7349" spans="1:1" x14ac:dyDescent="0.2">
      <c r="A7349" t="s">
        <v>1119</v>
      </c>
    </row>
    <row r="7350" spans="1:1" x14ac:dyDescent="0.2">
      <c r="A7350" t="s">
        <v>1120</v>
      </c>
    </row>
    <row r="7351" spans="1:1" x14ac:dyDescent="0.2">
      <c r="A7351" t="s">
        <v>1288</v>
      </c>
    </row>
    <row r="7352" spans="1:1" x14ac:dyDescent="0.2">
      <c r="A7352" t="s">
        <v>2939</v>
      </c>
    </row>
    <row r="7353" spans="1:1" x14ac:dyDescent="0.2">
      <c r="A7353" t="s">
        <v>2940</v>
      </c>
    </row>
    <row r="7354" spans="1:1" x14ac:dyDescent="0.2">
      <c r="A7354" t="s">
        <v>2933</v>
      </c>
    </row>
    <row r="7355" spans="1:1" x14ac:dyDescent="0.2">
      <c r="A7355" t="s">
        <v>2934</v>
      </c>
    </row>
    <row r="7356" spans="1:1" x14ac:dyDescent="0.2">
      <c r="A7356" t="s">
        <v>1289</v>
      </c>
    </row>
    <row r="7357" spans="1:1" x14ac:dyDescent="0.2">
      <c r="A7357" t="s">
        <v>2781</v>
      </c>
    </row>
    <row r="7358" spans="1:1" x14ac:dyDescent="0.2">
      <c r="A7358" t="s">
        <v>2941</v>
      </c>
    </row>
    <row r="7359" spans="1:1" x14ac:dyDescent="0.2">
      <c r="A7359" t="s">
        <v>1122</v>
      </c>
    </row>
    <row r="7360" spans="1:1" x14ac:dyDescent="0.2">
      <c r="A7360" t="s">
        <v>1123</v>
      </c>
    </row>
    <row r="7361" spans="1:1" x14ac:dyDescent="0.2">
      <c r="A7361" t="s">
        <v>1124</v>
      </c>
    </row>
    <row r="7362" spans="1:1" x14ac:dyDescent="0.2">
      <c r="A7362" t="s">
        <v>1125</v>
      </c>
    </row>
    <row r="7363" spans="1:1" x14ac:dyDescent="0.2">
      <c r="A7363" t="s">
        <v>1126</v>
      </c>
    </row>
    <row r="7364" spans="1:1" x14ac:dyDescent="0.2">
      <c r="A7364" t="s">
        <v>1127</v>
      </c>
    </row>
    <row r="7365" spans="1:1" x14ac:dyDescent="0.2">
      <c r="A7365" t="s">
        <v>1128</v>
      </c>
    </row>
    <row r="7366" spans="1:1" x14ac:dyDescent="0.2">
      <c r="A7366" t="s">
        <v>1129</v>
      </c>
    </row>
    <row r="7367" spans="1:1" x14ac:dyDescent="0.2">
      <c r="A7367" t="s">
        <v>1130</v>
      </c>
    </row>
    <row r="7368" spans="1:1" x14ac:dyDescent="0.2">
      <c r="A7368" t="s">
        <v>1131</v>
      </c>
    </row>
    <row r="7369" spans="1:1" x14ac:dyDescent="0.2">
      <c r="A7369" t="s">
        <v>1132</v>
      </c>
    </row>
    <row r="7370" spans="1:1" x14ac:dyDescent="0.2">
      <c r="A7370" t="s">
        <v>1133</v>
      </c>
    </row>
    <row r="7371" spans="1:1" x14ac:dyDescent="0.2">
      <c r="A7371" t="s">
        <v>1134</v>
      </c>
    </row>
    <row r="7372" spans="1:1" x14ac:dyDescent="0.2">
      <c r="A7372" t="s">
        <v>1135</v>
      </c>
    </row>
    <row r="7373" spans="1:1" x14ac:dyDescent="0.2">
      <c r="A7373" t="s">
        <v>1136</v>
      </c>
    </row>
    <row r="7374" spans="1:1" x14ac:dyDescent="0.2">
      <c r="A7374" t="s">
        <v>1137</v>
      </c>
    </row>
    <row r="7375" spans="1:1" x14ac:dyDescent="0.2">
      <c r="A7375" t="s">
        <v>1138</v>
      </c>
    </row>
    <row r="7376" spans="1:1" x14ac:dyDescent="0.2">
      <c r="A7376" t="s">
        <v>1139</v>
      </c>
    </row>
    <row r="7377" spans="1:1" x14ac:dyDescent="0.2">
      <c r="A7377" t="s">
        <v>1140</v>
      </c>
    </row>
    <row r="7378" spans="1:1" x14ac:dyDescent="0.2">
      <c r="A7378" t="s">
        <v>1141</v>
      </c>
    </row>
    <row r="7379" spans="1:1" x14ac:dyDescent="0.2">
      <c r="A7379" t="s">
        <v>1142</v>
      </c>
    </row>
    <row r="7380" spans="1:1" x14ac:dyDescent="0.2">
      <c r="A7380" t="s">
        <v>1143</v>
      </c>
    </row>
    <row r="7381" spans="1:1" x14ac:dyDescent="0.2">
      <c r="A7381" t="s">
        <v>1144</v>
      </c>
    </row>
    <row r="7382" spans="1:1" x14ac:dyDescent="0.2">
      <c r="A7382" t="s">
        <v>1145</v>
      </c>
    </row>
    <row r="7383" spans="1:1" x14ac:dyDescent="0.2">
      <c r="A7383" t="s">
        <v>1146</v>
      </c>
    </row>
    <row r="7384" spans="1:1" x14ac:dyDescent="0.2">
      <c r="A7384" t="s">
        <v>1147</v>
      </c>
    </row>
    <row r="7385" spans="1:1" x14ac:dyDescent="0.2">
      <c r="A7385" t="s">
        <v>1148</v>
      </c>
    </row>
    <row r="7386" spans="1:1" x14ac:dyDescent="0.2">
      <c r="A7386" t="s">
        <v>1149</v>
      </c>
    </row>
    <row r="7387" spans="1:1" x14ac:dyDescent="0.2">
      <c r="A7387" t="s">
        <v>1150</v>
      </c>
    </row>
    <row r="7388" spans="1:1" x14ac:dyDescent="0.2">
      <c r="A7388" t="s">
        <v>1151</v>
      </c>
    </row>
    <row r="7389" spans="1:1" x14ac:dyDescent="0.2">
      <c r="A7389" t="s">
        <v>1152</v>
      </c>
    </row>
    <row r="7390" spans="1:1" x14ac:dyDescent="0.2">
      <c r="A7390" t="s">
        <v>1153</v>
      </c>
    </row>
    <row r="7391" spans="1:1" x14ac:dyDescent="0.2">
      <c r="A7391" t="s">
        <v>1154</v>
      </c>
    </row>
    <row r="7392" spans="1:1" x14ac:dyDescent="0.2">
      <c r="A7392" t="s">
        <v>1155</v>
      </c>
    </row>
    <row r="7393" spans="1:1" x14ac:dyDescent="0.2">
      <c r="A7393" t="s">
        <v>1156</v>
      </c>
    </row>
    <row r="7394" spans="1:1" x14ac:dyDescent="0.2">
      <c r="A7394" t="s">
        <v>1157</v>
      </c>
    </row>
    <row r="7395" spans="1:1" x14ac:dyDescent="0.2">
      <c r="A7395" t="s">
        <v>1158</v>
      </c>
    </row>
    <row r="7396" spans="1:1" x14ac:dyDescent="0.2">
      <c r="A7396" t="s">
        <v>1159</v>
      </c>
    </row>
    <row r="7397" spans="1:1" x14ac:dyDescent="0.2">
      <c r="A7397" t="s">
        <v>1160</v>
      </c>
    </row>
    <row r="7398" spans="1:1" x14ac:dyDescent="0.2">
      <c r="A7398" t="s">
        <v>1161</v>
      </c>
    </row>
    <row r="7399" spans="1:1" x14ac:dyDescent="0.2">
      <c r="A7399" t="s">
        <v>1162</v>
      </c>
    </row>
    <row r="7400" spans="1:1" x14ac:dyDescent="0.2">
      <c r="A7400" t="s">
        <v>1163</v>
      </c>
    </row>
    <row r="7401" spans="1:1" x14ac:dyDescent="0.2">
      <c r="A7401" t="s">
        <v>1164</v>
      </c>
    </row>
    <row r="7402" spans="1:1" x14ac:dyDescent="0.2">
      <c r="A7402" t="s">
        <v>1165</v>
      </c>
    </row>
    <row r="7403" spans="1:1" x14ac:dyDescent="0.2">
      <c r="A7403" t="s">
        <v>1166</v>
      </c>
    </row>
    <row r="7404" spans="1:1" x14ac:dyDescent="0.2">
      <c r="A7404" t="s">
        <v>1167</v>
      </c>
    </row>
    <row r="7405" spans="1:1" x14ac:dyDescent="0.2">
      <c r="A7405" t="s">
        <v>1168</v>
      </c>
    </row>
    <row r="7406" spans="1:1" x14ac:dyDescent="0.2">
      <c r="A7406" t="s">
        <v>1169</v>
      </c>
    </row>
    <row r="7407" spans="1:1" x14ac:dyDescent="0.2">
      <c r="A7407" t="s">
        <v>1170</v>
      </c>
    </row>
    <row r="7408" spans="1:1" x14ac:dyDescent="0.2">
      <c r="A7408" t="s">
        <v>1171</v>
      </c>
    </row>
    <row r="7409" spans="1:1" x14ac:dyDescent="0.2">
      <c r="A7409" t="s">
        <v>1172</v>
      </c>
    </row>
    <row r="7410" spans="1:1" x14ac:dyDescent="0.2">
      <c r="A7410" t="s">
        <v>1173</v>
      </c>
    </row>
    <row r="7411" spans="1:1" x14ac:dyDescent="0.2">
      <c r="A7411" t="s">
        <v>1174</v>
      </c>
    </row>
    <row r="7412" spans="1:1" x14ac:dyDescent="0.2">
      <c r="A7412" t="s">
        <v>1175</v>
      </c>
    </row>
    <row r="7413" spans="1:1" x14ac:dyDescent="0.2">
      <c r="A7413" t="s">
        <v>1176</v>
      </c>
    </row>
    <row r="7414" spans="1:1" x14ac:dyDescent="0.2">
      <c r="A7414" t="s">
        <v>1177</v>
      </c>
    </row>
    <row r="7415" spans="1:1" x14ac:dyDescent="0.2">
      <c r="A7415" t="s">
        <v>1178</v>
      </c>
    </row>
    <row r="7416" spans="1:1" x14ac:dyDescent="0.2">
      <c r="A7416" t="s">
        <v>1179</v>
      </c>
    </row>
    <row r="7417" spans="1:1" x14ac:dyDescent="0.2">
      <c r="A7417" t="s">
        <v>1180</v>
      </c>
    </row>
    <row r="7418" spans="1:1" x14ac:dyDescent="0.2">
      <c r="A7418" t="s">
        <v>1181</v>
      </c>
    </row>
    <row r="7419" spans="1:1" x14ac:dyDescent="0.2">
      <c r="A7419" t="s">
        <v>1182</v>
      </c>
    </row>
    <row r="7420" spans="1:1" x14ac:dyDescent="0.2">
      <c r="A7420" t="s">
        <v>1183</v>
      </c>
    </row>
    <row r="7421" spans="1:1" x14ac:dyDescent="0.2">
      <c r="A7421" t="s">
        <v>1184</v>
      </c>
    </row>
    <row r="7422" spans="1:1" x14ac:dyDescent="0.2">
      <c r="A7422" t="s">
        <v>1185</v>
      </c>
    </row>
    <row r="7423" spans="1:1" x14ac:dyDescent="0.2">
      <c r="A7423" t="s">
        <v>1186</v>
      </c>
    </row>
    <row r="7424" spans="1:1" x14ac:dyDescent="0.2">
      <c r="A7424" t="s">
        <v>1187</v>
      </c>
    </row>
    <row r="7425" spans="1:1" x14ac:dyDescent="0.2">
      <c r="A7425" t="s">
        <v>1188</v>
      </c>
    </row>
    <row r="7426" spans="1:1" x14ac:dyDescent="0.2">
      <c r="A7426" t="s">
        <v>1189</v>
      </c>
    </row>
    <row r="7427" spans="1:1" x14ac:dyDescent="0.2">
      <c r="A7427" t="s">
        <v>1190</v>
      </c>
    </row>
    <row r="7428" spans="1:1" x14ac:dyDescent="0.2">
      <c r="A7428" t="s">
        <v>1191</v>
      </c>
    </row>
    <row r="7429" spans="1:1" x14ac:dyDescent="0.2">
      <c r="A7429" t="s">
        <v>1192</v>
      </c>
    </row>
    <row r="7430" spans="1:1" x14ac:dyDescent="0.2">
      <c r="A7430" t="s">
        <v>1193</v>
      </c>
    </row>
    <row r="7431" spans="1:1" x14ac:dyDescent="0.2">
      <c r="A7431" t="s">
        <v>1194</v>
      </c>
    </row>
    <row r="7432" spans="1:1" x14ac:dyDescent="0.2">
      <c r="A7432" t="s">
        <v>1195</v>
      </c>
    </row>
    <row r="7433" spans="1:1" x14ac:dyDescent="0.2">
      <c r="A7433" t="s">
        <v>1196</v>
      </c>
    </row>
    <row r="7434" spans="1:1" x14ac:dyDescent="0.2">
      <c r="A7434" t="s">
        <v>1197</v>
      </c>
    </row>
    <row r="7435" spans="1:1" x14ac:dyDescent="0.2">
      <c r="A7435" t="s">
        <v>1198</v>
      </c>
    </row>
    <row r="7436" spans="1:1" x14ac:dyDescent="0.2">
      <c r="A7436" t="s">
        <v>1199</v>
      </c>
    </row>
    <row r="7437" spans="1:1" x14ac:dyDescent="0.2">
      <c r="A7437" t="s">
        <v>1200</v>
      </c>
    </row>
    <row r="7438" spans="1:1" x14ac:dyDescent="0.2">
      <c r="A7438" t="s">
        <v>1201</v>
      </c>
    </row>
    <row r="7439" spans="1:1" x14ac:dyDescent="0.2">
      <c r="A7439" t="s">
        <v>1202</v>
      </c>
    </row>
    <row r="7440" spans="1:1" x14ac:dyDescent="0.2">
      <c r="A7440" t="s">
        <v>1203</v>
      </c>
    </row>
    <row r="7441" spans="1:1" x14ac:dyDescent="0.2">
      <c r="A7441" t="s">
        <v>1204</v>
      </c>
    </row>
    <row r="7442" spans="1:1" x14ac:dyDescent="0.2">
      <c r="A7442" t="s">
        <v>1205</v>
      </c>
    </row>
    <row r="7443" spans="1:1" x14ac:dyDescent="0.2">
      <c r="A7443" t="s">
        <v>1206</v>
      </c>
    </row>
    <row r="7444" spans="1:1" x14ac:dyDescent="0.2">
      <c r="A7444" t="s">
        <v>1207</v>
      </c>
    </row>
    <row r="7445" spans="1:1" x14ac:dyDescent="0.2">
      <c r="A7445" t="s">
        <v>1208</v>
      </c>
    </row>
    <row r="7446" spans="1:1" x14ac:dyDescent="0.2">
      <c r="A7446" t="s">
        <v>1209</v>
      </c>
    </row>
    <row r="7447" spans="1:1" x14ac:dyDescent="0.2">
      <c r="A7447" t="s">
        <v>1210</v>
      </c>
    </row>
    <row r="7448" spans="1:1" x14ac:dyDescent="0.2">
      <c r="A7448" t="s">
        <v>1211</v>
      </c>
    </row>
    <row r="7449" spans="1:1" x14ac:dyDescent="0.2">
      <c r="A7449" t="s">
        <v>1212</v>
      </c>
    </row>
    <row r="7450" spans="1:1" x14ac:dyDescent="0.2">
      <c r="A7450" t="s">
        <v>1213</v>
      </c>
    </row>
    <row r="7451" spans="1:1" x14ac:dyDescent="0.2">
      <c r="A7451" t="s">
        <v>1214</v>
      </c>
    </row>
    <row r="7452" spans="1:1" x14ac:dyDescent="0.2">
      <c r="A7452" t="s">
        <v>1215</v>
      </c>
    </row>
    <row r="7453" spans="1:1" x14ac:dyDescent="0.2">
      <c r="A7453" t="s">
        <v>1216</v>
      </c>
    </row>
    <row r="7454" spans="1:1" x14ac:dyDescent="0.2">
      <c r="A7454" t="s">
        <v>1217</v>
      </c>
    </row>
    <row r="7455" spans="1:1" x14ac:dyDescent="0.2">
      <c r="A7455" t="s">
        <v>1218</v>
      </c>
    </row>
    <row r="7456" spans="1:1" x14ac:dyDescent="0.2">
      <c r="A7456" t="s">
        <v>1219</v>
      </c>
    </row>
    <row r="7457" spans="1:1" x14ac:dyDescent="0.2">
      <c r="A7457" t="s">
        <v>1220</v>
      </c>
    </row>
    <row r="7458" spans="1:1" x14ac:dyDescent="0.2">
      <c r="A7458" t="s">
        <v>1221</v>
      </c>
    </row>
    <row r="7459" spans="1:1" x14ac:dyDescent="0.2">
      <c r="A7459" t="s">
        <v>1222</v>
      </c>
    </row>
    <row r="7460" spans="1:1" x14ac:dyDescent="0.2">
      <c r="A7460" t="s">
        <v>1223</v>
      </c>
    </row>
    <row r="7461" spans="1:1" x14ac:dyDescent="0.2">
      <c r="A7461" t="s">
        <v>1224</v>
      </c>
    </row>
    <row r="7462" spans="1:1" x14ac:dyDescent="0.2">
      <c r="A7462" t="s">
        <v>1225</v>
      </c>
    </row>
    <row r="7463" spans="1:1" x14ac:dyDescent="0.2">
      <c r="A7463" t="s">
        <v>1226</v>
      </c>
    </row>
    <row r="7464" spans="1:1" x14ac:dyDescent="0.2">
      <c r="A7464" t="s">
        <v>1227</v>
      </c>
    </row>
    <row r="7465" spans="1:1" x14ac:dyDescent="0.2">
      <c r="A7465" t="s">
        <v>1228</v>
      </c>
    </row>
    <row r="7466" spans="1:1" x14ac:dyDescent="0.2">
      <c r="A7466" t="s">
        <v>1229</v>
      </c>
    </row>
    <row r="7467" spans="1:1" x14ac:dyDescent="0.2">
      <c r="A7467" t="s">
        <v>1230</v>
      </c>
    </row>
    <row r="7468" spans="1:1" x14ac:dyDescent="0.2">
      <c r="A7468" t="s">
        <v>1231</v>
      </c>
    </row>
    <row r="7469" spans="1:1" x14ac:dyDescent="0.2">
      <c r="A7469" t="s">
        <v>1232</v>
      </c>
    </row>
    <row r="7470" spans="1:1" x14ac:dyDescent="0.2">
      <c r="A7470" t="s">
        <v>1233</v>
      </c>
    </row>
    <row r="7471" spans="1:1" x14ac:dyDescent="0.2">
      <c r="A7471" t="s">
        <v>1234</v>
      </c>
    </row>
    <row r="7472" spans="1:1" x14ac:dyDescent="0.2">
      <c r="A7472" t="s">
        <v>1235</v>
      </c>
    </row>
    <row r="7473" spans="1:1" x14ac:dyDescent="0.2">
      <c r="A7473" t="s">
        <v>1236</v>
      </c>
    </row>
    <row r="7474" spans="1:1" x14ac:dyDescent="0.2">
      <c r="A7474" t="s">
        <v>1237</v>
      </c>
    </row>
    <row r="7475" spans="1:1" x14ac:dyDescent="0.2">
      <c r="A7475" t="s">
        <v>1238</v>
      </c>
    </row>
    <row r="7476" spans="1:1" x14ac:dyDescent="0.2">
      <c r="A7476" t="s">
        <v>1239</v>
      </c>
    </row>
    <row r="7477" spans="1:1" x14ac:dyDescent="0.2">
      <c r="A7477" t="s">
        <v>1240</v>
      </c>
    </row>
    <row r="7478" spans="1:1" x14ac:dyDescent="0.2">
      <c r="A7478" t="s">
        <v>1241</v>
      </c>
    </row>
    <row r="7479" spans="1:1" x14ac:dyDescent="0.2">
      <c r="A7479" t="s">
        <v>1242</v>
      </c>
    </row>
    <row r="7480" spans="1:1" x14ac:dyDescent="0.2">
      <c r="A7480" t="s">
        <v>1243</v>
      </c>
    </row>
    <row r="7481" spans="1:1" x14ac:dyDescent="0.2">
      <c r="A7481" t="s">
        <v>1244</v>
      </c>
    </row>
    <row r="7482" spans="1:1" x14ac:dyDescent="0.2">
      <c r="A7482" t="s">
        <v>1245</v>
      </c>
    </row>
    <row r="7483" spans="1:1" x14ac:dyDescent="0.2">
      <c r="A7483" t="s">
        <v>1246</v>
      </c>
    </row>
    <row r="7484" spans="1:1" x14ac:dyDescent="0.2">
      <c r="A7484" t="s">
        <v>1247</v>
      </c>
    </row>
    <row r="7485" spans="1:1" x14ac:dyDescent="0.2">
      <c r="A7485" t="s">
        <v>1248</v>
      </c>
    </row>
    <row r="7486" spans="1:1" x14ac:dyDescent="0.2">
      <c r="A7486" t="s">
        <v>1249</v>
      </c>
    </row>
    <row r="7487" spans="1:1" x14ac:dyDescent="0.2">
      <c r="A7487" t="s">
        <v>1250</v>
      </c>
    </row>
    <row r="7488" spans="1:1" x14ac:dyDescent="0.2">
      <c r="A7488" t="s">
        <v>1251</v>
      </c>
    </row>
    <row r="7489" spans="1:1" x14ac:dyDescent="0.2">
      <c r="A7489" t="s">
        <v>1252</v>
      </c>
    </row>
    <row r="7490" spans="1:1" x14ac:dyDescent="0.2">
      <c r="A7490" t="s">
        <v>1253</v>
      </c>
    </row>
    <row r="7491" spans="1:1" x14ac:dyDescent="0.2">
      <c r="A7491" t="s">
        <v>1254</v>
      </c>
    </row>
    <row r="7492" spans="1:1" x14ac:dyDescent="0.2">
      <c r="A7492" t="s">
        <v>1255</v>
      </c>
    </row>
    <row r="7493" spans="1:1" x14ac:dyDescent="0.2">
      <c r="A7493" t="s">
        <v>1256</v>
      </c>
    </row>
    <row r="7494" spans="1:1" x14ac:dyDescent="0.2">
      <c r="A7494" t="s">
        <v>1257</v>
      </c>
    </row>
    <row r="7495" spans="1:1" x14ac:dyDescent="0.2">
      <c r="A7495" t="s">
        <v>1258</v>
      </c>
    </row>
    <row r="7496" spans="1:1" x14ac:dyDescent="0.2">
      <c r="A7496" t="s">
        <v>1259</v>
      </c>
    </row>
    <row r="7497" spans="1:1" x14ac:dyDescent="0.2">
      <c r="A7497" t="s">
        <v>1260</v>
      </c>
    </row>
    <row r="7498" spans="1:1" x14ac:dyDescent="0.2">
      <c r="A7498" t="s">
        <v>1261</v>
      </c>
    </row>
    <row r="7499" spans="1:1" x14ac:dyDescent="0.2">
      <c r="A7499" t="s">
        <v>1262</v>
      </c>
    </row>
    <row r="7500" spans="1:1" x14ac:dyDescent="0.2">
      <c r="A7500" t="s">
        <v>1263</v>
      </c>
    </row>
    <row r="7501" spans="1:1" x14ac:dyDescent="0.2">
      <c r="A7501" t="s">
        <v>1264</v>
      </c>
    </row>
    <row r="7502" spans="1:1" x14ac:dyDescent="0.2">
      <c r="A7502" t="s">
        <v>1265</v>
      </c>
    </row>
    <row r="7503" spans="1:1" x14ac:dyDescent="0.2">
      <c r="A7503" t="s">
        <v>1266</v>
      </c>
    </row>
    <row r="7504" spans="1:1" x14ac:dyDescent="0.2">
      <c r="A7504" t="s">
        <v>1267</v>
      </c>
    </row>
    <row r="7505" spans="1:1" x14ac:dyDescent="0.2">
      <c r="A7505" t="s">
        <v>1268</v>
      </c>
    </row>
    <row r="7506" spans="1:1" x14ac:dyDescent="0.2">
      <c r="A7506" t="s">
        <v>1269</v>
      </c>
    </row>
    <row r="7507" spans="1:1" x14ac:dyDescent="0.2">
      <c r="A7507" t="s">
        <v>1270</v>
      </c>
    </row>
    <row r="7508" spans="1:1" x14ac:dyDescent="0.2">
      <c r="A7508" t="s">
        <v>1271</v>
      </c>
    </row>
    <row r="7509" spans="1:1" x14ac:dyDescent="0.2">
      <c r="A7509" t="s">
        <v>1272</v>
      </c>
    </row>
    <row r="7510" spans="1:1" x14ac:dyDescent="0.2">
      <c r="A7510" t="s">
        <v>1273</v>
      </c>
    </row>
    <row r="7511" spans="1:1" x14ac:dyDescent="0.2">
      <c r="A7511" t="s">
        <v>1274</v>
      </c>
    </row>
    <row r="7512" spans="1:1" x14ac:dyDescent="0.2">
      <c r="A7512" t="s">
        <v>1275</v>
      </c>
    </row>
    <row r="7513" spans="1:1" x14ac:dyDescent="0.2">
      <c r="A7513" t="s">
        <v>1276</v>
      </c>
    </row>
    <row r="7514" spans="1:1" x14ac:dyDescent="0.2">
      <c r="A7514" t="s">
        <v>1277</v>
      </c>
    </row>
    <row r="7515" spans="1:1" x14ac:dyDescent="0.2">
      <c r="A7515" t="s">
        <v>1278</v>
      </c>
    </row>
    <row r="7516" spans="1:1" x14ac:dyDescent="0.2">
      <c r="A7516" t="s">
        <v>1279</v>
      </c>
    </row>
    <row r="7517" spans="1:1" x14ac:dyDescent="0.2">
      <c r="A7517" t="s">
        <v>1280</v>
      </c>
    </row>
    <row r="7518" spans="1:1" x14ac:dyDescent="0.2">
      <c r="A7518" t="s">
        <v>1281</v>
      </c>
    </row>
    <row r="7519" spans="1:1" x14ac:dyDescent="0.2">
      <c r="A7519" t="s">
        <v>1282</v>
      </c>
    </row>
    <row r="7520" spans="1:1" x14ac:dyDescent="0.2">
      <c r="A7520" t="s">
        <v>1283</v>
      </c>
    </row>
    <row r="7521" spans="1:1" x14ac:dyDescent="0.2">
      <c r="A7521" t="s">
        <v>1284</v>
      </c>
    </row>
    <row r="7522" spans="1:1" x14ac:dyDescent="0.2">
      <c r="A7522" t="s">
        <v>1285</v>
      </c>
    </row>
    <row r="7523" spans="1:1" x14ac:dyDescent="0.2">
      <c r="A7523" t="s">
        <v>1286</v>
      </c>
    </row>
    <row r="7524" spans="1:1" x14ac:dyDescent="0.2">
      <c r="A7524" t="s">
        <v>2942</v>
      </c>
    </row>
    <row r="7525" spans="1:1" x14ac:dyDescent="0.2">
      <c r="A7525" t="s">
        <v>1053</v>
      </c>
    </row>
    <row r="7526" spans="1:1" x14ac:dyDescent="0.2">
      <c r="A7526" t="s">
        <v>2943</v>
      </c>
    </row>
    <row r="7527" spans="1:1" x14ac:dyDescent="0.2">
      <c r="A7527" t="s">
        <v>2768</v>
      </c>
    </row>
    <row r="7528" spans="1:1" x14ac:dyDescent="0.2">
      <c r="A7528" t="s">
        <v>2769</v>
      </c>
    </row>
    <row r="7529" spans="1:1" x14ac:dyDescent="0.2">
      <c r="A7529" t="s">
        <v>1054</v>
      </c>
    </row>
    <row r="7530" spans="1:1" x14ac:dyDescent="0.2">
      <c r="A7530" t="s">
        <v>1055</v>
      </c>
    </row>
    <row r="7531" spans="1:1" x14ac:dyDescent="0.2">
      <c r="A7531" t="s">
        <v>2807</v>
      </c>
    </row>
    <row r="7532" spans="1:1" x14ac:dyDescent="0.2">
      <c r="A7532" t="s">
        <v>1056</v>
      </c>
    </row>
    <row r="7533" spans="1:1" x14ac:dyDescent="0.2">
      <c r="A7533" t="s">
        <v>1057</v>
      </c>
    </row>
    <row r="7534" spans="1:1" x14ac:dyDescent="0.2">
      <c r="A7534" t="s">
        <v>1058</v>
      </c>
    </row>
    <row r="7535" spans="1:1" x14ac:dyDescent="0.2">
      <c r="A7535" t="s">
        <v>1059</v>
      </c>
    </row>
    <row r="7536" spans="1:1" x14ac:dyDescent="0.2">
      <c r="A7536" t="s">
        <v>1060</v>
      </c>
    </row>
    <row r="7537" spans="1:1" x14ac:dyDescent="0.2">
      <c r="A7537" t="s">
        <v>1061</v>
      </c>
    </row>
    <row r="7538" spans="1:1" x14ac:dyDescent="0.2">
      <c r="A7538" t="s">
        <v>1062</v>
      </c>
    </row>
    <row r="7539" spans="1:1" x14ac:dyDescent="0.2">
      <c r="A7539" t="s">
        <v>1063</v>
      </c>
    </row>
    <row r="7540" spans="1:1" x14ac:dyDescent="0.2">
      <c r="A7540" t="s">
        <v>1064</v>
      </c>
    </row>
    <row r="7541" spans="1:1" x14ac:dyDescent="0.2">
      <c r="A7541" t="s">
        <v>1065</v>
      </c>
    </row>
    <row r="7542" spans="1:1" x14ac:dyDescent="0.2">
      <c r="A7542" t="s">
        <v>1066</v>
      </c>
    </row>
    <row r="7543" spans="1:1" x14ac:dyDescent="0.2">
      <c r="A7543" t="s">
        <v>1067</v>
      </c>
    </row>
    <row r="7544" spans="1:1" x14ac:dyDescent="0.2">
      <c r="A7544" t="s">
        <v>1068</v>
      </c>
    </row>
    <row r="7545" spans="1:1" x14ac:dyDescent="0.2">
      <c r="A7545" t="s">
        <v>1069</v>
      </c>
    </row>
    <row r="7546" spans="1:1" x14ac:dyDescent="0.2">
      <c r="A7546" t="s">
        <v>1070</v>
      </c>
    </row>
    <row r="7547" spans="1:1" x14ac:dyDescent="0.2">
      <c r="A7547" t="s">
        <v>1071</v>
      </c>
    </row>
    <row r="7548" spans="1:1" x14ac:dyDescent="0.2">
      <c r="A7548" t="s">
        <v>1072</v>
      </c>
    </row>
    <row r="7549" spans="1:1" x14ac:dyDescent="0.2">
      <c r="A7549" t="s">
        <v>1073</v>
      </c>
    </row>
    <row r="7550" spans="1:1" x14ac:dyDescent="0.2">
      <c r="A7550" t="s">
        <v>1074</v>
      </c>
    </row>
    <row r="7551" spans="1:1" x14ac:dyDescent="0.2">
      <c r="A7551" t="s">
        <v>1075</v>
      </c>
    </row>
    <row r="7552" spans="1:1" x14ac:dyDescent="0.2">
      <c r="A7552" t="s">
        <v>1076</v>
      </c>
    </row>
    <row r="7553" spans="1:1" x14ac:dyDescent="0.2">
      <c r="A7553" t="s">
        <v>1077</v>
      </c>
    </row>
    <row r="7554" spans="1:1" x14ac:dyDescent="0.2">
      <c r="A7554" t="s">
        <v>1078</v>
      </c>
    </row>
    <row r="7555" spans="1:1" x14ac:dyDescent="0.2">
      <c r="A7555" t="s">
        <v>1079</v>
      </c>
    </row>
    <row r="7556" spans="1:1" x14ac:dyDescent="0.2">
      <c r="A7556" t="s">
        <v>1080</v>
      </c>
    </row>
    <row r="7557" spans="1:1" x14ac:dyDescent="0.2">
      <c r="A7557" t="s">
        <v>1081</v>
      </c>
    </row>
    <row r="7558" spans="1:1" x14ac:dyDescent="0.2">
      <c r="A7558" t="s">
        <v>1082</v>
      </c>
    </row>
    <row r="7559" spans="1:1" x14ac:dyDescent="0.2">
      <c r="A7559" t="s">
        <v>1083</v>
      </c>
    </row>
    <row r="7560" spans="1:1" x14ac:dyDescent="0.2">
      <c r="A7560" t="s">
        <v>2771</v>
      </c>
    </row>
    <row r="7561" spans="1:1" x14ac:dyDescent="0.2">
      <c r="A7561" t="s">
        <v>2772</v>
      </c>
    </row>
    <row r="7562" spans="1:1" x14ac:dyDescent="0.2">
      <c r="A7562" t="s">
        <v>2773</v>
      </c>
    </row>
    <row r="7563" spans="1:1" x14ac:dyDescent="0.2">
      <c r="A7563" t="s">
        <v>2774</v>
      </c>
    </row>
    <row r="7564" spans="1:1" x14ac:dyDescent="0.2">
      <c r="A7564" t="s">
        <v>2775</v>
      </c>
    </row>
    <row r="7565" spans="1:1" x14ac:dyDescent="0.2">
      <c r="A7565" t="s">
        <v>2776</v>
      </c>
    </row>
    <row r="7566" spans="1:1" x14ac:dyDescent="0.2">
      <c r="A7566" t="s">
        <v>1084</v>
      </c>
    </row>
    <row r="7567" spans="1:1" x14ac:dyDescent="0.2">
      <c r="A7567" t="s">
        <v>1085</v>
      </c>
    </row>
    <row r="7568" spans="1:1" x14ac:dyDescent="0.2">
      <c r="A7568" t="s">
        <v>1086</v>
      </c>
    </row>
    <row r="7569" spans="1:1" x14ac:dyDescent="0.2">
      <c r="A7569" t="s">
        <v>1087</v>
      </c>
    </row>
    <row r="7570" spans="1:1" x14ac:dyDescent="0.2">
      <c r="A7570" t="s">
        <v>1088</v>
      </c>
    </row>
    <row r="7571" spans="1:1" x14ac:dyDescent="0.2">
      <c r="A7571" t="s">
        <v>1089</v>
      </c>
    </row>
    <row r="7572" spans="1:1" x14ac:dyDescent="0.2">
      <c r="A7572" t="s">
        <v>1090</v>
      </c>
    </row>
    <row r="7573" spans="1:1" x14ac:dyDescent="0.2">
      <c r="A7573" t="s">
        <v>1091</v>
      </c>
    </row>
    <row r="7574" spans="1:1" x14ac:dyDescent="0.2">
      <c r="A7574" t="s">
        <v>1092</v>
      </c>
    </row>
    <row r="7575" spans="1:1" x14ac:dyDescent="0.2">
      <c r="A7575" t="s">
        <v>1093</v>
      </c>
    </row>
    <row r="7576" spans="1:1" x14ac:dyDescent="0.2">
      <c r="A7576" t="s">
        <v>1094</v>
      </c>
    </row>
    <row r="7577" spans="1:1" x14ac:dyDescent="0.2">
      <c r="A7577" t="s">
        <v>1095</v>
      </c>
    </row>
    <row r="7578" spans="1:1" x14ac:dyDescent="0.2">
      <c r="A7578" t="s">
        <v>1096</v>
      </c>
    </row>
    <row r="7579" spans="1:1" x14ac:dyDescent="0.2">
      <c r="A7579" t="s">
        <v>1097</v>
      </c>
    </row>
    <row r="7580" spans="1:1" x14ac:dyDescent="0.2">
      <c r="A7580" t="s">
        <v>1098</v>
      </c>
    </row>
    <row r="7581" spans="1:1" x14ac:dyDescent="0.2">
      <c r="A7581" t="s">
        <v>1099</v>
      </c>
    </row>
    <row r="7582" spans="1:1" x14ac:dyDescent="0.2">
      <c r="A7582" t="s">
        <v>1100</v>
      </c>
    </row>
    <row r="7583" spans="1:1" x14ac:dyDescent="0.2">
      <c r="A7583" t="s">
        <v>1101</v>
      </c>
    </row>
    <row r="7584" spans="1:1" x14ac:dyDescent="0.2">
      <c r="A7584" t="s">
        <v>1102</v>
      </c>
    </row>
    <row r="7585" spans="1:1" x14ac:dyDescent="0.2">
      <c r="A7585" t="s">
        <v>1103</v>
      </c>
    </row>
    <row r="7586" spans="1:1" x14ac:dyDescent="0.2">
      <c r="A7586" t="s">
        <v>1104</v>
      </c>
    </row>
    <row r="7587" spans="1:1" x14ac:dyDescent="0.2">
      <c r="A7587" t="s">
        <v>1105</v>
      </c>
    </row>
    <row r="7588" spans="1:1" x14ac:dyDescent="0.2">
      <c r="A7588" t="s">
        <v>1106</v>
      </c>
    </row>
    <row r="7589" spans="1:1" x14ac:dyDescent="0.2">
      <c r="A7589" t="s">
        <v>1107</v>
      </c>
    </row>
    <row r="7590" spans="1:1" x14ac:dyDescent="0.2">
      <c r="A7590" t="s">
        <v>1108</v>
      </c>
    </row>
    <row r="7591" spans="1:1" x14ac:dyDescent="0.2">
      <c r="A7591" t="s">
        <v>1109</v>
      </c>
    </row>
    <row r="7592" spans="1:1" x14ac:dyDescent="0.2">
      <c r="A7592" t="s">
        <v>1110</v>
      </c>
    </row>
    <row r="7593" spans="1:1" x14ac:dyDescent="0.2">
      <c r="A7593" t="s">
        <v>1111</v>
      </c>
    </row>
    <row r="7594" spans="1:1" x14ac:dyDescent="0.2">
      <c r="A7594" t="s">
        <v>1112</v>
      </c>
    </row>
    <row r="7595" spans="1:1" x14ac:dyDescent="0.2">
      <c r="A7595" t="s">
        <v>1113</v>
      </c>
    </row>
    <row r="7596" spans="1:1" x14ac:dyDescent="0.2">
      <c r="A7596" t="s">
        <v>1114</v>
      </c>
    </row>
    <row r="7597" spans="1:1" x14ac:dyDescent="0.2">
      <c r="A7597" t="s">
        <v>1115</v>
      </c>
    </row>
    <row r="7598" spans="1:1" x14ac:dyDescent="0.2">
      <c r="A7598" t="s">
        <v>1116</v>
      </c>
    </row>
    <row r="7599" spans="1:1" x14ac:dyDescent="0.2">
      <c r="A7599" t="s">
        <v>1117</v>
      </c>
    </row>
    <row r="7600" spans="1:1" x14ac:dyDescent="0.2">
      <c r="A7600" t="s">
        <v>1118</v>
      </c>
    </row>
    <row r="7601" spans="1:1" x14ac:dyDescent="0.2">
      <c r="A7601" t="s">
        <v>1119</v>
      </c>
    </row>
    <row r="7602" spans="1:1" x14ac:dyDescent="0.2">
      <c r="A7602" t="s">
        <v>1120</v>
      </c>
    </row>
    <row r="7603" spans="1:1" x14ac:dyDescent="0.2">
      <c r="A7603" t="s">
        <v>1288</v>
      </c>
    </row>
    <row r="7604" spans="1:1" x14ac:dyDescent="0.2">
      <c r="A7604" t="s">
        <v>2944</v>
      </c>
    </row>
    <row r="7605" spans="1:1" x14ac:dyDescent="0.2">
      <c r="A7605" t="s">
        <v>2945</v>
      </c>
    </row>
    <row r="7606" spans="1:1" x14ac:dyDescent="0.2">
      <c r="A7606" t="s">
        <v>2933</v>
      </c>
    </row>
    <row r="7607" spans="1:1" x14ac:dyDescent="0.2">
      <c r="A7607" t="s">
        <v>2934</v>
      </c>
    </row>
    <row r="7608" spans="1:1" x14ac:dyDescent="0.2">
      <c r="A7608" t="s">
        <v>1289</v>
      </c>
    </row>
    <row r="7609" spans="1:1" x14ac:dyDescent="0.2">
      <c r="A7609" t="s">
        <v>2781</v>
      </c>
    </row>
    <row r="7610" spans="1:1" x14ac:dyDescent="0.2">
      <c r="A7610" t="s">
        <v>2946</v>
      </c>
    </row>
    <row r="7611" spans="1:1" x14ac:dyDescent="0.2">
      <c r="A7611" t="s">
        <v>1122</v>
      </c>
    </row>
    <row r="7612" spans="1:1" x14ac:dyDescent="0.2">
      <c r="A7612" t="s">
        <v>1123</v>
      </c>
    </row>
    <row r="7613" spans="1:1" x14ac:dyDescent="0.2">
      <c r="A7613" t="s">
        <v>1124</v>
      </c>
    </row>
    <row r="7614" spans="1:1" x14ac:dyDescent="0.2">
      <c r="A7614" t="s">
        <v>1125</v>
      </c>
    </row>
    <row r="7615" spans="1:1" x14ac:dyDescent="0.2">
      <c r="A7615" t="s">
        <v>1126</v>
      </c>
    </row>
    <row r="7616" spans="1:1" x14ac:dyDescent="0.2">
      <c r="A7616" t="s">
        <v>1127</v>
      </c>
    </row>
    <row r="7617" spans="1:1" x14ac:dyDescent="0.2">
      <c r="A7617" t="s">
        <v>1128</v>
      </c>
    </row>
    <row r="7618" spans="1:1" x14ac:dyDescent="0.2">
      <c r="A7618" t="s">
        <v>1129</v>
      </c>
    </row>
    <row r="7619" spans="1:1" x14ac:dyDescent="0.2">
      <c r="A7619" t="s">
        <v>1130</v>
      </c>
    </row>
    <row r="7620" spans="1:1" x14ac:dyDescent="0.2">
      <c r="A7620" t="s">
        <v>1131</v>
      </c>
    </row>
    <row r="7621" spans="1:1" x14ac:dyDescent="0.2">
      <c r="A7621" t="s">
        <v>1132</v>
      </c>
    </row>
    <row r="7622" spans="1:1" x14ac:dyDescent="0.2">
      <c r="A7622" t="s">
        <v>1133</v>
      </c>
    </row>
    <row r="7623" spans="1:1" x14ac:dyDescent="0.2">
      <c r="A7623" t="s">
        <v>1134</v>
      </c>
    </row>
    <row r="7624" spans="1:1" x14ac:dyDescent="0.2">
      <c r="A7624" t="s">
        <v>1135</v>
      </c>
    </row>
    <row r="7625" spans="1:1" x14ac:dyDescent="0.2">
      <c r="A7625" t="s">
        <v>1136</v>
      </c>
    </row>
    <row r="7626" spans="1:1" x14ac:dyDescent="0.2">
      <c r="A7626" t="s">
        <v>1137</v>
      </c>
    </row>
    <row r="7627" spans="1:1" x14ac:dyDescent="0.2">
      <c r="A7627" t="s">
        <v>1138</v>
      </c>
    </row>
    <row r="7628" spans="1:1" x14ac:dyDescent="0.2">
      <c r="A7628" t="s">
        <v>1139</v>
      </c>
    </row>
    <row r="7629" spans="1:1" x14ac:dyDescent="0.2">
      <c r="A7629" t="s">
        <v>1140</v>
      </c>
    </row>
    <row r="7630" spans="1:1" x14ac:dyDescent="0.2">
      <c r="A7630" t="s">
        <v>1141</v>
      </c>
    </row>
    <row r="7631" spans="1:1" x14ac:dyDescent="0.2">
      <c r="A7631" t="s">
        <v>1142</v>
      </c>
    </row>
    <row r="7632" spans="1:1" x14ac:dyDescent="0.2">
      <c r="A7632" t="s">
        <v>1143</v>
      </c>
    </row>
    <row r="7633" spans="1:1" x14ac:dyDescent="0.2">
      <c r="A7633" t="s">
        <v>1144</v>
      </c>
    </row>
    <row r="7634" spans="1:1" x14ac:dyDescent="0.2">
      <c r="A7634" t="s">
        <v>1145</v>
      </c>
    </row>
    <row r="7635" spans="1:1" x14ac:dyDescent="0.2">
      <c r="A7635" t="s">
        <v>1146</v>
      </c>
    </row>
    <row r="7636" spans="1:1" x14ac:dyDescent="0.2">
      <c r="A7636" t="s">
        <v>1147</v>
      </c>
    </row>
    <row r="7637" spans="1:1" x14ac:dyDescent="0.2">
      <c r="A7637" t="s">
        <v>1148</v>
      </c>
    </row>
    <row r="7638" spans="1:1" x14ac:dyDescent="0.2">
      <c r="A7638" t="s">
        <v>1149</v>
      </c>
    </row>
    <row r="7639" spans="1:1" x14ac:dyDescent="0.2">
      <c r="A7639" t="s">
        <v>1150</v>
      </c>
    </row>
    <row r="7640" spans="1:1" x14ac:dyDescent="0.2">
      <c r="A7640" t="s">
        <v>1151</v>
      </c>
    </row>
    <row r="7641" spans="1:1" x14ac:dyDescent="0.2">
      <c r="A7641" t="s">
        <v>1152</v>
      </c>
    </row>
    <row r="7642" spans="1:1" x14ac:dyDescent="0.2">
      <c r="A7642" t="s">
        <v>1153</v>
      </c>
    </row>
    <row r="7643" spans="1:1" x14ac:dyDescent="0.2">
      <c r="A7643" t="s">
        <v>1154</v>
      </c>
    </row>
    <row r="7644" spans="1:1" x14ac:dyDescent="0.2">
      <c r="A7644" t="s">
        <v>1155</v>
      </c>
    </row>
    <row r="7645" spans="1:1" x14ac:dyDescent="0.2">
      <c r="A7645" t="s">
        <v>1156</v>
      </c>
    </row>
    <row r="7646" spans="1:1" x14ac:dyDescent="0.2">
      <c r="A7646" t="s">
        <v>1157</v>
      </c>
    </row>
    <row r="7647" spans="1:1" x14ac:dyDescent="0.2">
      <c r="A7647" t="s">
        <v>1158</v>
      </c>
    </row>
    <row r="7648" spans="1:1" x14ac:dyDescent="0.2">
      <c r="A7648" t="s">
        <v>1159</v>
      </c>
    </row>
    <row r="7649" spans="1:1" x14ac:dyDescent="0.2">
      <c r="A7649" t="s">
        <v>1160</v>
      </c>
    </row>
    <row r="7650" spans="1:1" x14ac:dyDescent="0.2">
      <c r="A7650" t="s">
        <v>1161</v>
      </c>
    </row>
    <row r="7651" spans="1:1" x14ac:dyDescent="0.2">
      <c r="A7651" t="s">
        <v>1162</v>
      </c>
    </row>
    <row r="7652" spans="1:1" x14ac:dyDescent="0.2">
      <c r="A7652" t="s">
        <v>1163</v>
      </c>
    </row>
    <row r="7653" spans="1:1" x14ac:dyDescent="0.2">
      <c r="A7653" t="s">
        <v>1164</v>
      </c>
    </row>
    <row r="7654" spans="1:1" x14ac:dyDescent="0.2">
      <c r="A7654" t="s">
        <v>1165</v>
      </c>
    </row>
    <row r="7655" spans="1:1" x14ac:dyDescent="0.2">
      <c r="A7655" t="s">
        <v>1166</v>
      </c>
    </row>
    <row r="7656" spans="1:1" x14ac:dyDescent="0.2">
      <c r="A7656" t="s">
        <v>1167</v>
      </c>
    </row>
    <row r="7657" spans="1:1" x14ac:dyDescent="0.2">
      <c r="A7657" t="s">
        <v>1168</v>
      </c>
    </row>
    <row r="7658" spans="1:1" x14ac:dyDescent="0.2">
      <c r="A7658" t="s">
        <v>1169</v>
      </c>
    </row>
    <row r="7659" spans="1:1" x14ac:dyDescent="0.2">
      <c r="A7659" t="s">
        <v>1170</v>
      </c>
    </row>
    <row r="7660" spans="1:1" x14ac:dyDescent="0.2">
      <c r="A7660" t="s">
        <v>1171</v>
      </c>
    </row>
    <row r="7661" spans="1:1" x14ac:dyDescent="0.2">
      <c r="A7661" t="s">
        <v>1172</v>
      </c>
    </row>
    <row r="7662" spans="1:1" x14ac:dyDescent="0.2">
      <c r="A7662" t="s">
        <v>1173</v>
      </c>
    </row>
    <row r="7663" spans="1:1" x14ac:dyDescent="0.2">
      <c r="A7663" t="s">
        <v>1174</v>
      </c>
    </row>
    <row r="7664" spans="1:1" x14ac:dyDescent="0.2">
      <c r="A7664" t="s">
        <v>1175</v>
      </c>
    </row>
    <row r="7665" spans="1:1" x14ac:dyDescent="0.2">
      <c r="A7665" t="s">
        <v>1176</v>
      </c>
    </row>
    <row r="7666" spans="1:1" x14ac:dyDescent="0.2">
      <c r="A7666" t="s">
        <v>1177</v>
      </c>
    </row>
    <row r="7667" spans="1:1" x14ac:dyDescent="0.2">
      <c r="A7667" t="s">
        <v>1178</v>
      </c>
    </row>
    <row r="7668" spans="1:1" x14ac:dyDescent="0.2">
      <c r="A7668" t="s">
        <v>1179</v>
      </c>
    </row>
    <row r="7669" spans="1:1" x14ac:dyDescent="0.2">
      <c r="A7669" t="s">
        <v>1180</v>
      </c>
    </row>
    <row r="7670" spans="1:1" x14ac:dyDescent="0.2">
      <c r="A7670" t="s">
        <v>1181</v>
      </c>
    </row>
    <row r="7671" spans="1:1" x14ac:dyDescent="0.2">
      <c r="A7671" t="s">
        <v>1182</v>
      </c>
    </row>
    <row r="7672" spans="1:1" x14ac:dyDescent="0.2">
      <c r="A7672" t="s">
        <v>1183</v>
      </c>
    </row>
    <row r="7673" spans="1:1" x14ac:dyDescent="0.2">
      <c r="A7673" t="s">
        <v>1184</v>
      </c>
    </row>
    <row r="7674" spans="1:1" x14ac:dyDescent="0.2">
      <c r="A7674" t="s">
        <v>1185</v>
      </c>
    </row>
    <row r="7675" spans="1:1" x14ac:dyDescent="0.2">
      <c r="A7675" t="s">
        <v>1186</v>
      </c>
    </row>
    <row r="7676" spans="1:1" x14ac:dyDescent="0.2">
      <c r="A7676" t="s">
        <v>1187</v>
      </c>
    </row>
    <row r="7677" spans="1:1" x14ac:dyDescent="0.2">
      <c r="A7677" t="s">
        <v>1188</v>
      </c>
    </row>
    <row r="7678" spans="1:1" x14ac:dyDescent="0.2">
      <c r="A7678" t="s">
        <v>1189</v>
      </c>
    </row>
    <row r="7679" spans="1:1" x14ac:dyDescent="0.2">
      <c r="A7679" t="s">
        <v>1190</v>
      </c>
    </row>
    <row r="7680" spans="1:1" x14ac:dyDescent="0.2">
      <c r="A7680" t="s">
        <v>1191</v>
      </c>
    </row>
    <row r="7681" spans="1:1" x14ac:dyDescent="0.2">
      <c r="A7681" t="s">
        <v>1192</v>
      </c>
    </row>
    <row r="7682" spans="1:1" x14ac:dyDescent="0.2">
      <c r="A7682" t="s">
        <v>1193</v>
      </c>
    </row>
    <row r="7683" spans="1:1" x14ac:dyDescent="0.2">
      <c r="A7683" t="s">
        <v>1194</v>
      </c>
    </row>
    <row r="7684" spans="1:1" x14ac:dyDescent="0.2">
      <c r="A7684" t="s">
        <v>1195</v>
      </c>
    </row>
    <row r="7685" spans="1:1" x14ac:dyDescent="0.2">
      <c r="A7685" t="s">
        <v>1196</v>
      </c>
    </row>
    <row r="7686" spans="1:1" x14ac:dyDescent="0.2">
      <c r="A7686" t="s">
        <v>1197</v>
      </c>
    </row>
    <row r="7687" spans="1:1" x14ac:dyDescent="0.2">
      <c r="A7687" t="s">
        <v>1198</v>
      </c>
    </row>
    <row r="7688" spans="1:1" x14ac:dyDescent="0.2">
      <c r="A7688" t="s">
        <v>1199</v>
      </c>
    </row>
    <row r="7689" spans="1:1" x14ac:dyDescent="0.2">
      <c r="A7689" t="s">
        <v>1200</v>
      </c>
    </row>
    <row r="7690" spans="1:1" x14ac:dyDescent="0.2">
      <c r="A7690" t="s">
        <v>1201</v>
      </c>
    </row>
    <row r="7691" spans="1:1" x14ac:dyDescent="0.2">
      <c r="A7691" t="s">
        <v>1202</v>
      </c>
    </row>
    <row r="7692" spans="1:1" x14ac:dyDescent="0.2">
      <c r="A7692" t="s">
        <v>1203</v>
      </c>
    </row>
    <row r="7693" spans="1:1" x14ac:dyDescent="0.2">
      <c r="A7693" t="s">
        <v>1204</v>
      </c>
    </row>
    <row r="7694" spans="1:1" x14ac:dyDescent="0.2">
      <c r="A7694" t="s">
        <v>1205</v>
      </c>
    </row>
    <row r="7695" spans="1:1" x14ac:dyDescent="0.2">
      <c r="A7695" t="s">
        <v>1206</v>
      </c>
    </row>
    <row r="7696" spans="1:1" x14ac:dyDescent="0.2">
      <c r="A7696" t="s">
        <v>1207</v>
      </c>
    </row>
    <row r="7697" spans="1:1" x14ac:dyDescent="0.2">
      <c r="A7697" t="s">
        <v>1208</v>
      </c>
    </row>
    <row r="7698" spans="1:1" x14ac:dyDescent="0.2">
      <c r="A7698" t="s">
        <v>1209</v>
      </c>
    </row>
    <row r="7699" spans="1:1" x14ac:dyDescent="0.2">
      <c r="A7699" t="s">
        <v>1210</v>
      </c>
    </row>
    <row r="7700" spans="1:1" x14ac:dyDescent="0.2">
      <c r="A7700" t="s">
        <v>1211</v>
      </c>
    </row>
    <row r="7701" spans="1:1" x14ac:dyDescent="0.2">
      <c r="A7701" t="s">
        <v>1212</v>
      </c>
    </row>
    <row r="7702" spans="1:1" x14ac:dyDescent="0.2">
      <c r="A7702" t="s">
        <v>1213</v>
      </c>
    </row>
    <row r="7703" spans="1:1" x14ac:dyDescent="0.2">
      <c r="A7703" t="s">
        <v>1214</v>
      </c>
    </row>
    <row r="7704" spans="1:1" x14ac:dyDescent="0.2">
      <c r="A7704" t="s">
        <v>1215</v>
      </c>
    </row>
    <row r="7705" spans="1:1" x14ac:dyDescent="0.2">
      <c r="A7705" t="s">
        <v>1216</v>
      </c>
    </row>
    <row r="7706" spans="1:1" x14ac:dyDescent="0.2">
      <c r="A7706" t="s">
        <v>1217</v>
      </c>
    </row>
    <row r="7707" spans="1:1" x14ac:dyDescent="0.2">
      <c r="A7707" t="s">
        <v>1218</v>
      </c>
    </row>
    <row r="7708" spans="1:1" x14ac:dyDescent="0.2">
      <c r="A7708" t="s">
        <v>1219</v>
      </c>
    </row>
    <row r="7709" spans="1:1" x14ac:dyDescent="0.2">
      <c r="A7709" t="s">
        <v>1220</v>
      </c>
    </row>
    <row r="7710" spans="1:1" x14ac:dyDescent="0.2">
      <c r="A7710" t="s">
        <v>1221</v>
      </c>
    </row>
    <row r="7711" spans="1:1" x14ac:dyDescent="0.2">
      <c r="A7711" t="s">
        <v>1222</v>
      </c>
    </row>
    <row r="7712" spans="1:1" x14ac:dyDescent="0.2">
      <c r="A7712" t="s">
        <v>1223</v>
      </c>
    </row>
    <row r="7713" spans="1:1" x14ac:dyDescent="0.2">
      <c r="A7713" t="s">
        <v>1224</v>
      </c>
    </row>
    <row r="7714" spans="1:1" x14ac:dyDescent="0.2">
      <c r="A7714" t="s">
        <v>1225</v>
      </c>
    </row>
    <row r="7715" spans="1:1" x14ac:dyDescent="0.2">
      <c r="A7715" t="s">
        <v>1226</v>
      </c>
    </row>
    <row r="7716" spans="1:1" x14ac:dyDescent="0.2">
      <c r="A7716" t="s">
        <v>1227</v>
      </c>
    </row>
    <row r="7717" spans="1:1" x14ac:dyDescent="0.2">
      <c r="A7717" t="s">
        <v>1228</v>
      </c>
    </row>
    <row r="7718" spans="1:1" x14ac:dyDescent="0.2">
      <c r="A7718" t="s">
        <v>1229</v>
      </c>
    </row>
    <row r="7719" spans="1:1" x14ac:dyDescent="0.2">
      <c r="A7719" t="s">
        <v>1230</v>
      </c>
    </row>
    <row r="7720" spans="1:1" x14ac:dyDescent="0.2">
      <c r="A7720" t="s">
        <v>1231</v>
      </c>
    </row>
    <row r="7721" spans="1:1" x14ac:dyDescent="0.2">
      <c r="A7721" t="s">
        <v>1232</v>
      </c>
    </row>
    <row r="7722" spans="1:1" x14ac:dyDescent="0.2">
      <c r="A7722" t="s">
        <v>1233</v>
      </c>
    </row>
    <row r="7723" spans="1:1" x14ac:dyDescent="0.2">
      <c r="A7723" t="s">
        <v>1234</v>
      </c>
    </row>
    <row r="7724" spans="1:1" x14ac:dyDescent="0.2">
      <c r="A7724" t="s">
        <v>1235</v>
      </c>
    </row>
    <row r="7725" spans="1:1" x14ac:dyDescent="0.2">
      <c r="A7725" t="s">
        <v>1236</v>
      </c>
    </row>
    <row r="7726" spans="1:1" x14ac:dyDescent="0.2">
      <c r="A7726" t="s">
        <v>1237</v>
      </c>
    </row>
    <row r="7727" spans="1:1" x14ac:dyDescent="0.2">
      <c r="A7727" t="s">
        <v>1238</v>
      </c>
    </row>
    <row r="7728" spans="1:1" x14ac:dyDescent="0.2">
      <c r="A7728" t="s">
        <v>1239</v>
      </c>
    </row>
    <row r="7729" spans="1:1" x14ac:dyDescent="0.2">
      <c r="A7729" t="s">
        <v>1240</v>
      </c>
    </row>
    <row r="7730" spans="1:1" x14ac:dyDescent="0.2">
      <c r="A7730" t="s">
        <v>1241</v>
      </c>
    </row>
    <row r="7731" spans="1:1" x14ac:dyDescent="0.2">
      <c r="A7731" t="s">
        <v>1242</v>
      </c>
    </row>
    <row r="7732" spans="1:1" x14ac:dyDescent="0.2">
      <c r="A7732" t="s">
        <v>1243</v>
      </c>
    </row>
    <row r="7733" spans="1:1" x14ac:dyDescent="0.2">
      <c r="A7733" t="s">
        <v>1244</v>
      </c>
    </row>
    <row r="7734" spans="1:1" x14ac:dyDescent="0.2">
      <c r="A7734" t="s">
        <v>1245</v>
      </c>
    </row>
    <row r="7735" spans="1:1" x14ac:dyDescent="0.2">
      <c r="A7735" t="s">
        <v>1246</v>
      </c>
    </row>
    <row r="7736" spans="1:1" x14ac:dyDescent="0.2">
      <c r="A7736" t="s">
        <v>1247</v>
      </c>
    </row>
    <row r="7737" spans="1:1" x14ac:dyDescent="0.2">
      <c r="A7737" t="s">
        <v>1248</v>
      </c>
    </row>
    <row r="7738" spans="1:1" x14ac:dyDescent="0.2">
      <c r="A7738" t="s">
        <v>1249</v>
      </c>
    </row>
    <row r="7739" spans="1:1" x14ac:dyDescent="0.2">
      <c r="A7739" t="s">
        <v>1250</v>
      </c>
    </row>
    <row r="7740" spans="1:1" x14ac:dyDescent="0.2">
      <c r="A7740" t="s">
        <v>1251</v>
      </c>
    </row>
    <row r="7741" spans="1:1" x14ac:dyDescent="0.2">
      <c r="A7741" t="s">
        <v>1252</v>
      </c>
    </row>
    <row r="7742" spans="1:1" x14ac:dyDescent="0.2">
      <c r="A7742" t="s">
        <v>1253</v>
      </c>
    </row>
    <row r="7743" spans="1:1" x14ac:dyDescent="0.2">
      <c r="A7743" t="s">
        <v>1254</v>
      </c>
    </row>
    <row r="7744" spans="1:1" x14ac:dyDescent="0.2">
      <c r="A7744" t="s">
        <v>1255</v>
      </c>
    </row>
    <row r="7745" spans="1:1" x14ac:dyDescent="0.2">
      <c r="A7745" t="s">
        <v>1256</v>
      </c>
    </row>
    <row r="7746" spans="1:1" x14ac:dyDescent="0.2">
      <c r="A7746" t="s">
        <v>1257</v>
      </c>
    </row>
    <row r="7747" spans="1:1" x14ac:dyDescent="0.2">
      <c r="A7747" t="s">
        <v>1258</v>
      </c>
    </row>
    <row r="7748" spans="1:1" x14ac:dyDescent="0.2">
      <c r="A7748" t="s">
        <v>1259</v>
      </c>
    </row>
    <row r="7749" spans="1:1" x14ac:dyDescent="0.2">
      <c r="A7749" t="s">
        <v>1260</v>
      </c>
    </row>
    <row r="7750" spans="1:1" x14ac:dyDescent="0.2">
      <c r="A7750" t="s">
        <v>1261</v>
      </c>
    </row>
    <row r="7751" spans="1:1" x14ac:dyDescent="0.2">
      <c r="A7751" t="s">
        <v>1262</v>
      </c>
    </row>
    <row r="7752" spans="1:1" x14ac:dyDescent="0.2">
      <c r="A7752" t="s">
        <v>1263</v>
      </c>
    </row>
    <row r="7753" spans="1:1" x14ac:dyDescent="0.2">
      <c r="A7753" t="s">
        <v>1264</v>
      </c>
    </row>
    <row r="7754" spans="1:1" x14ac:dyDescent="0.2">
      <c r="A7754" t="s">
        <v>1265</v>
      </c>
    </row>
    <row r="7755" spans="1:1" x14ac:dyDescent="0.2">
      <c r="A7755" t="s">
        <v>1266</v>
      </c>
    </row>
    <row r="7756" spans="1:1" x14ac:dyDescent="0.2">
      <c r="A7756" t="s">
        <v>1267</v>
      </c>
    </row>
    <row r="7757" spans="1:1" x14ac:dyDescent="0.2">
      <c r="A7757" t="s">
        <v>1268</v>
      </c>
    </row>
    <row r="7758" spans="1:1" x14ac:dyDescent="0.2">
      <c r="A7758" t="s">
        <v>1269</v>
      </c>
    </row>
    <row r="7759" spans="1:1" x14ac:dyDescent="0.2">
      <c r="A7759" t="s">
        <v>1270</v>
      </c>
    </row>
    <row r="7760" spans="1:1" x14ac:dyDescent="0.2">
      <c r="A7760" t="s">
        <v>1271</v>
      </c>
    </row>
    <row r="7761" spans="1:1" x14ac:dyDescent="0.2">
      <c r="A7761" t="s">
        <v>1272</v>
      </c>
    </row>
    <row r="7762" spans="1:1" x14ac:dyDescent="0.2">
      <c r="A7762" t="s">
        <v>1273</v>
      </c>
    </row>
    <row r="7763" spans="1:1" x14ac:dyDescent="0.2">
      <c r="A7763" t="s">
        <v>1274</v>
      </c>
    </row>
    <row r="7764" spans="1:1" x14ac:dyDescent="0.2">
      <c r="A7764" t="s">
        <v>1275</v>
      </c>
    </row>
    <row r="7765" spans="1:1" x14ac:dyDescent="0.2">
      <c r="A7765" t="s">
        <v>1276</v>
      </c>
    </row>
    <row r="7766" spans="1:1" x14ac:dyDescent="0.2">
      <c r="A7766" t="s">
        <v>1277</v>
      </c>
    </row>
    <row r="7767" spans="1:1" x14ac:dyDescent="0.2">
      <c r="A7767" t="s">
        <v>1278</v>
      </c>
    </row>
    <row r="7768" spans="1:1" x14ac:dyDescent="0.2">
      <c r="A7768" t="s">
        <v>1279</v>
      </c>
    </row>
    <row r="7769" spans="1:1" x14ac:dyDescent="0.2">
      <c r="A7769" t="s">
        <v>1280</v>
      </c>
    </row>
    <row r="7770" spans="1:1" x14ac:dyDescent="0.2">
      <c r="A7770" t="s">
        <v>1281</v>
      </c>
    </row>
    <row r="7771" spans="1:1" x14ac:dyDescent="0.2">
      <c r="A7771" t="s">
        <v>1282</v>
      </c>
    </row>
    <row r="7772" spans="1:1" x14ac:dyDescent="0.2">
      <c r="A7772" t="s">
        <v>1283</v>
      </c>
    </row>
    <row r="7773" spans="1:1" x14ac:dyDescent="0.2">
      <c r="A7773" t="s">
        <v>1284</v>
      </c>
    </row>
    <row r="7774" spans="1:1" x14ac:dyDescent="0.2">
      <c r="A7774" t="s">
        <v>1285</v>
      </c>
    </row>
    <row r="7775" spans="1:1" x14ac:dyDescent="0.2">
      <c r="A7775" t="s">
        <v>1286</v>
      </c>
    </row>
    <row r="7776" spans="1:1" x14ac:dyDescent="0.2">
      <c r="A7776" t="s">
        <v>2947</v>
      </c>
    </row>
    <row r="7777" spans="1:1" x14ac:dyDescent="0.2">
      <c r="A7777" t="s">
        <v>1053</v>
      </c>
    </row>
    <row r="7778" spans="1:1" x14ac:dyDescent="0.2">
      <c r="A7778" t="s">
        <v>2948</v>
      </c>
    </row>
    <row r="7779" spans="1:1" x14ac:dyDescent="0.2">
      <c r="A7779" t="s">
        <v>2768</v>
      </c>
    </row>
    <row r="7780" spans="1:1" x14ac:dyDescent="0.2">
      <c r="A7780" t="s">
        <v>2769</v>
      </c>
    </row>
    <row r="7781" spans="1:1" x14ac:dyDescent="0.2">
      <c r="A7781" t="s">
        <v>1054</v>
      </c>
    </row>
    <row r="7782" spans="1:1" x14ac:dyDescent="0.2">
      <c r="A7782" t="s">
        <v>1055</v>
      </c>
    </row>
    <row r="7783" spans="1:1" x14ac:dyDescent="0.2">
      <c r="A7783" t="s">
        <v>2949</v>
      </c>
    </row>
    <row r="7784" spans="1:1" x14ac:dyDescent="0.2">
      <c r="A7784" t="s">
        <v>1056</v>
      </c>
    </row>
    <row r="7785" spans="1:1" x14ac:dyDescent="0.2">
      <c r="A7785" t="s">
        <v>1057</v>
      </c>
    </row>
    <row r="7786" spans="1:1" x14ac:dyDescent="0.2">
      <c r="A7786" t="s">
        <v>1058</v>
      </c>
    </row>
    <row r="7787" spans="1:1" x14ac:dyDescent="0.2">
      <c r="A7787" t="s">
        <v>1059</v>
      </c>
    </row>
    <row r="7788" spans="1:1" x14ac:dyDescent="0.2">
      <c r="A7788" t="s">
        <v>1060</v>
      </c>
    </row>
    <row r="7789" spans="1:1" x14ac:dyDescent="0.2">
      <c r="A7789" t="s">
        <v>1061</v>
      </c>
    </row>
    <row r="7790" spans="1:1" x14ac:dyDescent="0.2">
      <c r="A7790" t="s">
        <v>1062</v>
      </c>
    </row>
    <row r="7791" spans="1:1" x14ac:dyDescent="0.2">
      <c r="A7791" t="s">
        <v>1063</v>
      </c>
    </row>
    <row r="7792" spans="1:1" x14ac:dyDescent="0.2">
      <c r="A7792" t="s">
        <v>1064</v>
      </c>
    </row>
    <row r="7793" spans="1:1" x14ac:dyDescent="0.2">
      <c r="A7793" t="s">
        <v>1065</v>
      </c>
    </row>
    <row r="7794" spans="1:1" x14ac:dyDescent="0.2">
      <c r="A7794" t="s">
        <v>1066</v>
      </c>
    </row>
    <row r="7795" spans="1:1" x14ac:dyDescent="0.2">
      <c r="A7795" t="s">
        <v>1067</v>
      </c>
    </row>
    <row r="7796" spans="1:1" x14ac:dyDescent="0.2">
      <c r="A7796" t="s">
        <v>1068</v>
      </c>
    </row>
    <row r="7797" spans="1:1" x14ac:dyDescent="0.2">
      <c r="A7797" t="s">
        <v>1069</v>
      </c>
    </row>
    <row r="7798" spans="1:1" x14ac:dyDescent="0.2">
      <c r="A7798" t="s">
        <v>1070</v>
      </c>
    </row>
    <row r="7799" spans="1:1" x14ac:dyDescent="0.2">
      <c r="A7799" t="s">
        <v>1071</v>
      </c>
    </row>
    <row r="7800" spans="1:1" x14ac:dyDescent="0.2">
      <c r="A7800" t="s">
        <v>1072</v>
      </c>
    </row>
    <row r="7801" spans="1:1" x14ac:dyDescent="0.2">
      <c r="A7801" t="s">
        <v>1073</v>
      </c>
    </row>
    <row r="7802" spans="1:1" x14ac:dyDescent="0.2">
      <c r="A7802" t="s">
        <v>1074</v>
      </c>
    </row>
    <row r="7803" spans="1:1" x14ac:dyDescent="0.2">
      <c r="A7803" t="s">
        <v>1075</v>
      </c>
    </row>
    <row r="7804" spans="1:1" x14ac:dyDescent="0.2">
      <c r="A7804" t="s">
        <v>1076</v>
      </c>
    </row>
    <row r="7805" spans="1:1" x14ac:dyDescent="0.2">
      <c r="A7805" t="s">
        <v>1077</v>
      </c>
    </row>
    <row r="7806" spans="1:1" x14ac:dyDescent="0.2">
      <c r="A7806" t="s">
        <v>1078</v>
      </c>
    </row>
    <row r="7807" spans="1:1" x14ac:dyDescent="0.2">
      <c r="A7807" t="s">
        <v>1079</v>
      </c>
    </row>
    <row r="7808" spans="1:1" x14ac:dyDescent="0.2">
      <c r="A7808" t="s">
        <v>1080</v>
      </c>
    </row>
    <row r="7809" spans="1:1" x14ac:dyDescent="0.2">
      <c r="A7809" t="s">
        <v>1081</v>
      </c>
    </row>
    <row r="7810" spans="1:1" x14ac:dyDescent="0.2">
      <c r="A7810" t="s">
        <v>1082</v>
      </c>
    </row>
    <row r="7811" spans="1:1" x14ac:dyDescent="0.2">
      <c r="A7811" t="s">
        <v>1083</v>
      </c>
    </row>
    <row r="7812" spans="1:1" x14ac:dyDescent="0.2">
      <c r="A7812" t="s">
        <v>2771</v>
      </c>
    </row>
    <row r="7813" spans="1:1" x14ac:dyDescent="0.2">
      <c r="A7813" t="s">
        <v>2772</v>
      </c>
    </row>
    <row r="7814" spans="1:1" x14ac:dyDescent="0.2">
      <c r="A7814" t="s">
        <v>2773</v>
      </c>
    </row>
    <row r="7815" spans="1:1" x14ac:dyDescent="0.2">
      <c r="A7815" t="s">
        <v>2774</v>
      </c>
    </row>
    <row r="7816" spans="1:1" x14ac:dyDescent="0.2">
      <c r="A7816" t="s">
        <v>2775</v>
      </c>
    </row>
    <row r="7817" spans="1:1" x14ac:dyDescent="0.2">
      <c r="A7817" t="s">
        <v>2776</v>
      </c>
    </row>
    <row r="7818" spans="1:1" x14ac:dyDescent="0.2">
      <c r="A7818" t="s">
        <v>1084</v>
      </c>
    </row>
    <row r="7819" spans="1:1" x14ac:dyDescent="0.2">
      <c r="A7819" t="s">
        <v>1085</v>
      </c>
    </row>
    <row r="7820" spans="1:1" x14ac:dyDescent="0.2">
      <c r="A7820" t="s">
        <v>1086</v>
      </c>
    </row>
    <row r="7821" spans="1:1" x14ac:dyDescent="0.2">
      <c r="A7821" t="s">
        <v>1087</v>
      </c>
    </row>
    <row r="7822" spans="1:1" x14ac:dyDescent="0.2">
      <c r="A7822" t="s">
        <v>1088</v>
      </c>
    </row>
    <row r="7823" spans="1:1" x14ac:dyDescent="0.2">
      <c r="A7823" t="s">
        <v>1089</v>
      </c>
    </row>
    <row r="7824" spans="1:1" x14ac:dyDescent="0.2">
      <c r="A7824" t="s">
        <v>1090</v>
      </c>
    </row>
    <row r="7825" spans="1:1" x14ac:dyDescent="0.2">
      <c r="A7825" t="s">
        <v>1091</v>
      </c>
    </row>
    <row r="7826" spans="1:1" x14ac:dyDescent="0.2">
      <c r="A7826" t="s">
        <v>1092</v>
      </c>
    </row>
    <row r="7827" spans="1:1" x14ac:dyDescent="0.2">
      <c r="A7827" t="s">
        <v>1093</v>
      </c>
    </row>
    <row r="7828" spans="1:1" x14ac:dyDescent="0.2">
      <c r="A7828" t="s">
        <v>1094</v>
      </c>
    </row>
    <row r="7829" spans="1:1" x14ac:dyDescent="0.2">
      <c r="A7829" t="s">
        <v>1095</v>
      </c>
    </row>
    <row r="7830" spans="1:1" x14ac:dyDescent="0.2">
      <c r="A7830" t="s">
        <v>1096</v>
      </c>
    </row>
    <row r="7831" spans="1:1" x14ac:dyDescent="0.2">
      <c r="A7831" t="s">
        <v>1097</v>
      </c>
    </row>
    <row r="7832" spans="1:1" x14ac:dyDescent="0.2">
      <c r="A7832" t="s">
        <v>1098</v>
      </c>
    </row>
    <row r="7833" spans="1:1" x14ac:dyDescent="0.2">
      <c r="A7833" t="s">
        <v>1099</v>
      </c>
    </row>
    <row r="7834" spans="1:1" x14ac:dyDescent="0.2">
      <c r="A7834" t="s">
        <v>1100</v>
      </c>
    </row>
    <row r="7835" spans="1:1" x14ac:dyDescent="0.2">
      <c r="A7835" t="s">
        <v>1101</v>
      </c>
    </row>
    <row r="7836" spans="1:1" x14ac:dyDescent="0.2">
      <c r="A7836" t="s">
        <v>1102</v>
      </c>
    </row>
    <row r="7837" spans="1:1" x14ac:dyDescent="0.2">
      <c r="A7837" t="s">
        <v>1103</v>
      </c>
    </row>
    <row r="7838" spans="1:1" x14ac:dyDescent="0.2">
      <c r="A7838" t="s">
        <v>1104</v>
      </c>
    </row>
    <row r="7839" spans="1:1" x14ac:dyDescent="0.2">
      <c r="A7839" t="s">
        <v>1105</v>
      </c>
    </row>
    <row r="7840" spans="1:1" x14ac:dyDescent="0.2">
      <c r="A7840" t="s">
        <v>1106</v>
      </c>
    </row>
    <row r="7841" spans="1:1" x14ac:dyDescent="0.2">
      <c r="A7841" t="s">
        <v>1107</v>
      </c>
    </row>
    <row r="7842" spans="1:1" x14ac:dyDescent="0.2">
      <c r="A7842" t="s">
        <v>1108</v>
      </c>
    </row>
    <row r="7843" spans="1:1" x14ac:dyDescent="0.2">
      <c r="A7843" t="s">
        <v>1109</v>
      </c>
    </row>
    <row r="7844" spans="1:1" x14ac:dyDescent="0.2">
      <c r="A7844" t="s">
        <v>1110</v>
      </c>
    </row>
    <row r="7845" spans="1:1" x14ac:dyDescent="0.2">
      <c r="A7845" t="s">
        <v>1111</v>
      </c>
    </row>
    <row r="7846" spans="1:1" x14ac:dyDescent="0.2">
      <c r="A7846" t="s">
        <v>1112</v>
      </c>
    </row>
    <row r="7847" spans="1:1" x14ac:dyDescent="0.2">
      <c r="A7847" t="s">
        <v>1113</v>
      </c>
    </row>
    <row r="7848" spans="1:1" x14ac:dyDescent="0.2">
      <c r="A7848" t="s">
        <v>1114</v>
      </c>
    </row>
    <row r="7849" spans="1:1" x14ac:dyDescent="0.2">
      <c r="A7849" t="s">
        <v>1115</v>
      </c>
    </row>
    <row r="7850" spans="1:1" x14ac:dyDescent="0.2">
      <c r="A7850" t="s">
        <v>1116</v>
      </c>
    </row>
    <row r="7851" spans="1:1" x14ac:dyDescent="0.2">
      <c r="A7851" t="s">
        <v>1117</v>
      </c>
    </row>
    <row r="7852" spans="1:1" x14ac:dyDescent="0.2">
      <c r="A7852" t="s">
        <v>1118</v>
      </c>
    </row>
    <row r="7853" spans="1:1" x14ac:dyDescent="0.2">
      <c r="A7853" t="s">
        <v>1119</v>
      </c>
    </row>
    <row r="7854" spans="1:1" x14ac:dyDescent="0.2">
      <c r="A7854" t="s">
        <v>2950</v>
      </c>
    </row>
    <row r="7855" spans="1:1" x14ac:dyDescent="0.2">
      <c r="A7855" t="s">
        <v>1288</v>
      </c>
    </row>
    <row r="7856" spans="1:1" x14ac:dyDescent="0.2">
      <c r="A7856" t="s">
        <v>2951</v>
      </c>
    </row>
    <row r="7857" spans="1:1" x14ac:dyDescent="0.2">
      <c r="A7857" t="s">
        <v>2952</v>
      </c>
    </row>
    <row r="7858" spans="1:1" x14ac:dyDescent="0.2">
      <c r="A7858" t="s">
        <v>2933</v>
      </c>
    </row>
    <row r="7859" spans="1:1" x14ac:dyDescent="0.2">
      <c r="A7859" t="s">
        <v>2934</v>
      </c>
    </row>
    <row r="7860" spans="1:1" x14ac:dyDescent="0.2">
      <c r="A7860" t="s">
        <v>1289</v>
      </c>
    </row>
    <row r="7861" spans="1:1" x14ac:dyDescent="0.2">
      <c r="A7861" t="s">
        <v>2781</v>
      </c>
    </row>
    <row r="7862" spans="1:1" x14ac:dyDescent="0.2">
      <c r="A7862" t="s">
        <v>2953</v>
      </c>
    </row>
    <row r="7863" spans="1:1" x14ac:dyDescent="0.2">
      <c r="A7863" t="s">
        <v>1122</v>
      </c>
    </row>
    <row r="7864" spans="1:1" x14ac:dyDescent="0.2">
      <c r="A7864" t="s">
        <v>1123</v>
      </c>
    </row>
    <row r="7865" spans="1:1" x14ac:dyDescent="0.2">
      <c r="A7865" t="s">
        <v>1124</v>
      </c>
    </row>
    <row r="7866" spans="1:1" x14ac:dyDescent="0.2">
      <c r="A7866" t="s">
        <v>1125</v>
      </c>
    </row>
    <row r="7867" spans="1:1" x14ac:dyDescent="0.2">
      <c r="A7867" t="s">
        <v>1126</v>
      </c>
    </row>
    <row r="7868" spans="1:1" x14ac:dyDescent="0.2">
      <c r="A7868" t="s">
        <v>1127</v>
      </c>
    </row>
    <row r="7869" spans="1:1" x14ac:dyDescent="0.2">
      <c r="A7869" t="s">
        <v>1128</v>
      </c>
    </row>
    <row r="7870" spans="1:1" x14ac:dyDescent="0.2">
      <c r="A7870" t="s">
        <v>1129</v>
      </c>
    </row>
    <row r="7871" spans="1:1" x14ac:dyDescent="0.2">
      <c r="A7871" t="s">
        <v>1130</v>
      </c>
    </row>
    <row r="7872" spans="1:1" x14ac:dyDescent="0.2">
      <c r="A7872" t="s">
        <v>1131</v>
      </c>
    </row>
    <row r="7873" spans="1:1" x14ac:dyDescent="0.2">
      <c r="A7873" t="s">
        <v>1132</v>
      </c>
    </row>
    <row r="7874" spans="1:1" x14ac:dyDescent="0.2">
      <c r="A7874" t="s">
        <v>1133</v>
      </c>
    </row>
    <row r="7875" spans="1:1" x14ac:dyDescent="0.2">
      <c r="A7875" t="s">
        <v>1134</v>
      </c>
    </row>
    <row r="7876" spans="1:1" x14ac:dyDescent="0.2">
      <c r="A7876" t="s">
        <v>1135</v>
      </c>
    </row>
    <row r="7877" spans="1:1" x14ac:dyDescent="0.2">
      <c r="A7877" t="s">
        <v>1136</v>
      </c>
    </row>
    <row r="7878" spans="1:1" x14ac:dyDescent="0.2">
      <c r="A7878" t="s">
        <v>1137</v>
      </c>
    </row>
    <row r="7879" spans="1:1" x14ac:dyDescent="0.2">
      <c r="A7879" t="s">
        <v>1138</v>
      </c>
    </row>
    <row r="7880" spans="1:1" x14ac:dyDescent="0.2">
      <c r="A7880" t="s">
        <v>1139</v>
      </c>
    </row>
    <row r="7881" spans="1:1" x14ac:dyDescent="0.2">
      <c r="A7881" t="s">
        <v>1140</v>
      </c>
    </row>
    <row r="7882" spans="1:1" x14ac:dyDescent="0.2">
      <c r="A7882" t="s">
        <v>1141</v>
      </c>
    </row>
    <row r="7883" spans="1:1" x14ac:dyDescent="0.2">
      <c r="A7883" t="s">
        <v>1142</v>
      </c>
    </row>
    <row r="7884" spans="1:1" x14ac:dyDescent="0.2">
      <c r="A7884" t="s">
        <v>1143</v>
      </c>
    </row>
    <row r="7885" spans="1:1" x14ac:dyDescent="0.2">
      <c r="A7885" t="s">
        <v>1144</v>
      </c>
    </row>
    <row r="7886" spans="1:1" x14ac:dyDescent="0.2">
      <c r="A7886" t="s">
        <v>1145</v>
      </c>
    </row>
    <row r="7887" spans="1:1" x14ac:dyDescent="0.2">
      <c r="A7887" t="s">
        <v>1146</v>
      </c>
    </row>
    <row r="7888" spans="1:1" x14ac:dyDescent="0.2">
      <c r="A7888" t="s">
        <v>1147</v>
      </c>
    </row>
    <row r="7889" spans="1:1" x14ac:dyDescent="0.2">
      <c r="A7889" t="s">
        <v>1148</v>
      </c>
    </row>
    <row r="7890" spans="1:1" x14ac:dyDescent="0.2">
      <c r="A7890" t="s">
        <v>1149</v>
      </c>
    </row>
    <row r="7891" spans="1:1" x14ac:dyDescent="0.2">
      <c r="A7891" t="s">
        <v>1150</v>
      </c>
    </row>
    <row r="7892" spans="1:1" x14ac:dyDescent="0.2">
      <c r="A7892" t="s">
        <v>1151</v>
      </c>
    </row>
    <row r="7893" spans="1:1" x14ac:dyDescent="0.2">
      <c r="A7893" t="s">
        <v>1152</v>
      </c>
    </row>
    <row r="7894" spans="1:1" x14ac:dyDescent="0.2">
      <c r="A7894" t="s">
        <v>1153</v>
      </c>
    </row>
    <row r="7895" spans="1:1" x14ac:dyDescent="0.2">
      <c r="A7895" t="s">
        <v>1154</v>
      </c>
    </row>
    <row r="7896" spans="1:1" x14ac:dyDescent="0.2">
      <c r="A7896" t="s">
        <v>1155</v>
      </c>
    </row>
    <row r="7897" spans="1:1" x14ac:dyDescent="0.2">
      <c r="A7897" t="s">
        <v>1156</v>
      </c>
    </row>
    <row r="7898" spans="1:1" x14ac:dyDescent="0.2">
      <c r="A7898" t="s">
        <v>1157</v>
      </c>
    </row>
    <row r="7899" spans="1:1" x14ac:dyDescent="0.2">
      <c r="A7899" t="s">
        <v>1158</v>
      </c>
    </row>
    <row r="7900" spans="1:1" x14ac:dyDescent="0.2">
      <c r="A7900" t="s">
        <v>1159</v>
      </c>
    </row>
    <row r="7901" spans="1:1" x14ac:dyDescent="0.2">
      <c r="A7901" t="s">
        <v>1160</v>
      </c>
    </row>
    <row r="7902" spans="1:1" x14ac:dyDescent="0.2">
      <c r="A7902" t="s">
        <v>1161</v>
      </c>
    </row>
    <row r="7903" spans="1:1" x14ac:dyDescent="0.2">
      <c r="A7903" t="s">
        <v>1162</v>
      </c>
    </row>
    <row r="7904" spans="1:1" x14ac:dyDescent="0.2">
      <c r="A7904" t="s">
        <v>1163</v>
      </c>
    </row>
    <row r="7905" spans="1:1" x14ac:dyDescent="0.2">
      <c r="A7905" t="s">
        <v>1164</v>
      </c>
    </row>
    <row r="7906" spans="1:1" x14ac:dyDescent="0.2">
      <c r="A7906" t="s">
        <v>1165</v>
      </c>
    </row>
    <row r="7907" spans="1:1" x14ac:dyDescent="0.2">
      <c r="A7907" t="s">
        <v>1166</v>
      </c>
    </row>
    <row r="7908" spans="1:1" x14ac:dyDescent="0.2">
      <c r="A7908" t="s">
        <v>1167</v>
      </c>
    </row>
    <row r="7909" spans="1:1" x14ac:dyDescent="0.2">
      <c r="A7909" t="s">
        <v>1168</v>
      </c>
    </row>
    <row r="7910" spans="1:1" x14ac:dyDescent="0.2">
      <c r="A7910" t="s">
        <v>1169</v>
      </c>
    </row>
    <row r="7911" spans="1:1" x14ac:dyDescent="0.2">
      <c r="A7911" t="s">
        <v>1170</v>
      </c>
    </row>
    <row r="7912" spans="1:1" x14ac:dyDescent="0.2">
      <c r="A7912" t="s">
        <v>1171</v>
      </c>
    </row>
    <row r="7913" spans="1:1" x14ac:dyDescent="0.2">
      <c r="A7913" t="s">
        <v>1172</v>
      </c>
    </row>
    <row r="7914" spans="1:1" x14ac:dyDescent="0.2">
      <c r="A7914" t="s">
        <v>1173</v>
      </c>
    </row>
    <row r="7915" spans="1:1" x14ac:dyDescent="0.2">
      <c r="A7915" t="s">
        <v>1174</v>
      </c>
    </row>
    <row r="7916" spans="1:1" x14ac:dyDescent="0.2">
      <c r="A7916" t="s">
        <v>1175</v>
      </c>
    </row>
    <row r="7917" spans="1:1" x14ac:dyDescent="0.2">
      <c r="A7917" t="s">
        <v>1176</v>
      </c>
    </row>
    <row r="7918" spans="1:1" x14ac:dyDescent="0.2">
      <c r="A7918" t="s">
        <v>1177</v>
      </c>
    </row>
    <row r="7919" spans="1:1" x14ac:dyDescent="0.2">
      <c r="A7919" t="s">
        <v>1178</v>
      </c>
    </row>
    <row r="7920" spans="1:1" x14ac:dyDescent="0.2">
      <c r="A7920" t="s">
        <v>1179</v>
      </c>
    </row>
    <row r="7921" spans="1:1" x14ac:dyDescent="0.2">
      <c r="A7921" t="s">
        <v>1180</v>
      </c>
    </row>
    <row r="7922" spans="1:1" x14ac:dyDescent="0.2">
      <c r="A7922" t="s">
        <v>1181</v>
      </c>
    </row>
    <row r="7923" spans="1:1" x14ac:dyDescent="0.2">
      <c r="A7923" t="s">
        <v>1182</v>
      </c>
    </row>
    <row r="7924" spans="1:1" x14ac:dyDescent="0.2">
      <c r="A7924" t="s">
        <v>1183</v>
      </c>
    </row>
    <row r="7925" spans="1:1" x14ac:dyDescent="0.2">
      <c r="A7925" t="s">
        <v>1184</v>
      </c>
    </row>
    <row r="7926" spans="1:1" x14ac:dyDescent="0.2">
      <c r="A7926" t="s">
        <v>1185</v>
      </c>
    </row>
    <row r="7927" spans="1:1" x14ac:dyDescent="0.2">
      <c r="A7927" t="s">
        <v>1186</v>
      </c>
    </row>
    <row r="7928" spans="1:1" x14ac:dyDescent="0.2">
      <c r="A7928" t="s">
        <v>1187</v>
      </c>
    </row>
    <row r="7929" spans="1:1" x14ac:dyDescent="0.2">
      <c r="A7929" t="s">
        <v>1188</v>
      </c>
    </row>
    <row r="7930" spans="1:1" x14ac:dyDescent="0.2">
      <c r="A7930" t="s">
        <v>1189</v>
      </c>
    </row>
    <row r="7931" spans="1:1" x14ac:dyDescent="0.2">
      <c r="A7931" t="s">
        <v>1190</v>
      </c>
    </row>
    <row r="7932" spans="1:1" x14ac:dyDescent="0.2">
      <c r="A7932" t="s">
        <v>1191</v>
      </c>
    </row>
    <row r="7933" spans="1:1" x14ac:dyDescent="0.2">
      <c r="A7933" t="s">
        <v>1192</v>
      </c>
    </row>
    <row r="7934" spans="1:1" x14ac:dyDescent="0.2">
      <c r="A7934" t="s">
        <v>1193</v>
      </c>
    </row>
    <row r="7935" spans="1:1" x14ac:dyDescent="0.2">
      <c r="A7935" t="s">
        <v>1194</v>
      </c>
    </row>
    <row r="7936" spans="1:1" x14ac:dyDescent="0.2">
      <c r="A7936" t="s">
        <v>1195</v>
      </c>
    </row>
    <row r="7937" spans="1:1" x14ac:dyDescent="0.2">
      <c r="A7937" t="s">
        <v>1196</v>
      </c>
    </row>
    <row r="7938" spans="1:1" x14ac:dyDescent="0.2">
      <c r="A7938" t="s">
        <v>1197</v>
      </c>
    </row>
    <row r="7939" spans="1:1" x14ac:dyDescent="0.2">
      <c r="A7939" t="s">
        <v>1198</v>
      </c>
    </row>
    <row r="7940" spans="1:1" x14ac:dyDescent="0.2">
      <c r="A7940" t="s">
        <v>1199</v>
      </c>
    </row>
    <row r="7941" spans="1:1" x14ac:dyDescent="0.2">
      <c r="A7941" t="s">
        <v>1200</v>
      </c>
    </row>
    <row r="7942" spans="1:1" x14ac:dyDescent="0.2">
      <c r="A7942" t="s">
        <v>1201</v>
      </c>
    </row>
    <row r="7943" spans="1:1" x14ac:dyDescent="0.2">
      <c r="A7943" t="s">
        <v>1202</v>
      </c>
    </row>
    <row r="7944" spans="1:1" x14ac:dyDescent="0.2">
      <c r="A7944" t="s">
        <v>1203</v>
      </c>
    </row>
    <row r="7945" spans="1:1" x14ac:dyDescent="0.2">
      <c r="A7945" t="s">
        <v>1204</v>
      </c>
    </row>
    <row r="7946" spans="1:1" x14ac:dyDescent="0.2">
      <c r="A7946" t="s">
        <v>1205</v>
      </c>
    </row>
    <row r="7947" spans="1:1" x14ac:dyDescent="0.2">
      <c r="A7947" t="s">
        <v>1206</v>
      </c>
    </row>
    <row r="7948" spans="1:1" x14ac:dyDescent="0.2">
      <c r="A7948" t="s">
        <v>1207</v>
      </c>
    </row>
    <row r="7949" spans="1:1" x14ac:dyDescent="0.2">
      <c r="A7949" t="s">
        <v>1208</v>
      </c>
    </row>
    <row r="7950" spans="1:1" x14ac:dyDescent="0.2">
      <c r="A7950" t="s">
        <v>1209</v>
      </c>
    </row>
    <row r="7951" spans="1:1" x14ac:dyDescent="0.2">
      <c r="A7951" t="s">
        <v>1210</v>
      </c>
    </row>
    <row r="7952" spans="1:1" x14ac:dyDescent="0.2">
      <c r="A7952" t="s">
        <v>1211</v>
      </c>
    </row>
    <row r="7953" spans="1:1" x14ac:dyDescent="0.2">
      <c r="A7953" t="s">
        <v>1212</v>
      </c>
    </row>
    <row r="7954" spans="1:1" x14ac:dyDescent="0.2">
      <c r="A7954" t="s">
        <v>1213</v>
      </c>
    </row>
    <row r="7955" spans="1:1" x14ac:dyDescent="0.2">
      <c r="A7955" t="s">
        <v>1214</v>
      </c>
    </row>
    <row r="7956" spans="1:1" x14ac:dyDescent="0.2">
      <c r="A7956" t="s">
        <v>1215</v>
      </c>
    </row>
    <row r="7957" spans="1:1" x14ac:dyDescent="0.2">
      <c r="A7957" t="s">
        <v>1216</v>
      </c>
    </row>
    <row r="7958" spans="1:1" x14ac:dyDescent="0.2">
      <c r="A7958" t="s">
        <v>1217</v>
      </c>
    </row>
    <row r="7959" spans="1:1" x14ac:dyDescent="0.2">
      <c r="A7959" t="s">
        <v>1218</v>
      </c>
    </row>
    <row r="7960" spans="1:1" x14ac:dyDescent="0.2">
      <c r="A7960" t="s">
        <v>1219</v>
      </c>
    </row>
    <row r="7961" spans="1:1" x14ac:dyDescent="0.2">
      <c r="A7961" t="s">
        <v>1220</v>
      </c>
    </row>
    <row r="7962" spans="1:1" x14ac:dyDescent="0.2">
      <c r="A7962" t="s">
        <v>1221</v>
      </c>
    </row>
    <row r="7963" spans="1:1" x14ac:dyDescent="0.2">
      <c r="A7963" t="s">
        <v>1222</v>
      </c>
    </row>
    <row r="7964" spans="1:1" x14ac:dyDescent="0.2">
      <c r="A7964" t="s">
        <v>1223</v>
      </c>
    </row>
    <row r="7965" spans="1:1" x14ac:dyDescent="0.2">
      <c r="A7965" t="s">
        <v>1224</v>
      </c>
    </row>
    <row r="7966" spans="1:1" x14ac:dyDescent="0.2">
      <c r="A7966" t="s">
        <v>1225</v>
      </c>
    </row>
    <row r="7967" spans="1:1" x14ac:dyDescent="0.2">
      <c r="A7967" t="s">
        <v>1226</v>
      </c>
    </row>
    <row r="7968" spans="1:1" x14ac:dyDescent="0.2">
      <c r="A7968" t="s">
        <v>1227</v>
      </c>
    </row>
    <row r="7969" spans="1:1" x14ac:dyDescent="0.2">
      <c r="A7969" t="s">
        <v>1228</v>
      </c>
    </row>
    <row r="7970" spans="1:1" x14ac:dyDescent="0.2">
      <c r="A7970" t="s">
        <v>1229</v>
      </c>
    </row>
    <row r="7971" spans="1:1" x14ac:dyDescent="0.2">
      <c r="A7971" t="s">
        <v>1230</v>
      </c>
    </row>
    <row r="7972" spans="1:1" x14ac:dyDescent="0.2">
      <c r="A7972" t="s">
        <v>1231</v>
      </c>
    </row>
    <row r="7973" spans="1:1" x14ac:dyDescent="0.2">
      <c r="A7973" t="s">
        <v>1232</v>
      </c>
    </row>
    <row r="7974" spans="1:1" x14ac:dyDescent="0.2">
      <c r="A7974" t="s">
        <v>1233</v>
      </c>
    </row>
    <row r="7975" spans="1:1" x14ac:dyDescent="0.2">
      <c r="A7975" t="s">
        <v>1234</v>
      </c>
    </row>
    <row r="7976" spans="1:1" x14ac:dyDescent="0.2">
      <c r="A7976" t="s">
        <v>1235</v>
      </c>
    </row>
    <row r="7977" spans="1:1" x14ac:dyDescent="0.2">
      <c r="A7977" t="s">
        <v>1236</v>
      </c>
    </row>
    <row r="7978" spans="1:1" x14ac:dyDescent="0.2">
      <c r="A7978" t="s">
        <v>1237</v>
      </c>
    </row>
    <row r="7979" spans="1:1" x14ac:dyDescent="0.2">
      <c r="A7979" t="s">
        <v>1238</v>
      </c>
    </row>
    <row r="7980" spans="1:1" x14ac:dyDescent="0.2">
      <c r="A7980" t="s">
        <v>1239</v>
      </c>
    </row>
    <row r="7981" spans="1:1" x14ac:dyDescent="0.2">
      <c r="A7981" t="s">
        <v>1240</v>
      </c>
    </row>
    <row r="7982" spans="1:1" x14ac:dyDescent="0.2">
      <c r="A7982" t="s">
        <v>1241</v>
      </c>
    </row>
    <row r="7983" spans="1:1" x14ac:dyDescent="0.2">
      <c r="A7983" t="s">
        <v>1242</v>
      </c>
    </row>
    <row r="7984" spans="1:1" x14ac:dyDescent="0.2">
      <c r="A7984" t="s">
        <v>1243</v>
      </c>
    </row>
    <row r="7985" spans="1:1" x14ac:dyDescent="0.2">
      <c r="A7985" t="s">
        <v>1244</v>
      </c>
    </row>
    <row r="7986" spans="1:1" x14ac:dyDescent="0.2">
      <c r="A7986" t="s">
        <v>1245</v>
      </c>
    </row>
    <row r="7987" spans="1:1" x14ac:dyDescent="0.2">
      <c r="A7987" t="s">
        <v>1246</v>
      </c>
    </row>
    <row r="7988" spans="1:1" x14ac:dyDescent="0.2">
      <c r="A7988" t="s">
        <v>1247</v>
      </c>
    </row>
    <row r="7989" spans="1:1" x14ac:dyDescent="0.2">
      <c r="A7989" t="s">
        <v>1248</v>
      </c>
    </row>
    <row r="7990" spans="1:1" x14ac:dyDescent="0.2">
      <c r="A7990" t="s">
        <v>1249</v>
      </c>
    </row>
    <row r="7991" spans="1:1" x14ac:dyDescent="0.2">
      <c r="A7991" t="s">
        <v>1250</v>
      </c>
    </row>
    <row r="7992" spans="1:1" x14ac:dyDescent="0.2">
      <c r="A7992" t="s">
        <v>1251</v>
      </c>
    </row>
    <row r="7993" spans="1:1" x14ac:dyDescent="0.2">
      <c r="A7993" t="s">
        <v>1252</v>
      </c>
    </row>
    <row r="7994" spans="1:1" x14ac:dyDescent="0.2">
      <c r="A7994" t="s">
        <v>1253</v>
      </c>
    </row>
    <row r="7995" spans="1:1" x14ac:dyDescent="0.2">
      <c r="A7995" t="s">
        <v>1254</v>
      </c>
    </row>
    <row r="7996" spans="1:1" x14ac:dyDescent="0.2">
      <c r="A7996" t="s">
        <v>1255</v>
      </c>
    </row>
    <row r="7997" spans="1:1" x14ac:dyDescent="0.2">
      <c r="A7997" t="s">
        <v>1256</v>
      </c>
    </row>
    <row r="7998" spans="1:1" x14ac:dyDescent="0.2">
      <c r="A7998" t="s">
        <v>1257</v>
      </c>
    </row>
    <row r="7999" spans="1:1" x14ac:dyDescent="0.2">
      <c r="A7999" t="s">
        <v>1258</v>
      </c>
    </row>
    <row r="8000" spans="1:1" x14ac:dyDescent="0.2">
      <c r="A8000" t="s">
        <v>1259</v>
      </c>
    </row>
    <row r="8001" spans="1:1" x14ac:dyDescent="0.2">
      <c r="A8001" t="s">
        <v>1260</v>
      </c>
    </row>
    <row r="8002" spans="1:1" x14ac:dyDescent="0.2">
      <c r="A8002" t="s">
        <v>1261</v>
      </c>
    </row>
    <row r="8003" spans="1:1" x14ac:dyDescent="0.2">
      <c r="A8003" t="s">
        <v>1262</v>
      </c>
    </row>
    <row r="8004" spans="1:1" x14ac:dyDescent="0.2">
      <c r="A8004" t="s">
        <v>1263</v>
      </c>
    </row>
    <row r="8005" spans="1:1" x14ac:dyDescent="0.2">
      <c r="A8005" t="s">
        <v>1264</v>
      </c>
    </row>
    <row r="8006" spans="1:1" x14ac:dyDescent="0.2">
      <c r="A8006" t="s">
        <v>1265</v>
      </c>
    </row>
    <row r="8007" spans="1:1" x14ac:dyDescent="0.2">
      <c r="A8007" t="s">
        <v>1266</v>
      </c>
    </row>
    <row r="8008" spans="1:1" x14ac:dyDescent="0.2">
      <c r="A8008" t="s">
        <v>1267</v>
      </c>
    </row>
    <row r="8009" spans="1:1" x14ac:dyDescent="0.2">
      <c r="A8009" t="s">
        <v>1268</v>
      </c>
    </row>
    <row r="8010" spans="1:1" x14ac:dyDescent="0.2">
      <c r="A8010" t="s">
        <v>1269</v>
      </c>
    </row>
    <row r="8011" spans="1:1" x14ac:dyDescent="0.2">
      <c r="A8011" t="s">
        <v>1270</v>
      </c>
    </row>
    <row r="8012" spans="1:1" x14ac:dyDescent="0.2">
      <c r="A8012" t="s">
        <v>1271</v>
      </c>
    </row>
    <row r="8013" spans="1:1" x14ac:dyDescent="0.2">
      <c r="A8013" t="s">
        <v>1272</v>
      </c>
    </row>
    <row r="8014" spans="1:1" x14ac:dyDescent="0.2">
      <c r="A8014" t="s">
        <v>1273</v>
      </c>
    </row>
    <row r="8015" spans="1:1" x14ac:dyDescent="0.2">
      <c r="A8015" t="s">
        <v>1274</v>
      </c>
    </row>
    <row r="8016" spans="1:1" x14ac:dyDescent="0.2">
      <c r="A8016" t="s">
        <v>1275</v>
      </c>
    </row>
    <row r="8017" spans="1:1" x14ac:dyDescent="0.2">
      <c r="A8017" t="s">
        <v>1276</v>
      </c>
    </row>
    <row r="8018" spans="1:1" x14ac:dyDescent="0.2">
      <c r="A8018" t="s">
        <v>1277</v>
      </c>
    </row>
    <row r="8019" spans="1:1" x14ac:dyDescent="0.2">
      <c r="A8019" t="s">
        <v>1278</v>
      </c>
    </row>
    <row r="8020" spans="1:1" x14ac:dyDescent="0.2">
      <c r="A8020" t="s">
        <v>1279</v>
      </c>
    </row>
    <row r="8021" spans="1:1" x14ac:dyDescent="0.2">
      <c r="A8021" t="s">
        <v>1280</v>
      </c>
    </row>
    <row r="8022" spans="1:1" x14ac:dyDescent="0.2">
      <c r="A8022" t="s">
        <v>1281</v>
      </c>
    </row>
    <row r="8023" spans="1:1" x14ac:dyDescent="0.2">
      <c r="A8023" t="s">
        <v>1282</v>
      </c>
    </row>
    <row r="8024" spans="1:1" x14ac:dyDescent="0.2">
      <c r="A8024" t="s">
        <v>1283</v>
      </c>
    </row>
    <row r="8025" spans="1:1" x14ac:dyDescent="0.2">
      <c r="A8025" t="s">
        <v>1284</v>
      </c>
    </row>
    <row r="8026" spans="1:1" x14ac:dyDescent="0.2">
      <c r="A8026" t="s">
        <v>1285</v>
      </c>
    </row>
    <row r="8027" spans="1:1" x14ac:dyDescent="0.2">
      <c r="A8027" t="s">
        <v>1286</v>
      </c>
    </row>
    <row r="8028" spans="1:1" x14ac:dyDescent="0.2">
      <c r="A8028" t="s">
        <v>2954</v>
      </c>
    </row>
    <row r="8029" spans="1:1" x14ac:dyDescent="0.2">
      <c r="A8029" t="s">
        <v>1053</v>
      </c>
    </row>
    <row r="8030" spans="1:1" x14ac:dyDescent="0.2">
      <c r="A8030" t="s">
        <v>2955</v>
      </c>
    </row>
    <row r="8031" spans="1:1" x14ac:dyDescent="0.2">
      <c r="A8031" t="s">
        <v>2768</v>
      </c>
    </row>
    <row r="8032" spans="1:1" x14ac:dyDescent="0.2">
      <c r="A8032" t="s">
        <v>2769</v>
      </c>
    </row>
    <row r="8033" spans="1:1" x14ac:dyDescent="0.2">
      <c r="A8033" t="s">
        <v>1054</v>
      </c>
    </row>
    <row r="8034" spans="1:1" x14ac:dyDescent="0.2">
      <c r="A8034" t="s">
        <v>1055</v>
      </c>
    </row>
    <row r="8035" spans="1:1" x14ac:dyDescent="0.2">
      <c r="A8035" t="s">
        <v>2770</v>
      </c>
    </row>
    <row r="8036" spans="1:1" x14ac:dyDescent="0.2">
      <c r="A8036" t="s">
        <v>1056</v>
      </c>
    </row>
    <row r="8037" spans="1:1" x14ac:dyDescent="0.2">
      <c r="A8037" t="s">
        <v>1057</v>
      </c>
    </row>
    <row r="8038" spans="1:1" x14ac:dyDescent="0.2">
      <c r="A8038" t="s">
        <v>1058</v>
      </c>
    </row>
    <row r="8039" spans="1:1" x14ac:dyDescent="0.2">
      <c r="A8039" t="s">
        <v>1059</v>
      </c>
    </row>
    <row r="8040" spans="1:1" x14ac:dyDescent="0.2">
      <c r="A8040" t="s">
        <v>1060</v>
      </c>
    </row>
    <row r="8041" spans="1:1" x14ac:dyDescent="0.2">
      <c r="A8041" t="s">
        <v>1061</v>
      </c>
    </row>
    <row r="8042" spans="1:1" x14ac:dyDescent="0.2">
      <c r="A8042" t="s">
        <v>1062</v>
      </c>
    </row>
    <row r="8043" spans="1:1" x14ac:dyDescent="0.2">
      <c r="A8043" t="s">
        <v>1063</v>
      </c>
    </row>
    <row r="8044" spans="1:1" x14ac:dyDescent="0.2">
      <c r="A8044" t="s">
        <v>1064</v>
      </c>
    </row>
    <row r="8045" spans="1:1" x14ac:dyDescent="0.2">
      <c r="A8045" t="s">
        <v>1065</v>
      </c>
    </row>
    <row r="8046" spans="1:1" x14ac:dyDescent="0.2">
      <c r="A8046" t="s">
        <v>1066</v>
      </c>
    </row>
    <row r="8047" spans="1:1" x14ac:dyDescent="0.2">
      <c r="A8047" t="s">
        <v>1067</v>
      </c>
    </row>
    <row r="8048" spans="1:1" x14ac:dyDescent="0.2">
      <c r="A8048" t="s">
        <v>1068</v>
      </c>
    </row>
    <row r="8049" spans="1:1" x14ac:dyDescent="0.2">
      <c r="A8049" t="s">
        <v>1069</v>
      </c>
    </row>
    <row r="8050" spans="1:1" x14ac:dyDescent="0.2">
      <c r="A8050" t="s">
        <v>1070</v>
      </c>
    </row>
    <row r="8051" spans="1:1" x14ac:dyDescent="0.2">
      <c r="A8051" t="s">
        <v>1071</v>
      </c>
    </row>
    <row r="8052" spans="1:1" x14ac:dyDescent="0.2">
      <c r="A8052" t="s">
        <v>1072</v>
      </c>
    </row>
    <row r="8053" spans="1:1" x14ac:dyDescent="0.2">
      <c r="A8053" t="s">
        <v>1073</v>
      </c>
    </row>
    <row r="8054" spans="1:1" x14ac:dyDescent="0.2">
      <c r="A8054" t="s">
        <v>1074</v>
      </c>
    </row>
    <row r="8055" spans="1:1" x14ac:dyDescent="0.2">
      <c r="A8055" t="s">
        <v>1075</v>
      </c>
    </row>
    <row r="8056" spans="1:1" x14ac:dyDescent="0.2">
      <c r="A8056" t="s">
        <v>1076</v>
      </c>
    </row>
    <row r="8057" spans="1:1" x14ac:dyDescent="0.2">
      <c r="A8057" t="s">
        <v>1077</v>
      </c>
    </row>
    <row r="8058" spans="1:1" x14ac:dyDescent="0.2">
      <c r="A8058" t="s">
        <v>1078</v>
      </c>
    </row>
    <row r="8059" spans="1:1" x14ac:dyDescent="0.2">
      <c r="A8059" t="s">
        <v>1079</v>
      </c>
    </row>
    <row r="8060" spans="1:1" x14ac:dyDescent="0.2">
      <c r="A8060" t="s">
        <v>1080</v>
      </c>
    </row>
    <row r="8061" spans="1:1" x14ac:dyDescent="0.2">
      <c r="A8061" t="s">
        <v>1081</v>
      </c>
    </row>
    <row r="8062" spans="1:1" x14ac:dyDescent="0.2">
      <c r="A8062" t="s">
        <v>1082</v>
      </c>
    </row>
    <row r="8063" spans="1:1" x14ac:dyDescent="0.2">
      <c r="A8063" t="s">
        <v>1083</v>
      </c>
    </row>
    <row r="8064" spans="1:1" x14ac:dyDescent="0.2">
      <c r="A8064" t="s">
        <v>2771</v>
      </c>
    </row>
    <row r="8065" spans="1:1" x14ac:dyDescent="0.2">
      <c r="A8065" t="s">
        <v>2772</v>
      </c>
    </row>
    <row r="8066" spans="1:1" x14ac:dyDescent="0.2">
      <c r="A8066" t="s">
        <v>2773</v>
      </c>
    </row>
    <row r="8067" spans="1:1" x14ac:dyDescent="0.2">
      <c r="A8067" t="s">
        <v>2774</v>
      </c>
    </row>
    <row r="8068" spans="1:1" x14ac:dyDescent="0.2">
      <c r="A8068" t="s">
        <v>2775</v>
      </c>
    </row>
    <row r="8069" spans="1:1" x14ac:dyDescent="0.2">
      <c r="A8069" t="s">
        <v>2776</v>
      </c>
    </row>
    <row r="8070" spans="1:1" x14ac:dyDescent="0.2">
      <c r="A8070" t="s">
        <v>1084</v>
      </c>
    </row>
    <row r="8071" spans="1:1" x14ac:dyDescent="0.2">
      <c r="A8071" t="s">
        <v>1085</v>
      </c>
    </row>
    <row r="8072" spans="1:1" x14ac:dyDescent="0.2">
      <c r="A8072" t="s">
        <v>1086</v>
      </c>
    </row>
    <row r="8073" spans="1:1" x14ac:dyDescent="0.2">
      <c r="A8073" t="s">
        <v>1087</v>
      </c>
    </row>
    <row r="8074" spans="1:1" x14ac:dyDescent="0.2">
      <c r="A8074" t="s">
        <v>1088</v>
      </c>
    </row>
    <row r="8075" spans="1:1" x14ac:dyDescent="0.2">
      <c r="A8075" t="s">
        <v>1089</v>
      </c>
    </row>
    <row r="8076" spans="1:1" x14ac:dyDescent="0.2">
      <c r="A8076" t="s">
        <v>1090</v>
      </c>
    </row>
    <row r="8077" spans="1:1" x14ac:dyDescent="0.2">
      <c r="A8077" t="s">
        <v>1091</v>
      </c>
    </row>
    <row r="8078" spans="1:1" x14ac:dyDescent="0.2">
      <c r="A8078" t="s">
        <v>1092</v>
      </c>
    </row>
    <row r="8079" spans="1:1" x14ac:dyDescent="0.2">
      <c r="A8079" t="s">
        <v>1093</v>
      </c>
    </row>
    <row r="8080" spans="1:1" x14ac:dyDescent="0.2">
      <c r="A8080" t="s">
        <v>1094</v>
      </c>
    </row>
    <row r="8081" spans="1:1" x14ac:dyDescent="0.2">
      <c r="A8081" t="s">
        <v>1095</v>
      </c>
    </row>
    <row r="8082" spans="1:1" x14ac:dyDescent="0.2">
      <c r="A8082" t="s">
        <v>1096</v>
      </c>
    </row>
    <row r="8083" spans="1:1" x14ac:dyDescent="0.2">
      <c r="A8083" t="s">
        <v>1097</v>
      </c>
    </row>
    <row r="8084" spans="1:1" x14ac:dyDescent="0.2">
      <c r="A8084" t="s">
        <v>1098</v>
      </c>
    </row>
    <row r="8085" spans="1:1" x14ac:dyDescent="0.2">
      <c r="A8085" t="s">
        <v>1099</v>
      </c>
    </row>
    <row r="8086" spans="1:1" x14ac:dyDescent="0.2">
      <c r="A8086" t="s">
        <v>1100</v>
      </c>
    </row>
    <row r="8087" spans="1:1" x14ac:dyDescent="0.2">
      <c r="A8087" t="s">
        <v>1101</v>
      </c>
    </row>
    <row r="8088" spans="1:1" x14ac:dyDescent="0.2">
      <c r="A8088" t="s">
        <v>1102</v>
      </c>
    </row>
    <row r="8089" spans="1:1" x14ac:dyDescent="0.2">
      <c r="A8089" t="s">
        <v>1103</v>
      </c>
    </row>
    <row r="8090" spans="1:1" x14ac:dyDescent="0.2">
      <c r="A8090" t="s">
        <v>1104</v>
      </c>
    </row>
    <row r="8091" spans="1:1" x14ac:dyDescent="0.2">
      <c r="A8091" t="s">
        <v>1105</v>
      </c>
    </row>
    <row r="8092" spans="1:1" x14ac:dyDescent="0.2">
      <c r="A8092" t="s">
        <v>1106</v>
      </c>
    </row>
    <row r="8093" spans="1:1" x14ac:dyDescent="0.2">
      <c r="A8093" t="s">
        <v>1107</v>
      </c>
    </row>
    <row r="8094" spans="1:1" x14ac:dyDescent="0.2">
      <c r="A8094" t="s">
        <v>1108</v>
      </c>
    </row>
    <row r="8095" spans="1:1" x14ac:dyDescent="0.2">
      <c r="A8095" t="s">
        <v>1109</v>
      </c>
    </row>
    <row r="8096" spans="1:1" x14ac:dyDescent="0.2">
      <c r="A8096" t="s">
        <v>1110</v>
      </c>
    </row>
    <row r="8097" spans="1:1" x14ac:dyDescent="0.2">
      <c r="A8097" t="s">
        <v>1111</v>
      </c>
    </row>
    <row r="8098" spans="1:1" x14ac:dyDescent="0.2">
      <c r="A8098" t="s">
        <v>1112</v>
      </c>
    </row>
    <row r="8099" spans="1:1" x14ac:dyDescent="0.2">
      <c r="A8099" t="s">
        <v>1113</v>
      </c>
    </row>
    <row r="8100" spans="1:1" x14ac:dyDescent="0.2">
      <c r="A8100" t="s">
        <v>1114</v>
      </c>
    </row>
    <row r="8101" spans="1:1" x14ac:dyDescent="0.2">
      <c r="A8101" t="s">
        <v>1115</v>
      </c>
    </row>
    <row r="8102" spans="1:1" x14ac:dyDescent="0.2">
      <c r="A8102" t="s">
        <v>1116</v>
      </c>
    </row>
    <row r="8103" spans="1:1" x14ac:dyDescent="0.2">
      <c r="A8103" t="s">
        <v>1117</v>
      </c>
    </row>
    <row r="8104" spans="1:1" x14ac:dyDescent="0.2">
      <c r="A8104" t="s">
        <v>1118</v>
      </c>
    </row>
    <row r="8105" spans="1:1" x14ac:dyDescent="0.2">
      <c r="A8105" t="s">
        <v>1119</v>
      </c>
    </row>
    <row r="8106" spans="1:1" x14ac:dyDescent="0.2">
      <c r="A8106" t="s">
        <v>1120</v>
      </c>
    </row>
    <row r="8107" spans="1:1" x14ac:dyDescent="0.2">
      <c r="A8107" t="s">
        <v>1288</v>
      </c>
    </row>
    <row r="8108" spans="1:1" x14ac:dyDescent="0.2">
      <c r="A8108" t="s">
        <v>2956</v>
      </c>
    </row>
    <row r="8109" spans="1:1" x14ac:dyDescent="0.2">
      <c r="A8109" t="s">
        <v>2957</v>
      </c>
    </row>
    <row r="8110" spans="1:1" x14ac:dyDescent="0.2">
      <c r="A8110" t="s">
        <v>2958</v>
      </c>
    </row>
    <row r="8111" spans="1:1" x14ac:dyDescent="0.2">
      <c r="A8111" t="s">
        <v>2959</v>
      </c>
    </row>
    <row r="8112" spans="1:1" x14ac:dyDescent="0.2">
      <c r="A8112" t="s">
        <v>2960</v>
      </c>
    </row>
    <row r="8113" spans="1:1" x14ac:dyDescent="0.2">
      <c r="A8113" t="s">
        <v>2961</v>
      </c>
    </row>
    <row r="8114" spans="1:1" x14ac:dyDescent="0.2">
      <c r="A8114" t="s">
        <v>2962</v>
      </c>
    </row>
    <row r="8115" spans="1:1" x14ac:dyDescent="0.2">
      <c r="A8115" t="s">
        <v>1122</v>
      </c>
    </row>
    <row r="8116" spans="1:1" x14ac:dyDescent="0.2">
      <c r="A8116" t="s">
        <v>1123</v>
      </c>
    </row>
    <row r="8117" spans="1:1" x14ac:dyDescent="0.2">
      <c r="A8117" t="s">
        <v>1124</v>
      </c>
    </row>
    <row r="8118" spans="1:1" x14ac:dyDescent="0.2">
      <c r="A8118" t="s">
        <v>1125</v>
      </c>
    </row>
    <row r="8119" spans="1:1" x14ac:dyDescent="0.2">
      <c r="A8119" t="s">
        <v>1126</v>
      </c>
    </row>
    <row r="8120" spans="1:1" x14ac:dyDescent="0.2">
      <c r="A8120" t="s">
        <v>1127</v>
      </c>
    </row>
    <row r="8121" spans="1:1" x14ac:dyDescent="0.2">
      <c r="A8121" t="s">
        <v>1128</v>
      </c>
    </row>
    <row r="8122" spans="1:1" x14ac:dyDescent="0.2">
      <c r="A8122" t="s">
        <v>1129</v>
      </c>
    </row>
    <row r="8123" spans="1:1" x14ac:dyDescent="0.2">
      <c r="A8123" t="s">
        <v>1130</v>
      </c>
    </row>
    <row r="8124" spans="1:1" x14ac:dyDescent="0.2">
      <c r="A8124" t="s">
        <v>1131</v>
      </c>
    </row>
    <row r="8125" spans="1:1" x14ac:dyDescent="0.2">
      <c r="A8125" t="s">
        <v>1132</v>
      </c>
    </row>
    <row r="8126" spans="1:1" x14ac:dyDescent="0.2">
      <c r="A8126" t="s">
        <v>1133</v>
      </c>
    </row>
    <row r="8127" spans="1:1" x14ac:dyDescent="0.2">
      <c r="A8127" t="s">
        <v>1134</v>
      </c>
    </row>
    <row r="8128" spans="1:1" x14ac:dyDescent="0.2">
      <c r="A8128" t="s">
        <v>1135</v>
      </c>
    </row>
    <row r="8129" spans="1:1" x14ac:dyDescent="0.2">
      <c r="A8129" t="s">
        <v>1136</v>
      </c>
    </row>
    <row r="8130" spans="1:1" x14ac:dyDescent="0.2">
      <c r="A8130" t="s">
        <v>1137</v>
      </c>
    </row>
    <row r="8131" spans="1:1" x14ac:dyDescent="0.2">
      <c r="A8131" t="s">
        <v>1138</v>
      </c>
    </row>
    <row r="8132" spans="1:1" x14ac:dyDescent="0.2">
      <c r="A8132" t="s">
        <v>1139</v>
      </c>
    </row>
    <row r="8133" spans="1:1" x14ac:dyDescent="0.2">
      <c r="A8133" t="s">
        <v>1140</v>
      </c>
    </row>
    <row r="8134" spans="1:1" x14ac:dyDescent="0.2">
      <c r="A8134" t="s">
        <v>1141</v>
      </c>
    </row>
    <row r="8135" spans="1:1" x14ac:dyDescent="0.2">
      <c r="A8135" t="s">
        <v>1142</v>
      </c>
    </row>
    <row r="8136" spans="1:1" x14ac:dyDescent="0.2">
      <c r="A8136" t="s">
        <v>1143</v>
      </c>
    </row>
    <row r="8137" spans="1:1" x14ac:dyDescent="0.2">
      <c r="A8137" t="s">
        <v>1144</v>
      </c>
    </row>
    <row r="8138" spans="1:1" x14ac:dyDescent="0.2">
      <c r="A8138" t="s">
        <v>1145</v>
      </c>
    </row>
    <row r="8139" spans="1:1" x14ac:dyDescent="0.2">
      <c r="A8139" t="s">
        <v>1146</v>
      </c>
    </row>
    <row r="8140" spans="1:1" x14ac:dyDescent="0.2">
      <c r="A8140" t="s">
        <v>1147</v>
      </c>
    </row>
    <row r="8141" spans="1:1" x14ac:dyDescent="0.2">
      <c r="A8141" t="s">
        <v>1148</v>
      </c>
    </row>
    <row r="8142" spans="1:1" x14ac:dyDescent="0.2">
      <c r="A8142" t="s">
        <v>1149</v>
      </c>
    </row>
    <row r="8143" spans="1:1" x14ac:dyDescent="0.2">
      <c r="A8143" t="s">
        <v>1150</v>
      </c>
    </row>
    <row r="8144" spans="1:1" x14ac:dyDescent="0.2">
      <c r="A8144" t="s">
        <v>1151</v>
      </c>
    </row>
    <row r="8145" spans="1:1" x14ac:dyDescent="0.2">
      <c r="A8145" t="s">
        <v>1152</v>
      </c>
    </row>
    <row r="8146" spans="1:1" x14ac:dyDescent="0.2">
      <c r="A8146" t="s">
        <v>1153</v>
      </c>
    </row>
    <row r="8147" spans="1:1" x14ac:dyDescent="0.2">
      <c r="A8147" t="s">
        <v>1154</v>
      </c>
    </row>
    <row r="8148" spans="1:1" x14ac:dyDescent="0.2">
      <c r="A8148" t="s">
        <v>1155</v>
      </c>
    </row>
    <row r="8149" spans="1:1" x14ac:dyDescent="0.2">
      <c r="A8149" t="s">
        <v>1156</v>
      </c>
    </row>
    <row r="8150" spans="1:1" x14ac:dyDescent="0.2">
      <c r="A8150" t="s">
        <v>1157</v>
      </c>
    </row>
    <row r="8151" spans="1:1" x14ac:dyDescent="0.2">
      <c r="A8151" t="s">
        <v>1158</v>
      </c>
    </row>
    <row r="8152" spans="1:1" x14ac:dyDescent="0.2">
      <c r="A8152" t="s">
        <v>1159</v>
      </c>
    </row>
    <row r="8153" spans="1:1" x14ac:dyDescent="0.2">
      <c r="A8153" t="s">
        <v>1160</v>
      </c>
    </row>
    <row r="8154" spans="1:1" x14ac:dyDescent="0.2">
      <c r="A8154" t="s">
        <v>1161</v>
      </c>
    </row>
    <row r="8155" spans="1:1" x14ac:dyDescent="0.2">
      <c r="A8155" t="s">
        <v>1162</v>
      </c>
    </row>
    <row r="8156" spans="1:1" x14ac:dyDescent="0.2">
      <c r="A8156" t="s">
        <v>1163</v>
      </c>
    </row>
    <row r="8157" spans="1:1" x14ac:dyDescent="0.2">
      <c r="A8157" t="s">
        <v>1164</v>
      </c>
    </row>
    <row r="8158" spans="1:1" x14ac:dyDescent="0.2">
      <c r="A8158" t="s">
        <v>1165</v>
      </c>
    </row>
    <row r="8159" spans="1:1" x14ac:dyDescent="0.2">
      <c r="A8159" t="s">
        <v>1166</v>
      </c>
    </row>
    <row r="8160" spans="1:1" x14ac:dyDescent="0.2">
      <c r="A8160" t="s">
        <v>1167</v>
      </c>
    </row>
    <row r="8161" spans="1:1" x14ac:dyDescent="0.2">
      <c r="A8161" t="s">
        <v>1168</v>
      </c>
    </row>
    <row r="8162" spans="1:1" x14ac:dyDescent="0.2">
      <c r="A8162" t="s">
        <v>1169</v>
      </c>
    </row>
    <row r="8163" spans="1:1" x14ac:dyDescent="0.2">
      <c r="A8163" t="s">
        <v>1170</v>
      </c>
    </row>
    <row r="8164" spans="1:1" x14ac:dyDescent="0.2">
      <c r="A8164" t="s">
        <v>1171</v>
      </c>
    </row>
    <row r="8165" spans="1:1" x14ac:dyDescent="0.2">
      <c r="A8165" t="s">
        <v>1172</v>
      </c>
    </row>
    <row r="8166" spans="1:1" x14ac:dyDescent="0.2">
      <c r="A8166" t="s">
        <v>1173</v>
      </c>
    </row>
    <row r="8167" spans="1:1" x14ac:dyDescent="0.2">
      <c r="A8167" t="s">
        <v>1174</v>
      </c>
    </row>
    <row r="8168" spans="1:1" x14ac:dyDescent="0.2">
      <c r="A8168" t="s">
        <v>1175</v>
      </c>
    </row>
    <row r="8169" spans="1:1" x14ac:dyDescent="0.2">
      <c r="A8169" t="s">
        <v>1176</v>
      </c>
    </row>
    <row r="8170" spans="1:1" x14ac:dyDescent="0.2">
      <c r="A8170" t="s">
        <v>1177</v>
      </c>
    </row>
    <row r="8171" spans="1:1" x14ac:dyDescent="0.2">
      <c r="A8171" t="s">
        <v>1178</v>
      </c>
    </row>
    <row r="8172" spans="1:1" x14ac:dyDescent="0.2">
      <c r="A8172" t="s">
        <v>1179</v>
      </c>
    </row>
    <row r="8173" spans="1:1" x14ac:dyDescent="0.2">
      <c r="A8173" t="s">
        <v>1180</v>
      </c>
    </row>
    <row r="8174" spans="1:1" x14ac:dyDescent="0.2">
      <c r="A8174" t="s">
        <v>1181</v>
      </c>
    </row>
    <row r="8175" spans="1:1" x14ac:dyDescent="0.2">
      <c r="A8175" t="s">
        <v>1182</v>
      </c>
    </row>
    <row r="8176" spans="1:1" x14ac:dyDescent="0.2">
      <c r="A8176" t="s">
        <v>1183</v>
      </c>
    </row>
    <row r="8177" spans="1:1" x14ac:dyDescent="0.2">
      <c r="A8177" t="s">
        <v>1184</v>
      </c>
    </row>
    <row r="8178" spans="1:1" x14ac:dyDescent="0.2">
      <c r="A8178" t="s">
        <v>1185</v>
      </c>
    </row>
    <row r="8179" spans="1:1" x14ac:dyDescent="0.2">
      <c r="A8179" t="s">
        <v>1186</v>
      </c>
    </row>
    <row r="8180" spans="1:1" x14ac:dyDescent="0.2">
      <c r="A8180" t="s">
        <v>1187</v>
      </c>
    </row>
    <row r="8181" spans="1:1" x14ac:dyDescent="0.2">
      <c r="A8181" t="s">
        <v>1188</v>
      </c>
    </row>
    <row r="8182" spans="1:1" x14ac:dyDescent="0.2">
      <c r="A8182" t="s">
        <v>1189</v>
      </c>
    </row>
    <row r="8183" spans="1:1" x14ac:dyDescent="0.2">
      <c r="A8183" t="s">
        <v>1190</v>
      </c>
    </row>
    <row r="8184" spans="1:1" x14ac:dyDescent="0.2">
      <c r="A8184" t="s">
        <v>1191</v>
      </c>
    </row>
    <row r="8185" spans="1:1" x14ac:dyDescent="0.2">
      <c r="A8185" t="s">
        <v>1192</v>
      </c>
    </row>
    <row r="8186" spans="1:1" x14ac:dyDescent="0.2">
      <c r="A8186" t="s">
        <v>1193</v>
      </c>
    </row>
    <row r="8187" spans="1:1" x14ac:dyDescent="0.2">
      <c r="A8187" t="s">
        <v>1194</v>
      </c>
    </row>
    <row r="8188" spans="1:1" x14ac:dyDescent="0.2">
      <c r="A8188" t="s">
        <v>1195</v>
      </c>
    </row>
    <row r="8189" spans="1:1" x14ac:dyDescent="0.2">
      <c r="A8189" t="s">
        <v>1196</v>
      </c>
    </row>
    <row r="8190" spans="1:1" x14ac:dyDescent="0.2">
      <c r="A8190" t="s">
        <v>1197</v>
      </c>
    </row>
    <row r="8191" spans="1:1" x14ac:dyDescent="0.2">
      <c r="A8191" t="s">
        <v>1198</v>
      </c>
    </row>
    <row r="8192" spans="1:1" x14ac:dyDescent="0.2">
      <c r="A8192" t="s">
        <v>1199</v>
      </c>
    </row>
    <row r="8193" spans="1:1" x14ac:dyDescent="0.2">
      <c r="A8193" t="s">
        <v>1200</v>
      </c>
    </row>
    <row r="8194" spans="1:1" x14ac:dyDescent="0.2">
      <c r="A8194" t="s">
        <v>1201</v>
      </c>
    </row>
    <row r="8195" spans="1:1" x14ac:dyDescent="0.2">
      <c r="A8195" t="s">
        <v>1202</v>
      </c>
    </row>
    <row r="8196" spans="1:1" x14ac:dyDescent="0.2">
      <c r="A8196" t="s">
        <v>1203</v>
      </c>
    </row>
    <row r="8197" spans="1:1" x14ac:dyDescent="0.2">
      <c r="A8197" t="s">
        <v>1204</v>
      </c>
    </row>
    <row r="8198" spans="1:1" x14ac:dyDescent="0.2">
      <c r="A8198" t="s">
        <v>1205</v>
      </c>
    </row>
    <row r="8199" spans="1:1" x14ac:dyDescent="0.2">
      <c r="A8199" t="s">
        <v>1206</v>
      </c>
    </row>
    <row r="8200" spans="1:1" x14ac:dyDescent="0.2">
      <c r="A8200" t="s">
        <v>1207</v>
      </c>
    </row>
    <row r="8201" spans="1:1" x14ac:dyDescent="0.2">
      <c r="A8201" t="s">
        <v>1208</v>
      </c>
    </row>
    <row r="8202" spans="1:1" x14ac:dyDescent="0.2">
      <c r="A8202" t="s">
        <v>1209</v>
      </c>
    </row>
    <row r="8203" spans="1:1" x14ac:dyDescent="0.2">
      <c r="A8203" t="s">
        <v>1210</v>
      </c>
    </row>
    <row r="8204" spans="1:1" x14ac:dyDescent="0.2">
      <c r="A8204" t="s">
        <v>1211</v>
      </c>
    </row>
    <row r="8205" spans="1:1" x14ac:dyDescent="0.2">
      <c r="A8205" t="s">
        <v>1212</v>
      </c>
    </row>
    <row r="8206" spans="1:1" x14ac:dyDescent="0.2">
      <c r="A8206" t="s">
        <v>1213</v>
      </c>
    </row>
    <row r="8207" spans="1:1" x14ac:dyDescent="0.2">
      <c r="A8207" t="s">
        <v>1214</v>
      </c>
    </row>
    <row r="8208" spans="1:1" x14ac:dyDescent="0.2">
      <c r="A8208" t="s">
        <v>1215</v>
      </c>
    </row>
    <row r="8209" spans="1:1" x14ac:dyDescent="0.2">
      <c r="A8209" t="s">
        <v>1216</v>
      </c>
    </row>
    <row r="8210" spans="1:1" x14ac:dyDescent="0.2">
      <c r="A8210" t="s">
        <v>1217</v>
      </c>
    </row>
    <row r="8211" spans="1:1" x14ac:dyDescent="0.2">
      <c r="A8211" t="s">
        <v>1218</v>
      </c>
    </row>
    <row r="8212" spans="1:1" x14ac:dyDescent="0.2">
      <c r="A8212" t="s">
        <v>1219</v>
      </c>
    </row>
    <row r="8213" spans="1:1" x14ac:dyDescent="0.2">
      <c r="A8213" t="s">
        <v>1220</v>
      </c>
    </row>
    <row r="8214" spans="1:1" x14ac:dyDescent="0.2">
      <c r="A8214" t="s">
        <v>1221</v>
      </c>
    </row>
    <row r="8215" spans="1:1" x14ac:dyDescent="0.2">
      <c r="A8215" t="s">
        <v>1222</v>
      </c>
    </row>
    <row r="8216" spans="1:1" x14ac:dyDescent="0.2">
      <c r="A8216" t="s">
        <v>1223</v>
      </c>
    </row>
    <row r="8217" spans="1:1" x14ac:dyDescent="0.2">
      <c r="A8217" t="s">
        <v>1224</v>
      </c>
    </row>
    <row r="8218" spans="1:1" x14ac:dyDescent="0.2">
      <c r="A8218" t="s">
        <v>1225</v>
      </c>
    </row>
    <row r="8219" spans="1:1" x14ac:dyDescent="0.2">
      <c r="A8219" t="s">
        <v>1226</v>
      </c>
    </row>
    <row r="8220" spans="1:1" x14ac:dyDescent="0.2">
      <c r="A8220" t="s">
        <v>1227</v>
      </c>
    </row>
    <row r="8221" spans="1:1" x14ac:dyDescent="0.2">
      <c r="A8221" t="s">
        <v>1228</v>
      </c>
    </row>
    <row r="8222" spans="1:1" x14ac:dyDescent="0.2">
      <c r="A8222" t="s">
        <v>1229</v>
      </c>
    </row>
    <row r="8223" spans="1:1" x14ac:dyDescent="0.2">
      <c r="A8223" t="s">
        <v>1230</v>
      </c>
    </row>
    <row r="8224" spans="1:1" x14ac:dyDescent="0.2">
      <c r="A8224" t="s">
        <v>1231</v>
      </c>
    </row>
    <row r="8225" spans="1:1" x14ac:dyDescent="0.2">
      <c r="A8225" t="s">
        <v>1232</v>
      </c>
    </row>
    <row r="8226" spans="1:1" x14ac:dyDescent="0.2">
      <c r="A8226" t="s">
        <v>1233</v>
      </c>
    </row>
    <row r="8227" spans="1:1" x14ac:dyDescent="0.2">
      <c r="A8227" t="s">
        <v>1234</v>
      </c>
    </row>
    <row r="8228" spans="1:1" x14ac:dyDescent="0.2">
      <c r="A8228" t="s">
        <v>1235</v>
      </c>
    </row>
    <row r="8229" spans="1:1" x14ac:dyDescent="0.2">
      <c r="A8229" t="s">
        <v>1236</v>
      </c>
    </row>
    <row r="8230" spans="1:1" x14ac:dyDescent="0.2">
      <c r="A8230" t="s">
        <v>1237</v>
      </c>
    </row>
    <row r="8231" spans="1:1" x14ac:dyDescent="0.2">
      <c r="A8231" t="s">
        <v>1238</v>
      </c>
    </row>
    <row r="8232" spans="1:1" x14ac:dyDescent="0.2">
      <c r="A8232" t="s">
        <v>1239</v>
      </c>
    </row>
    <row r="8233" spans="1:1" x14ac:dyDescent="0.2">
      <c r="A8233" t="s">
        <v>1240</v>
      </c>
    </row>
    <row r="8234" spans="1:1" x14ac:dyDescent="0.2">
      <c r="A8234" t="s">
        <v>1241</v>
      </c>
    </row>
    <row r="8235" spans="1:1" x14ac:dyDescent="0.2">
      <c r="A8235" t="s">
        <v>1242</v>
      </c>
    </row>
    <row r="8236" spans="1:1" x14ac:dyDescent="0.2">
      <c r="A8236" t="s">
        <v>1243</v>
      </c>
    </row>
    <row r="8237" spans="1:1" x14ac:dyDescent="0.2">
      <c r="A8237" t="s">
        <v>1244</v>
      </c>
    </row>
    <row r="8238" spans="1:1" x14ac:dyDescent="0.2">
      <c r="A8238" t="s">
        <v>1245</v>
      </c>
    </row>
    <row r="8239" spans="1:1" x14ac:dyDescent="0.2">
      <c r="A8239" t="s">
        <v>1246</v>
      </c>
    </row>
    <row r="8240" spans="1:1" x14ac:dyDescent="0.2">
      <c r="A8240" t="s">
        <v>1247</v>
      </c>
    </row>
    <row r="8241" spans="1:1" x14ac:dyDescent="0.2">
      <c r="A8241" t="s">
        <v>1248</v>
      </c>
    </row>
    <row r="8242" spans="1:1" x14ac:dyDescent="0.2">
      <c r="A8242" t="s">
        <v>1249</v>
      </c>
    </row>
    <row r="8243" spans="1:1" x14ac:dyDescent="0.2">
      <c r="A8243" t="s">
        <v>1250</v>
      </c>
    </row>
    <row r="8244" spans="1:1" x14ac:dyDescent="0.2">
      <c r="A8244" t="s">
        <v>1251</v>
      </c>
    </row>
    <row r="8245" spans="1:1" x14ac:dyDescent="0.2">
      <c r="A8245" t="s">
        <v>1252</v>
      </c>
    </row>
    <row r="8246" spans="1:1" x14ac:dyDescent="0.2">
      <c r="A8246" t="s">
        <v>1253</v>
      </c>
    </row>
    <row r="8247" spans="1:1" x14ac:dyDescent="0.2">
      <c r="A8247" t="s">
        <v>1254</v>
      </c>
    </row>
    <row r="8248" spans="1:1" x14ac:dyDescent="0.2">
      <c r="A8248" t="s">
        <v>1255</v>
      </c>
    </row>
    <row r="8249" spans="1:1" x14ac:dyDescent="0.2">
      <c r="A8249" t="s">
        <v>1256</v>
      </c>
    </row>
    <row r="8250" spans="1:1" x14ac:dyDescent="0.2">
      <c r="A8250" t="s">
        <v>1257</v>
      </c>
    </row>
    <row r="8251" spans="1:1" x14ac:dyDescent="0.2">
      <c r="A8251" t="s">
        <v>1258</v>
      </c>
    </row>
    <row r="8252" spans="1:1" x14ac:dyDescent="0.2">
      <c r="A8252" t="s">
        <v>1259</v>
      </c>
    </row>
    <row r="8253" spans="1:1" x14ac:dyDescent="0.2">
      <c r="A8253" t="s">
        <v>1260</v>
      </c>
    </row>
    <row r="8254" spans="1:1" x14ac:dyDescent="0.2">
      <c r="A8254" t="s">
        <v>1261</v>
      </c>
    </row>
    <row r="8255" spans="1:1" x14ac:dyDescent="0.2">
      <c r="A8255" t="s">
        <v>1262</v>
      </c>
    </row>
    <row r="8256" spans="1:1" x14ac:dyDescent="0.2">
      <c r="A8256" t="s">
        <v>1263</v>
      </c>
    </row>
    <row r="8257" spans="1:1" x14ac:dyDescent="0.2">
      <c r="A8257" t="s">
        <v>1264</v>
      </c>
    </row>
    <row r="8258" spans="1:1" x14ac:dyDescent="0.2">
      <c r="A8258" t="s">
        <v>1265</v>
      </c>
    </row>
    <row r="8259" spans="1:1" x14ac:dyDescent="0.2">
      <c r="A8259" t="s">
        <v>1266</v>
      </c>
    </row>
    <row r="8260" spans="1:1" x14ac:dyDescent="0.2">
      <c r="A8260" t="s">
        <v>1267</v>
      </c>
    </row>
    <row r="8261" spans="1:1" x14ac:dyDescent="0.2">
      <c r="A8261" t="s">
        <v>1268</v>
      </c>
    </row>
    <row r="8262" spans="1:1" x14ac:dyDescent="0.2">
      <c r="A8262" t="s">
        <v>1269</v>
      </c>
    </row>
    <row r="8263" spans="1:1" x14ac:dyDescent="0.2">
      <c r="A8263" t="s">
        <v>1270</v>
      </c>
    </row>
    <row r="8264" spans="1:1" x14ac:dyDescent="0.2">
      <c r="A8264" t="s">
        <v>1271</v>
      </c>
    </row>
    <row r="8265" spans="1:1" x14ac:dyDescent="0.2">
      <c r="A8265" t="s">
        <v>1272</v>
      </c>
    </row>
    <row r="8266" spans="1:1" x14ac:dyDescent="0.2">
      <c r="A8266" t="s">
        <v>1273</v>
      </c>
    </row>
    <row r="8267" spans="1:1" x14ac:dyDescent="0.2">
      <c r="A8267" t="s">
        <v>1274</v>
      </c>
    </row>
    <row r="8268" spans="1:1" x14ac:dyDescent="0.2">
      <c r="A8268" t="s">
        <v>1275</v>
      </c>
    </row>
    <row r="8269" spans="1:1" x14ac:dyDescent="0.2">
      <c r="A8269" t="s">
        <v>1276</v>
      </c>
    </row>
    <row r="8270" spans="1:1" x14ac:dyDescent="0.2">
      <c r="A8270" t="s">
        <v>1277</v>
      </c>
    </row>
    <row r="8271" spans="1:1" x14ac:dyDescent="0.2">
      <c r="A8271" t="s">
        <v>1278</v>
      </c>
    </row>
    <row r="8272" spans="1:1" x14ac:dyDescent="0.2">
      <c r="A8272" t="s">
        <v>1279</v>
      </c>
    </row>
    <row r="8273" spans="1:1" x14ac:dyDescent="0.2">
      <c r="A8273" t="s">
        <v>1280</v>
      </c>
    </row>
    <row r="8274" spans="1:1" x14ac:dyDescent="0.2">
      <c r="A8274" t="s">
        <v>1281</v>
      </c>
    </row>
    <row r="8275" spans="1:1" x14ac:dyDescent="0.2">
      <c r="A8275" t="s">
        <v>1282</v>
      </c>
    </row>
    <row r="8276" spans="1:1" x14ac:dyDescent="0.2">
      <c r="A8276" t="s">
        <v>1283</v>
      </c>
    </row>
    <row r="8277" spans="1:1" x14ac:dyDescent="0.2">
      <c r="A8277" t="s">
        <v>1284</v>
      </c>
    </row>
    <row r="8278" spans="1:1" x14ac:dyDescent="0.2">
      <c r="A8278" t="s">
        <v>1285</v>
      </c>
    </row>
    <row r="8279" spans="1:1" x14ac:dyDescent="0.2">
      <c r="A8279" t="s">
        <v>1286</v>
      </c>
    </row>
    <row r="8280" spans="1:1" x14ac:dyDescent="0.2">
      <c r="A8280" t="s">
        <v>2963</v>
      </c>
    </row>
    <row r="8281" spans="1:1" x14ac:dyDescent="0.2">
      <c r="A8281" t="s">
        <v>1053</v>
      </c>
    </row>
    <row r="8282" spans="1:1" x14ac:dyDescent="0.2">
      <c r="A8282" t="s">
        <v>2964</v>
      </c>
    </row>
    <row r="8283" spans="1:1" x14ac:dyDescent="0.2">
      <c r="A8283" t="s">
        <v>2768</v>
      </c>
    </row>
    <row r="8284" spans="1:1" x14ac:dyDescent="0.2">
      <c r="A8284" t="s">
        <v>2769</v>
      </c>
    </row>
    <row r="8285" spans="1:1" x14ac:dyDescent="0.2">
      <c r="A8285" t="s">
        <v>1054</v>
      </c>
    </row>
    <row r="8286" spans="1:1" x14ac:dyDescent="0.2">
      <c r="A8286" t="s">
        <v>1055</v>
      </c>
    </row>
    <row r="8287" spans="1:1" x14ac:dyDescent="0.2">
      <c r="A8287" t="s">
        <v>2770</v>
      </c>
    </row>
    <row r="8288" spans="1:1" x14ac:dyDescent="0.2">
      <c r="A8288" t="s">
        <v>1056</v>
      </c>
    </row>
    <row r="8289" spans="1:1" x14ac:dyDescent="0.2">
      <c r="A8289" t="s">
        <v>1057</v>
      </c>
    </row>
    <row r="8290" spans="1:1" x14ac:dyDescent="0.2">
      <c r="A8290" t="s">
        <v>1058</v>
      </c>
    </row>
    <row r="8291" spans="1:1" x14ac:dyDescent="0.2">
      <c r="A8291" t="s">
        <v>1059</v>
      </c>
    </row>
    <row r="8292" spans="1:1" x14ac:dyDescent="0.2">
      <c r="A8292" t="s">
        <v>1060</v>
      </c>
    </row>
    <row r="8293" spans="1:1" x14ac:dyDescent="0.2">
      <c r="A8293" t="s">
        <v>1061</v>
      </c>
    </row>
    <row r="8294" spans="1:1" x14ac:dyDescent="0.2">
      <c r="A8294" t="s">
        <v>1062</v>
      </c>
    </row>
    <row r="8295" spans="1:1" x14ac:dyDescent="0.2">
      <c r="A8295" t="s">
        <v>1063</v>
      </c>
    </row>
    <row r="8296" spans="1:1" x14ac:dyDescent="0.2">
      <c r="A8296" t="s">
        <v>1064</v>
      </c>
    </row>
    <row r="8297" spans="1:1" x14ac:dyDescent="0.2">
      <c r="A8297" t="s">
        <v>1065</v>
      </c>
    </row>
    <row r="8298" spans="1:1" x14ac:dyDescent="0.2">
      <c r="A8298" t="s">
        <v>1066</v>
      </c>
    </row>
    <row r="8299" spans="1:1" x14ac:dyDescent="0.2">
      <c r="A8299" t="s">
        <v>1067</v>
      </c>
    </row>
    <row r="8300" spans="1:1" x14ac:dyDescent="0.2">
      <c r="A8300" t="s">
        <v>1068</v>
      </c>
    </row>
    <row r="8301" spans="1:1" x14ac:dyDescent="0.2">
      <c r="A8301" t="s">
        <v>1069</v>
      </c>
    </row>
    <row r="8302" spans="1:1" x14ac:dyDescent="0.2">
      <c r="A8302" t="s">
        <v>1070</v>
      </c>
    </row>
    <row r="8303" spans="1:1" x14ac:dyDescent="0.2">
      <c r="A8303" t="s">
        <v>1071</v>
      </c>
    </row>
    <row r="8304" spans="1:1" x14ac:dyDescent="0.2">
      <c r="A8304" t="s">
        <v>1072</v>
      </c>
    </row>
    <row r="8305" spans="1:1" x14ac:dyDescent="0.2">
      <c r="A8305" t="s">
        <v>1073</v>
      </c>
    </row>
    <row r="8306" spans="1:1" x14ac:dyDescent="0.2">
      <c r="A8306" t="s">
        <v>1074</v>
      </c>
    </row>
    <row r="8307" spans="1:1" x14ac:dyDescent="0.2">
      <c r="A8307" t="s">
        <v>1075</v>
      </c>
    </row>
    <row r="8308" spans="1:1" x14ac:dyDescent="0.2">
      <c r="A8308" t="s">
        <v>1076</v>
      </c>
    </row>
    <row r="8309" spans="1:1" x14ac:dyDescent="0.2">
      <c r="A8309" t="s">
        <v>1077</v>
      </c>
    </row>
    <row r="8310" spans="1:1" x14ac:dyDescent="0.2">
      <c r="A8310" t="s">
        <v>1078</v>
      </c>
    </row>
    <row r="8311" spans="1:1" x14ac:dyDescent="0.2">
      <c r="A8311" t="s">
        <v>1079</v>
      </c>
    </row>
    <row r="8312" spans="1:1" x14ac:dyDescent="0.2">
      <c r="A8312" t="s">
        <v>1080</v>
      </c>
    </row>
    <row r="8313" spans="1:1" x14ac:dyDescent="0.2">
      <c r="A8313" t="s">
        <v>1081</v>
      </c>
    </row>
    <row r="8314" spans="1:1" x14ac:dyDescent="0.2">
      <c r="A8314" t="s">
        <v>1082</v>
      </c>
    </row>
    <row r="8315" spans="1:1" x14ac:dyDescent="0.2">
      <c r="A8315" t="s">
        <v>1083</v>
      </c>
    </row>
    <row r="8316" spans="1:1" x14ac:dyDescent="0.2">
      <c r="A8316" t="s">
        <v>2771</v>
      </c>
    </row>
    <row r="8317" spans="1:1" x14ac:dyDescent="0.2">
      <c r="A8317" t="s">
        <v>2772</v>
      </c>
    </row>
    <row r="8318" spans="1:1" x14ac:dyDescent="0.2">
      <c r="A8318" t="s">
        <v>2773</v>
      </c>
    </row>
    <row r="8319" spans="1:1" x14ac:dyDescent="0.2">
      <c r="A8319" t="s">
        <v>2774</v>
      </c>
    </row>
    <row r="8320" spans="1:1" x14ac:dyDescent="0.2">
      <c r="A8320" t="s">
        <v>2775</v>
      </c>
    </row>
    <row r="8321" spans="1:1" x14ac:dyDescent="0.2">
      <c r="A8321" t="s">
        <v>2776</v>
      </c>
    </row>
    <row r="8322" spans="1:1" x14ac:dyDescent="0.2">
      <c r="A8322" t="s">
        <v>1084</v>
      </c>
    </row>
    <row r="8323" spans="1:1" x14ac:dyDescent="0.2">
      <c r="A8323" t="s">
        <v>1085</v>
      </c>
    </row>
    <row r="8324" spans="1:1" x14ac:dyDescent="0.2">
      <c r="A8324" t="s">
        <v>1086</v>
      </c>
    </row>
    <row r="8325" spans="1:1" x14ac:dyDescent="0.2">
      <c r="A8325" t="s">
        <v>1087</v>
      </c>
    </row>
    <row r="8326" spans="1:1" x14ac:dyDescent="0.2">
      <c r="A8326" t="s">
        <v>1088</v>
      </c>
    </row>
    <row r="8327" spans="1:1" x14ac:dyDescent="0.2">
      <c r="A8327" t="s">
        <v>1089</v>
      </c>
    </row>
    <row r="8328" spans="1:1" x14ac:dyDescent="0.2">
      <c r="A8328" t="s">
        <v>1090</v>
      </c>
    </row>
    <row r="8329" spans="1:1" x14ac:dyDescent="0.2">
      <c r="A8329" t="s">
        <v>1091</v>
      </c>
    </row>
    <row r="8330" spans="1:1" x14ac:dyDescent="0.2">
      <c r="A8330" t="s">
        <v>1092</v>
      </c>
    </row>
    <row r="8331" spans="1:1" x14ac:dyDescent="0.2">
      <c r="A8331" t="s">
        <v>1093</v>
      </c>
    </row>
    <row r="8332" spans="1:1" x14ac:dyDescent="0.2">
      <c r="A8332" t="s">
        <v>1094</v>
      </c>
    </row>
    <row r="8333" spans="1:1" x14ac:dyDescent="0.2">
      <c r="A8333" t="s">
        <v>1095</v>
      </c>
    </row>
    <row r="8334" spans="1:1" x14ac:dyDescent="0.2">
      <c r="A8334" t="s">
        <v>1096</v>
      </c>
    </row>
    <row r="8335" spans="1:1" x14ac:dyDescent="0.2">
      <c r="A8335" t="s">
        <v>1097</v>
      </c>
    </row>
    <row r="8336" spans="1:1" x14ac:dyDescent="0.2">
      <c r="A8336" t="s">
        <v>1098</v>
      </c>
    </row>
    <row r="8337" spans="1:1" x14ac:dyDescent="0.2">
      <c r="A8337" t="s">
        <v>1099</v>
      </c>
    </row>
    <row r="8338" spans="1:1" x14ac:dyDescent="0.2">
      <c r="A8338" t="s">
        <v>1100</v>
      </c>
    </row>
    <row r="8339" spans="1:1" x14ac:dyDescent="0.2">
      <c r="A8339" t="s">
        <v>1101</v>
      </c>
    </row>
    <row r="8340" spans="1:1" x14ac:dyDescent="0.2">
      <c r="A8340" t="s">
        <v>1102</v>
      </c>
    </row>
    <row r="8341" spans="1:1" x14ac:dyDescent="0.2">
      <c r="A8341" t="s">
        <v>1103</v>
      </c>
    </row>
    <row r="8342" spans="1:1" x14ac:dyDescent="0.2">
      <c r="A8342" t="s">
        <v>1104</v>
      </c>
    </row>
    <row r="8343" spans="1:1" x14ac:dyDescent="0.2">
      <c r="A8343" t="s">
        <v>1105</v>
      </c>
    </row>
    <row r="8344" spans="1:1" x14ac:dyDescent="0.2">
      <c r="A8344" t="s">
        <v>1106</v>
      </c>
    </row>
    <row r="8345" spans="1:1" x14ac:dyDescent="0.2">
      <c r="A8345" t="s">
        <v>1107</v>
      </c>
    </row>
    <row r="8346" spans="1:1" x14ac:dyDescent="0.2">
      <c r="A8346" t="s">
        <v>1108</v>
      </c>
    </row>
    <row r="8347" spans="1:1" x14ac:dyDescent="0.2">
      <c r="A8347" t="s">
        <v>1109</v>
      </c>
    </row>
    <row r="8348" spans="1:1" x14ac:dyDescent="0.2">
      <c r="A8348" t="s">
        <v>1110</v>
      </c>
    </row>
    <row r="8349" spans="1:1" x14ac:dyDescent="0.2">
      <c r="A8349" t="s">
        <v>1111</v>
      </c>
    </row>
    <row r="8350" spans="1:1" x14ac:dyDescent="0.2">
      <c r="A8350" t="s">
        <v>1112</v>
      </c>
    </row>
    <row r="8351" spans="1:1" x14ac:dyDescent="0.2">
      <c r="A8351" t="s">
        <v>1113</v>
      </c>
    </row>
    <row r="8352" spans="1:1" x14ac:dyDescent="0.2">
      <c r="A8352" t="s">
        <v>1114</v>
      </c>
    </row>
    <row r="8353" spans="1:1" x14ac:dyDescent="0.2">
      <c r="A8353" t="s">
        <v>1115</v>
      </c>
    </row>
    <row r="8354" spans="1:1" x14ac:dyDescent="0.2">
      <c r="A8354" t="s">
        <v>1116</v>
      </c>
    </row>
    <row r="8355" spans="1:1" x14ac:dyDescent="0.2">
      <c r="A8355" t="s">
        <v>1117</v>
      </c>
    </row>
    <row r="8356" spans="1:1" x14ac:dyDescent="0.2">
      <c r="A8356" t="s">
        <v>1118</v>
      </c>
    </row>
    <row r="8357" spans="1:1" x14ac:dyDescent="0.2">
      <c r="A8357" t="s">
        <v>1119</v>
      </c>
    </row>
    <row r="8358" spans="1:1" x14ac:dyDescent="0.2">
      <c r="A8358" t="s">
        <v>1120</v>
      </c>
    </row>
    <row r="8359" spans="1:1" x14ac:dyDescent="0.2">
      <c r="A8359" t="s">
        <v>1288</v>
      </c>
    </row>
    <row r="8360" spans="1:1" x14ac:dyDescent="0.2">
      <c r="A8360" t="s">
        <v>2965</v>
      </c>
    </row>
    <row r="8361" spans="1:1" x14ac:dyDescent="0.2">
      <c r="A8361" t="s">
        <v>2966</v>
      </c>
    </row>
    <row r="8362" spans="1:1" x14ac:dyDescent="0.2">
      <c r="A8362" t="s">
        <v>2967</v>
      </c>
    </row>
    <row r="8363" spans="1:1" x14ac:dyDescent="0.2">
      <c r="A8363" t="s">
        <v>2968</v>
      </c>
    </row>
    <row r="8364" spans="1:1" x14ac:dyDescent="0.2">
      <c r="A8364" t="s">
        <v>2960</v>
      </c>
    </row>
    <row r="8365" spans="1:1" x14ac:dyDescent="0.2">
      <c r="A8365" t="s">
        <v>2961</v>
      </c>
    </row>
    <row r="8366" spans="1:1" x14ac:dyDescent="0.2">
      <c r="A8366" t="s">
        <v>2969</v>
      </c>
    </row>
    <row r="8367" spans="1:1" x14ac:dyDescent="0.2">
      <c r="A8367" t="s">
        <v>1122</v>
      </c>
    </row>
    <row r="8368" spans="1:1" x14ac:dyDescent="0.2">
      <c r="A8368" t="s">
        <v>1123</v>
      </c>
    </row>
    <row r="8369" spans="1:1" x14ac:dyDescent="0.2">
      <c r="A8369" t="s">
        <v>1124</v>
      </c>
    </row>
    <row r="8370" spans="1:1" x14ac:dyDescent="0.2">
      <c r="A8370" t="s">
        <v>1125</v>
      </c>
    </row>
    <row r="8371" spans="1:1" x14ac:dyDescent="0.2">
      <c r="A8371" t="s">
        <v>1126</v>
      </c>
    </row>
    <row r="8372" spans="1:1" x14ac:dyDescent="0.2">
      <c r="A8372" t="s">
        <v>1127</v>
      </c>
    </row>
    <row r="8373" spans="1:1" x14ac:dyDescent="0.2">
      <c r="A8373" t="s">
        <v>1128</v>
      </c>
    </row>
    <row r="8374" spans="1:1" x14ac:dyDescent="0.2">
      <c r="A8374" t="s">
        <v>1129</v>
      </c>
    </row>
    <row r="8375" spans="1:1" x14ac:dyDescent="0.2">
      <c r="A8375" t="s">
        <v>1130</v>
      </c>
    </row>
    <row r="8376" spans="1:1" x14ac:dyDescent="0.2">
      <c r="A8376" t="s">
        <v>1131</v>
      </c>
    </row>
    <row r="8377" spans="1:1" x14ac:dyDescent="0.2">
      <c r="A8377" t="s">
        <v>1132</v>
      </c>
    </row>
    <row r="8378" spans="1:1" x14ac:dyDescent="0.2">
      <c r="A8378" t="s">
        <v>1133</v>
      </c>
    </row>
    <row r="8379" spans="1:1" x14ac:dyDescent="0.2">
      <c r="A8379" t="s">
        <v>1134</v>
      </c>
    </row>
    <row r="8380" spans="1:1" x14ac:dyDescent="0.2">
      <c r="A8380" t="s">
        <v>1135</v>
      </c>
    </row>
    <row r="8381" spans="1:1" x14ac:dyDescent="0.2">
      <c r="A8381" t="s">
        <v>1136</v>
      </c>
    </row>
    <row r="8382" spans="1:1" x14ac:dyDescent="0.2">
      <c r="A8382" t="s">
        <v>1137</v>
      </c>
    </row>
    <row r="8383" spans="1:1" x14ac:dyDescent="0.2">
      <c r="A8383" t="s">
        <v>1138</v>
      </c>
    </row>
    <row r="8384" spans="1:1" x14ac:dyDescent="0.2">
      <c r="A8384" t="s">
        <v>1139</v>
      </c>
    </row>
    <row r="8385" spans="1:1" x14ac:dyDescent="0.2">
      <c r="A8385" t="s">
        <v>1140</v>
      </c>
    </row>
    <row r="8386" spans="1:1" x14ac:dyDescent="0.2">
      <c r="A8386" t="s">
        <v>1141</v>
      </c>
    </row>
    <row r="8387" spans="1:1" x14ac:dyDescent="0.2">
      <c r="A8387" t="s">
        <v>1142</v>
      </c>
    </row>
    <row r="8388" spans="1:1" x14ac:dyDescent="0.2">
      <c r="A8388" t="s">
        <v>1143</v>
      </c>
    </row>
    <row r="8389" spans="1:1" x14ac:dyDescent="0.2">
      <c r="A8389" t="s">
        <v>1144</v>
      </c>
    </row>
    <row r="8390" spans="1:1" x14ac:dyDescent="0.2">
      <c r="A8390" t="s">
        <v>1145</v>
      </c>
    </row>
    <row r="8391" spans="1:1" x14ac:dyDescent="0.2">
      <c r="A8391" t="s">
        <v>1146</v>
      </c>
    </row>
    <row r="8392" spans="1:1" x14ac:dyDescent="0.2">
      <c r="A8392" t="s">
        <v>1147</v>
      </c>
    </row>
    <row r="8393" spans="1:1" x14ac:dyDescent="0.2">
      <c r="A8393" t="s">
        <v>1148</v>
      </c>
    </row>
    <row r="8394" spans="1:1" x14ac:dyDescent="0.2">
      <c r="A8394" t="s">
        <v>1149</v>
      </c>
    </row>
    <row r="8395" spans="1:1" x14ac:dyDescent="0.2">
      <c r="A8395" t="s">
        <v>1150</v>
      </c>
    </row>
    <row r="8396" spans="1:1" x14ac:dyDescent="0.2">
      <c r="A8396" t="s">
        <v>1151</v>
      </c>
    </row>
    <row r="8397" spans="1:1" x14ac:dyDescent="0.2">
      <c r="A8397" t="s">
        <v>1152</v>
      </c>
    </row>
    <row r="8398" spans="1:1" x14ac:dyDescent="0.2">
      <c r="A8398" t="s">
        <v>1153</v>
      </c>
    </row>
    <row r="8399" spans="1:1" x14ac:dyDescent="0.2">
      <c r="A8399" t="s">
        <v>1154</v>
      </c>
    </row>
    <row r="8400" spans="1:1" x14ac:dyDescent="0.2">
      <c r="A8400" t="s">
        <v>1155</v>
      </c>
    </row>
    <row r="8401" spans="1:1" x14ac:dyDescent="0.2">
      <c r="A8401" t="s">
        <v>1156</v>
      </c>
    </row>
    <row r="8402" spans="1:1" x14ac:dyDescent="0.2">
      <c r="A8402" t="s">
        <v>1157</v>
      </c>
    </row>
    <row r="8403" spans="1:1" x14ac:dyDescent="0.2">
      <c r="A8403" t="s">
        <v>1158</v>
      </c>
    </row>
    <row r="8404" spans="1:1" x14ac:dyDescent="0.2">
      <c r="A8404" t="s">
        <v>1159</v>
      </c>
    </row>
    <row r="8405" spans="1:1" x14ac:dyDescent="0.2">
      <c r="A8405" t="s">
        <v>1160</v>
      </c>
    </row>
    <row r="8406" spans="1:1" x14ac:dyDescent="0.2">
      <c r="A8406" t="s">
        <v>1161</v>
      </c>
    </row>
    <row r="8407" spans="1:1" x14ac:dyDescent="0.2">
      <c r="A8407" t="s">
        <v>1162</v>
      </c>
    </row>
    <row r="8408" spans="1:1" x14ac:dyDescent="0.2">
      <c r="A8408" t="s">
        <v>1163</v>
      </c>
    </row>
    <row r="8409" spans="1:1" x14ac:dyDescent="0.2">
      <c r="A8409" t="s">
        <v>1164</v>
      </c>
    </row>
    <row r="8410" spans="1:1" x14ac:dyDescent="0.2">
      <c r="A8410" t="s">
        <v>1165</v>
      </c>
    </row>
    <row r="8411" spans="1:1" x14ac:dyDescent="0.2">
      <c r="A8411" t="s">
        <v>1166</v>
      </c>
    </row>
    <row r="8412" spans="1:1" x14ac:dyDescent="0.2">
      <c r="A8412" t="s">
        <v>1167</v>
      </c>
    </row>
    <row r="8413" spans="1:1" x14ac:dyDescent="0.2">
      <c r="A8413" t="s">
        <v>1168</v>
      </c>
    </row>
    <row r="8414" spans="1:1" x14ac:dyDescent="0.2">
      <c r="A8414" t="s">
        <v>1169</v>
      </c>
    </row>
    <row r="8415" spans="1:1" x14ac:dyDescent="0.2">
      <c r="A8415" t="s">
        <v>1170</v>
      </c>
    </row>
    <row r="8416" spans="1:1" x14ac:dyDescent="0.2">
      <c r="A8416" t="s">
        <v>1171</v>
      </c>
    </row>
    <row r="8417" spans="1:1" x14ac:dyDescent="0.2">
      <c r="A8417" t="s">
        <v>1172</v>
      </c>
    </row>
    <row r="8418" spans="1:1" x14ac:dyDescent="0.2">
      <c r="A8418" t="s">
        <v>1173</v>
      </c>
    </row>
    <row r="8419" spans="1:1" x14ac:dyDescent="0.2">
      <c r="A8419" t="s">
        <v>1174</v>
      </c>
    </row>
    <row r="8420" spans="1:1" x14ac:dyDescent="0.2">
      <c r="A8420" t="s">
        <v>1175</v>
      </c>
    </row>
    <row r="8421" spans="1:1" x14ac:dyDescent="0.2">
      <c r="A8421" t="s">
        <v>1176</v>
      </c>
    </row>
    <row r="8422" spans="1:1" x14ac:dyDescent="0.2">
      <c r="A8422" t="s">
        <v>1177</v>
      </c>
    </row>
    <row r="8423" spans="1:1" x14ac:dyDescent="0.2">
      <c r="A8423" t="s">
        <v>1178</v>
      </c>
    </row>
    <row r="8424" spans="1:1" x14ac:dyDescent="0.2">
      <c r="A8424" t="s">
        <v>1179</v>
      </c>
    </row>
    <row r="8425" spans="1:1" x14ac:dyDescent="0.2">
      <c r="A8425" t="s">
        <v>1180</v>
      </c>
    </row>
    <row r="8426" spans="1:1" x14ac:dyDescent="0.2">
      <c r="A8426" t="s">
        <v>1181</v>
      </c>
    </row>
    <row r="8427" spans="1:1" x14ac:dyDescent="0.2">
      <c r="A8427" t="s">
        <v>1182</v>
      </c>
    </row>
    <row r="8428" spans="1:1" x14ac:dyDescent="0.2">
      <c r="A8428" t="s">
        <v>1183</v>
      </c>
    </row>
    <row r="8429" spans="1:1" x14ac:dyDescent="0.2">
      <c r="A8429" t="s">
        <v>1184</v>
      </c>
    </row>
    <row r="8430" spans="1:1" x14ac:dyDescent="0.2">
      <c r="A8430" t="s">
        <v>1185</v>
      </c>
    </row>
    <row r="8431" spans="1:1" x14ac:dyDescent="0.2">
      <c r="A8431" t="s">
        <v>1186</v>
      </c>
    </row>
    <row r="8432" spans="1:1" x14ac:dyDescent="0.2">
      <c r="A8432" t="s">
        <v>1187</v>
      </c>
    </row>
    <row r="8433" spans="1:1" x14ac:dyDescent="0.2">
      <c r="A8433" t="s">
        <v>1188</v>
      </c>
    </row>
    <row r="8434" spans="1:1" x14ac:dyDescent="0.2">
      <c r="A8434" t="s">
        <v>1189</v>
      </c>
    </row>
    <row r="8435" spans="1:1" x14ac:dyDescent="0.2">
      <c r="A8435" t="s">
        <v>1190</v>
      </c>
    </row>
    <row r="8436" spans="1:1" x14ac:dyDescent="0.2">
      <c r="A8436" t="s">
        <v>1191</v>
      </c>
    </row>
    <row r="8437" spans="1:1" x14ac:dyDescent="0.2">
      <c r="A8437" t="s">
        <v>1192</v>
      </c>
    </row>
    <row r="8438" spans="1:1" x14ac:dyDescent="0.2">
      <c r="A8438" t="s">
        <v>1193</v>
      </c>
    </row>
    <row r="8439" spans="1:1" x14ac:dyDescent="0.2">
      <c r="A8439" t="s">
        <v>1194</v>
      </c>
    </row>
    <row r="8440" spans="1:1" x14ac:dyDescent="0.2">
      <c r="A8440" t="s">
        <v>1195</v>
      </c>
    </row>
    <row r="8441" spans="1:1" x14ac:dyDescent="0.2">
      <c r="A8441" t="s">
        <v>1196</v>
      </c>
    </row>
    <row r="8442" spans="1:1" x14ac:dyDescent="0.2">
      <c r="A8442" t="s">
        <v>1197</v>
      </c>
    </row>
    <row r="8443" spans="1:1" x14ac:dyDescent="0.2">
      <c r="A8443" t="s">
        <v>1198</v>
      </c>
    </row>
    <row r="8444" spans="1:1" x14ac:dyDescent="0.2">
      <c r="A8444" t="s">
        <v>1199</v>
      </c>
    </row>
    <row r="8445" spans="1:1" x14ac:dyDescent="0.2">
      <c r="A8445" t="s">
        <v>1200</v>
      </c>
    </row>
    <row r="8446" spans="1:1" x14ac:dyDescent="0.2">
      <c r="A8446" t="s">
        <v>1201</v>
      </c>
    </row>
    <row r="8447" spans="1:1" x14ac:dyDescent="0.2">
      <c r="A8447" t="s">
        <v>1202</v>
      </c>
    </row>
    <row r="8448" spans="1:1" x14ac:dyDescent="0.2">
      <c r="A8448" t="s">
        <v>1203</v>
      </c>
    </row>
    <row r="8449" spans="1:1" x14ac:dyDescent="0.2">
      <c r="A8449" t="s">
        <v>1204</v>
      </c>
    </row>
    <row r="8450" spans="1:1" x14ac:dyDescent="0.2">
      <c r="A8450" t="s">
        <v>1205</v>
      </c>
    </row>
    <row r="8451" spans="1:1" x14ac:dyDescent="0.2">
      <c r="A8451" t="s">
        <v>1206</v>
      </c>
    </row>
    <row r="8452" spans="1:1" x14ac:dyDescent="0.2">
      <c r="A8452" t="s">
        <v>1207</v>
      </c>
    </row>
    <row r="8453" spans="1:1" x14ac:dyDescent="0.2">
      <c r="A8453" t="s">
        <v>1208</v>
      </c>
    </row>
    <row r="8454" spans="1:1" x14ac:dyDescent="0.2">
      <c r="A8454" t="s">
        <v>1209</v>
      </c>
    </row>
    <row r="8455" spans="1:1" x14ac:dyDescent="0.2">
      <c r="A8455" t="s">
        <v>1210</v>
      </c>
    </row>
    <row r="8456" spans="1:1" x14ac:dyDescent="0.2">
      <c r="A8456" t="s">
        <v>1211</v>
      </c>
    </row>
    <row r="8457" spans="1:1" x14ac:dyDescent="0.2">
      <c r="A8457" t="s">
        <v>1212</v>
      </c>
    </row>
    <row r="8458" spans="1:1" x14ac:dyDescent="0.2">
      <c r="A8458" t="s">
        <v>1213</v>
      </c>
    </row>
    <row r="8459" spans="1:1" x14ac:dyDescent="0.2">
      <c r="A8459" t="s">
        <v>1214</v>
      </c>
    </row>
    <row r="8460" spans="1:1" x14ac:dyDescent="0.2">
      <c r="A8460" t="s">
        <v>1215</v>
      </c>
    </row>
    <row r="8461" spans="1:1" x14ac:dyDescent="0.2">
      <c r="A8461" t="s">
        <v>1216</v>
      </c>
    </row>
    <row r="8462" spans="1:1" x14ac:dyDescent="0.2">
      <c r="A8462" t="s">
        <v>1217</v>
      </c>
    </row>
    <row r="8463" spans="1:1" x14ac:dyDescent="0.2">
      <c r="A8463" t="s">
        <v>1218</v>
      </c>
    </row>
    <row r="8464" spans="1:1" x14ac:dyDescent="0.2">
      <c r="A8464" t="s">
        <v>1219</v>
      </c>
    </row>
    <row r="8465" spans="1:1" x14ac:dyDescent="0.2">
      <c r="A8465" t="s">
        <v>1220</v>
      </c>
    </row>
    <row r="8466" spans="1:1" x14ac:dyDescent="0.2">
      <c r="A8466" t="s">
        <v>1221</v>
      </c>
    </row>
    <row r="8467" spans="1:1" x14ac:dyDescent="0.2">
      <c r="A8467" t="s">
        <v>1222</v>
      </c>
    </row>
    <row r="8468" spans="1:1" x14ac:dyDescent="0.2">
      <c r="A8468" t="s">
        <v>1223</v>
      </c>
    </row>
    <row r="8469" spans="1:1" x14ac:dyDescent="0.2">
      <c r="A8469" t="s">
        <v>1224</v>
      </c>
    </row>
    <row r="8470" spans="1:1" x14ac:dyDescent="0.2">
      <c r="A8470" t="s">
        <v>1225</v>
      </c>
    </row>
    <row r="8471" spans="1:1" x14ac:dyDescent="0.2">
      <c r="A8471" t="s">
        <v>1226</v>
      </c>
    </row>
    <row r="8472" spans="1:1" x14ac:dyDescent="0.2">
      <c r="A8472" t="s">
        <v>1227</v>
      </c>
    </row>
    <row r="8473" spans="1:1" x14ac:dyDescent="0.2">
      <c r="A8473" t="s">
        <v>1228</v>
      </c>
    </row>
    <row r="8474" spans="1:1" x14ac:dyDescent="0.2">
      <c r="A8474" t="s">
        <v>1229</v>
      </c>
    </row>
    <row r="8475" spans="1:1" x14ac:dyDescent="0.2">
      <c r="A8475" t="s">
        <v>1230</v>
      </c>
    </row>
    <row r="8476" spans="1:1" x14ac:dyDescent="0.2">
      <c r="A8476" t="s">
        <v>1231</v>
      </c>
    </row>
    <row r="8477" spans="1:1" x14ac:dyDescent="0.2">
      <c r="A8477" t="s">
        <v>1232</v>
      </c>
    </row>
    <row r="8478" spans="1:1" x14ac:dyDescent="0.2">
      <c r="A8478" t="s">
        <v>1233</v>
      </c>
    </row>
    <row r="8479" spans="1:1" x14ac:dyDescent="0.2">
      <c r="A8479" t="s">
        <v>1234</v>
      </c>
    </row>
    <row r="8480" spans="1:1" x14ac:dyDescent="0.2">
      <c r="A8480" t="s">
        <v>1235</v>
      </c>
    </row>
    <row r="8481" spans="1:1" x14ac:dyDescent="0.2">
      <c r="A8481" t="s">
        <v>1236</v>
      </c>
    </row>
    <row r="8482" spans="1:1" x14ac:dyDescent="0.2">
      <c r="A8482" t="s">
        <v>1237</v>
      </c>
    </row>
    <row r="8483" spans="1:1" x14ac:dyDescent="0.2">
      <c r="A8483" t="s">
        <v>1238</v>
      </c>
    </row>
    <row r="8484" spans="1:1" x14ac:dyDescent="0.2">
      <c r="A8484" t="s">
        <v>1239</v>
      </c>
    </row>
    <row r="8485" spans="1:1" x14ac:dyDescent="0.2">
      <c r="A8485" t="s">
        <v>1240</v>
      </c>
    </row>
    <row r="8486" spans="1:1" x14ac:dyDescent="0.2">
      <c r="A8486" t="s">
        <v>1241</v>
      </c>
    </row>
    <row r="8487" spans="1:1" x14ac:dyDescent="0.2">
      <c r="A8487" t="s">
        <v>1242</v>
      </c>
    </row>
    <row r="8488" spans="1:1" x14ac:dyDescent="0.2">
      <c r="A8488" t="s">
        <v>1243</v>
      </c>
    </row>
    <row r="8489" spans="1:1" x14ac:dyDescent="0.2">
      <c r="A8489" t="s">
        <v>1244</v>
      </c>
    </row>
    <row r="8490" spans="1:1" x14ac:dyDescent="0.2">
      <c r="A8490" t="s">
        <v>1245</v>
      </c>
    </row>
    <row r="8491" spans="1:1" x14ac:dyDescent="0.2">
      <c r="A8491" t="s">
        <v>1246</v>
      </c>
    </row>
    <row r="8492" spans="1:1" x14ac:dyDescent="0.2">
      <c r="A8492" t="s">
        <v>1247</v>
      </c>
    </row>
    <row r="8493" spans="1:1" x14ac:dyDescent="0.2">
      <c r="A8493" t="s">
        <v>1248</v>
      </c>
    </row>
    <row r="8494" spans="1:1" x14ac:dyDescent="0.2">
      <c r="A8494" t="s">
        <v>1249</v>
      </c>
    </row>
    <row r="8495" spans="1:1" x14ac:dyDescent="0.2">
      <c r="A8495" t="s">
        <v>1250</v>
      </c>
    </row>
    <row r="8496" spans="1:1" x14ac:dyDescent="0.2">
      <c r="A8496" t="s">
        <v>1251</v>
      </c>
    </row>
    <row r="8497" spans="1:1" x14ac:dyDescent="0.2">
      <c r="A8497" t="s">
        <v>1252</v>
      </c>
    </row>
    <row r="8498" spans="1:1" x14ac:dyDescent="0.2">
      <c r="A8498" t="s">
        <v>1253</v>
      </c>
    </row>
    <row r="8499" spans="1:1" x14ac:dyDescent="0.2">
      <c r="A8499" t="s">
        <v>1254</v>
      </c>
    </row>
    <row r="8500" spans="1:1" x14ac:dyDescent="0.2">
      <c r="A8500" t="s">
        <v>1255</v>
      </c>
    </row>
    <row r="8501" spans="1:1" x14ac:dyDescent="0.2">
      <c r="A8501" t="s">
        <v>1256</v>
      </c>
    </row>
    <row r="8502" spans="1:1" x14ac:dyDescent="0.2">
      <c r="A8502" t="s">
        <v>1257</v>
      </c>
    </row>
    <row r="8503" spans="1:1" x14ac:dyDescent="0.2">
      <c r="A8503" t="s">
        <v>1258</v>
      </c>
    </row>
    <row r="8504" spans="1:1" x14ac:dyDescent="0.2">
      <c r="A8504" t="s">
        <v>1259</v>
      </c>
    </row>
    <row r="8505" spans="1:1" x14ac:dyDescent="0.2">
      <c r="A8505" t="s">
        <v>1260</v>
      </c>
    </row>
    <row r="8506" spans="1:1" x14ac:dyDescent="0.2">
      <c r="A8506" t="s">
        <v>1261</v>
      </c>
    </row>
    <row r="8507" spans="1:1" x14ac:dyDescent="0.2">
      <c r="A8507" t="s">
        <v>1262</v>
      </c>
    </row>
    <row r="8508" spans="1:1" x14ac:dyDescent="0.2">
      <c r="A8508" t="s">
        <v>1263</v>
      </c>
    </row>
    <row r="8509" spans="1:1" x14ac:dyDescent="0.2">
      <c r="A8509" t="s">
        <v>1264</v>
      </c>
    </row>
    <row r="8510" spans="1:1" x14ac:dyDescent="0.2">
      <c r="A8510" t="s">
        <v>1265</v>
      </c>
    </row>
    <row r="8511" spans="1:1" x14ac:dyDescent="0.2">
      <c r="A8511" t="s">
        <v>1266</v>
      </c>
    </row>
    <row r="8512" spans="1:1" x14ac:dyDescent="0.2">
      <c r="A8512" t="s">
        <v>1267</v>
      </c>
    </row>
    <row r="8513" spans="1:1" x14ac:dyDescent="0.2">
      <c r="A8513" t="s">
        <v>1268</v>
      </c>
    </row>
    <row r="8514" spans="1:1" x14ac:dyDescent="0.2">
      <c r="A8514" t="s">
        <v>1269</v>
      </c>
    </row>
    <row r="8515" spans="1:1" x14ac:dyDescent="0.2">
      <c r="A8515" t="s">
        <v>1270</v>
      </c>
    </row>
    <row r="8516" spans="1:1" x14ac:dyDescent="0.2">
      <c r="A8516" t="s">
        <v>1271</v>
      </c>
    </row>
    <row r="8517" spans="1:1" x14ac:dyDescent="0.2">
      <c r="A8517" t="s">
        <v>1272</v>
      </c>
    </row>
    <row r="8518" spans="1:1" x14ac:dyDescent="0.2">
      <c r="A8518" t="s">
        <v>1273</v>
      </c>
    </row>
    <row r="8519" spans="1:1" x14ac:dyDescent="0.2">
      <c r="A8519" t="s">
        <v>1274</v>
      </c>
    </row>
    <row r="8520" spans="1:1" x14ac:dyDescent="0.2">
      <c r="A8520" t="s">
        <v>1275</v>
      </c>
    </row>
    <row r="8521" spans="1:1" x14ac:dyDescent="0.2">
      <c r="A8521" t="s">
        <v>1276</v>
      </c>
    </row>
    <row r="8522" spans="1:1" x14ac:dyDescent="0.2">
      <c r="A8522" t="s">
        <v>1277</v>
      </c>
    </row>
    <row r="8523" spans="1:1" x14ac:dyDescent="0.2">
      <c r="A8523" t="s">
        <v>1278</v>
      </c>
    </row>
    <row r="8524" spans="1:1" x14ac:dyDescent="0.2">
      <c r="A8524" t="s">
        <v>1279</v>
      </c>
    </row>
    <row r="8525" spans="1:1" x14ac:dyDescent="0.2">
      <c r="A8525" t="s">
        <v>1280</v>
      </c>
    </row>
    <row r="8526" spans="1:1" x14ac:dyDescent="0.2">
      <c r="A8526" t="s">
        <v>1281</v>
      </c>
    </row>
    <row r="8527" spans="1:1" x14ac:dyDescent="0.2">
      <c r="A8527" t="s">
        <v>1282</v>
      </c>
    </row>
    <row r="8528" spans="1:1" x14ac:dyDescent="0.2">
      <c r="A8528" t="s">
        <v>1283</v>
      </c>
    </row>
    <row r="8529" spans="1:1" x14ac:dyDescent="0.2">
      <c r="A8529" t="s">
        <v>1284</v>
      </c>
    </row>
    <row r="8530" spans="1:1" x14ac:dyDescent="0.2">
      <c r="A8530" t="s">
        <v>1285</v>
      </c>
    </row>
    <row r="8531" spans="1:1" x14ac:dyDescent="0.2">
      <c r="A8531" t="s">
        <v>1286</v>
      </c>
    </row>
    <row r="8532" spans="1:1" x14ac:dyDescent="0.2">
      <c r="A8532" t="s">
        <v>2970</v>
      </c>
    </row>
    <row r="8533" spans="1:1" x14ac:dyDescent="0.2">
      <c r="A8533" t="s">
        <v>1053</v>
      </c>
    </row>
    <row r="8534" spans="1:1" x14ac:dyDescent="0.2">
      <c r="A8534" t="s">
        <v>2971</v>
      </c>
    </row>
    <row r="8535" spans="1:1" x14ac:dyDescent="0.2">
      <c r="A8535" t="s">
        <v>2768</v>
      </c>
    </row>
    <row r="8536" spans="1:1" x14ac:dyDescent="0.2">
      <c r="A8536" t="s">
        <v>2769</v>
      </c>
    </row>
    <row r="8537" spans="1:1" x14ac:dyDescent="0.2">
      <c r="A8537" t="s">
        <v>1054</v>
      </c>
    </row>
    <row r="8538" spans="1:1" x14ac:dyDescent="0.2">
      <c r="A8538" t="s">
        <v>1055</v>
      </c>
    </row>
    <row r="8539" spans="1:1" x14ac:dyDescent="0.2">
      <c r="A8539" t="s">
        <v>2972</v>
      </c>
    </row>
    <row r="8540" spans="1:1" x14ac:dyDescent="0.2">
      <c r="A8540" t="s">
        <v>1056</v>
      </c>
    </row>
    <row r="8541" spans="1:1" x14ac:dyDescent="0.2">
      <c r="A8541" t="s">
        <v>1057</v>
      </c>
    </row>
    <row r="8542" spans="1:1" x14ac:dyDescent="0.2">
      <c r="A8542" t="s">
        <v>1058</v>
      </c>
    </row>
    <row r="8543" spans="1:1" x14ac:dyDescent="0.2">
      <c r="A8543" t="s">
        <v>1059</v>
      </c>
    </row>
    <row r="8544" spans="1:1" x14ac:dyDescent="0.2">
      <c r="A8544" t="s">
        <v>1060</v>
      </c>
    </row>
    <row r="8545" spans="1:1" x14ac:dyDescent="0.2">
      <c r="A8545" t="s">
        <v>1061</v>
      </c>
    </row>
    <row r="8546" spans="1:1" x14ac:dyDescent="0.2">
      <c r="A8546" t="s">
        <v>1062</v>
      </c>
    </row>
    <row r="8547" spans="1:1" x14ac:dyDescent="0.2">
      <c r="A8547" t="s">
        <v>1063</v>
      </c>
    </row>
    <row r="8548" spans="1:1" x14ac:dyDescent="0.2">
      <c r="A8548" t="s">
        <v>1064</v>
      </c>
    </row>
    <row r="8549" spans="1:1" x14ac:dyDescent="0.2">
      <c r="A8549" t="s">
        <v>1065</v>
      </c>
    </row>
    <row r="8550" spans="1:1" x14ac:dyDescent="0.2">
      <c r="A8550" t="s">
        <v>1066</v>
      </c>
    </row>
    <row r="8551" spans="1:1" x14ac:dyDescent="0.2">
      <c r="A8551" t="s">
        <v>1067</v>
      </c>
    </row>
    <row r="8552" spans="1:1" x14ac:dyDescent="0.2">
      <c r="A8552" t="s">
        <v>1068</v>
      </c>
    </row>
    <row r="8553" spans="1:1" x14ac:dyDescent="0.2">
      <c r="A8553" t="s">
        <v>1069</v>
      </c>
    </row>
    <row r="8554" spans="1:1" x14ac:dyDescent="0.2">
      <c r="A8554" t="s">
        <v>1070</v>
      </c>
    </row>
    <row r="8555" spans="1:1" x14ac:dyDescent="0.2">
      <c r="A8555" t="s">
        <v>1071</v>
      </c>
    </row>
    <row r="8556" spans="1:1" x14ac:dyDescent="0.2">
      <c r="A8556" t="s">
        <v>1072</v>
      </c>
    </row>
    <row r="8557" spans="1:1" x14ac:dyDescent="0.2">
      <c r="A8557" t="s">
        <v>1073</v>
      </c>
    </row>
    <row r="8558" spans="1:1" x14ac:dyDescent="0.2">
      <c r="A8558" t="s">
        <v>1074</v>
      </c>
    </row>
    <row r="8559" spans="1:1" x14ac:dyDescent="0.2">
      <c r="A8559" t="s">
        <v>1075</v>
      </c>
    </row>
    <row r="8560" spans="1:1" x14ac:dyDescent="0.2">
      <c r="A8560" t="s">
        <v>1076</v>
      </c>
    </row>
    <row r="8561" spans="1:1" x14ac:dyDescent="0.2">
      <c r="A8561" t="s">
        <v>1077</v>
      </c>
    </row>
    <row r="8562" spans="1:1" x14ac:dyDescent="0.2">
      <c r="A8562" t="s">
        <v>1078</v>
      </c>
    </row>
    <row r="8563" spans="1:1" x14ac:dyDescent="0.2">
      <c r="A8563" t="s">
        <v>1079</v>
      </c>
    </row>
    <row r="8564" spans="1:1" x14ac:dyDescent="0.2">
      <c r="A8564" t="s">
        <v>1080</v>
      </c>
    </row>
    <row r="8565" spans="1:1" x14ac:dyDescent="0.2">
      <c r="A8565" t="s">
        <v>1081</v>
      </c>
    </row>
    <row r="8566" spans="1:1" x14ac:dyDescent="0.2">
      <c r="A8566" t="s">
        <v>1082</v>
      </c>
    </row>
    <row r="8567" spans="1:1" x14ac:dyDescent="0.2">
      <c r="A8567" t="s">
        <v>1083</v>
      </c>
    </row>
    <row r="8568" spans="1:1" x14ac:dyDescent="0.2">
      <c r="A8568" t="s">
        <v>2771</v>
      </c>
    </row>
    <row r="8569" spans="1:1" x14ac:dyDescent="0.2">
      <c r="A8569" t="s">
        <v>2772</v>
      </c>
    </row>
    <row r="8570" spans="1:1" x14ac:dyDescent="0.2">
      <c r="A8570" t="s">
        <v>2773</v>
      </c>
    </row>
    <row r="8571" spans="1:1" x14ac:dyDescent="0.2">
      <c r="A8571" t="s">
        <v>2774</v>
      </c>
    </row>
    <row r="8572" spans="1:1" x14ac:dyDescent="0.2">
      <c r="A8572" t="s">
        <v>2775</v>
      </c>
    </row>
    <row r="8573" spans="1:1" x14ac:dyDescent="0.2">
      <c r="A8573" t="s">
        <v>2776</v>
      </c>
    </row>
    <row r="8574" spans="1:1" x14ac:dyDescent="0.2">
      <c r="A8574" t="s">
        <v>1084</v>
      </c>
    </row>
    <row r="8575" spans="1:1" x14ac:dyDescent="0.2">
      <c r="A8575" t="s">
        <v>1085</v>
      </c>
    </row>
    <row r="8576" spans="1:1" x14ac:dyDescent="0.2">
      <c r="A8576" t="s">
        <v>1086</v>
      </c>
    </row>
    <row r="8577" spans="1:1" x14ac:dyDescent="0.2">
      <c r="A8577" t="s">
        <v>1087</v>
      </c>
    </row>
    <row r="8578" spans="1:1" x14ac:dyDescent="0.2">
      <c r="A8578" t="s">
        <v>1088</v>
      </c>
    </row>
    <row r="8579" spans="1:1" x14ac:dyDescent="0.2">
      <c r="A8579" t="s">
        <v>1089</v>
      </c>
    </row>
    <row r="8580" spans="1:1" x14ac:dyDescent="0.2">
      <c r="A8580" t="s">
        <v>1090</v>
      </c>
    </row>
    <row r="8581" spans="1:1" x14ac:dyDescent="0.2">
      <c r="A8581" t="s">
        <v>1091</v>
      </c>
    </row>
    <row r="8582" spans="1:1" x14ac:dyDescent="0.2">
      <c r="A8582" t="s">
        <v>1092</v>
      </c>
    </row>
    <row r="8583" spans="1:1" x14ac:dyDescent="0.2">
      <c r="A8583" t="s">
        <v>1093</v>
      </c>
    </row>
    <row r="8584" spans="1:1" x14ac:dyDescent="0.2">
      <c r="A8584" t="s">
        <v>1094</v>
      </c>
    </row>
    <row r="8585" spans="1:1" x14ac:dyDescent="0.2">
      <c r="A8585" t="s">
        <v>1095</v>
      </c>
    </row>
    <row r="8586" spans="1:1" x14ac:dyDescent="0.2">
      <c r="A8586" t="s">
        <v>1096</v>
      </c>
    </row>
    <row r="8587" spans="1:1" x14ac:dyDescent="0.2">
      <c r="A8587" t="s">
        <v>1097</v>
      </c>
    </row>
    <row r="8588" spans="1:1" x14ac:dyDescent="0.2">
      <c r="A8588" t="s">
        <v>1098</v>
      </c>
    </row>
    <row r="8589" spans="1:1" x14ac:dyDescent="0.2">
      <c r="A8589" t="s">
        <v>1099</v>
      </c>
    </row>
    <row r="8590" spans="1:1" x14ac:dyDescent="0.2">
      <c r="A8590" t="s">
        <v>1100</v>
      </c>
    </row>
    <row r="8591" spans="1:1" x14ac:dyDescent="0.2">
      <c r="A8591" t="s">
        <v>1101</v>
      </c>
    </row>
    <row r="8592" spans="1:1" x14ac:dyDescent="0.2">
      <c r="A8592" t="s">
        <v>1102</v>
      </c>
    </row>
    <row r="8593" spans="1:1" x14ac:dyDescent="0.2">
      <c r="A8593" t="s">
        <v>1103</v>
      </c>
    </row>
    <row r="8594" spans="1:1" x14ac:dyDescent="0.2">
      <c r="A8594" t="s">
        <v>1104</v>
      </c>
    </row>
    <row r="8595" spans="1:1" x14ac:dyDescent="0.2">
      <c r="A8595" t="s">
        <v>1105</v>
      </c>
    </row>
    <row r="8596" spans="1:1" x14ac:dyDescent="0.2">
      <c r="A8596" t="s">
        <v>1106</v>
      </c>
    </row>
    <row r="8597" spans="1:1" x14ac:dyDescent="0.2">
      <c r="A8597" t="s">
        <v>1107</v>
      </c>
    </row>
    <row r="8598" spans="1:1" x14ac:dyDescent="0.2">
      <c r="A8598" t="s">
        <v>1108</v>
      </c>
    </row>
    <row r="8599" spans="1:1" x14ac:dyDescent="0.2">
      <c r="A8599" t="s">
        <v>1109</v>
      </c>
    </row>
    <row r="8600" spans="1:1" x14ac:dyDescent="0.2">
      <c r="A8600" t="s">
        <v>1110</v>
      </c>
    </row>
    <row r="8601" spans="1:1" x14ac:dyDescent="0.2">
      <c r="A8601" t="s">
        <v>1111</v>
      </c>
    </row>
    <row r="8602" spans="1:1" x14ac:dyDescent="0.2">
      <c r="A8602" t="s">
        <v>1112</v>
      </c>
    </row>
    <row r="8603" spans="1:1" x14ac:dyDescent="0.2">
      <c r="A8603" t="s">
        <v>1113</v>
      </c>
    </row>
    <row r="8604" spans="1:1" x14ac:dyDescent="0.2">
      <c r="A8604" t="s">
        <v>1114</v>
      </c>
    </row>
    <row r="8605" spans="1:1" x14ac:dyDescent="0.2">
      <c r="A8605" t="s">
        <v>1115</v>
      </c>
    </row>
    <row r="8606" spans="1:1" x14ac:dyDescent="0.2">
      <c r="A8606" t="s">
        <v>1116</v>
      </c>
    </row>
    <row r="8607" spans="1:1" x14ac:dyDescent="0.2">
      <c r="A8607" t="s">
        <v>1117</v>
      </c>
    </row>
    <row r="8608" spans="1:1" x14ac:dyDescent="0.2">
      <c r="A8608" t="s">
        <v>1118</v>
      </c>
    </row>
    <row r="8609" spans="1:1" x14ac:dyDescent="0.2">
      <c r="A8609" t="s">
        <v>1119</v>
      </c>
    </row>
    <row r="8610" spans="1:1" x14ac:dyDescent="0.2">
      <c r="A8610" t="s">
        <v>1120</v>
      </c>
    </row>
    <row r="8611" spans="1:1" x14ac:dyDescent="0.2">
      <c r="A8611" t="s">
        <v>1288</v>
      </c>
    </row>
    <row r="8612" spans="1:1" x14ac:dyDescent="0.2">
      <c r="A8612" t="s">
        <v>2973</v>
      </c>
    </row>
    <row r="8613" spans="1:1" x14ac:dyDescent="0.2">
      <c r="A8613" t="s">
        <v>2974</v>
      </c>
    </row>
    <row r="8614" spans="1:1" x14ac:dyDescent="0.2">
      <c r="A8614" t="s">
        <v>2967</v>
      </c>
    </row>
    <row r="8615" spans="1:1" x14ac:dyDescent="0.2">
      <c r="A8615" t="s">
        <v>2968</v>
      </c>
    </row>
    <row r="8616" spans="1:1" x14ac:dyDescent="0.2">
      <c r="A8616" t="s">
        <v>2960</v>
      </c>
    </row>
    <row r="8617" spans="1:1" x14ac:dyDescent="0.2">
      <c r="A8617" t="s">
        <v>2961</v>
      </c>
    </row>
    <row r="8618" spans="1:1" x14ac:dyDescent="0.2">
      <c r="A8618" t="s">
        <v>2975</v>
      </c>
    </row>
    <row r="8619" spans="1:1" x14ac:dyDescent="0.2">
      <c r="A8619" t="s">
        <v>1122</v>
      </c>
    </row>
    <row r="8620" spans="1:1" x14ac:dyDescent="0.2">
      <c r="A8620" t="s">
        <v>1123</v>
      </c>
    </row>
    <row r="8621" spans="1:1" x14ac:dyDescent="0.2">
      <c r="A8621" t="s">
        <v>1124</v>
      </c>
    </row>
    <row r="8622" spans="1:1" x14ac:dyDescent="0.2">
      <c r="A8622" t="s">
        <v>1125</v>
      </c>
    </row>
    <row r="8623" spans="1:1" x14ac:dyDescent="0.2">
      <c r="A8623" t="s">
        <v>1126</v>
      </c>
    </row>
    <row r="8624" spans="1:1" x14ac:dyDescent="0.2">
      <c r="A8624" t="s">
        <v>1127</v>
      </c>
    </row>
    <row r="8625" spans="1:1" x14ac:dyDescent="0.2">
      <c r="A8625" t="s">
        <v>1128</v>
      </c>
    </row>
    <row r="8626" spans="1:1" x14ac:dyDescent="0.2">
      <c r="A8626" t="s">
        <v>1129</v>
      </c>
    </row>
    <row r="8627" spans="1:1" x14ac:dyDescent="0.2">
      <c r="A8627" t="s">
        <v>1130</v>
      </c>
    </row>
    <row r="8628" spans="1:1" x14ac:dyDescent="0.2">
      <c r="A8628" t="s">
        <v>1131</v>
      </c>
    </row>
    <row r="8629" spans="1:1" x14ac:dyDescent="0.2">
      <c r="A8629" t="s">
        <v>1132</v>
      </c>
    </row>
    <row r="8630" spans="1:1" x14ac:dyDescent="0.2">
      <c r="A8630" t="s">
        <v>1133</v>
      </c>
    </row>
    <row r="8631" spans="1:1" x14ac:dyDescent="0.2">
      <c r="A8631" t="s">
        <v>1134</v>
      </c>
    </row>
    <row r="8632" spans="1:1" x14ac:dyDescent="0.2">
      <c r="A8632" t="s">
        <v>1135</v>
      </c>
    </row>
    <row r="8633" spans="1:1" x14ac:dyDescent="0.2">
      <c r="A8633" t="s">
        <v>1136</v>
      </c>
    </row>
    <row r="8634" spans="1:1" x14ac:dyDescent="0.2">
      <c r="A8634" t="s">
        <v>1137</v>
      </c>
    </row>
    <row r="8635" spans="1:1" x14ac:dyDescent="0.2">
      <c r="A8635" t="s">
        <v>1138</v>
      </c>
    </row>
    <row r="8636" spans="1:1" x14ac:dyDescent="0.2">
      <c r="A8636" t="s">
        <v>1139</v>
      </c>
    </row>
    <row r="8637" spans="1:1" x14ac:dyDescent="0.2">
      <c r="A8637" t="s">
        <v>1140</v>
      </c>
    </row>
    <row r="8638" spans="1:1" x14ac:dyDescent="0.2">
      <c r="A8638" t="s">
        <v>1141</v>
      </c>
    </row>
    <row r="8639" spans="1:1" x14ac:dyDescent="0.2">
      <c r="A8639" t="s">
        <v>1142</v>
      </c>
    </row>
    <row r="8640" spans="1:1" x14ac:dyDescent="0.2">
      <c r="A8640" t="s">
        <v>1143</v>
      </c>
    </row>
    <row r="8641" spans="1:1" x14ac:dyDescent="0.2">
      <c r="A8641" t="s">
        <v>1144</v>
      </c>
    </row>
    <row r="8642" spans="1:1" x14ac:dyDescent="0.2">
      <c r="A8642" t="s">
        <v>1145</v>
      </c>
    </row>
    <row r="8643" spans="1:1" x14ac:dyDescent="0.2">
      <c r="A8643" t="s">
        <v>1146</v>
      </c>
    </row>
    <row r="8644" spans="1:1" x14ac:dyDescent="0.2">
      <c r="A8644" t="s">
        <v>1147</v>
      </c>
    </row>
    <row r="8645" spans="1:1" x14ac:dyDescent="0.2">
      <c r="A8645" t="s">
        <v>1148</v>
      </c>
    </row>
    <row r="8646" spans="1:1" x14ac:dyDescent="0.2">
      <c r="A8646" t="s">
        <v>1149</v>
      </c>
    </row>
    <row r="8647" spans="1:1" x14ac:dyDescent="0.2">
      <c r="A8647" t="s">
        <v>1150</v>
      </c>
    </row>
    <row r="8648" spans="1:1" x14ac:dyDescent="0.2">
      <c r="A8648" t="s">
        <v>1151</v>
      </c>
    </row>
    <row r="8649" spans="1:1" x14ac:dyDescent="0.2">
      <c r="A8649" t="s">
        <v>1152</v>
      </c>
    </row>
    <row r="8650" spans="1:1" x14ac:dyDescent="0.2">
      <c r="A8650" t="s">
        <v>1153</v>
      </c>
    </row>
    <row r="8651" spans="1:1" x14ac:dyDescent="0.2">
      <c r="A8651" t="s">
        <v>1154</v>
      </c>
    </row>
    <row r="8652" spans="1:1" x14ac:dyDescent="0.2">
      <c r="A8652" t="s">
        <v>1155</v>
      </c>
    </row>
    <row r="8653" spans="1:1" x14ac:dyDescent="0.2">
      <c r="A8653" t="s">
        <v>1156</v>
      </c>
    </row>
    <row r="8654" spans="1:1" x14ac:dyDescent="0.2">
      <c r="A8654" t="s">
        <v>1157</v>
      </c>
    </row>
    <row r="8655" spans="1:1" x14ac:dyDescent="0.2">
      <c r="A8655" t="s">
        <v>1158</v>
      </c>
    </row>
    <row r="8656" spans="1:1" x14ac:dyDescent="0.2">
      <c r="A8656" t="s">
        <v>1159</v>
      </c>
    </row>
    <row r="8657" spans="1:1" x14ac:dyDescent="0.2">
      <c r="A8657" t="s">
        <v>1160</v>
      </c>
    </row>
    <row r="8658" spans="1:1" x14ac:dyDescent="0.2">
      <c r="A8658" t="s">
        <v>1161</v>
      </c>
    </row>
    <row r="8659" spans="1:1" x14ac:dyDescent="0.2">
      <c r="A8659" t="s">
        <v>1162</v>
      </c>
    </row>
    <row r="8660" spans="1:1" x14ac:dyDescent="0.2">
      <c r="A8660" t="s">
        <v>1163</v>
      </c>
    </row>
    <row r="8661" spans="1:1" x14ac:dyDescent="0.2">
      <c r="A8661" t="s">
        <v>1164</v>
      </c>
    </row>
    <row r="8662" spans="1:1" x14ac:dyDescent="0.2">
      <c r="A8662" t="s">
        <v>1165</v>
      </c>
    </row>
    <row r="8663" spans="1:1" x14ac:dyDescent="0.2">
      <c r="A8663" t="s">
        <v>1166</v>
      </c>
    </row>
    <row r="8664" spans="1:1" x14ac:dyDescent="0.2">
      <c r="A8664" t="s">
        <v>1167</v>
      </c>
    </row>
    <row r="8665" spans="1:1" x14ac:dyDescent="0.2">
      <c r="A8665" t="s">
        <v>1168</v>
      </c>
    </row>
    <row r="8666" spans="1:1" x14ac:dyDescent="0.2">
      <c r="A8666" t="s">
        <v>1169</v>
      </c>
    </row>
    <row r="8667" spans="1:1" x14ac:dyDescent="0.2">
      <c r="A8667" t="s">
        <v>1170</v>
      </c>
    </row>
    <row r="8668" spans="1:1" x14ac:dyDescent="0.2">
      <c r="A8668" t="s">
        <v>1171</v>
      </c>
    </row>
    <row r="8669" spans="1:1" x14ac:dyDescent="0.2">
      <c r="A8669" t="s">
        <v>1172</v>
      </c>
    </row>
    <row r="8670" spans="1:1" x14ac:dyDescent="0.2">
      <c r="A8670" t="s">
        <v>1173</v>
      </c>
    </row>
    <row r="8671" spans="1:1" x14ac:dyDescent="0.2">
      <c r="A8671" t="s">
        <v>1174</v>
      </c>
    </row>
    <row r="8672" spans="1:1" x14ac:dyDescent="0.2">
      <c r="A8672" t="s">
        <v>1175</v>
      </c>
    </row>
    <row r="8673" spans="1:1" x14ac:dyDescent="0.2">
      <c r="A8673" t="s">
        <v>1176</v>
      </c>
    </row>
    <row r="8674" spans="1:1" x14ac:dyDescent="0.2">
      <c r="A8674" t="s">
        <v>1177</v>
      </c>
    </row>
    <row r="8675" spans="1:1" x14ac:dyDescent="0.2">
      <c r="A8675" t="s">
        <v>1178</v>
      </c>
    </row>
    <row r="8676" spans="1:1" x14ac:dyDescent="0.2">
      <c r="A8676" t="s">
        <v>1179</v>
      </c>
    </row>
    <row r="8677" spans="1:1" x14ac:dyDescent="0.2">
      <c r="A8677" t="s">
        <v>1180</v>
      </c>
    </row>
    <row r="8678" spans="1:1" x14ac:dyDescent="0.2">
      <c r="A8678" t="s">
        <v>1181</v>
      </c>
    </row>
    <row r="8679" spans="1:1" x14ac:dyDescent="0.2">
      <c r="A8679" t="s">
        <v>1182</v>
      </c>
    </row>
    <row r="8680" spans="1:1" x14ac:dyDescent="0.2">
      <c r="A8680" t="s">
        <v>1183</v>
      </c>
    </row>
    <row r="8681" spans="1:1" x14ac:dyDescent="0.2">
      <c r="A8681" t="s">
        <v>1184</v>
      </c>
    </row>
    <row r="8682" spans="1:1" x14ac:dyDescent="0.2">
      <c r="A8682" t="s">
        <v>1185</v>
      </c>
    </row>
    <row r="8683" spans="1:1" x14ac:dyDescent="0.2">
      <c r="A8683" t="s">
        <v>1186</v>
      </c>
    </row>
    <row r="8684" spans="1:1" x14ac:dyDescent="0.2">
      <c r="A8684" t="s">
        <v>1187</v>
      </c>
    </row>
    <row r="8685" spans="1:1" x14ac:dyDescent="0.2">
      <c r="A8685" t="s">
        <v>1188</v>
      </c>
    </row>
    <row r="8686" spans="1:1" x14ac:dyDescent="0.2">
      <c r="A8686" t="s">
        <v>1189</v>
      </c>
    </row>
    <row r="8687" spans="1:1" x14ac:dyDescent="0.2">
      <c r="A8687" t="s">
        <v>1190</v>
      </c>
    </row>
    <row r="8688" spans="1:1" x14ac:dyDescent="0.2">
      <c r="A8688" t="s">
        <v>1191</v>
      </c>
    </row>
    <row r="8689" spans="1:1" x14ac:dyDescent="0.2">
      <c r="A8689" t="s">
        <v>1192</v>
      </c>
    </row>
    <row r="8690" spans="1:1" x14ac:dyDescent="0.2">
      <c r="A8690" t="s">
        <v>1193</v>
      </c>
    </row>
    <row r="8691" spans="1:1" x14ac:dyDescent="0.2">
      <c r="A8691" t="s">
        <v>1194</v>
      </c>
    </row>
    <row r="8692" spans="1:1" x14ac:dyDescent="0.2">
      <c r="A8692" t="s">
        <v>1195</v>
      </c>
    </row>
    <row r="8693" spans="1:1" x14ac:dyDescent="0.2">
      <c r="A8693" t="s">
        <v>1196</v>
      </c>
    </row>
    <row r="8694" spans="1:1" x14ac:dyDescent="0.2">
      <c r="A8694" t="s">
        <v>1197</v>
      </c>
    </row>
    <row r="8695" spans="1:1" x14ac:dyDescent="0.2">
      <c r="A8695" t="s">
        <v>1198</v>
      </c>
    </row>
    <row r="8696" spans="1:1" x14ac:dyDescent="0.2">
      <c r="A8696" t="s">
        <v>1199</v>
      </c>
    </row>
    <row r="8697" spans="1:1" x14ac:dyDescent="0.2">
      <c r="A8697" t="s">
        <v>1200</v>
      </c>
    </row>
    <row r="8698" spans="1:1" x14ac:dyDescent="0.2">
      <c r="A8698" t="s">
        <v>1201</v>
      </c>
    </row>
    <row r="8699" spans="1:1" x14ac:dyDescent="0.2">
      <c r="A8699" t="s">
        <v>1202</v>
      </c>
    </row>
    <row r="8700" spans="1:1" x14ac:dyDescent="0.2">
      <c r="A8700" t="s">
        <v>1203</v>
      </c>
    </row>
    <row r="8701" spans="1:1" x14ac:dyDescent="0.2">
      <c r="A8701" t="s">
        <v>1204</v>
      </c>
    </row>
    <row r="8702" spans="1:1" x14ac:dyDescent="0.2">
      <c r="A8702" t="s">
        <v>1205</v>
      </c>
    </row>
    <row r="8703" spans="1:1" x14ac:dyDescent="0.2">
      <c r="A8703" t="s">
        <v>1206</v>
      </c>
    </row>
    <row r="8704" spans="1:1" x14ac:dyDescent="0.2">
      <c r="A8704" t="s">
        <v>1207</v>
      </c>
    </row>
    <row r="8705" spans="1:1" x14ac:dyDescent="0.2">
      <c r="A8705" t="s">
        <v>1208</v>
      </c>
    </row>
    <row r="8706" spans="1:1" x14ac:dyDescent="0.2">
      <c r="A8706" t="s">
        <v>1209</v>
      </c>
    </row>
    <row r="8707" spans="1:1" x14ac:dyDescent="0.2">
      <c r="A8707" t="s">
        <v>1210</v>
      </c>
    </row>
    <row r="8708" spans="1:1" x14ac:dyDescent="0.2">
      <c r="A8708" t="s">
        <v>1211</v>
      </c>
    </row>
    <row r="8709" spans="1:1" x14ac:dyDescent="0.2">
      <c r="A8709" t="s">
        <v>1212</v>
      </c>
    </row>
    <row r="8710" spans="1:1" x14ac:dyDescent="0.2">
      <c r="A8710" t="s">
        <v>1213</v>
      </c>
    </row>
    <row r="8711" spans="1:1" x14ac:dyDescent="0.2">
      <c r="A8711" t="s">
        <v>1214</v>
      </c>
    </row>
    <row r="8712" spans="1:1" x14ac:dyDescent="0.2">
      <c r="A8712" t="s">
        <v>1215</v>
      </c>
    </row>
    <row r="8713" spans="1:1" x14ac:dyDescent="0.2">
      <c r="A8713" t="s">
        <v>1216</v>
      </c>
    </row>
    <row r="8714" spans="1:1" x14ac:dyDescent="0.2">
      <c r="A8714" t="s">
        <v>1217</v>
      </c>
    </row>
    <row r="8715" spans="1:1" x14ac:dyDescent="0.2">
      <c r="A8715" t="s">
        <v>1218</v>
      </c>
    </row>
    <row r="8716" spans="1:1" x14ac:dyDescent="0.2">
      <c r="A8716" t="s">
        <v>1219</v>
      </c>
    </row>
    <row r="8717" spans="1:1" x14ac:dyDescent="0.2">
      <c r="A8717" t="s">
        <v>1220</v>
      </c>
    </row>
    <row r="8718" spans="1:1" x14ac:dyDescent="0.2">
      <c r="A8718" t="s">
        <v>1221</v>
      </c>
    </row>
    <row r="8719" spans="1:1" x14ac:dyDescent="0.2">
      <c r="A8719" t="s">
        <v>1222</v>
      </c>
    </row>
    <row r="8720" spans="1:1" x14ac:dyDescent="0.2">
      <c r="A8720" t="s">
        <v>1223</v>
      </c>
    </row>
    <row r="8721" spans="1:1" x14ac:dyDescent="0.2">
      <c r="A8721" t="s">
        <v>1224</v>
      </c>
    </row>
    <row r="8722" spans="1:1" x14ac:dyDescent="0.2">
      <c r="A8722" t="s">
        <v>1225</v>
      </c>
    </row>
    <row r="8723" spans="1:1" x14ac:dyDescent="0.2">
      <c r="A8723" t="s">
        <v>1226</v>
      </c>
    </row>
    <row r="8724" spans="1:1" x14ac:dyDescent="0.2">
      <c r="A8724" t="s">
        <v>1227</v>
      </c>
    </row>
    <row r="8725" spans="1:1" x14ac:dyDescent="0.2">
      <c r="A8725" t="s">
        <v>1228</v>
      </c>
    </row>
    <row r="8726" spans="1:1" x14ac:dyDescent="0.2">
      <c r="A8726" t="s">
        <v>1229</v>
      </c>
    </row>
    <row r="8727" spans="1:1" x14ac:dyDescent="0.2">
      <c r="A8727" t="s">
        <v>1230</v>
      </c>
    </row>
    <row r="8728" spans="1:1" x14ac:dyDescent="0.2">
      <c r="A8728" t="s">
        <v>1231</v>
      </c>
    </row>
    <row r="8729" spans="1:1" x14ac:dyDescent="0.2">
      <c r="A8729" t="s">
        <v>1232</v>
      </c>
    </row>
    <row r="8730" spans="1:1" x14ac:dyDescent="0.2">
      <c r="A8730" t="s">
        <v>1233</v>
      </c>
    </row>
    <row r="8731" spans="1:1" x14ac:dyDescent="0.2">
      <c r="A8731" t="s">
        <v>1234</v>
      </c>
    </row>
    <row r="8732" spans="1:1" x14ac:dyDescent="0.2">
      <c r="A8732" t="s">
        <v>1235</v>
      </c>
    </row>
    <row r="8733" spans="1:1" x14ac:dyDescent="0.2">
      <c r="A8733" t="s">
        <v>1236</v>
      </c>
    </row>
    <row r="8734" spans="1:1" x14ac:dyDescent="0.2">
      <c r="A8734" t="s">
        <v>1237</v>
      </c>
    </row>
    <row r="8735" spans="1:1" x14ac:dyDescent="0.2">
      <c r="A8735" t="s">
        <v>1238</v>
      </c>
    </row>
    <row r="8736" spans="1:1" x14ac:dyDescent="0.2">
      <c r="A8736" t="s">
        <v>1239</v>
      </c>
    </row>
    <row r="8737" spans="1:1" x14ac:dyDescent="0.2">
      <c r="A8737" t="s">
        <v>1240</v>
      </c>
    </row>
    <row r="8738" spans="1:1" x14ac:dyDescent="0.2">
      <c r="A8738" t="s">
        <v>1241</v>
      </c>
    </row>
    <row r="8739" spans="1:1" x14ac:dyDescent="0.2">
      <c r="A8739" t="s">
        <v>1242</v>
      </c>
    </row>
    <row r="8740" spans="1:1" x14ac:dyDescent="0.2">
      <c r="A8740" t="s">
        <v>1243</v>
      </c>
    </row>
    <row r="8741" spans="1:1" x14ac:dyDescent="0.2">
      <c r="A8741" t="s">
        <v>1244</v>
      </c>
    </row>
    <row r="8742" spans="1:1" x14ac:dyDescent="0.2">
      <c r="A8742" t="s">
        <v>1245</v>
      </c>
    </row>
    <row r="8743" spans="1:1" x14ac:dyDescent="0.2">
      <c r="A8743" t="s">
        <v>1246</v>
      </c>
    </row>
    <row r="8744" spans="1:1" x14ac:dyDescent="0.2">
      <c r="A8744" t="s">
        <v>1247</v>
      </c>
    </row>
    <row r="8745" spans="1:1" x14ac:dyDescent="0.2">
      <c r="A8745" t="s">
        <v>1248</v>
      </c>
    </row>
    <row r="8746" spans="1:1" x14ac:dyDescent="0.2">
      <c r="A8746" t="s">
        <v>1249</v>
      </c>
    </row>
    <row r="8747" spans="1:1" x14ac:dyDescent="0.2">
      <c r="A8747" t="s">
        <v>1250</v>
      </c>
    </row>
    <row r="8748" spans="1:1" x14ac:dyDescent="0.2">
      <c r="A8748" t="s">
        <v>1251</v>
      </c>
    </row>
    <row r="8749" spans="1:1" x14ac:dyDescent="0.2">
      <c r="A8749" t="s">
        <v>1252</v>
      </c>
    </row>
    <row r="8750" spans="1:1" x14ac:dyDescent="0.2">
      <c r="A8750" t="s">
        <v>1253</v>
      </c>
    </row>
    <row r="8751" spans="1:1" x14ac:dyDescent="0.2">
      <c r="A8751" t="s">
        <v>1254</v>
      </c>
    </row>
    <row r="8752" spans="1:1" x14ac:dyDescent="0.2">
      <c r="A8752" t="s">
        <v>1255</v>
      </c>
    </row>
    <row r="8753" spans="1:1" x14ac:dyDescent="0.2">
      <c r="A8753" t="s">
        <v>1256</v>
      </c>
    </row>
    <row r="8754" spans="1:1" x14ac:dyDescent="0.2">
      <c r="A8754" t="s">
        <v>1257</v>
      </c>
    </row>
    <row r="8755" spans="1:1" x14ac:dyDescent="0.2">
      <c r="A8755" t="s">
        <v>1258</v>
      </c>
    </row>
    <row r="8756" spans="1:1" x14ac:dyDescent="0.2">
      <c r="A8756" t="s">
        <v>1259</v>
      </c>
    </row>
    <row r="8757" spans="1:1" x14ac:dyDescent="0.2">
      <c r="A8757" t="s">
        <v>1260</v>
      </c>
    </row>
    <row r="8758" spans="1:1" x14ac:dyDescent="0.2">
      <c r="A8758" t="s">
        <v>1261</v>
      </c>
    </row>
    <row r="8759" spans="1:1" x14ac:dyDescent="0.2">
      <c r="A8759" t="s">
        <v>1262</v>
      </c>
    </row>
    <row r="8760" spans="1:1" x14ac:dyDescent="0.2">
      <c r="A8760" t="s">
        <v>1263</v>
      </c>
    </row>
    <row r="8761" spans="1:1" x14ac:dyDescent="0.2">
      <c r="A8761" t="s">
        <v>1264</v>
      </c>
    </row>
    <row r="8762" spans="1:1" x14ac:dyDescent="0.2">
      <c r="A8762" t="s">
        <v>1265</v>
      </c>
    </row>
    <row r="8763" spans="1:1" x14ac:dyDescent="0.2">
      <c r="A8763" t="s">
        <v>1266</v>
      </c>
    </row>
    <row r="8764" spans="1:1" x14ac:dyDescent="0.2">
      <c r="A8764" t="s">
        <v>1267</v>
      </c>
    </row>
    <row r="8765" spans="1:1" x14ac:dyDescent="0.2">
      <c r="A8765" t="s">
        <v>1268</v>
      </c>
    </row>
    <row r="8766" spans="1:1" x14ac:dyDescent="0.2">
      <c r="A8766" t="s">
        <v>1269</v>
      </c>
    </row>
    <row r="8767" spans="1:1" x14ac:dyDescent="0.2">
      <c r="A8767" t="s">
        <v>1270</v>
      </c>
    </row>
    <row r="8768" spans="1:1" x14ac:dyDescent="0.2">
      <c r="A8768" t="s">
        <v>1271</v>
      </c>
    </row>
    <row r="8769" spans="1:1" x14ac:dyDescent="0.2">
      <c r="A8769" t="s">
        <v>1272</v>
      </c>
    </row>
    <row r="8770" spans="1:1" x14ac:dyDescent="0.2">
      <c r="A8770" t="s">
        <v>1273</v>
      </c>
    </row>
    <row r="8771" spans="1:1" x14ac:dyDescent="0.2">
      <c r="A8771" t="s">
        <v>1274</v>
      </c>
    </row>
    <row r="8772" spans="1:1" x14ac:dyDescent="0.2">
      <c r="A8772" t="s">
        <v>1275</v>
      </c>
    </row>
    <row r="8773" spans="1:1" x14ac:dyDescent="0.2">
      <c r="A8773" t="s">
        <v>1276</v>
      </c>
    </row>
    <row r="8774" spans="1:1" x14ac:dyDescent="0.2">
      <c r="A8774" t="s">
        <v>1277</v>
      </c>
    </row>
    <row r="8775" spans="1:1" x14ac:dyDescent="0.2">
      <c r="A8775" t="s">
        <v>1278</v>
      </c>
    </row>
    <row r="8776" spans="1:1" x14ac:dyDescent="0.2">
      <c r="A8776" t="s">
        <v>1279</v>
      </c>
    </row>
    <row r="8777" spans="1:1" x14ac:dyDescent="0.2">
      <c r="A8777" t="s">
        <v>1280</v>
      </c>
    </row>
    <row r="8778" spans="1:1" x14ac:dyDescent="0.2">
      <c r="A8778" t="s">
        <v>1281</v>
      </c>
    </row>
    <row r="8779" spans="1:1" x14ac:dyDescent="0.2">
      <c r="A8779" t="s">
        <v>1282</v>
      </c>
    </row>
    <row r="8780" spans="1:1" x14ac:dyDescent="0.2">
      <c r="A8780" t="s">
        <v>1283</v>
      </c>
    </row>
    <row r="8781" spans="1:1" x14ac:dyDescent="0.2">
      <c r="A8781" t="s">
        <v>1284</v>
      </c>
    </row>
    <row r="8782" spans="1:1" x14ac:dyDescent="0.2">
      <c r="A8782" t="s">
        <v>1285</v>
      </c>
    </row>
    <row r="8783" spans="1:1" x14ac:dyDescent="0.2">
      <c r="A8783" t="s">
        <v>1286</v>
      </c>
    </row>
    <row r="8784" spans="1:1" x14ac:dyDescent="0.2">
      <c r="A8784" t="s">
        <v>2976</v>
      </c>
    </row>
    <row r="8785" spans="1:1" x14ac:dyDescent="0.2">
      <c r="A8785" t="s">
        <v>1053</v>
      </c>
    </row>
    <row r="8786" spans="1:1" x14ac:dyDescent="0.2">
      <c r="A8786" t="s">
        <v>2977</v>
      </c>
    </row>
    <row r="8787" spans="1:1" x14ac:dyDescent="0.2">
      <c r="A8787" t="s">
        <v>2768</v>
      </c>
    </row>
    <row r="8788" spans="1:1" x14ac:dyDescent="0.2">
      <c r="A8788" t="s">
        <v>2769</v>
      </c>
    </row>
    <row r="8789" spans="1:1" x14ac:dyDescent="0.2">
      <c r="A8789" t="s">
        <v>1054</v>
      </c>
    </row>
    <row r="8790" spans="1:1" x14ac:dyDescent="0.2">
      <c r="A8790" t="s">
        <v>1055</v>
      </c>
    </row>
    <row r="8791" spans="1:1" x14ac:dyDescent="0.2">
      <c r="A8791" t="s">
        <v>2807</v>
      </c>
    </row>
    <row r="8792" spans="1:1" x14ac:dyDescent="0.2">
      <c r="A8792" t="s">
        <v>1056</v>
      </c>
    </row>
    <row r="8793" spans="1:1" x14ac:dyDescent="0.2">
      <c r="A8793" t="s">
        <v>1057</v>
      </c>
    </row>
    <row r="8794" spans="1:1" x14ac:dyDescent="0.2">
      <c r="A8794" t="s">
        <v>1058</v>
      </c>
    </row>
    <row r="8795" spans="1:1" x14ac:dyDescent="0.2">
      <c r="A8795" t="s">
        <v>1059</v>
      </c>
    </row>
    <row r="8796" spans="1:1" x14ac:dyDescent="0.2">
      <c r="A8796" t="s">
        <v>1060</v>
      </c>
    </row>
    <row r="8797" spans="1:1" x14ac:dyDescent="0.2">
      <c r="A8797" t="s">
        <v>1061</v>
      </c>
    </row>
    <row r="8798" spans="1:1" x14ac:dyDescent="0.2">
      <c r="A8798" t="s">
        <v>1062</v>
      </c>
    </row>
    <row r="8799" spans="1:1" x14ac:dyDescent="0.2">
      <c r="A8799" t="s">
        <v>1063</v>
      </c>
    </row>
    <row r="8800" spans="1:1" x14ac:dyDescent="0.2">
      <c r="A8800" t="s">
        <v>1064</v>
      </c>
    </row>
    <row r="8801" spans="1:1" x14ac:dyDescent="0.2">
      <c r="A8801" t="s">
        <v>1065</v>
      </c>
    </row>
    <row r="8802" spans="1:1" x14ac:dyDescent="0.2">
      <c r="A8802" t="s">
        <v>1066</v>
      </c>
    </row>
    <row r="8803" spans="1:1" x14ac:dyDescent="0.2">
      <c r="A8803" t="s">
        <v>1067</v>
      </c>
    </row>
    <row r="8804" spans="1:1" x14ac:dyDescent="0.2">
      <c r="A8804" t="s">
        <v>1068</v>
      </c>
    </row>
    <row r="8805" spans="1:1" x14ac:dyDescent="0.2">
      <c r="A8805" t="s">
        <v>1069</v>
      </c>
    </row>
    <row r="8806" spans="1:1" x14ac:dyDescent="0.2">
      <c r="A8806" t="s">
        <v>1070</v>
      </c>
    </row>
    <row r="8807" spans="1:1" x14ac:dyDescent="0.2">
      <c r="A8807" t="s">
        <v>1071</v>
      </c>
    </row>
    <row r="8808" spans="1:1" x14ac:dyDescent="0.2">
      <c r="A8808" t="s">
        <v>1072</v>
      </c>
    </row>
    <row r="8809" spans="1:1" x14ac:dyDescent="0.2">
      <c r="A8809" t="s">
        <v>1073</v>
      </c>
    </row>
    <row r="8810" spans="1:1" x14ac:dyDescent="0.2">
      <c r="A8810" t="s">
        <v>1074</v>
      </c>
    </row>
    <row r="8811" spans="1:1" x14ac:dyDescent="0.2">
      <c r="A8811" t="s">
        <v>1075</v>
      </c>
    </row>
    <row r="8812" spans="1:1" x14ac:dyDescent="0.2">
      <c r="A8812" t="s">
        <v>1076</v>
      </c>
    </row>
    <row r="8813" spans="1:1" x14ac:dyDescent="0.2">
      <c r="A8813" t="s">
        <v>1077</v>
      </c>
    </row>
    <row r="8814" spans="1:1" x14ac:dyDescent="0.2">
      <c r="A8814" t="s">
        <v>1078</v>
      </c>
    </row>
    <row r="8815" spans="1:1" x14ac:dyDescent="0.2">
      <c r="A8815" t="s">
        <v>1079</v>
      </c>
    </row>
    <row r="8816" spans="1:1" x14ac:dyDescent="0.2">
      <c r="A8816" t="s">
        <v>1080</v>
      </c>
    </row>
    <row r="8817" spans="1:1" x14ac:dyDescent="0.2">
      <c r="A8817" t="s">
        <v>1081</v>
      </c>
    </row>
    <row r="8818" spans="1:1" x14ac:dyDescent="0.2">
      <c r="A8818" t="s">
        <v>1082</v>
      </c>
    </row>
    <row r="8819" spans="1:1" x14ac:dyDescent="0.2">
      <c r="A8819" t="s">
        <v>1083</v>
      </c>
    </row>
    <row r="8820" spans="1:1" x14ac:dyDescent="0.2">
      <c r="A8820" t="s">
        <v>2771</v>
      </c>
    </row>
    <row r="8821" spans="1:1" x14ac:dyDescent="0.2">
      <c r="A8821" t="s">
        <v>2772</v>
      </c>
    </row>
    <row r="8822" spans="1:1" x14ac:dyDescent="0.2">
      <c r="A8822" t="s">
        <v>2773</v>
      </c>
    </row>
    <row r="8823" spans="1:1" x14ac:dyDescent="0.2">
      <c r="A8823" t="s">
        <v>2774</v>
      </c>
    </row>
    <row r="8824" spans="1:1" x14ac:dyDescent="0.2">
      <c r="A8824" t="s">
        <v>2775</v>
      </c>
    </row>
    <row r="8825" spans="1:1" x14ac:dyDescent="0.2">
      <c r="A8825" t="s">
        <v>2776</v>
      </c>
    </row>
    <row r="8826" spans="1:1" x14ac:dyDescent="0.2">
      <c r="A8826" t="s">
        <v>1084</v>
      </c>
    </row>
    <row r="8827" spans="1:1" x14ac:dyDescent="0.2">
      <c r="A8827" t="s">
        <v>1085</v>
      </c>
    </row>
    <row r="8828" spans="1:1" x14ac:dyDescent="0.2">
      <c r="A8828" t="s">
        <v>1086</v>
      </c>
    </row>
    <row r="8829" spans="1:1" x14ac:dyDescent="0.2">
      <c r="A8829" t="s">
        <v>1087</v>
      </c>
    </row>
    <row r="8830" spans="1:1" x14ac:dyDescent="0.2">
      <c r="A8830" t="s">
        <v>1088</v>
      </c>
    </row>
    <row r="8831" spans="1:1" x14ac:dyDescent="0.2">
      <c r="A8831" t="s">
        <v>1089</v>
      </c>
    </row>
    <row r="8832" spans="1:1" x14ac:dyDescent="0.2">
      <c r="A8832" t="s">
        <v>1090</v>
      </c>
    </row>
    <row r="8833" spans="1:1" x14ac:dyDescent="0.2">
      <c r="A8833" t="s">
        <v>1091</v>
      </c>
    </row>
    <row r="8834" spans="1:1" x14ac:dyDescent="0.2">
      <c r="A8834" t="s">
        <v>1092</v>
      </c>
    </row>
    <row r="8835" spans="1:1" x14ac:dyDescent="0.2">
      <c r="A8835" t="s">
        <v>1093</v>
      </c>
    </row>
    <row r="8836" spans="1:1" x14ac:dyDescent="0.2">
      <c r="A8836" t="s">
        <v>1094</v>
      </c>
    </row>
    <row r="8837" spans="1:1" x14ac:dyDescent="0.2">
      <c r="A8837" t="s">
        <v>1095</v>
      </c>
    </row>
    <row r="8838" spans="1:1" x14ac:dyDescent="0.2">
      <c r="A8838" t="s">
        <v>1096</v>
      </c>
    </row>
    <row r="8839" spans="1:1" x14ac:dyDescent="0.2">
      <c r="A8839" t="s">
        <v>1097</v>
      </c>
    </row>
    <row r="8840" spans="1:1" x14ac:dyDescent="0.2">
      <c r="A8840" t="s">
        <v>1098</v>
      </c>
    </row>
    <row r="8841" spans="1:1" x14ac:dyDescent="0.2">
      <c r="A8841" t="s">
        <v>1099</v>
      </c>
    </row>
    <row r="8842" spans="1:1" x14ac:dyDescent="0.2">
      <c r="A8842" t="s">
        <v>1100</v>
      </c>
    </row>
    <row r="8843" spans="1:1" x14ac:dyDescent="0.2">
      <c r="A8843" t="s">
        <v>1101</v>
      </c>
    </row>
    <row r="8844" spans="1:1" x14ac:dyDescent="0.2">
      <c r="A8844" t="s">
        <v>1102</v>
      </c>
    </row>
    <row r="8845" spans="1:1" x14ac:dyDescent="0.2">
      <c r="A8845" t="s">
        <v>1103</v>
      </c>
    </row>
    <row r="8846" spans="1:1" x14ac:dyDescent="0.2">
      <c r="A8846" t="s">
        <v>1104</v>
      </c>
    </row>
    <row r="8847" spans="1:1" x14ac:dyDescent="0.2">
      <c r="A8847" t="s">
        <v>1105</v>
      </c>
    </row>
    <row r="8848" spans="1:1" x14ac:dyDescent="0.2">
      <c r="A8848" t="s">
        <v>1106</v>
      </c>
    </row>
    <row r="8849" spans="1:1" x14ac:dyDescent="0.2">
      <c r="A8849" t="s">
        <v>1107</v>
      </c>
    </row>
    <row r="8850" spans="1:1" x14ac:dyDescent="0.2">
      <c r="A8850" t="s">
        <v>1108</v>
      </c>
    </row>
    <row r="8851" spans="1:1" x14ac:dyDescent="0.2">
      <c r="A8851" t="s">
        <v>1109</v>
      </c>
    </row>
    <row r="8852" spans="1:1" x14ac:dyDescent="0.2">
      <c r="A8852" t="s">
        <v>1110</v>
      </c>
    </row>
    <row r="8853" spans="1:1" x14ac:dyDescent="0.2">
      <c r="A8853" t="s">
        <v>1111</v>
      </c>
    </row>
    <row r="8854" spans="1:1" x14ac:dyDescent="0.2">
      <c r="A8854" t="s">
        <v>1112</v>
      </c>
    </row>
    <row r="8855" spans="1:1" x14ac:dyDescent="0.2">
      <c r="A8855" t="s">
        <v>1113</v>
      </c>
    </row>
    <row r="8856" spans="1:1" x14ac:dyDescent="0.2">
      <c r="A8856" t="s">
        <v>1114</v>
      </c>
    </row>
    <row r="8857" spans="1:1" x14ac:dyDescent="0.2">
      <c r="A8857" t="s">
        <v>1115</v>
      </c>
    </row>
    <row r="8858" spans="1:1" x14ac:dyDescent="0.2">
      <c r="A8858" t="s">
        <v>1116</v>
      </c>
    </row>
    <row r="8859" spans="1:1" x14ac:dyDescent="0.2">
      <c r="A8859" t="s">
        <v>1117</v>
      </c>
    </row>
    <row r="8860" spans="1:1" x14ac:dyDescent="0.2">
      <c r="A8860" t="s">
        <v>1118</v>
      </c>
    </row>
    <row r="8861" spans="1:1" x14ac:dyDescent="0.2">
      <c r="A8861" t="s">
        <v>1119</v>
      </c>
    </row>
    <row r="8862" spans="1:1" x14ac:dyDescent="0.2">
      <c r="A8862" t="s">
        <v>1120</v>
      </c>
    </row>
    <row r="8863" spans="1:1" x14ac:dyDescent="0.2">
      <c r="A8863" t="s">
        <v>1288</v>
      </c>
    </row>
    <row r="8864" spans="1:1" x14ac:dyDescent="0.2">
      <c r="A8864" t="s">
        <v>2978</v>
      </c>
    </row>
    <row r="8865" spans="1:1" x14ac:dyDescent="0.2">
      <c r="A8865" t="s">
        <v>2979</v>
      </c>
    </row>
    <row r="8866" spans="1:1" x14ac:dyDescent="0.2">
      <c r="A8866" t="s">
        <v>2967</v>
      </c>
    </row>
    <row r="8867" spans="1:1" x14ac:dyDescent="0.2">
      <c r="A8867" t="s">
        <v>2968</v>
      </c>
    </row>
    <row r="8868" spans="1:1" x14ac:dyDescent="0.2">
      <c r="A8868" t="s">
        <v>2960</v>
      </c>
    </row>
    <row r="8869" spans="1:1" x14ac:dyDescent="0.2">
      <c r="A8869" t="s">
        <v>2961</v>
      </c>
    </row>
    <row r="8870" spans="1:1" x14ac:dyDescent="0.2">
      <c r="A8870" t="s">
        <v>2980</v>
      </c>
    </row>
    <row r="8871" spans="1:1" x14ac:dyDescent="0.2">
      <c r="A8871" t="s">
        <v>1122</v>
      </c>
    </row>
    <row r="8872" spans="1:1" x14ac:dyDescent="0.2">
      <c r="A8872" t="s">
        <v>1123</v>
      </c>
    </row>
    <row r="8873" spans="1:1" x14ac:dyDescent="0.2">
      <c r="A8873" t="s">
        <v>1124</v>
      </c>
    </row>
    <row r="8874" spans="1:1" x14ac:dyDescent="0.2">
      <c r="A8874" t="s">
        <v>1125</v>
      </c>
    </row>
    <row r="8875" spans="1:1" x14ac:dyDescent="0.2">
      <c r="A8875" t="s">
        <v>1126</v>
      </c>
    </row>
    <row r="8876" spans="1:1" x14ac:dyDescent="0.2">
      <c r="A8876" t="s">
        <v>1127</v>
      </c>
    </row>
    <row r="8877" spans="1:1" x14ac:dyDescent="0.2">
      <c r="A8877" t="s">
        <v>1128</v>
      </c>
    </row>
    <row r="8878" spans="1:1" x14ac:dyDescent="0.2">
      <c r="A8878" t="s">
        <v>1129</v>
      </c>
    </row>
    <row r="8879" spans="1:1" x14ac:dyDescent="0.2">
      <c r="A8879" t="s">
        <v>1130</v>
      </c>
    </row>
    <row r="8880" spans="1:1" x14ac:dyDescent="0.2">
      <c r="A8880" t="s">
        <v>1131</v>
      </c>
    </row>
    <row r="8881" spans="1:1" x14ac:dyDescent="0.2">
      <c r="A8881" t="s">
        <v>1132</v>
      </c>
    </row>
    <row r="8882" spans="1:1" x14ac:dyDescent="0.2">
      <c r="A8882" t="s">
        <v>1133</v>
      </c>
    </row>
    <row r="8883" spans="1:1" x14ac:dyDescent="0.2">
      <c r="A8883" t="s">
        <v>1134</v>
      </c>
    </row>
    <row r="8884" spans="1:1" x14ac:dyDescent="0.2">
      <c r="A8884" t="s">
        <v>1135</v>
      </c>
    </row>
    <row r="8885" spans="1:1" x14ac:dyDescent="0.2">
      <c r="A8885" t="s">
        <v>1136</v>
      </c>
    </row>
    <row r="8886" spans="1:1" x14ac:dyDescent="0.2">
      <c r="A8886" t="s">
        <v>1137</v>
      </c>
    </row>
    <row r="8887" spans="1:1" x14ac:dyDescent="0.2">
      <c r="A8887" t="s">
        <v>1138</v>
      </c>
    </row>
    <row r="8888" spans="1:1" x14ac:dyDescent="0.2">
      <c r="A8888" t="s">
        <v>1139</v>
      </c>
    </row>
    <row r="8889" spans="1:1" x14ac:dyDescent="0.2">
      <c r="A8889" t="s">
        <v>1140</v>
      </c>
    </row>
    <row r="8890" spans="1:1" x14ac:dyDescent="0.2">
      <c r="A8890" t="s">
        <v>1141</v>
      </c>
    </row>
    <row r="8891" spans="1:1" x14ac:dyDescent="0.2">
      <c r="A8891" t="s">
        <v>1142</v>
      </c>
    </row>
    <row r="8892" spans="1:1" x14ac:dyDescent="0.2">
      <c r="A8892" t="s">
        <v>1143</v>
      </c>
    </row>
    <row r="8893" spans="1:1" x14ac:dyDescent="0.2">
      <c r="A8893" t="s">
        <v>1144</v>
      </c>
    </row>
    <row r="8894" spans="1:1" x14ac:dyDescent="0.2">
      <c r="A8894" t="s">
        <v>1145</v>
      </c>
    </row>
    <row r="8895" spans="1:1" x14ac:dyDescent="0.2">
      <c r="A8895" t="s">
        <v>1146</v>
      </c>
    </row>
    <row r="8896" spans="1:1" x14ac:dyDescent="0.2">
      <c r="A8896" t="s">
        <v>1147</v>
      </c>
    </row>
    <row r="8897" spans="1:1" x14ac:dyDescent="0.2">
      <c r="A8897" t="s">
        <v>1148</v>
      </c>
    </row>
    <row r="8898" spans="1:1" x14ac:dyDescent="0.2">
      <c r="A8898" t="s">
        <v>1149</v>
      </c>
    </row>
    <row r="8899" spans="1:1" x14ac:dyDescent="0.2">
      <c r="A8899" t="s">
        <v>1150</v>
      </c>
    </row>
    <row r="8900" spans="1:1" x14ac:dyDescent="0.2">
      <c r="A8900" t="s">
        <v>1151</v>
      </c>
    </row>
    <row r="8901" spans="1:1" x14ac:dyDescent="0.2">
      <c r="A8901" t="s">
        <v>1152</v>
      </c>
    </row>
    <row r="8902" spans="1:1" x14ac:dyDescent="0.2">
      <c r="A8902" t="s">
        <v>1153</v>
      </c>
    </row>
    <row r="8903" spans="1:1" x14ac:dyDescent="0.2">
      <c r="A8903" t="s">
        <v>1154</v>
      </c>
    </row>
    <row r="8904" spans="1:1" x14ac:dyDescent="0.2">
      <c r="A8904" t="s">
        <v>1155</v>
      </c>
    </row>
    <row r="8905" spans="1:1" x14ac:dyDescent="0.2">
      <c r="A8905" t="s">
        <v>1156</v>
      </c>
    </row>
    <row r="8906" spans="1:1" x14ac:dyDescent="0.2">
      <c r="A8906" t="s">
        <v>1157</v>
      </c>
    </row>
    <row r="8907" spans="1:1" x14ac:dyDescent="0.2">
      <c r="A8907" t="s">
        <v>1158</v>
      </c>
    </row>
    <row r="8908" spans="1:1" x14ac:dyDescent="0.2">
      <c r="A8908" t="s">
        <v>1159</v>
      </c>
    </row>
    <row r="8909" spans="1:1" x14ac:dyDescent="0.2">
      <c r="A8909" t="s">
        <v>1160</v>
      </c>
    </row>
    <row r="8910" spans="1:1" x14ac:dyDescent="0.2">
      <c r="A8910" t="s">
        <v>1161</v>
      </c>
    </row>
    <row r="8911" spans="1:1" x14ac:dyDescent="0.2">
      <c r="A8911" t="s">
        <v>1162</v>
      </c>
    </row>
    <row r="8912" spans="1:1" x14ac:dyDescent="0.2">
      <c r="A8912" t="s">
        <v>1163</v>
      </c>
    </row>
    <row r="8913" spans="1:1" x14ac:dyDescent="0.2">
      <c r="A8913" t="s">
        <v>1164</v>
      </c>
    </row>
    <row r="8914" spans="1:1" x14ac:dyDescent="0.2">
      <c r="A8914" t="s">
        <v>1165</v>
      </c>
    </row>
    <row r="8915" spans="1:1" x14ac:dyDescent="0.2">
      <c r="A8915" t="s">
        <v>1166</v>
      </c>
    </row>
    <row r="8916" spans="1:1" x14ac:dyDescent="0.2">
      <c r="A8916" t="s">
        <v>1167</v>
      </c>
    </row>
    <row r="8917" spans="1:1" x14ac:dyDescent="0.2">
      <c r="A8917" t="s">
        <v>1168</v>
      </c>
    </row>
    <row r="8918" spans="1:1" x14ac:dyDescent="0.2">
      <c r="A8918" t="s">
        <v>1169</v>
      </c>
    </row>
    <row r="8919" spans="1:1" x14ac:dyDescent="0.2">
      <c r="A8919" t="s">
        <v>1170</v>
      </c>
    </row>
    <row r="8920" spans="1:1" x14ac:dyDescent="0.2">
      <c r="A8920" t="s">
        <v>1171</v>
      </c>
    </row>
    <row r="8921" spans="1:1" x14ac:dyDescent="0.2">
      <c r="A8921" t="s">
        <v>1172</v>
      </c>
    </row>
    <row r="8922" spans="1:1" x14ac:dyDescent="0.2">
      <c r="A8922" t="s">
        <v>1173</v>
      </c>
    </row>
    <row r="8923" spans="1:1" x14ac:dyDescent="0.2">
      <c r="A8923" t="s">
        <v>1174</v>
      </c>
    </row>
    <row r="8924" spans="1:1" x14ac:dyDescent="0.2">
      <c r="A8924" t="s">
        <v>1175</v>
      </c>
    </row>
    <row r="8925" spans="1:1" x14ac:dyDescent="0.2">
      <c r="A8925" t="s">
        <v>1176</v>
      </c>
    </row>
    <row r="8926" spans="1:1" x14ac:dyDescent="0.2">
      <c r="A8926" t="s">
        <v>1177</v>
      </c>
    </row>
    <row r="8927" spans="1:1" x14ac:dyDescent="0.2">
      <c r="A8927" t="s">
        <v>1178</v>
      </c>
    </row>
    <row r="8928" spans="1:1" x14ac:dyDescent="0.2">
      <c r="A8928" t="s">
        <v>1179</v>
      </c>
    </row>
    <row r="8929" spans="1:1" x14ac:dyDescent="0.2">
      <c r="A8929" t="s">
        <v>1180</v>
      </c>
    </row>
    <row r="8930" spans="1:1" x14ac:dyDescent="0.2">
      <c r="A8930" t="s">
        <v>1181</v>
      </c>
    </row>
    <row r="8931" spans="1:1" x14ac:dyDescent="0.2">
      <c r="A8931" t="s">
        <v>1182</v>
      </c>
    </row>
    <row r="8932" spans="1:1" x14ac:dyDescent="0.2">
      <c r="A8932" t="s">
        <v>1183</v>
      </c>
    </row>
    <row r="8933" spans="1:1" x14ac:dyDescent="0.2">
      <c r="A8933" t="s">
        <v>1184</v>
      </c>
    </row>
    <row r="8934" spans="1:1" x14ac:dyDescent="0.2">
      <c r="A8934" t="s">
        <v>1185</v>
      </c>
    </row>
    <row r="8935" spans="1:1" x14ac:dyDescent="0.2">
      <c r="A8935" t="s">
        <v>1186</v>
      </c>
    </row>
    <row r="8936" spans="1:1" x14ac:dyDescent="0.2">
      <c r="A8936" t="s">
        <v>1187</v>
      </c>
    </row>
    <row r="8937" spans="1:1" x14ac:dyDescent="0.2">
      <c r="A8937" t="s">
        <v>1188</v>
      </c>
    </row>
    <row r="8938" spans="1:1" x14ac:dyDescent="0.2">
      <c r="A8938" t="s">
        <v>1189</v>
      </c>
    </row>
    <row r="8939" spans="1:1" x14ac:dyDescent="0.2">
      <c r="A8939" t="s">
        <v>1190</v>
      </c>
    </row>
    <row r="8940" spans="1:1" x14ac:dyDescent="0.2">
      <c r="A8940" t="s">
        <v>1191</v>
      </c>
    </row>
    <row r="8941" spans="1:1" x14ac:dyDescent="0.2">
      <c r="A8941" t="s">
        <v>1192</v>
      </c>
    </row>
    <row r="8942" spans="1:1" x14ac:dyDescent="0.2">
      <c r="A8942" t="s">
        <v>1193</v>
      </c>
    </row>
    <row r="8943" spans="1:1" x14ac:dyDescent="0.2">
      <c r="A8943" t="s">
        <v>1194</v>
      </c>
    </row>
    <row r="8944" spans="1:1" x14ac:dyDescent="0.2">
      <c r="A8944" t="s">
        <v>1195</v>
      </c>
    </row>
    <row r="8945" spans="1:1" x14ac:dyDescent="0.2">
      <c r="A8945" t="s">
        <v>1196</v>
      </c>
    </row>
    <row r="8946" spans="1:1" x14ac:dyDescent="0.2">
      <c r="A8946" t="s">
        <v>1197</v>
      </c>
    </row>
    <row r="8947" spans="1:1" x14ac:dyDescent="0.2">
      <c r="A8947" t="s">
        <v>1198</v>
      </c>
    </row>
    <row r="8948" spans="1:1" x14ac:dyDescent="0.2">
      <c r="A8948" t="s">
        <v>1199</v>
      </c>
    </row>
    <row r="8949" spans="1:1" x14ac:dyDescent="0.2">
      <c r="A8949" t="s">
        <v>1200</v>
      </c>
    </row>
    <row r="8950" spans="1:1" x14ac:dyDescent="0.2">
      <c r="A8950" t="s">
        <v>1201</v>
      </c>
    </row>
    <row r="8951" spans="1:1" x14ac:dyDescent="0.2">
      <c r="A8951" t="s">
        <v>1202</v>
      </c>
    </row>
    <row r="8952" spans="1:1" x14ac:dyDescent="0.2">
      <c r="A8952" t="s">
        <v>1203</v>
      </c>
    </row>
    <row r="8953" spans="1:1" x14ac:dyDescent="0.2">
      <c r="A8953" t="s">
        <v>1204</v>
      </c>
    </row>
    <row r="8954" spans="1:1" x14ac:dyDescent="0.2">
      <c r="A8954" t="s">
        <v>1205</v>
      </c>
    </row>
    <row r="8955" spans="1:1" x14ac:dyDescent="0.2">
      <c r="A8955" t="s">
        <v>1206</v>
      </c>
    </row>
    <row r="8956" spans="1:1" x14ac:dyDescent="0.2">
      <c r="A8956" t="s">
        <v>1207</v>
      </c>
    </row>
    <row r="8957" spans="1:1" x14ac:dyDescent="0.2">
      <c r="A8957" t="s">
        <v>1208</v>
      </c>
    </row>
    <row r="8958" spans="1:1" x14ac:dyDescent="0.2">
      <c r="A8958" t="s">
        <v>1209</v>
      </c>
    </row>
    <row r="8959" spans="1:1" x14ac:dyDescent="0.2">
      <c r="A8959" t="s">
        <v>1210</v>
      </c>
    </row>
    <row r="8960" spans="1:1" x14ac:dyDescent="0.2">
      <c r="A8960" t="s">
        <v>1211</v>
      </c>
    </row>
    <row r="8961" spans="1:1" x14ac:dyDescent="0.2">
      <c r="A8961" t="s">
        <v>1212</v>
      </c>
    </row>
    <row r="8962" spans="1:1" x14ac:dyDescent="0.2">
      <c r="A8962" t="s">
        <v>1213</v>
      </c>
    </row>
    <row r="8963" spans="1:1" x14ac:dyDescent="0.2">
      <c r="A8963" t="s">
        <v>1214</v>
      </c>
    </row>
    <row r="8964" spans="1:1" x14ac:dyDescent="0.2">
      <c r="A8964" t="s">
        <v>1215</v>
      </c>
    </row>
    <row r="8965" spans="1:1" x14ac:dyDescent="0.2">
      <c r="A8965" t="s">
        <v>1216</v>
      </c>
    </row>
    <row r="8966" spans="1:1" x14ac:dyDescent="0.2">
      <c r="A8966" t="s">
        <v>1217</v>
      </c>
    </row>
    <row r="8967" spans="1:1" x14ac:dyDescent="0.2">
      <c r="A8967" t="s">
        <v>1218</v>
      </c>
    </row>
    <row r="8968" spans="1:1" x14ac:dyDescent="0.2">
      <c r="A8968" t="s">
        <v>1219</v>
      </c>
    </row>
    <row r="8969" spans="1:1" x14ac:dyDescent="0.2">
      <c r="A8969" t="s">
        <v>1220</v>
      </c>
    </row>
    <row r="8970" spans="1:1" x14ac:dyDescent="0.2">
      <c r="A8970" t="s">
        <v>1221</v>
      </c>
    </row>
    <row r="8971" spans="1:1" x14ac:dyDescent="0.2">
      <c r="A8971" t="s">
        <v>1222</v>
      </c>
    </row>
    <row r="8972" spans="1:1" x14ac:dyDescent="0.2">
      <c r="A8972" t="s">
        <v>1223</v>
      </c>
    </row>
    <row r="8973" spans="1:1" x14ac:dyDescent="0.2">
      <c r="A8973" t="s">
        <v>1224</v>
      </c>
    </row>
    <row r="8974" spans="1:1" x14ac:dyDescent="0.2">
      <c r="A8974" t="s">
        <v>1225</v>
      </c>
    </row>
    <row r="8975" spans="1:1" x14ac:dyDescent="0.2">
      <c r="A8975" t="s">
        <v>1226</v>
      </c>
    </row>
    <row r="8976" spans="1:1" x14ac:dyDescent="0.2">
      <c r="A8976" t="s">
        <v>1227</v>
      </c>
    </row>
    <row r="8977" spans="1:1" x14ac:dyDescent="0.2">
      <c r="A8977" t="s">
        <v>1228</v>
      </c>
    </row>
    <row r="8978" spans="1:1" x14ac:dyDescent="0.2">
      <c r="A8978" t="s">
        <v>1229</v>
      </c>
    </row>
    <row r="8979" spans="1:1" x14ac:dyDescent="0.2">
      <c r="A8979" t="s">
        <v>1230</v>
      </c>
    </row>
    <row r="8980" spans="1:1" x14ac:dyDescent="0.2">
      <c r="A8980" t="s">
        <v>1231</v>
      </c>
    </row>
    <row r="8981" spans="1:1" x14ac:dyDescent="0.2">
      <c r="A8981" t="s">
        <v>1232</v>
      </c>
    </row>
    <row r="8982" spans="1:1" x14ac:dyDescent="0.2">
      <c r="A8982" t="s">
        <v>1233</v>
      </c>
    </row>
    <row r="8983" spans="1:1" x14ac:dyDescent="0.2">
      <c r="A8983" t="s">
        <v>1234</v>
      </c>
    </row>
    <row r="8984" spans="1:1" x14ac:dyDescent="0.2">
      <c r="A8984" t="s">
        <v>1235</v>
      </c>
    </row>
    <row r="8985" spans="1:1" x14ac:dyDescent="0.2">
      <c r="A8985" t="s">
        <v>1236</v>
      </c>
    </row>
    <row r="8986" spans="1:1" x14ac:dyDescent="0.2">
      <c r="A8986" t="s">
        <v>1237</v>
      </c>
    </row>
    <row r="8987" spans="1:1" x14ac:dyDescent="0.2">
      <c r="A8987" t="s">
        <v>1238</v>
      </c>
    </row>
    <row r="8988" spans="1:1" x14ac:dyDescent="0.2">
      <c r="A8988" t="s">
        <v>1239</v>
      </c>
    </row>
    <row r="8989" spans="1:1" x14ac:dyDescent="0.2">
      <c r="A8989" t="s">
        <v>1240</v>
      </c>
    </row>
    <row r="8990" spans="1:1" x14ac:dyDescent="0.2">
      <c r="A8990" t="s">
        <v>1241</v>
      </c>
    </row>
    <row r="8991" spans="1:1" x14ac:dyDescent="0.2">
      <c r="A8991" t="s">
        <v>1242</v>
      </c>
    </row>
    <row r="8992" spans="1:1" x14ac:dyDescent="0.2">
      <c r="A8992" t="s">
        <v>1243</v>
      </c>
    </row>
    <row r="8993" spans="1:1" x14ac:dyDescent="0.2">
      <c r="A8993" t="s">
        <v>1244</v>
      </c>
    </row>
    <row r="8994" spans="1:1" x14ac:dyDescent="0.2">
      <c r="A8994" t="s">
        <v>1245</v>
      </c>
    </row>
    <row r="8995" spans="1:1" x14ac:dyDescent="0.2">
      <c r="A8995" t="s">
        <v>1246</v>
      </c>
    </row>
    <row r="8996" spans="1:1" x14ac:dyDescent="0.2">
      <c r="A8996" t="s">
        <v>1247</v>
      </c>
    </row>
    <row r="8997" spans="1:1" x14ac:dyDescent="0.2">
      <c r="A8997" t="s">
        <v>1248</v>
      </c>
    </row>
    <row r="8998" spans="1:1" x14ac:dyDescent="0.2">
      <c r="A8998" t="s">
        <v>1249</v>
      </c>
    </row>
    <row r="8999" spans="1:1" x14ac:dyDescent="0.2">
      <c r="A8999" t="s">
        <v>1250</v>
      </c>
    </row>
    <row r="9000" spans="1:1" x14ac:dyDescent="0.2">
      <c r="A9000" t="s">
        <v>1251</v>
      </c>
    </row>
    <row r="9001" spans="1:1" x14ac:dyDescent="0.2">
      <c r="A9001" t="s">
        <v>1252</v>
      </c>
    </row>
    <row r="9002" spans="1:1" x14ac:dyDescent="0.2">
      <c r="A9002" t="s">
        <v>1253</v>
      </c>
    </row>
    <row r="9003" spans="1:1" x14ac:dyDescent="0.2">
      <c r="A9003" t="s">
        <v>1254</v>
      </c>
    </row>
    <row r="9004" spans="1:1" x14ac:dyDescent="0.2">
      <c r="A9004" t="s">
        <v>1255</v>
      </c>
    </row>
    <row r="9005" spans="1:1" x14ac:dyDescent="0.2">
      <c r="A9005" t="s">
        <v>1256</v>
      </c>
    </row>
    <row r="9006" spans="1:1" x14ac:dyDescent="0.2">
      <c r="A9006" t="s">
        <v>1257</v>
      </c>
    </row>
    <row r="9007" spans="1:1" x14ac:dyDescent="0.2">
      <c r="A9007" t="s">
        <v>1258</v>
      </c>
    </row>
    <row r="9008" spans="1:1" x14ac:dyDescent="0.2">
      <c r="A9008" t="s">
        <v>1259</v>
      </c>
    </row>
    <row r="9009" spans="1:1" x14ac:dyDescent="0.2">
      <c r="A9009" t="s">
        <v>1260</v>
      </c>
    </row>
    <row r="9010" spans="1:1" x14ac:dyDescent="0.2">
      <c r="A9010" t="s">
        <v>1261</v>
      </c>
    </row>
    <row r="9011" spans="1:1" x14ac:dyDescent="0.2">
      <c r="A9011" t="s">
        <v>1262</v>
      </c>
    </row>
    <row r="9012" spans="1:1" x14ac:dyDescent="0.2">
      <c r="A9012" t="s">
        <v>1263</v>
      </c>
    </row>
    <row r="9013" spans="1:1" x14ac:dyDescent="0.2">
      <c r="A9013" t="s">
        <v>1264</v>
      </c>
    </row>
    <row r="9014" spans="1:1" x14ac:dyDescent="0.2">
      <c r="A9014" t="s">
        <v>1265</v>
      </c>
    </row>
    <row r="9015" spans="1:1" x14ac:dyDescent="0.2">
      <c r="A9015" t="s">
        <v>1266</v>
      </c>
    </row>
    <row r="9016" spans="1:1" x14ac:dyDescent="0.2">
      <c r="A9016" t="s">
        <v>1267</v>
      </c>
    </row>
    <row r="9017" spans="1:1" x14ac:dyDescent="0.2">
      <c r="A9017" t="s">
        <v>1268</v>
      </c>
    </row>
    <row r="9018" spans="1:1" x14ac:dyDescent="0.2">
      <c r="A9018" t="s">
        <v>1269</v>
      </c>
    </row>
    <row r="9019" spans="1:1" x14ac:dyDescent="0.2">
      <c r="A9019" t="s">
        <v>1270</v>
      </c>
    </row>
    <row r="9020" spans="1:1" x14ac:dyDescent="0.2">
      <c r="A9020" t="s">
        <v>1271</v>
      </c>
    </row>
    <row r="9021" spans="1:1" x14ac:dyDescent="0.2">
      <c r="A9021" t="s">
        <v>1272</v>
      </c>
    </row>
    <row r="9022" spans="1:1" x14ac:dyDescent="0.2">
      <c r="A9022" t="s">
        <v>1273</v>
      </c>
    </row>
    <row r="9023" spans="1:1" x14ac:dyDescent="0.2">
      <c r="A9023" t="s">
        <v>1274</v>
      </c>
    </row>
    <row r="9024" spans="1:1" x14ac:dyDescent="0.2">
      <c r="A9024" t="s">
        <v>1275</v>
      </c>
    </row>
    <row r="9025" spans="1:1" x14ac:dyDescent="0.2">
      <c r="A9025" t="s">
        <v>1276</v>
      </c>
    </row>
    <row r="9026" spans="1:1" x14ac:dyDescent="0.2">
      <c r="A9026" t="s">
        <v>1277</v>
      </c>
    </row>
    <row r="9027" spans="1:1" x14ac:dyDescent="0.2">
      <c r="A9027" t="s">
        <v>1278</v>
      </c>
    </row>
    <row r="9028" spans="1:1" x14ac:dyDescent="0.2">
      <c r="A9028" t="s">
        <v>1279</v>
      </c>
    </row>
    <row r="9029" spans="1:1" x14ac:dyDescent="0.2">
      <c r="A9029" t="s">
        <v>1280</v>
      </c>
    </row>
    <row r="9030" spans="1:1" x14ac:dyDescent="0.2">
      <c r="A9030" t="s">
        <v>1281</v>
      </c>
    </row>
    <row r="9031" spans="1:1" x14ac:dyDescent="0.2">
      <c r="A9031" t="s">
        <v>1282</v>
      </c>
    </row>
    <row r="9032" spans="1:1" x14ac:dyDescent="0.2">
      <c r="A9032" t="s">
        <v>1283</v>
      </c>
    </row>
    <row r="9033" spans="1:1" x14ac:dyDescent="0.2">
      <c r="A9033" t="s">
        <v>1284</v>
      </c>
    </row>
    <row r="9034" spans="1:1" x14ac:dyDescent="0.2">
      <c r="A9034" t="s">
        <v>1285</v>
      </c>
    </row>
    <row r="9035" spans="1:1" x14ac:dyDescent="0.2">
      <c r="A9035" t="s">
        <v>1286</v>
      </c>
    </row>
    <row r="9036" spans="1:1" x14ac:dyDescent="0.2">
      <c r="A9036" t="s">
        <v>2981</v>
      </c>
    </row>
    <row r="9037" spans="1:1" x14ac:dyDescent="0.2">
      <c r="A9037" t="s">
        <v>1053</v>
      </c>
    </row>
    <row r="9038" spans="1:1" x14ac:dyDescent="0.2">
      <c r="A9038" t="s">
        <v>2982</v>
      </c>
    </row>
    <row r="9039" spans="1:1" x14ac:dyDescent="0.2">
      <c r="A9039" t="s">
        <v>2768</v>
      </c>
    </row>
    <row r="9040" spans="1:1" x14ac:dyDescent="0.2">
      <c r="A9040" t="s">
        <v>2769</v>
      </c>
    </row>
    <row r="9041" spans="1:1" x14ac:dyDescent="0.2">
      <c r="A9041" t="s">
        <v>1054</v>
      </c>
    </row>
    <row r="9042" spans="1:1" x14ac:dyDescent="0.2">
      <c r="A9042" t="s">
        <v>1055</v>
      </c>
    </row>
    <row r="9043" spans="1:1" x14ac:dyDescent="0.2">
      <c r="A9043" t="s">
        <v>2770</v>
      </c>
    </row>
    <row r="9044" spans="1:1" x14ac:dyDescent="0.2">
      <c r="A9044" t="s">
        <v>1056</v>
      </c>
    </row>
    <row r="9045" spans="1:1" x14ac:dyDescent="0.2">
      <c r="A9045" t="s">
        <v>1057</v>
      </c>
    </row>
    <row r="9046" spans="1:1" x14ac:dyDescent="0.2">
      <c r="A9046" t="s">
        <v>1058</v>
      </c>
    </row>
    <row r="9047" spans="1:1" x14ac:dyDescent="0.2">
      <c r="A9047" t="s">
        <v>1059</v>
      </c>
    </row>
    <row r="9048" spans="1:1" x14ac:dyDescent="0.2">
      <c r="A9048" t="s">
        <v>1060</v>
      </c>
    </row>
    <row r="9049" spans="1:1" x14ac:dyDescent="0.2">
      <c r="A9049" t="s">
        <v>1061</v>
      </c>
    </row>
    <row r="9050" spans="1:1" x14ac:dyDescent="0.2">
      <c r="A9050" t="s">
        <v>1062</v>
      </c>
    </row>
    <row r="9051" spans="1:1" x14ac:dyDescent="0.2">
      <c r="A9051" t="s">
        <v>1063</v>
      </c>
    </row>
    <row r="9052" spans="1:1" x14ac:dyDescent="0.2">
      <c r="A9052" t="s">
        <v>1064</v>
      </c>
    </row>
    <row r="9053" spans="1:1" x14ac:dyDescent="0.2">
      <c r="A9053" t="s">
        <v>1065</v>
      </c>
    </row>
    <row r="9054" spans="1:1" x14ac:dyDescent="0.2">
      <c r="A9054" t="s">
        <v>1066</v>
      </c>
    </row>
    <row r="9055" spans="1:1" x14ac:dyDescent="0.2">
      <c r="A9055" t="s">
        <v>1067</v>
      </c>
    </row>
    <row r="9056" spans="1:1" x14ac:dyDescent="0.2">
      <c r="A9056" t="s">
        <v>1068</v>
      </c>
    </row>
    <row r="9057" spans="1:1" x14ac:dyDescent="0.2">
      <c r="A9057" t="s">
        <v>1069</v>
      </c>
    </row>
    <row r="9058" spans="1:1" x14ac:dyDescent="0.2">
      <c r="A9058" t="s">
        <v>1070</v>
      </c>
    </row>
    <row r="9059" spans="1:1" x14ac:dyDescent="0.2">
      <c r="A9059" t="s">
        <v>1071</v>
      </c>
    </row>
    <row r="9060" spans="1:1" x14ac:dyDescent="0.2">
      <c r="A9060" t="s">
        <v>1072</v>
      </c>
    </row>
    <row r="9061" spans="1:1" x14ac:dyDescent="0.2">
      <c r="A9061" t="s">
        <v>1073</v>
      </c>
    </row>
    <row r="9062" spans="1:1" x14ac:dyDescent="0.2">
      <c r="A9062" t="s">
        <v>1074</v>
      </c>
    </row>
    <row r="9063" spans="1:1" x14ac:dyDescent="0.2">
      <c r="A9063" t="s">
        <v>1075</v>
      </c>
    </row>
    <row r="9064" spans="1:1" x14ac:dyDescent="0.2">
      <c r="A9064" t="s">
        <v>1076</v>
      </c>
    </row>
    <row r="9065" spans="1:1" x14ac:dyDescent="0.2">
      <c r="A9065" t="s">
        <v>1077</v>
      </c>
    </row>
    <row r="9066" spans="1:1" x14ac:dyDescent="0.2">
      <c r="A9066" t="s">
        <v>1078</v>
      </c>
    </row>
    <row r="9067" spans="1:1" x14ac:dyDescent="0.2">
      <c r="A9067" t="s">
        <v>1079</v>
      </c>
    </row>
    <row r="9068" spans="1:1" x14ac:dyDescent="0.2">
      <c r="A9068" t="s">
        <v>1080</v>
      </c>
    </row>
    <row r="9069" spans="1:1" x14ac:dyDescent="0.2">
      <c r="A9069" t="s">
        <v>1081</v>
      </c>
    </row>
    <row r="9070" spans="1:1" x14ac:dyDescent="0.2">
      <c r="A9070" t="s">
        <v>1082</v>
      </c>
    </row>
    <row r="9071" spans="1:1" x14ac:dyDescent="0.2">
      <c r="A9071" t="s">
        <v>1083</v>
      </c>
    </row>
    <row r="9072" spans="1:1" x14ac:dyDescent="0.2">
      <c r="A9072" t="s">
        <v>2771</v>
      </c>
    </row>
    <row r="9073" spans="1:1" x14ac:dyDescent="0.2">
      <c r="A9073" t="s">
        <v>2772</v>
      </c>
    </row>
    <row r="9074" spans="1:1" x14ac:dyDescent="0.2">
      <c r="A9074" t="s">
        <v>2773</v>
      </c>
    </row>
    <row r="9075" spans="1:1" x14ac:dyDescent="0.2">
      <c r="A9075" t="s">
        <v>2774</v>
      </c>
    </row>
    <row r="9076" spans="1:1" x14ac:dyDescent="0.2">
      <c r="A9076" t="s">
        <v>2775</v>
      </c>
    </row>
    <row r="9077" spans="1:1" x14ac:dyDescent="0.2">
      <c r="A9077" t="s">
        <v>2776</v>
      </c>
    </row>
    <row r="9078" spans="1:1" x14ac:dyDescent="0.2">
      <c r="A9078" t="s">
        <v>1084</v>
      </c>
    </row>
    <row r="9079" spans="1:1" x14ac:dyDescent="0.2">
      <c r="A9079" t="s">
        <v>1085</v>
      </c>
    </row>
    <row r="9080" spans="1:1" x14ac:dyDescent="0.2">
      <c r="A9080" t="s">
        <v>1086</v>
      </c>
    </row>
    <row r="9081" spans="1:1" x14ac:dyDescent="0.2">
      <c r="A9081" t="s">
        <v>1087</v>
      </c>
    </row>
    <row r="9082" spans="1:1" x14ac:dyDescent="0.2">
      <c r="A9082" t="s">
        <v>1088</v>
      </c>
    </row>
    <row r="9083" spans="1:1" x14ac:dyDescent="0.2">
      <c r="A9083" t="s">
        <v>1089</v>
      </c>
    </row>
    <row r="9084" spans="1:1" x14ac:dyDescent="0.2">
      <c r="A9084" t="s">
        <v>1090</v>
      </c>
    </row>
    <row r="9085" spans="1:1" x14ac:dyDescent="0.2">
      <c r="A9085" t="s">
        <v>1091</v>
      </c>
    </row>
    <row r="9086" spans="1:1" x14ac:dyDescent="0.2">
      <c r="A9086" t="s">
        <v>1092</v>
      </c>
    </row>
    <row r="9087" spans="1:1" x14ac:dyDescent="0.2">
      <c r="A9087" t="s">
        <v>1093</v>
      </c>
    </row>
    <row r="9088" spans="1:1" x14ac:dyDescent="0.2">
      <c r="A9088" t="s">
        <v>1094</v>
      </c>
    </row>
    <row r="9089" spans="1:1" x14ac:dyDescent="0.2">
      <c r="A9089" t="s">
        <v>1095</v>
      </c>
    </row>
    <row r="9090" spans="1:1" x14ac:dyDescent="0.2">
      <c r="A9090" t="s">
        <v>1096</v>
      </c>
    </row>
    <row r="9091" spans="1:1" x14ac:dyDescent="0.2">
      <c r="A9091" t="s">
        <v>1097</v>
      </c>
    </row>
    <row r="9092" spans="1:1" x14ac:dyDescent="0.2">
      <c r="A9092" t="s">
        <v>1098</v>
      </c>
    </row>
    <row r="9093" spans="1:1" x14ac:dyDescent="0.2">
      <c r="A9093" t="s">
        <v>1099</v>
      </c>
    </row>
    <row r="9094" spans="1:1" x14ac:dyDescent="0.2">
      <c r="A9094" t="s">
        <v>1100</v>
      </c>
    </row>
    <row r="9095" spans="1:1" x14ac:dyDescent="0.2">
      <c r="A9095" t="s">
        <v>1101</v>
      </c>
    </row>
    <row r="9096" spans="1:1" x14ac:dyDescent="0.2">
      <c r="A9096" t="s">
        <v>1102</v>
      </c>
    </row>
    <row r="9097" spans="1:1" x14ac:dyDescent="0.2">
      <c r="A9097" t="s">
        <v>1103</v>
      </c>
    </row>
    <row r="9098" spans="1:1" x14ac:dyDescent="0.2">
      <c r="A9098" t="s">
        <v>1104</v>
      </c>
    </row>
    <row r="9099" spans="1:1" x14ac:dyDescent="0.2">
      <c r="A9099" t="s">
        <v>1105</v>
      </c>
    </row>
    <row r="9100" spans="1:1" x14ac:dyDescent="0.2">
      <c r="A9100" t="s">
        <v>1106</v>
      </c>
    </row>
    <row r="9101" spans="1:1" x14ac:dyDescent="0.2">
      <c r="A9101" t="s">
        <v>1107</v>
      </c>
    </row>
    <row r="9102" spans="1:1" x14ac:dyDescent="0.2">
      <c r="A9102" t="s">
        <v>1108</v>
      </c>
    </row>
    <row r="9103" spans="1:1" x14ac:dyDescent="0.2">
      <c r="A9103" t="s">
        <v>1109</v>
      </c>
    </row>
    <row r="9104" spans="1:1" x14ac:dyDescent="0.2">
      <c r="A9104" t="s">
        <v>1110</v>
      </c>
    </row>
    <row r="9105" spans="1:1" x14ac:dyDescent="0.2">
      <c r="A9105" t="s">
        <v>1111</v>
      </c>
    </row>
    <row r="9106" spans="1:1" x14ac:dyDescent="0.2">
      <c r="A9106" t="s">
        <v>1112</v>
      </c>
    </row>
    <row r="9107" spans="1:1" x14ac:dyDescent="0.2">
      <c r="A9107" t="s">
        <v>1113</v>
      </c>
    </row>
    <row r="9108" spans="1:1" x14ac:dyDescent="0.2">
      <c r="A9108" t="s">
        <v>1114</v>
      </c>
    </row>
    <row r="9109" spans="1:1" x14ac:dyDescent="0.2">
      <c r="A9109" t="s">
        <v>1115</v>
      </c>
    </row>
    <row r="9110" spans="1:1" x14ac:dyDescent="0.2">
      <c r="A9110" t="s">
        <v>1116</v>
      </c>
    </row>
    <row r="9111" spans="1:1" x14ac:dyDescent="0.2">
      <c r="A9111" t="s">
        <v>1117</v>
      </c>
    </row>
    <row r="9112" spans="1:1" x14ac:dyDescent="0.2">
      <c r="A9112" t="s">
        <v>1118</v>
      </c>
    </row>
    <row r="9113" spans="1:1" x14ac:dyDescent="0.2">
      <c r="A9113" t="s">
        <v>1119</v>
      </c>
    </row>
    <row r="9114" spans="1:1" x14ac:dyDescent="0.2">
      <c r="A9114" t="s">
        <v>1120</v>
      </c>
    </row>
    <row r="9115" spans="1:1" x14ac:dyDescent="0.2">
      <c r="A9115" t="s">
        <v>1288</v>
      </c>
    </row>
    <row r="9116" spans="1:1" x14ac:dyDescent="0.2">
      <c r="A9116" t="s">
        <v>2983</v>
      </c>
    </row>
    <row r="9117" spans="1:1" x14ac:dyDescent="0.2">
      <c r="A9117" t="s">
        <v>2984</v>
      </c>
    </row>
    <row r="9118" spans="1:1" x14ac:dyDescent="0.2">
      <c r="A9118" t="s">
        <v>2985</v>
      </c>
    </row>
    <row r="9119" spans="1:1" x14ac:dyDescent="0.2">
      <c r="A9119" t="s">
        <v>2986</v>
      </c>
    </row>
    <row r="9120" spans="1:1" x14ac:dyDescent="0.2">
      <c r="A9120" t="s">
        <v>2960</v>
      </c>
    </row>
    <row r="9121" spans="1:1" x14ac:dyDescent="0.2">
      <c r="A9121" t="s">
        <v>2961</v>
      </c>
    </row>
    <row r="9122" spans="1:1" x14ac:dyDescent="0.2">
      <c r="A9122" t="s">
        <v>2987</v>
      </c>
    </row>
    <row r="9123" spans="1:1" x14ac:dyDescent="0.2">
      <c r="A9123" t="s">
        <v>1122</v>
      </c>
    </row>
    <row r="9124" spans="1:1" x14ac:dyDescent="0.2">
      <c r="A9124" t="s">
        <v>1123</v>
      </c>
    </row>
    <row r="9125" spans="1:1" x14ac:dyDescent="0.2">
      <c r="A9125" t="s">
        <v>1124</v>
      </c>
    </row>
    <row r="9126" spans="1:1" x14ac:dyDescent="0.2">
      <c r="A9126" t="s">
        <v>1125</v>
      </c>
    </row>
    <row r="9127" spans="1:1" x14ac:dyDescent="0.2">
      <c r="A9127" t="s">
        <v>1126</v>
      </c>
    </row>
    <row r="9128" spans="1:1" x14ac:dyDescent="0.2">
      <c r="A9128" t="s">
        <v>1127</v>
      </c>
    </row>
    <row r="9129" spans="1:1" x14ac:dyDescent="0.2">
      <c r="A9129" t="s">
        <v>1128</v>
      </c>
    </row>
    <row r="9130" spans="1:1" x14ac:dyDescent="0.2">
      <c r="A9130" t="s">
        <v>1129</v>
      </c>
    </row>
    <row r="9131" spans="1:1" x14ac:dyDescent="0.2">
      <c r="A9131" t="s">
        <v>1130</v>
      </c>
    </row>
    <row r="9132" spans="1:1" x14ac:dyDescent="0.2">
      <c r="A9132" t="s">
        <v>1131</v>
      </c>
    </row>
    <row r="9133" spans="1:1" x14ac:dyDescent="0.2">
      <c r="A9133" t="s">
        <v>1132</v>
      </c>
    </row>
    <row r="9134" spans="1:1" x14ac:dyDescent="0.2">
      <c r="A9134" t="s">
        <v>1133</v>
      </c>
    </row>
    <row r="9135" spans="1:1" x14ac:dyDescent="0.2">
      <c r="A9135" t="s">
        <v>1134</v>
      </c>
    </row>
    <row r="9136" spans="1:1" x14ac:dyDescent="0.2">
      <c r="A9136" t="s">
        <v>1135</v>
      </c>
    </row>
    <row r="9137" spans="1:1" x14ac:dyDescent="0.2">
      <c r="A9137" t="s">
        <v>1136</v>
      </c>
    </row>
    <row r="9138" spans="1:1" x14ac:dyDescent="0.2">
      <c r="A9138" t="s">
        <v>1137</v>
      </c>
    </row>
    <row r="9139" spans="1:1" x14ac:dyDescent="0.2">
      <c r="A9139" t="s">
        <v>1138</v>
      </c>
    </row>
    <row r="9140" spans="1:1" x14ac:dyDescent="0.2">
      <c r="A9140" t="s">
        <v>1139</v>
      </c>
    </row>
    <row r="9141" spans="1:1" x14ac:dyDescent="0.2">
      <c r="A9141" t="s">
        <v>1140</v>
      </c>
    </row>
    <row r="9142" spans="1:1" x14ac:dyDescent="0.2">
      <c r="A9142" t="s">
        <v>1141</v>
      </c>
    </row>
    <row r="9143" spans="1:1" x14ac:dyDescent="0.2">
      <c r="A9143" t="s">
        <v>1142</v>
      </c>
    </row>
    <row r="9144" spans="1:1" x14ac:dyDescent="0.2">
      <c r="A9144" t="s">
        <v>1143</v>
      </c>
    </row>
    <row r="9145" spans="1:1" x14ac:dyDescent="0.2">
      <c r="A9145" t="s">
        <v>1144</v>
      </c>
    </row>
    <row r="9146" spans="1:1" x14ac:dyDescent="0.2">
      <c r="A9146" t="s">
        <v>1145</v>
      </c>
    </row>
    <row r="9147" spans="1:1" x14ac:dyDescent="0.2">
      <c r="A9147" t="s">
        <v>1146</v>
      </c>
    </row>
    <row r="9148" spans="1:1" x14ac:dyDescent="0.2">
      <c r="A9148" t="s">
        <v>1147</v>
      </c>
    </row>
    <row r="9149" spans="1:1" x14ac:dyDescent="0.2">
      <c r="A9149" t="s">
        <v>1148</v>
      </c>
    </row>
    <row r="9150" spans="1:1" x14ac:dyDescent="0.2">
      <c r="A9150" t="s">
        <v>1149</v>
      </c>
    </row>
    <row r="9151" spans="1:1" x14ac:dyDescent="0.2">
      <c r="A9151" t="s">
        <v>1150</v>
      </c>
    </row>
    <row r="9152" spans="1:1" x14ac:dyDescent="0.2">
      <c r="A9152" t="s">
        <v>1151</v>
      </c>
    </row>
    <row r="9153" spans="1:1" x14ac:dyDescent="0.2">
      <c r="A9153" t="s">
        <v>1152</v>
      </c>
    </row>
    <row r="9154" spans="1:1" x14ac:dyDescent="0.2">
      <c r="A9154" t="s">
        <v>1153</v>
      </c>
    </row>
    <row r="9155" spans="1:1" x14ac:dyDescent="0.2">
      <c r="A9155" t="s">
        <v>1154</v>
      </c>
    </row>
    <row r="9156" spans="1:1" x14ac:dyDescent="0.2">
      <c r="A9156" t="s">
        <v>1155</v>
      </c>
    </row>
    <row r="9157" spans="1:1" x14ac:dyDescent="0.2">
      <c r="A9157" t="s">
        <v>1156</v>
      </c>
    </row>
    <row r="9158" spans="1:1" x14ac:dyDescent="0.2">
      <c r="A9158" t="s">
        <v>1157</v>
      </c>
    </row>
    <row r="9159" spans="1:1" x14ac:dyDescent="0.2">
      <c r="A9159" t="s">
        <v>1158</v>
      </c>
    </row>
    <row r="9160" spans="1:1" x14ac:dyDescent="0.2">
      <c r="A9160" t="s">
        <v>1159</v>
      </c>
    </row>
    <row r="9161" spans="1:1" x14ac:dyDescent="0.2">
      <c r="A9161" t="s">
        <v>1160</v>
      </c>
    </row>
    <row r="9162" spans="1:1" x14ac:dyDescent="0.2">
      <c r="A9162" t="s">
        <v>1161</v>
      </c>
    </row>
    <row r="9163" spans="1:1" x14ac:dyDescent="0.2">
      <c r="A9163" t="s">
        <v>1162</v>
      </c>
    </row>
    <row r="9164" spans="1:1" x14ac:dyDescent="0.2">
      <c r="A9164" t="s">
        <v>1163</v>
      </c>
    </row>
    <row r="9165" spans="1:1" x14ac:dyDescent="0.2">
      <c r="A9165" t="s">
        <v>1164</v>
      </c>
    </row>
    <row r="9166" spans="1:1" x14ac:dyDescent="0.2">
      <c r="A9166" t="s">
        <v>1165</v>
      </c>
    </row>
    <row r="9167" spans="1:1" x14ac:dyDescent="0.2">
      <c r="A9167" t="s">
        <v>1166</v>
      </c>
    </row>
    <row r="9168" spans="1:1" x14ac:dyDescent="0.2">
      <c r="A9168" t="s">
        <v>1167</v>
      </c>
    </row>
    <row r="9169" spans="1:1" x14ac:dyDescent="0.2">
      <c r="A9169" t="s">
        <v>1168</v>
      </c>
    </row>
    <row r="9170" spans="1:1" x14ac:dyDescent="0.2">
      <c r="A9170" t="s">
        <v>1169</v>
      </c>
    </row>
    <row r="9171" spans="1:1" x14ac:dyDescent="0.2">
      <c r="A9171" t="s">
        <v>1170</v>
      </c>
    </row>
    <row r="9172" spans="1:1" x14ac:dyDescent="0.2">
      <c r="A9172" t="s">
        <v>1171</v>
      </c>
    </row>
    <row r="9173" spans="1:1" x14ac:dyDescent="0.2">
      <c r="A9173" t="s">
        <v>1172</v>
      </c>
    </row>
    <row r="9174" spans="1:1" x14ac:dyDescent="0.2">
      <c r="A9174" t="s">
        <v>1173</v>
      </c>
    </row>
    <row r="9175" spans="1:1" x14ac:dyDescent="0.2">
      <c r="A9175" t="s">
        <v>1174</v>
      </c>
    </row>
    <row r="9176" spans="1:1" x14ac:dyDescent="0.2">
      <c r="A9176" t="s">
        <v>1175</v>
      </c>
    </row>
    <row r="9177" spans="1:1" x14ac:dyDescent="0.2">
      <c r="A9177" t="s">
        <v>1176</v>
      </c>
    </row>
    <row r="9178" spans="1:1" x14ac:dyDescent="0.2">
      <c r="A9178" t="s">
        <v>1177</v>
      </c>
    </row>
    <row r="9179" spans="1:1" x14ac:dyDescent="0.2">
      <c r="A9179" t="s">
        <v>1178</v>
      </c>
    </row>
    <row r="9180" spans="1:1" x14ac:dyDescent="0.2">
      <c r="A9180" t="s">
        <v>1179</v>
      </c>
    </row>
    <row r="9181" spans="1:1" x14ac:dyDescent="0.2">
      <c r="A9181" t="s">
        <v>1180</v>
      </c>
    </row>
    <row r="9182" spans="1:1" x14ac:dyDescent="0.2">
      <c r="A9182" t="s">
        <v>1181</v>
      </c>
    </row>
    <row r="9183" spans="1:1" x14ac:dyDescent="0.2">
      <c r="A9183" t="s">
        <v>1182</v>
      </c>
    </row>
    <row r="9184" spans="1:1" x14ac:dyDescent="0.2">
      <c r="A9184" t="s">
        <v>1183</v>
      </c>
    </row>
    <row r="9185" spans="1:1" x14ac:dyDescent="0.2">
      <c r="A9185" t="s">
        <v>1184</v>
      </c>
    </row>
    <row r="9186" spans="1:1" x14ac:dyDescent="0.2">
      <c r="A9186" t="s">
        <v>1185</v>
      </c>
    </row>
    <row r="9187" spans="1:1" x14ac:dyDescent="0.2">
      <c r="A9187" t="s">
        <v>1186</v>
      </c>
    </row>
    <row r="9188" spans="1:1" x14ac:dyDescent="0.2">
      <c r="A9188" t="s">
        <v>1187</v>
      </c>
    </row>
    <row r="9189" spans="1:1" x14ac:dyDescent="0.2">
      <c r="A9189" t="s">
        <v>1188</v>
      </c>
    </row>
    <row r="9190" spans="1:1" x14ac:dyDescent="0.2">
      <c r="A9190" t="s">
        <v>1189</v>
      </c>
    </row>
    <row r="9191" spans="1:1" x14ac:dyDescent="0.2">
      <c r="A9191" t="s">
        <v>1190</v>
      </c>
    </row>
    <row r="9192" spans="1:1" x14ac:dyDescent="0.2">
      <c r="A9192" t="s">
        <v>1191</v>
      </c>
    </row>
    <row r="9193" spans="1:1" x14ac:dyDescent="0.2">
      <c r="A9193" t="s">
        <v>1192</v>
      </c>
    </row>
    <row r="9194" spans="1:1" x14ac:dyDescent="0.2">
      <c r="A9194" t="s">
        <v>1193</v>
      </c>
    </row>
    <row r="9195" spans="1:1" x14ac:dyDescent="0.2">
      <c r="A9195" t="s">
        <v>1194</v>
      </c>
    </row>
    <row r="9196" spans="1:1" x14ac:dyDescent="0.2">
      <c r="A9196" t="s">
        <v>1195</v>
      </c>
    </row>
    <row r="9197" spans="1:1" x14ac:dyDescent="0.2">
      <c r="A9197" t="s">
        <v>1196</v>
      </c>
    </row>
    <row r="9198" spans="1:1" x14ac:dyDescent="0.2">
      <c r="A9198" t="s">
        <v>1197</v>
      </c>
    </row>
    <row r="9199" spans="1:1" x14ac:dyDescent="0.2">
      <c r="A9199" t="s">
        <v>1198</v>
      </c>
    </row>
    <row r="9200" spans="1:1" x14ac:dyDescent="0.2">
      <c r="A9200" t="s">
        <v>1199</v>
      </c>
    </row>
    <row r="9201" spans="1:1" x14ac:dyDescent="0.2">
      <c r="A9201" t="s">
        <v>1200</v>
      </c>
    </row>
    <row r="9202" spans="1:1" x14ac:dyDescent="0.2">
      <c r="A9202" t="s">
        <v>1201</v>
      </c>
    </row>
    <row r="9203" spans="1:1" x14ac:dyDescent="0.2">
      <c r="A9203" t="s">
        <v>1202</v>
      </c>
    </row>
    <row r="9204" spans="1:1" x14ac:dyDescent="0.2">
      <c r="A9204" t="s">
        <v>1203</v>
      </c>
    </row>
    <row r="9205" spans="1:1" x14ac:dyDescent="0.2">
      <c r="A9205" t="s">
        <v>1204</v>
      </c>
    </row>
    <row r="9206" spans="1:1" x14ac:dyDescent="0.2">
      <c r="A9206" t="s">
        <v>1205</v>
      </c>
    </row>
    <row r="9207" spans="1:1" x14ac:dyDescent="0.2">
      <c r="A9207" t="s">
        <v>1206</v>
      </c>
    </row>
    <row r="9208" spans="1:1" x14ac:dyDescent="0.2">
      <c r="A9208" t="s">
        <v>1207</v>
      </c>
    </row>
    <row r="9209" spans="1:1" x14ac:dyDescent="0.2">
      <c r="A9209" t="s">
        <v>1208</v>
      </c>
    </row>
    <row r="9210" spans="1:1" x14ac:dyDescent="0.2">
      <c r="A9210" t="s">
        <v>1209</v>
      </c>
    </row>
    <row r="9211" spans="1:1" x14ac:dyDescent="0.2">
      <c r="A9211" t="s">
        <v>1210</v>
      </c>
    </row>
    <row r="9212" spans="1:1" x14ac:dyDescent="0.2">
      <c r="A9212" t="s">
        <v>1211</v>
      </c>
    </row>
    <row r="9213" spans="1:1" x14ac:dyDescent="0.2">
      <c r="A9213" t="s">
        <v>1212</v>
      </c>
    </row>
    <row r="9214" spans="1:1" x14ac:dyDescent="0.2">
      <c r="A9214" t="s">
        <v>1213</v>
      </c>
    </row>
    <row r="9215" spans="1:1" x14ac:dyDescent="0.2">
      <c r="A9215" t="s">
        <v>1214</v>
      </c>
    </row>
    <row r="9216" spans="1:1" x14ac:dyDescent="0.2">
      <c r="A9216" t="s">
        <v>1215</v>
      </c>
    </row>
    <row r="9217" spans="1:1" x14ac:dyDescent="0.2">
      <c r="A9217" t="s">
        <v>1216</v>
      </c>
    </row>
    <row r="9218" spans="1:1" x14ac:dyDescent="0.2">
      <c r="A9218" t="s">
        <v>1217</v>
      </c>
    </row>
    <row r="9219" spans="1:1" x14ac:dyDescent="0.2">
      <c r="A9219" t="s">
        <v>1218</v>
      </c>
    </row>
    <row r="9220" spans="1:1" x14ac:dyDescent="0.2">
      <c r="A9220" t="s">
        <v>1219</v>
      </c>
    </row>
    <row r="9221" spans="1:1" x14ac:dyDescent="0.2">
      <c r="A9221" t="s">
        <v>1220</v>
      </c>
    </row>
    <row r="9222" spans="1:1" x14ac:dyDescent="0.2">
      <c r="A9222" t="s">
        <v>1221</v>
      </c>
    </row>
    <row r="9223" spans="1:1" x14ac:dyDescent="0.2">
      <c r="A9223" t="s">
        <v>1222</v>
      </c>
    </row>
    <row r="9224" spans="1:1" x14ac:dyDescent="0.2">
      <c r="A9224" t="s">
        <v>1223</v>
      </c>
    </row>
    <row r="9225" spans="1:1" x14ac:dyDescent="0.2">
      <c r="A9225" t="s">
        <v>1224</v>
      </c>
    </row>
    <row r="9226" spans="1:1" x14ac:dyDescent="0.2">
      <c r="A9226" t="s">
        <v>1225</v>
      </c>
    </row>
    <row r="9227" spans="1:1" x14ac:dyDescent="0.2">
      <c r="A9227" t="s">
        <v>1226</v>
      </c>
    </row>
    <row r="9228" spans="1:1" x14ac:dyDescent="0.2">
      <c r="A9228" t="s">
        <v>1227</v>
      </c>
    </row>
    <row r="9229" spans="1:1" x14ac:dyDescent="0.2">
      <c r="A9229" t="s">
        <v>1228</v>
      </c>
    </row>
    <row r="9230" spans="1:1" x14ac:dyDescent="0.2">
      <c r="A9230" t="s">
        <v>1229</v>
      </c>
    </row>
    <row r="9231" spans="1:1" x14ac:dyDescent="0.2">
      <c r="A9231" t="s">
        <v>1230</v>
      </c>
    </row>
    <row r="9232" spans="1:1" x14ac:dyDescent="0.2">
      <c r="A9232" t="s">
        <v>1231</v>
      </c>
    </row>
    <row r="9233" spans="1:1" x14ac:dyDescent="0.2">
      <c r="A9233" t="s">
        <v>1232</v>
      </c>
    </row>
    <row r="9234" spans="1:1" x14ac:dyDescent="0.2">
      <c r="A9234" t="s">
        <v>1233</v>
      </c>
    </row>
    <row r="9235" spans="1:1" x14ac:dyDescent="0.2">
      <c r="A9235" t="s">
        <v>1234</v>
      </c>
    </row>
    <row r="9236" spans="1:1" x14ac:dyDescent="0.2">
      <c r="A9236" t="s">
        <v>1235</v>
      </c>
    </row>
    <row r="9237" spans="1:1" x14ac:dyDescent="0.2">
      <c r="A9237" t="s">
        <v>1236</v>
      </c>
    </row>
    <row r="9238" spans="1:1" x14ac:dyDescent="0.2">
      <c r="A9238" t="s">
        <v>1237</v>
      </c>
    </row>
    <row r="9239" spans="1:1" x14ac:dyDescent="0.2">
      <c r="A9239" t="s">
        <v>1238</v>
      </c>
    </row>
    <row r="9240" spans="1:1" x14ac:dyDescent="0.2">
      <c r="A9240" t="s">
        <v>1239</v>
      </c>
    </row>
    <row r="9241" spans="1:1" x14ac:dyDescent="0.2">
      <c r="A9241" t="s">
        <v>1240</v>
      </c>
    </row>
    <row r="9242" spans="1:1" x14ac:dyDescent="0.2">
      <c r="A9242" t="s">
        <v>1241</v>
      </c>
    </row>
    <row r="9243" spans="1:1" x14ac:dyDescent="0.2">
      <c r="A9243" t="s">
        <v>1242</v>
      </c>
    </row>
    <row r="9244" spans="1:1" x14ac:dyDescent="0.2">
      <c r="A9244" t="s">
        <v>1243</v>
      </c>
    </row>
    <row r="9245" spans="1:1" x14ac:dyDescent="0.2">
      <c r="A9245" t="s">
        <v>1244</v>
      </c>
    </row>
    <row r="9246" spans="1:1" x14ac:dyDescent="0.2">
      <c r="A9246" t="s">
        <v>1245</v>
      </c>
    </row>
    <row r="9247" spans="1:1" x14ac:dyDescent="0.2">
      <c r="A9247" t="s">
        <v>1246</v>
      </c>
    </row>
    <row r="9248" spans="1:1" x14ac:dyDescent="0.2">
      <c r="A9248" t="s">
        <v>1247</v>
      </c>
    </row>
    <row r="9249" spans="1:1" x14ac:dyDescent="0.2">
      <c r="A9249" t="s">
        <v>1248</v>
      </c>
    </row>
    <row r="9250" spans="1:1" x14ac:dyDescent="0.2">
      <c r="A9250" t="s">
        <v>1249</v>
      </c>
    </row>
    <row r="9251" spans="1:1" x14ac:dyDescent="0.2">
      <c r="A9251" t="s">
        <v>1250</v>
      </c>
    </row>
    <row r="9252" spans="1:1" x14ac:dyDescent="0.2">
      <c r="A9252" t="s">
        <v>1251</v>
      </c>
    </row>
    <row r="9253" spans="1:1" x14ac:dyDescent="0.2">
      <c r="A9253" t="s">
        <v>1252</v>
      </c>
    </row>
    <row r="9254" spans="1:1" x14ac:dyDescent="0.2">
      <c r="A9254" t="s">
        <v>1253</v>
      </c>
    </row>
    <row r="9255" spans="1:1" x14ac:dyDescent="0.2">
      <c r="A9255" t="s">
        <v>1254</v>
      </c>
    </row>
    <row r="9256" spans="1:1" x14ac:dyDescent="0.2">
      <c r="A9256" t="s">
        <v>1255</v>
      </c>
    </row>
    <row r="9257" spans="1:1" x14ac:dyDescent="0.2">
      <c r="A9257" t="s">
        <v>1256</v>
      </c>
    </row>
    <row r="9258" spans="1:1" x14ac:dyDescent="0.2">
      <c r="A9258" t="s">
        <v>1257</v>
      </c>
    </row>
    <row r="9259" spans="1:1" x14ac:dyDescent="0.2">
      <c r="A9259" t="s">
        <v>1258</v>
      </c>
    </row>
    <row r="9260" spans="1:1" x14ac:dyDescent="0.2">
      <c r="A9260" t="s">
        <v>1259</v>
      </c>
    </row>
    <row r="9261" spans="1:1" x14ac:dyDescent="0.2">
      <c r="A9261" t="s">
        <v>1260</v>
      </c>
    </row>
    <row r="9262" spans="1:1" x14ac:dyDescent="0.2">
      <c r="A9262" t="s">
        <v>1261</v>
      </c>
    </row>
    <row r="9263" spans="1:1" x14ac:dyDescent="0.2">
      <c r="A9263" t="s">
        <v>1262</v>
      </c>
    </row>
    <row r="9264" spans="1:1" x14ac:dyDescent="0.2">
      <c r="A9264" t="s">
        <v>1263</v>
      </c>
    </row>
    <row r="9265" spans="1:1" x14ac:dyDescent="0.2">
      <c r="A9265" t="s">
        <v>1264</v>
      </c>
    </row>
    <row r="9266" spans="1:1" x14ac:dyDescent="0.2">
      <c r="A9266" t="s">
        <v>1265</v>
      </c>
    </row>
    <row r="9267" spans="1:1" x14ac:dyDescent="0.2">
      <c r="A9267" t="s">
        <v>1266</v>
      </c>
    </row>
    <row r="9268" spans="1:1" x14ac:dyDescent="0.2">
      <c r="A9268" t="s">
        <v>1267</v>
      </c>
    </row>
    <row r="9269" spans="1:1" x14ac:dyDescent="0.2">
      <c r="A9269" t="s">
        <v>1268</v>
      </c>
    </row>
    <row r="9270" spans="1:1" x14ac:dyDescent="0.2">
      <c r="A9270" t="s">
        <v>1269</v>
      </c>
    </row>
    <row r="9271" spans="1:1" x14ac:dyDescent="0.2">
      <c r="A9271" t="s">
        <v>1270</v>
      </c>
    </row>
    <row r="9272" spans="1:1" x14ac:dyDescent="0.2">
      <c r="A9272" t="s">
        <v>1271</v>
      </c>
    </row>
    <row r="9273" spans="1:1" x14ac:dyDescent="0.2">
      <c r="A9273" t="s">
        <v>1272</v>
      </c>
    </row>
    <row r="9274" spans="1:1" x14ac:dyDescent="0.2">
      <c r="A9274" t="s">
        <v>1273</v>
      </c>
    </row>
    <row r="9275" spans="1:1" x14ac:dyDescent="0.2">
      <c r="A9275" t="s">
        <v>1274</v>
      </c>
    </row>
    <row r="9276" spans="1:1" x14ac:dyDescent="0.2">
      <c r="A9276" t="s">
        <v>1275</v>
      </c>
    </row>
    <row r="9277" spans="1:1" x14ac:dyDescent="0.2">
      <c r="A9277" t="s">
        <v>1276</v>
      </c>
    </row>
    <row r="9278" spans="1:1" x14ac:dyDescent="0.2">
      <c r="A9278" t="s">
        <v>1277</v>
      </c>
    </row>
    <row r="9279" spans="1:1" x14ac:dyDescent="0.2">
      <c r="A9279" t="s">
        <v>1278</v>
      </c>
    </row>
    <row r="9280" spans="1:1" x14ac:dyDescent="0.2">
      <c r="A9280" t="s">
        <v>1279</v>
      </c>
    </row>
    <row r="9281" spans="1:1" x14ac:dyDescent="0.2">
      <c r="A9281" t="s">
        <v>1280</v>
      </c>
    </row>
    <row r="9282" spans="1:1" x14ac:dyDescent="0.2">
      <c r="A9282" t="s">
        <v>1281</v>
      </c>
    </row>
    <row r="9283" spans="1:1" x14ac:dyDescent="0.2">
      <c r="A9283" t="s">
        <v>1282</v>
      </c>
    </row>
    <row r="9284" spans="1:1" x14ac:dyDescent="0.2">
      <c r="A9284" t="s">
        <v>1283</v>
      </c>
    </row>
    <row r="9285" spans="1:1" x14ac:dyDescent="0.2">
      <c r="A9285" t="s">
        <v>1284</v>
      </c>
    </row>
    <row r="9286" spans="1:1" x14ac:dyDescent="0.2">
      <c r="A9286" t="s">
        <v>1285</v>
      </c>
    </row>
    <row r="9287" spans="1:1" x14ac:dyDescent="0.2">
      <c r="A9287" t="s">
        <v>1286</v>
      </c>
    </row>
    <row r="9288" spans="1:1" x14ac:dyDescent="0.2">
      <c r="A9288" t="s">
        <v>2988</v>
      </c>
    </row>
    <row r="9289" spans="1:1" x14ac:dyDescent="0.2">
      <c r="A9289" t="s">
        <v>1053</v>
      </c>
    </row>
    <row r="9290" spans="1:1" x14ac:dyDescent="0.2">
      <c r="A9290" t="s">
        <v>2989</v>
      </c>
    </row>
    <row r="9291" spans="1:1" x14ac:dyDescent="0.2">
      <c r="A9291" t="s">
        <v>2768</v>
      </c>
    </row>
    <row r="9292" spans="1:1" x14ac:dyDescent="0.2">
      <c r="A9292" t="s">
        <v>2769</v>
      </c>
    </row>
    <row r="9293" spans="1:1" x14ac:dyDescent="0.2">
      <c r="A9293" t="s">
        <v>1054</v>
      </c>
    </row>
    <row r="9294" spans="1:1" x14ac:dyDescent="0.2">
      <c r="A9294" t="s">
        <v>1055</v>
      </c>
    </row>
    <row r="9295" spans="1:1" x14ac:dyDescent="0.2">
      <c r="A9295" t="s">
        <v>2770</v>
      </c>
    </row>
    <row r="9296" spans="1:1" x14ac:dyDescent="0.2">
      <c r="A9296" t="s">
        <v>1056</v>
      </c>
    </row>
    <row r="9297" spans="1:1" x14ac:dyDescent="0.2">
      <c r="A9297" t="s">
        <v>1057</v>
      </c>
    </row>
    <row r="9298" spans="1:1" x14ac:dyDescent="0.2">
      <c r="A9298" t="s">
        <v>1058</v>
      </c>
    </row>
    <row r="9299" spans="1:1" x14ac:dyDescent="0.2">
      <c r="A9299" t="s">
        <v>1059</v>
      </c>
    </row>
    <row r="9300" spans="1:1" x14ac:dyDescent="0.2">
      <c r="A9300" t="s">
        <v>1060</v>
      </c>
    </row>
    <row r="9301" spans="1:1" x14ac:dyDescent="0.2">
      <c r="A9301" t="s">
        <v>1061</v>
      </c>
    </row>
    <row r="9302" spans="1:1" x14ac:dyDescent="0.2">
      <c r="A9302" t="s">
        <v>1062</v>
      </c>
    </row>
    <row r="9303" spans="1:1" x14ac:dyDescent="0.2">
      <c r="A9303" t="s">
        <v>1063</v>
      </c>
    </row>
    <row r="9304" spans="1:1" x14ac:dyDescent="0.2">
      <c r="A9304" t="s">
        <v>1064</v>
      </c>
    </row>
    <row r="9305" spans="1:1" x14ac:dyDescent="0.2">
      <c r="A9305" t="s">
        <v>1065</v>
      </c>
    </row>
    <row r="9306" spans="1:1" x14ac:dyDescent="0.2">
      <c r="A9306" t="s">
        <v>1066</v>
      </c>
    </row>
    <row r="9307" spans="1:1" x14ac:dyDescent="0.2">
      <c r="A9307" t="s">
        <v>1067</v>
      </c>
    </row>
    <row r="9308" spans="1:1" x14ac:dyDescent="0.2">
      <c r="A9308" t="s">
        <v>1068</v>
      </c>
    </row>
    <row r="9309" spans="1:1" x14ac:dyDescent="0.2">
      <c r="A9309" t="s">
        <v>1069</v>
      </c>
    </row>
    <row r="9310" spans="1:1" x14ac:dyDescent="0.2">
      <c r="A9310" t="s">
        <v>1070</v>
      </c>
    </row>
    <row r="9311" spans="1:1" x14ac:dyDescent="0.2">
      <c r="A9311" t="s">
        <v>1071</v>
      </c>
    </row>
    <row r="9312" spans="1:1" x14ac:dyDescent="0.2">
      <c r="A9312" t="s">
        <v>1072</v>
      </c>
    </row>
    <row r="9313" spans="1:1" x14ac:dyDescent="0.2">
      <c r="A9313" t="s">
        <v>1073</v>
      </c>
    </row>
    <row r="9314" spans="1:1" x14ac:dyDescent="0.2">
      <c r="A9314" t="s">
        <v>1074</v>
      </c>
    </row>
    <row r="9315" spans="1:1" x14ac:dyDescent="0.2">
      <c r="A9315" t="s">
        <v>1075</v>
      </c>
    </row>
    <row r="9316" spans="1:1" x14ac:dyDescent="0.2">
      <c r="A9316" t="s">
        <v>1076</v>
      </c>
    </row>
    <row r="9317" spans="1:1" x14ac:dyDescent="0.2">
      <c r="A9317" t="s">
        <v>1077</v>
      </c>
    </row>
    <row r="9318" spans="1:1" x14ac:dyDescent="0.2">
      <c r="A9318" t="s">
        <v>1078</v>
      </c>
    </row>
    <row r="9319" spans="1:1" x14ac:dyDescent="0.2">
      <c r="A9319" t="s">
        <v>1079</v>
      </c>
    </row>
    <row r="9320" spans="1:1" x14ac:dyDescent="0.2">
      <c r="A9320" t="s">
        <v>1080</v>
      </c>
    </row>
    <row r="9321" spans="1:1" x14ac:dyDescent="0.2">
      <c r="A9321" t="s">
        <v>1081</v>
      </c>
    </row>
    <row r="9322" spans="1:1" x14ac:dyDescent="0.2">
      <c r="A9322" t="s">
        <v>1082</v>
      </c>
    </row>
    <row r="9323" spans="1:1" x14ac:dyDescent="0.2">
      <c r="A9323" t="s">
        <v>1083</v>
      </c>
    </row>
    <row r="9324" spans="1:1" x14ac:dyDescent="0.2">
      <c r="A9324" t="s">
        <v>2771</v>
      </c>
    </row>
    <row r="9325" spans="1:1" x14ac:dyDescent="0.2">
      <c r="A9325" t="s">
        <v>2772</v>
      </c>
    </row>
    <row r="9326" spans="1:1" x14ac:dyDescent="0.2">
      <c r="A9326" t="s">
        <v>2773</v>
      </c>
    </row>
    <row r="9327" spans="1:1" x14ac:dyDescent="0.2">
      <c r="A9327" t="s">
        <v>2774</v>
      </c>
    </row>
    <row r="9328" spans="1:1" x14ac:dyDescent="0.2">
      <c r="A9328" t="s">
        <v>2775</v>
      </c>
    </row>
    <row r="9329" spans="1:1" x14ac:dyDescent="0.2">
      <c r="A9329" t="s">
        <v>2776</v>
      </c>
    </row>
    <row r="9330" spans="1:1" x14ac:dyDescent="0.2">
      <c r="A9330" t="s">
        <v>1084</v>
      </c>
    </row>
    <row r="9331" spans="1:1" x14ac:dyDescent="0.2">
      <c r="A9331" t="s">
        <v>1085</v>
      </c>
    </row>
    <row r="9332" spans="1:1" x14ac:dyDescent="0.2">
      <c r="A9332" t="s">
        <v>1086</v>
      </c>
    </row>
    <row r="9333" spans="1:1" x14ac:dyDescent="0.2">
      <c r="A9333" t="s">
        <v>1087</v>
      </c>
    </row>
    <row r="9334" spans="1:1" x14ac:dyDescent="0.2">
      <c r="A9334" t="s">
        <v>1088</v>
      </c>
    </row>
    <row r="9335" spans="1:1" x14ac:dyDescent="0.2">
      <c r="A9335" t="s">
        <v>1089</v>
      </c>
    </row>
    <row r="9336" spans="1:1" x14ac:dyDescent="0.2">
      <c r="A9336" t="s">
        <v>1090</v>
      </c>
    </row>
    <row r="9337" spans="1:1" x14ac:dyDescent="0.2">
      <c r="A9337" t="s">
        <v>1091</v>
      </c>
    </row>
    <row r="9338" spans="1:1" x14ac:dyDescent="0.2">
      <c r="A9338" t="s">
        <v>1092</v>
      </c>
    </row>
    <row r="9339" spans="1:1" x14ac:dyDescent="0.2">
      <c r="A9339" t="s">
        <v>1093</v>
      </c>
    </row>
    <row r="9340" spans="1:1" x14ac:dyDescent="0.2">
      <c r="A9340" t="s">
        <v>1094</v>
      </c>
    </row>
    <row r="9341" spans="1:1" x14ac:dyDescent="0.2">
      <c r="A9341" t="s">
        <v>1095</v>
      </c>
    </row>
    <row r="9342" spans="1:1" x14ac:dyDescent="0.2">
      <c r="A9342" t="s">
        <v>1096</v>
      </c>
    </row>
    <row r="9343" spans="1:1" x14ac:dyDescent="0.2">
      <c r="A9343" t="s">
        <v>1097</v>
      </c>
    </row>
    <row r="9344" spans="1:1" x14ac:dyDescent="0.2">
      <c r="A9344" t="s">
        <v>1098</v>
      </c>
    </row>
    <row r="9345" spans="1:1" x14ac:dyDescent="0.2">
      <c r="A9345" t="s">
        <v>1099</v>
      </c>
    </row>
    <row r="9346" spans="1:1" x14ac:dyDescent="0.2">
      <c r="A9346" t="s">
        <v>1100</v>
      </c>
    </row>
    <row r="9347" spans="1:1" x14ac:dyDescent="0.2">
      <c r="A9347" t="s">
        <v>1101</v>
      </c>
    </row>
    <row r="9348" spans="1:1" x14ac:dyDescent="0.2">
      <c r="A9348" t="s">
        <v>1102</v>
      </c>
    </row>
    <row r="9349" spans="1:1" x14ac:dyDescent="0.2">
      <c r="A9349" t="s">
        <v>1103</v>
      </c>
    </row>
    <row r="9350" spans="1:1" x14ac:dyDescent="0.2">
      <c r="A9350" t="s">
        <v>1104</v>
      </c>
    </row>
    <row r="9351" spans="1:1" x14ac:dyDescent="0.2">
      <c r="A9351" t="s">
        <v>1105</v>
      </c>
    </row>
    <row r="9352" spans="1:1" x14ac:dyDescent="0.2">
      <c r="A9352" t="s">
        <v>1106</v>
      </c>
    </row>
    <row r="9353" spans="1:1" x14ac:dyDescent="0.2">
      <c r="A9353" t="s">
        <v>1107</v>
      </c>
    </row>
    <row r="9354" spans="1:1" x14ac:dyDescent="0.2">
      <c r="A9354" t="s">
        <v>1108</v>
      </c>
    </row>
    <row r="9355" spans="1:1" x14ac:dyDescent="0.2">
      <c r="A9355" t="s">
        <v>1109</v>
      </c>
    </row>
    <row r="9356" spans="1:1" x14ac:dyDescent="0.2">
      <c r="A9356" t="s">
        <v>1110</v>
      </c>
    </row>
    <row r="9357" spans="1:1" x14ac:dyDescent="0.2">
      <c r="A9357" t="s">
        <v>1111</v>
      </c>
    </row>
    <row r="9358" spans="1:1" x14ac:dyDescent="0.2">
      <c r="A9358" t="s">
        <v>1112</v>
      </c>
    </row>
    <row r="9359" spans="1:1" x14ac:dyDescent="0.2">
      <c r="A9359" t="s">
        <v>1113</v>
      </c>
    </row>
    <row r="9360" spans="1:1" x14ac:dyDescent="0.2">
      <c r="A9360" t="s">
        <v>1114</v>
      </c>
    </row>
    <row r="9361" spans="1:1" x14ac:dyDescent="0.2">
      <c r="A9361" t="s">
        <v>1115</v>
      </c>
    </row>
    <row r="9362" spans="1:1" x14ac:dyDescent="0.2">
      <c r="A9362" t="s">
        <v>1116</v>
      </c>
    </row>
    <row r="9363" spans="1:1" x14ac:dyDescent="0.2">
      <c r="A9363" t="s">
        <v>1117</v>
      </c>
    </row>
    <row r="9364" spans="1:1" x14ac:dyDescent="0.2">
      <c r="A9364" t="s">
        <v>1118</v>
      </c>
    </row>
    <row r="9365" spans="1:1" x14ac:dyDescent="0.2">
      <c r="A9365" t="s">
        <v>1119</v>
      </c>
    </row>
    <row r="9366" spans="1:1" x14ac:dyDescent="0.2">
      <c r="A9366" t="s">
        <v>1120</v>
      </c>
    </row>
    <row r="9367" spans="1:1" x14ac:dyDescent="0.2">
      <c r="A9367" t="s">
        <v>1288</v>
      </c>
    </row>
    <row r="9368" spans="1:1" x14ac:dyDescent="0.2">
      <c r="A9368" t="s">
        <v>2990</v>
      </c>
    </row>
    <row r="9369" spans="1:1" x14ac:dyDescent="0.2">
      <c r="A9369" t="s">
        <v>2991</v>
      </c>
    </row>
    <row r="9370" spans="1:1" x14ac:dyDescent="0.2">
      <c r="A9370" t="s">
        <v>2992</v>
      </c>
    </row>
    <row r="9371" spans="1:1" x14ac:dyDescent="0.2">
      <c r="A9371" t="s">
        <v>2993</v>
      </c>
    </row>
    <row r="9372" spans="1:1" x14ac:dyDescent="0.2">
      <c r="A9372" t="s">
        <v>2960</v>
      </c>
    </row>
    <row r="9373" spans="1:1" x14ac:dyDescent="0.2">
      <c r="A9373" t="s">
        <v>2961</v>
      </c>
    </row>
    <row r="9374" spans="1:1" x14ac:dyDescent="0.2">
      <c r="A9374" t="s">
        <v>2994</v>
      </c>
    </row>
    <row r="9375" spans="1:1" x14ac:dyDescent="0.2">
      <c r="A9375" t="s">
        <v>1122</v>
      </c>
    </row>
    <row r="9376" spans="1:1" x14ac:dyDescent="0.2">
      <c r="A9376" t="s">
        <v>1123</v>
      </c>
    </row>
    <row r="9377" spans="1:1" x14ac:dyDescent="0.2">
      <c r="A9377" t="s">
        <v>1124</v>
      </c>
    </row>
    <row r="9378" spans="1:1" x14ac:dyDescent="0.2">
      <c r="A9378" t="s">
        <v>1125</v>
      </c>
    </row>
    <row r="9379" spans="1:1" x14ac:dyDescent="0.2">
      <c r="A9379" t="s">
        <v>1126</v>
      </c>
    </row>
    <row r="9380" spans="1:1" x14ac:dyDescent="0.2">
      <c r="A9380" t="s">
        <v>1127</v>
      </c>
    </row>
    <row r="9381" spans="1:1" x14ac:dyDescent="0.2">
      <c r="A9381" t="s">
        <v>1128</v>
      </c>
    </row>
    <row r="9382" spans="1:1" x14ac:dyDescent="0.2">
      <c r="A9382" t="s">
        <v>1129</v>
      </c>
    </row>
    <row r="9383" spans="1:1" x14ac:dyDescent="0.2">
      <c r="A9383" t="s">
        <v>1130</v>
      </c>
    </row>
    <row r="9384" spans="1:1" x14ac:dyDescent="0.2">
      <c r="A9384" t="s">
        <v>1131</v>
      </c>
    </row>
    <row r="9385" spans="1:1" x14ac:dyDescent="0.2">
      <c r="A9385" t="s">
        <v>1132</v>
      </c>
    </row>
    <row r="9386" spans="1:1" x14ac:dyDescent="0.2">
      <c r="A9386" t="s">
        <v>1133</v>
      </c>
    </row>
    <row r="9387" spans="1:1" x14ac:dyDescent="0.2">
      <c r="A9387" t="s">
        <v>1134</v>
      </c>
    </row>
    <row r="9388" spans="1:1" x14ac:dyDescent="0.2">
      <c r="A9388" t="s">
        <v>1135</v>
      </c>
    </row>
    <row r="9389" spans="1:1" x14ac:dyDescent="0.2">
      <c r="A9389" t="s">
        <v>1136</v>
      </c>
    </row>
    <row r="9390" spans="1:1" x14ac:dyDescent="0.2">
      <c r="A9390" t="s">
        <v>1137</v>
      </c>
    </row>
    <row r="9391" spans="1:1" x14ac:dyDescent="0.2">
      <c r="A9391" t="s">
        <v>1138</v>
      </c>
    </row>
    <row r="9392" spans="1:1" x14ac:dyDescent="0.2">
      <c r="A9392" t="s">
        <v>1139</v>
      </c>
    </row>
    <row r="9393" spans="1:1" x14ac:dyDescent="0.2">
      <c r="A9393" t="s">
        <v>1140</v>
      </c>
    </row>
    <row r="9394" spans="1:1" x14ac:dyDescent="0.2">
      <c r="A9394" t="s">
        <v>1141</v>
      </c>
    </row>
    <row r="9395" spans="1:1" x14ac:dyDescent="0.2">
      <c r="A9395" t="s">
        <v>1142</v>
      </c>
    </row>
    <row r="9396" spans="1:1" x14ac:dyDescent="0.2">
      <c r="A9396" t="s">
        <v>1143</v>
      </c>
    </row>
    <row r="9397" spans="1:1" x14ac:dyDescent="0.2">
      <c r="A9397" t="s">
        <v>1144</v>
      </c>
    </row>
    <row r="9398" spans="1:1" x14ac:dyDescent="0.2">
      <c r="A9398" t="s">
        <v>1145</v>
      </c>
    </row>
    <row r="9399" spans="1:1" x14ac:dyDescent="0.2">
      <c r="A9399" t="s">
        <v>1146</v>
      </c>
    </row>
    <row r="9400" spans="1:1" x14ac:dyDescent="0.2">
      <c r="A9400" t="s">
        <v>1147</v>
      </c>
    </row>
    <row r="9401" spans="1:1" x14ac:dyDescent="0.2">
      <c r="A9401" t="s">
        <v>1148</v>
      </c>
    </row>
    <row r="9402" spans="1:1" x14ac:dyDescent="0.2">
      <c r="A9402" t="s">
        <v>1149</v>
      </c>
    </row>
    <row r="9403" spans="1:1" x14ac:dyDescent="0.2">
      <c r="A9403" t="s">
        <v>1150</v>
      </c>
    </row>
    <row r="9404" spans="1:1" x14ac:dyDescent="0.2">
      <c r="A9404" t="s">
        <v>1151</v>
      </c>
    </row>
    <row r="9405" spans="1:1" x14ac:dyDescent="0.2">
      <c r="A9405" t="s">
        <v>1152</v>
      </c>
    </row>
    <row r="9406" spans="1:1" x14ac:dyDescent="0.2">
      <c r="A9406" t="s">
        <v>1153</v>
      </c>
    </row>
    <row r="9407" spans="1:1" x14ac:dyDescent="0.2">
      <c r="A9407" t="s">
        <v>1154</v>
      </c>
    </row>
    <row r="9408" spans="1:1" x14ac:dyDescent="0.2">
      <c r="A9408" t="s">
        <v>1155</v>
      </c>
    </row>
    <row r="9409" spans="1:1" x14ac:dyDescent="0.2">
      <c r="A9409" t="s">
        <v>1156</v>
      </c>
    </row>
    <row r="9410" spans="1:1" x14ac:dyDescent="0.2">
      <c r="A9410" t="s">
        <v>1157</v>
      </c>
    </row>
    <row r="9411" spans="1:1" x14ac:dyDescent="0.2">
      <c r="A9411" t="s">
        <v>1158</v>
      </c>
    </row>
    <row r="9412" spans="1:1" x14ac:dyDescent="0.2">
      <c r="A9412" t="s">
        <v>1159</v>
      </c>
    </row>
    <row r="9413" spans="1:1" x14ac:dyDescent="0.2">
      <c r="A9413" t="s">
        <v>1160</v>
      </c>
    </row>
    <row r="9414" spans="1:1" x14ac:dyDescent="0.2">
      <c r="A9414" t="s">
        <v>1161</v>
      </c>
    </row>
    <row r="9415" spans="1:1" x14ac:dyDescent="0.2">
      <c r="A9415" t="s">
        <v>1162</v>
      </c>
    </row>
    <row r="9416" spans="1:1" x14ac:dyDescent="0.2">
      <c r="A9416" t="s">
        <v>1163</v>
      </c>
    </row>
    <row r="9417" spans="1:1" x14ac:dyDescent="0.2">
      <c r="A9417" t="s">
        <v>1164</v>
      </c>
    </row>
    <row r="9418" spans="1:1" x14ac:dyDescent="0.2">
      <c r="A9418" t="s">
        <v>1165</v>
      </c>
    </row>
    <row r="9419" spans="1:1" x14ac:dyDescent="0.2">
      <c r="A9419" t="s">
        <v>1166</v>
      </c>
    </row>
    <row r="9420" spans="1:1" x14ac:dyDescent="0.2">
      <c r="A9420" t="s">
        <v>1167</v>
      </c>
    </row>
    <row r="9421" spans="1:1" x14ac:dyDescent="0.2">
      <c r="A9421" t="s">
        <v>1168</v>
      </c>
    </row>
    <row r="9422" spans="1:1" x14ac:dyDescent="0.2">
      <c r="A9422" t="s">
        <v>1169</v>
      </c>
    </row>
    <row r="9423" spans="1:1" x14ac:dyDescent="0.2">
      <c r="A9423" t="s">
        <v>1170</v>
      </c>
    </row>
    <row r="9424" spans="1:1" x14ac:dyDescent="0.2">
      <c r="A9424" t="s">
        <v>1171</v>
      </c>
    </row>
    <row r="9425" spans="1:1" x14ac:dyDescent="0.2">
      <c r="A9425" t="s">
        <v>1172</v>
      </c>
    </row>
    <row r="9426" spans="1:1" x14ac:dyDescent="0.2">
      <c r="A9426" t="s">
        <v>1173</v>
      </c>
    </row>
    <row r="9427" spans="1:1" x14ac:dyDescent="0.2">
      <c r="A9427" t="s">
        <v>1174</v>
      </c>
    </row>
    <row r="9428" spans="1:1" x14ac:dyDescent="0.2">
      <c r="A9428" t="s">
        <v>1175</v>
      </c>
    </row>
    <row r="9429" spans="1:1" x14ac:dyDescent="0.2">
      <c r="A9429" t="s">
        <v>1176</v>
      </c>
    </row>
    <row r="9430" spans="1:1" x14ac:dyDescent="0.2">
      <c r="A9430" t="s">
        <v>1177</v>
      </c>
    </row>
    <row r="9431" spans="1:1" x14ac:dyDescent="0.2">
      <c r="A9431" t="s">
        <v>1178</v>
      </c>
    </row>
    <row r="9432" spans="1:1" x14ac:dyDescent="0.2">
      <c r="A9432" t="s">
        <v>1179</v>
      </c>
    </row>
    <row r="9433" spans="1:1" x14ac:dyDescent="0.2">
      <c r="A9433" t="s">
        <v>1180</v>
      </c>
    </row>
    <row r="9434" spans="1:1" x14ac:dyDescent="0.2">
      <c r="A9434" t="s">
        <v>1181</v>
      </c>
    </row>
    <row r="9435" spans="1:1" x14ac:dyDescent="0.2">
      <c r="A9435" t="s">
        <v>1182</v>
      </c>
    </row>
    <row r="9436" spans="1:1" x14ac:dyDescent="0.2">
      <c r="A9436" t="s">
        <v>1183</v>
      </c>
    </row>
    <row r="9437" spans="1:1" x14ac:dyDescent="0.2">
      <c r="A9437" t="s">
        <v>1184</v>
      </c>
    </row>
    <row r="9438" spans="1:1" x14ac:dyDescent="0.2">
      <c r="A9438" t="s">
        <v>1185</v>
      </c>
    </row>
    <row r="9439" spans="1:1" x14ac:dyDescent="0.2">
      <c r="A9439" t="s">
        <v>1186</v>
      </c>
    </row>
    <row r="9440" spans="1:1" x14ac:dyDescent="0.2">
      <c r="A9440" t="s">
        <v>1187</v>
      </c>
    </row>
    <row r="9441" spans="1:1" x14ac:dyDescent="0.2">
      <c r="A9441" t="s">
        <v>1188</v>
      </c>
    </row>
    <row r="9442" spans="1:1" x14ac:dyDescent="0.2">
      <c r="A9442" t="s">
        <v>1189</v>
      </c>
    </row>
    <row r="9443" spans="1:1" x14ac:dyDescent="0.2">
      <c r="A9443" t="s">
        <v>1190</v>
      </c>
    </row>
    <row r="9444" spans="1:1" x14ac:dyDescent="0.2">
      <c r="A9444" t="s">
        <v>1191</v>
      </c>
    </row>
    <row r="9445" spans="1:1" x14ac:dyDescent="0.2">
      <c r="A9445" t="s">
        <v>1192</v>
      </c>
    </row>
    <row r="9446" spans="1:1" x14ac:dyDescent="0.2">
      <c r="A9446" t="s">
        <v>1193</v>
      </c>
    </row>
    <row r="9447" spans="1:1" x14ac:dyDescent="0.2">
      <c r="A9447" t="s">
        <v>1194</v>
      </c>
    </row>
    <row r="9448" spans="1:1" x14ac:dyDescent="0.2">
      <c r="A9448" t="s">
        <v>1195</v>
      </c>
    </row>
    <row r="9449" spans="1:1" x14ac:dyDescent="0.2">
      <c r="A9449" t="s">
        <v>1196</v>
      </c>
    </row>
    <row r="9450" spans="1:1" x14ac:dyDescent="0.2">
      <c r="A9450" t="s">
        <v>1197</v>
      </c>
    </row>
    <row r="9451" spans="1:1" x14ac:dyDescent="0.2">
      <c r="A9451" t="s">
        <v>1198</v>
      </c>
    </row>
    <row r="9452" spans="1:1" x14ac:dyDescent="0.2">
      <c r="A9452" t="s">
        <v>1199</v>
      </c>
    </row>
    <row r="9453" spans="1:1" x14ac:dyDescent="0.2">
      <c r="A9453" t="s">
        <v>1200</v>
      </c>
    </row>
    <row r="9454" spans="1:1" x14ac:dyDescent="0.2">
      <c r="A9454" t="s">
        <v>1201</v>
      </c>
    </row>
    <row r="9455" spans="1:1" x14ac:dyDescent="0.2">
      <c r="A9455" t="s">
        <v>1202</v>
      </c>
    </row>
    <row r="9456" spans="1:1" x14ac:dyDescent="0.2">
      <c r="A9456" t="s">
        <v>1203</v>
      </c>
    </row>
    <row r="9457" spans="1:1" x14ac:dyDescent="0.2">
      <c r="A9457" t="s">
        <v>1204</v>
      </c>
    </row>
    <row r="9458" spans="1:1" x14ac:dyDescent="0.2">
      <c r="A9458" t="s">
        <v>1205</v>
      </c>
    </row>
    <row r="9459" spans="1:1" x14ac:dyDescent="0.2">
      <c r="A9459" t="s">
        <v>1206</v>
      </c>
    </row>
    <row r="9460" spans="1:1" x14ac:dyDescent="0.2">
      <c r="A9460" t="s">
        <v>1207</v>
      </c>
    </row>
    <row r="9461" spans="1:1" x14ac:dyDescent="0.2">
      <c r="A9461" t="s">
        <v>1208</v>
      </c>
    </row>
    <row r="9462" spans="1:1" x14ac:dyDescent="0.2">
      <c r="A9462" t="s">
        <v>1209</v>
      </c>
    </row>
    <row r="9463" spans="1:1" x14ac:dyDescent="0.2">
      <c r="A9463" t="s">
        <v>1210</v>
      </c>
    </row>
    <row r="9464" spans="1:1" x14ac:dyDescent="0.2">
      <c r="A9464" t="s">
        <v>1211</v>
      </c>
    </row>
    <row r="9465" spans="1:1" x14ac:dyDescent="0.2">
      <c r="A9465" t="s">
        <v>1212</v>
      </c>
    </row>
    <row r="9466" spans="1:1" x14ac:dyDescent="0.2">
      <c r="A9466" t="s">
        <v>1213</v>
      </c>
    </row>
    <row r="9467" spans="1:1" x14ac:dyDescent="0.2">
      <c r="A9467" t="s">
        <v>1214</v>
      </c>
    </row>
    <row r="9468" spans="1:1" x14ac:dyDescent="0.2">
      <c r="A9468" t="s">
        <v>1215</v>
      </c>
    </row>
    <row r="9469" spans="1:1" x14ac:dyDescent="0.2">
      <c r="A9469" t="s">
        <v>1216</v>
      </c>
    </row>
    <row r="9470" spans="1:1" x14ac:dyDescent="0.2">
      <c r="A9470" t="s">
        <v>1217</v>
      </c>
    </row>
    <row r="9471" spans="1:1" x14ac:dyDescent="0.2">
      <c r="A9471" t="s">
        <v>1218</v>
      </c>
    </row>
    <row r="9472" spans="1:1" x14ac:dyDescent="0.2">
      <c r="A9472" t="s">
        <v>1219</v>
      </c>
    </row>
    <row r="9473" spans="1:1" x14ac:dyDescent="0.2">
      <c r="A9473" t="s">
        <v>1220</v>
      </c>
    </row>
    <row r="9474" spans="1:1" x14ac:dyDescent="0.2">
      <c r="A9474" t="s">
        <v>1221</v>
      </c>
    </row>
    <row r="9475" spans="1:1" x14ac:dyDescent="0.2">
      <c r="A9475" t="s">
        <v>1222</v>
      </c>
    </row>
    <row r="9476" spans="1:1" x14ac:dyDescent="0.2">
      <c r="A9476" t="s">
        <v>1223</v>
      </c>
    </row>
    <row r="9477" spans="1:1" x14ac:dyDescent="0.2">
      <c r="A9477" t="s">
        <v>1224</v>
      </c>
    </row>
    <row r="9478" spans="1:1" x14ac:dyDescent="0.2">
      <c r="A9478" t="s">
        <v>1225</v>
      </c>
    </row>
    <row r="9479" spans="1:1" x14ac:dyDescent="0.2">
      <c r="A9479" t="s">
        <v>1226</v>
      </c>
    </row>
    <row r="9480" spans="1:1" x14ac:dyDescent="0.2">
      <c r="A9480" t="s">
        <v>1227</v>
      </c>
    </row>
    <row r="9481" spans="1:1" x14ac:dyDescent="0.2">
      <c r="A9481" t="s">
        <v>1228</v>
      </c>
    </row>
    <row r="9482" spans="1:1" x14ac:dyDescent="0.2">
      <c r="A9482" t="s">
        <v>1229</v>
      </c>
    </row>
    <row r="9483" spans="1:1" x14ac:dyDescent="0.2">
      <c r="A9483" t="s">
        <v>1230</v>
      </c>
    </row>
    <row r="9484" spans="1:1" x14ac:dyDescent="0.2">
      <c r="A9484" t="s">
        <v>1231</v>
      </c>
    </row>
    <row r="9485" spans="1:1" x14ac:dyDescent="0.2">
      <c r="A9485" t="s">
        <v>1232</v>
      </c>
    </row>
    <row r="9486" spans="1:1" x14ac:dyDescent="0.2">
      <c r="A9486" t="s">
        <v>1233</v>
      </c>
    </row>
    <row r="9487" spans="1:1" x14ac:dyDescent="0.2">
      <c r="A9487" t="s">
        <v>1234</v>
      </c>
    </row>
    <row r="9488" spans="1:1" x14ac:dyDescent="0.2">
      <c r="A9488" t="s">
        <v>1235</v>
      </c>
    </row>
    <row r="9489" spans="1:1" x14ac:dyDescent="0.2">
      <c r="A9489" t="s">
        <v>1236</v>
      </c>
    </row>
    <row r="9490" spans="1:1" x14ac:dyDescent="0.2">
      <c r="A9490" t="s">
        <v>1237</v>
      </c>
    </row>
    <row r="9491" spans="1:1" x14ac:dyDescent="0.2">
      <c r="A9491" t="s">
        <v>1238</v>
      </c>
    </row>
    <row r="9492" spans="1:1" x14ac:dyDescent="0.2">
      <c r="A9492" t="s">
        <v>1239</v>
      </c>
    </row>
    <row r="9493" spans="1:1" x14ac:dyDescent="0.2">
      <c r="A9493" t="s">
        <v>1240</v>
      </c>
    </row>
    <row r="9494" spans="1:1" x14ac:dyDescent="0.2">
      <c r="A9494" t="s">
        <v>1241</v>
      </c>
    </row>
    <row r="9495" spans="1:1" x14ac:dyDescent="0.2">
      <c r="A9495" t="s">
        <v>1242</v>
      </c>
    </row>
    <row r="9496" spans="1:1" x14ac:dyDescent="0.2">
      <c r="A9496" t="s">
        <v>1243</v>
      </c>
    </row>
    <row r="9497" spans="1:1" x14ac:dyDescent="0.2">
      <c r="A9497" t="s">
        <v>1244</v>
      </c>
    </row>
    <row r="9498" spans="1:1" x14ac:dyDescent="0.2">
      <c r="A9498" t="s">
        <v>1245</v>
      </c>
    </row>
    <row r="9499" spans="1:1" x14ac:dyDescent="0.2">
      <c r="A9499" t="s">
        <v>1246</v>
      </c>
    </row>
    <row r="9500" spans="1:1" x14ac:dyDescent="0.2">
      <c r="A9500" t="s">
        <v>1247</v>
      </c>
    </row>
    <row r="9501" spans="1:1" x14ac:dyDescent="0.2">
      <c r="A9501" t="s">
        <v>1248</v>
      </c>
    </row>
    <row r="9502" spans="1:1" x14ac:dyDescent="0.2">
      <c r="A9502" t="s">
        <v>1249</v>
      </c>
    </row>
    <row r="9503" spans="1:1" x14ac:dyDescent="0.2">
      <c r="A9503" t="s">
        <v>1250</v>
      </c>
    </row>
    <row r="9504" spans="1:1" x14ac:dyDescent="0.2">
      <c r="A9504" t="s">
        <v>1251</v>
      </c>
    </row>
    <row r="9505" spans="1:1" x14ac:dyDescent="0.2">
      <c r="A9505" t="s">
        <v>1252</v>
      </c>
    </row>
    <row r="9506" spans="1:1" x14ac:dyDescent="0.2">
      <c r="A9506" t="s">
        <v>1253</v>
      </c>
    </row>
    <row r="9507" spans="1:1" x14ac:dyDescent="0.2">
      <c r="A9507" t="s">
        <v>1254</v>
      </c>
    </row>
    <row r="9508" spans="1:1" x14ac:dyDescent="0.2">
      <c r="A9508" t="s">
        <v>1255</v>
      </c>
    </row>
    <row r="9509" spans="1:1" x14ac:dyDescent="0.2">
      <c r="A9509" t="s">
        <v>1256</v>
      </c>
    </row>
    <row r="9510" spans="1:1" x14ac:dyDescent="0.2">
      <c r="A9510" t="s">
        <v>1257</v>
      </c>
    </row>
    <row r="9511" spans="1:1" x14ac:dyDescent="0.2">
      <c r="A9511" t="s">
        <v>1258</v>
      </c>
    </row>
    <row r="9512" spans="1:1" x14ac:dyDescent="0.2">
      <c r="A9512" t="s">
        <v>1259</v>
      </c>
    </row>
    <row r="9513" spans="1:1" x14ac:dyDescent="0.2">
      <c r="A9513" t="s">
        <v>1260</v>
      </c>
    </row>
    <row r="9514" spans="1:1" x14ac:dyDescent="0.2">
      <c r="A9514" t="s">
        <v>1261</v>
      </c>
    </row>
    <row r="9515" spans="1:1" x14ac:dyDescent="0.2">
      <c r="A9515" t="s">
        <v>1262</v>
      </c>
    </row>
    <row r="9516" spans="1:1" x14ac:dyDescent="0.2">
      <c r="A9516" t="s">
        <v>1263</v>
      </c>
    </row>
    <row r="9517" spans="1:1" x14ac:dyDescent="0.2">
      <c r="A9517" t="s">
        <v>1264</v>
      </c>
    </row>
    <row r="9518" spans="1:1" x14ac:dyDescent="0.2">
      <c r="A9518" t="s">
        <v>1265</v>
      </c>
    </row>
    <row r="9519" spans="1:1" x14ac:dyDescent="0.2">
      <c r="A9519" t="s">
        <v>1266</v>
      </c>
    </row>
    <row r="9520" spans="1:1" x14ac:dyDescent="0.2">
      <c r="A9520" t="s">
        <v>1267</v>
      </c>
    </row>
    <row r="9521" spans="1:1" x14ac:dyDescent="0.2">
      <c r="A9521" t="s">
        <v>1268</v>
      </c>
    </row>
    <row r="9522" spans="1:1" x14ac:dyDescent="0.2">
      <c r="A9522" t="s">
        <v>1269</v>
      </c>
    </row>
    <row r="9523" spans="1:1" x14ac:dyDescent="0.2">
      <c r="A9523" t="s">
        <v>1270</v>
      </c>
    </row>
    <row r="9524" spans="1:1" x14ac:dyDescent="0.2">
      <c r="A9524" t="s">
        <v>1271</v>
      </c>
    </row>
    <row r="9525" spans="1:1" x14ac:dyDescent="0.2">
      <c r="A9525" t="s">
        <v>1272</v>
      </c>
    </row>
    <row r="9526" spans="1:1" x14ac:dyDescent="0.2">
      <c r="A9526" t="s">
        <v>1273</v>
      </c>
    </row>
    <row r="9527" spans="1:1" x14ac:dyDescent="0.2">
      <c r="A9527" t="s">
        <v>1274</v>
      </c>
    </row>
    <row r="9528" spans="1:1" x14ac:dyDescent="0.2">
      <c r="A9528" t="s">
        <v>1275</v>
      </c>
    </row>
    <row r="9529" spans="1:1" x14ac:dyDescent="0.2">
      <c r="A9529" t="s">
        <v>1276</v>
      </c>
    </row>
    <row r="9530" spans="1:1" x14ac:dyDescent="0.2">
      <c r="A9530" t="s">
        <v>1277</v>
      </c>
    </row>
    <row r="9531" spans="1:1" x14ac:dyDescent="0.2">
      <c r="A9531" t="s">
        <v>1278</v>
      </c>
    </row>
    <row r="9532" spans="1:1" x14ac:dyDescent="0.2">
      <c r="A9532" t="s">
        <v>1279</v>
      </c>
    </row>
    <row r="9533" spans="1:1" x14ac:dyDescent="0.2">
      <c r="A9533" t="s">
        <v>1280</v>
      </c>
    </row>
    <row r="9534" spans="1:1" x14ac:dyDescent="0.2">
      <c r="A9534" t="s">
        <v>1281</v>
      </c>
    </row>
    <row r="9535" spans="1:1" x14ac:dyDescent="0.2">
      <c r="A9535" t="s">
        <v>1282</v>
      </c>
    </row>
    <row r="9536" spans="1:1" x14ac:dyDescent="0.2">
      <c r="A9536" t="s">
        <v>1283</v>
      </c>
    </row>
    <row r="9537" spans="1:1" x14ac:dyDescent="0.2">
      <c r="A9537" t="s">
        <v>1284</v>
      </c>
    </row>
    <row r="9538" spans="1:1" x14ac:dyDescent="0.2">
      <c r="A9538" t="s">
        <v>1285</v>
      </c>
    </row>
    <row r="9539" spans="1:1" x14ac:dyDescent="0.2">
      <c r="A9539" t="s">
        <v>1286</v>
      </c>
    </row>
    <row r="9540" spans="1:1" x14ac:dyDescent="0.2">
      <c r="A9540" t="s">
        <v>2995</v>
      </c>
    </row>
    <row r="9541" spans="1:1" x14ac:dyDescent="0.2">
      <c r="A9541" t="s">
        <v>1053</v>
      </c>
    </row>
    <row r="9542" spans="1:1" x14ac:dyDescent="0.2">
      <c r="A9542" t="s">
        <v>2996</v>
      </c>
    </row>
    <row r="9543" spans="1:1" x14ac:dyDescent="0.2">
      <c r="A9543" t="s">
        <v>2768</v>
      </c>
    </row>
    <row r="9544" spans="1:1" x14ac:dyDescent="0.2">
      <c r="A9544" t="s">
        <v>2769</v>
      </c>
    </row>
    <row r="9545" spans="1:1" x14ac:dyDescent="0.2">
      <c r="A9545" t="s">
        <v>1054</v>
      </c>
    </row>
    <row r="9546" spans="1:1" x14ac:dyDescent="0.2">
      <c r="A9546" t="s">
        <v>1055</v>
      </c>
    </row>
    <row r="9547" spans="1:1" x14ac:dyDescent="0.2">
      <c r="A9547" t="s">
        <v>2997</v>
      </c>
    </row>
    <row r="9548" spans="1:1" x14ac:dyDescent="0.2">
      <c r="A9548" t="s">
        <v>1056</v>
      </c>
    </row>
    <row r="9549" spans="1:1" x14ac:dyDescent="0.2">
      <c r="A9549" t="s">
        <v>1057</v>
      </c>
    </row>
    <row r="9550" spans="1:1" x14ac:dyDescent="0.2">
      <c r="A9550" t="s">
        <v>1058</v>
      </c>
    </row>
    <row r="9551" spans="1:1" x14ac:dyDescent="0.2">
      <c r="A9551" t="s">
        <v>1059</v>
      </c>
    </row>
    <row r="9552" spans="1:1" x14ac:dyDescent="0.2">
      <c r="A9552" t="s">
        <v>1060</v>
      </c>
    </row>
    <row r="9553" spans="1:1" x14ac:dyDescent="0.2">
      <c r="A9553" t="s">
        <v>1061</v>
      </c>
    </row>
    <row r="9554" spans="1:1" x14ac:dyDescent="0.2">
      <c r="A9554" t="s">
        <v>1062</v>
      </c>
    </row>
    <row r="9555" spans="1:1" x14ac:dyDescent="0.2">
      <c r="A9555" t="s">
        <v>1063</v>
      </c>
    </row>
    <row r="9556" spans="1:1" x14ac:dyDescent="0.2">
      <c r="A9556" t="s">
        <v>1064</v>
      </c>
    </row>
    <row r="9557" spans="1:1" x14ac:dyDescent="0.2">
      <c r="A9557" t="s">
        <v>1065</v>
      </c>
    </row>
    <row r="9558" spans="1:1" x14ac:dyDescent="0.2">
      <c r="A9558" t="s">
        <v>1066</v>
      </c>
    </row>
    <row r="9559" spans="1:1" x14ac:dyDescent="0.2">
      <c r="A9559" t="s">
        <v>1067</v>
      </c>
    </row>
    <row r="9560" spans="1:1" x14ac:dyDescent="0.2">
      <c r="A9560" t="s">
        <v>1068</v>
      </c>
    </row>
    <row r="9561" spans="1:1" x14ac:dyDescent="0.2">
      <c r="A9561" t="s">
        <v>1069</v>
      </c>
    </row>
    <row r="9562" spans="1:1" x14ac:dyDescent="0.2">
      <c r="A9562" t="s">
        <v>1070</v>
      </c>
    </row>
    <row r="9563" spans="1:1" x14ac:dyDescent="0.2">
      <c r="A9563" t="s">
        <v>1071</v>
      </c>
    </row>
    <row r="9564" spans="1:1" x14ac:dyDescent="0.2">
      <c r="A9564" t="s">
        <v>1072</v>
      </c>
    </row>
    <row r="9565" spans="1:1" x14ac:dyDescent="0.2">
      <c r="A9565" t="s">
        <v>1073</v>
      </c>
    </row>
    <row r="9566" spans="1:1" x14ac:dyDescent="0.2">
      <c r="A9566" t="s">
        <v>1074</v>
      </c>
    </row>
    <row r="9567" spans="1:1" x14ac:dyDescent="0.2">
      <c r="A9567" t="s">
        <v>1075</v>
      </c>
    </row>
    <row r="9568" spans="1:1" x14ac:dyDescent="0.2">
      <c r="A9568" t="s">
        <v>1076</v>
      </c>
    </row>
    <row r="9569" spans="1:1" x14ac:dyDescent="0.2">
      <c r="A9569" t="s">
        <v>1077</v>
      </c>
    </row>
    <row r="9570" spans="1:1" x14ac:dyDescent="0.2">
      <c r="A9570" t="s">
        <v>1078</v>
      </c>
    </row>
    <row r="9571" spans="1:1" x14ac:dyDescent="0.2">
      <c r="A9571" t="s">
        <v>1079</v>
      </c>
    </row>
    <row r="9572" spans="1:1" x14ac:dyDescent="0.2">
      <c r="A9572" t="s">
        <v>1080</v>
      </c>
    </row>
    <row r="9573" spans="1:1" x14ac:dyDescent="0.2">
      <c r="A9573" t="s">
        <v>1081</v>
      </c>
    </row>
    <row r="9574" spans="1:1" x14ac:dyDescent="0.2">
      <c r="A9574" t="s">
        <v>1082</v>
      </c>
    </row>
    <row r="9575" spans="1:1" x14ac:dyDescent="0.2">
      <c r="A9575" t="s">
        <v>1083</v>
      </c>
    </row>
    <row r="9576" spans="1:1" x14ac:dyDescent="0.2">
      <c r="A9576" t="s">
        <v>2771</v>
      </c>
    </row>
    <row r="9577" spans="1:1" x14ac:dyDescent="0.2">
      <c r="A9577" t="s">
        <v>2772</v>
      </c>
    </row>
    <row r="9578" spans="1:1" x14ac:dyDescent="0.2">
      <c r="A9578" t="s">
        <v>2773</v>
      </c>
    </row>
    <row r="9579" spans="1:1" x14ac:dyDescent="0.2">
      <c r="A9579" t="s">
        <v>2774</v>
      </c>
    </row>
    <row r="9580" spans="1:1" x14ac:dyDescent="0.2">
      <c r="A9580" t="s">
        <v>2775</v>
      </c>
    </row>
    <row r="9581" spans="1:1" x14ac:dyDescent="0.2">
      <c r="A9581" t="s">
        <v>2776</v>
      </c>
    </row>
    <row r="9582" spans="1:1" x14ac:dyDescent="0.2">
      <c r="A9582" t="s">
        <v>1084</v>
      </c>
    </row>
    <row r="9583" spans="1:1" x14ac:dyDescent="0.2">
      <c r="A9583" t="s">
        <v>1085</v>
      </c>
    </row>
    <row r="9584" spans="1:1" x14ac:dyDescent="0.2">
      <c r="A9584" t="s">
        <v>1086</v>
      </c>
    </row>
    <row r="9585" spans="1:1" x14ac:dyDescent="0.2">
      <c r="A9585" t="s">
        <v>1087</v>
      </c>
    </row>
    <row r="9586" spans="1:1" x14ac:dyDescent="0.2">
      <c r="A9586" t="s">
        <v>1088</v>
      </c>
    </row>
    <row r="9587" spans="1:1" x14ac:dyDescent="0.2">
      <c r="A9587" t="s">
        <v>1089</v>
      </c>
    </row>
    <row r="9588" spans="1:1" x14ac:dyDescent="0.2">
      <c r="A9588" t="s">
        <v>1090</v>
      </c>
    </row>
    <row r="9589" spans="1:1" x14ac:dyDescent="0.2">
      <c r="A9589" t="s">
        <v>1091</v>
      </c>
    </row>
    <row r="9590" spans="1:1" x14ac:dyDescent="0.2">
      <c r="A9590" t="s">
        <v>1092</v>
      </c>
    </row>
    <row r="9591" spans="1:1" x14ac:dyDescent="0.2">
      <c r="A9591" t="s">
        <v>1093</v>
      </c>
    </row>
    <row r="9592" spans="1:1" x14ac:dyDescent="0.2">
      <c r="A9592" t="s">
        <v>1094</v>
      </c>
    </row>
    <row r="9593" spans="1:1" x14ac:dyDescent="0.2">
      <c r="A9593" t="s">
        <v>1095</v>
      </c>
    </row>
    <row r="9594" spans="1:1" x14ac:dyDescent="0.2">
      <c r="A9594" t="s">
        <v>1096</v>
      </c>
    </row>
    <row r="9595" spans="1:1" x14ac:dyDescent="0.2">
      <c r="A9595" t="s">
        <v>1097</v>
      </c>
    </row>
    <row r="9596" spans="1:1" x14ac:dyDescent="0.2">
      <c r="A9596" t="s">
        <v>1098</v>
      </c>
    </row>
    <row r="9597" spans="1:1" x14ac:dyDescent="0.2">
      <c r="A9597" t="s">
        <v>1099</v>
      </c>
    </row>
    <row r="9598" spans="1:1" x14ac:dyDescent="0.2">
      <c r="A9598" t="s">
        <v>1100</v>
      </c>
    </row>
    <row r="9599" spans="1:1" x14ac:dyDescent="0.2">
      <c r="A9599" t="s">
        <v>1101</v>
      </c>
    </row>
    <row r="9600" spans="1:1" x14ac:dyDescent="0.2">
      <c r="A9600" t="s">
        <v>1102</v>
      </c>
    </row>
    <row r="9601" spans="1:1" x14ac:dyDescent="0.2">
      <c r="A9601" t="s">
        <v>1103</v>
      </c>
    </row>
    <row r="9602" spans="1:1" x14ac:dyDescent="0.2">
      <c r="A9602" t="s">
        <v>1104</v>
      </c>
    </row>
    <row r="9603" spans="1:1" x14ac:dyDescent="0.2">
      <c r="A9603" t="s">
        <v>1105</v>
      </c>
    </row>
    <row r="9604" spans="1:1" x14ac:dyDescent="0.2">
      <c r="A9604" t="s">
        <v>1106</v>
      </c>
    </row>
    <row r="9605" spans="1:1" x14ac:dyDescent="0.2">
      <c r="A9605" t="s">
        <v>1107</v>
      </c>
    </row>
    <row r="9606" spans="1:1" x14ac:dyDescent="0.2">
      <c r="A9606" t="s">
        <v>1108</v>
      </c>
    </row>
    <row r="9607" spans="1:1" x14ac:dyDescent="0.2">
      <c r="A9607" t="s">
        <v>1109</v>
      </c>
    </row>
    <row r="9608" spans="1:1" x14ac:dyDescent="0.2">
      <c r="A9608" t="s">
        <v>1110</v>
      </c>
    </row>
    <row r="9609" spans="1:1" x14ac:dyDescent="0.2">
      <c r="A9609" t="s">
        <v>1111</v>
      </c>
    </row>
    <row r="9610" spans="1:1" x14ac:dyDescent="0.2">
      <c r="A9610" t="s">
        <v>1112</v>
      </c>
    </row>
    <row r="9611" spans="1:1" x14ac:dyDescent="0.2">
      <c r="A9611" t="s">
        <v>1113</v>
      </c>
    </row>
    <row r="9612" spans="1:1" x14ac:dyDescent="0.2">
      <c r="A9612" t="s">
        <v>1114</v>
      </c>
    </row>
    <row r="9613" spans="1:1" x14ac:dyDescent="0.2">
      <c r="A9613" t="s">
        <v>1115</v>
      </c>
    </row>
    <row r="9614" spans="1:1" x14ac:dyDescent="0.2">
      <c r="A9614" t="s">
        <v>1116</v>
      </c>
    </row>
    <row r="9615" spans="1:1" x14ac:dyDescent="0.2">
      <c r="A9615" t="s">
        <v>1117</v>
      </c>
    </row>
    <row r="9616" spans="1:1" x14ac:dyDescent="0.2">
      <c r="A9616" t="s">
        <v>1118</v>
      </c>
    </row>
    <row r="9617" spans="1:1" x14ac:dyDescent="0.2">
      <c r="A9617" t="s">
        <v>1119</v>
      </c>
    </row>
    <row r="9618" spans="1:1" x14ac:dyDescent="0.2">
      <c r="A9618" t="s">
        <v>2998</v>
      </c>
    </row>
    <row r="9619" spans="1:1" x14ac:dyDescent="0.2">
      <c r="A9619" t="s">
        <v>1288</v>
      </c>
    </row>
    <row r="9620" spans="1:1" x14ac:dyDescent="0.2">
      <c r="A9620" t="s">
        <v>2999</v>
      </c>
    </row>
    <row r="9621" spans="1:1" x14ac:dyDescent="0.2">
      <c r="A9621" t="s">
        <v>3000</v>
      </c>
    </row>
    <row r="9622" spans="1:1" x14ac:dyDescent="0.2">
      <c r="A9622" t="s">
        <v>2992</v>
      </c>
    </row>
    <row r="9623" spans="1:1" x14ac:dyDescent="0.2">
      <c r="A9623" t="s">
        <v>2993</v>
      </c>
    </row>
    <row r="9624" spans="1:1" x14ac:dyDescent="0.2">
      <c r="A9624" t="s">
        <v>2960</v>
      </c>
    </row>
    <row r="9625" spans="1:1" x14ac:dyDescent="0.2">
      <c r="A9625" t="s">
        <v>2961</v>
      </c>
    </row>
    <row r="9626" spans="1:1" x14ac:dyDescent="0.2">
      <c r="A9626" t="s">
        <v>3001</v>
      </c>
    </row>
    <row r="9627" spans="1:1" x14ac:dyDescent="0.2">
      <c r="A9627" t="s">
        <v>1122</v>
      </c>
    </row>
    <row r="9628" spans="1:1" x14ac:dyDescent="0.2">
      <c r="A9628" t="s">
        <v>1123</v>
      </c>
    </row>
    <row r="9629" spans="1:1" x14ac:dyDescent="0.2">
      <c r="A9629" t="s">
        <v>1124</v>
      </c>
    </row>
    <row r="9630" spans="1:1" x14ac:dyDescent="0.2">
      <c r="A9630" t="s">
        <v>1125</v>
      </c>
    </row>
    <row r="9631" spans="1:1" x14ac:dyDescent="0.2">
      <c r="A9631" t="s">
        <v>1126</v>
      </c>
    </row>
    <row r="9632" spans="1:1" x14ac:dyDescent="0.2">
      <c r="A9632" t="s">
        <v>1127</v>
      </c>
    </row>
    <row r="9633" spans="1:1" x14ac:dyDescent="0.2">
      <c r="A9633" t="s">
        <v>1128</v>
      </c>
    </row>
    <row r="9634" spans="1:1" x14ac:dyDescent="0.2">
      <c r="A9634" t="s">
        <v>1129</v>
      </c>
    </row>
    <row r="9635" spans="1:1" x14ac:dyDescent="0.2">
      <c r="A9635" t="s">
        <v>1130</v>
      </c>
    </row>
    <row r="9636" spans="1:1" x14ac:dyDescent="0.2">
      <c r="A9636" t="s">
        <v>1131</v>
      </c>
    </row>
    <row r="9637" spans="1:1" x14ac:dyDescent="0.2">
      <c r="A9637" t="s">
        <v>1132</v>
      </c>
    </row>
    <row r="9638" spans="1:1" x14ac:dyDescent="0.2">
      <c r="A9638" t="s">
        <v>1133</v>
      </c>
    </row>
    <row r="9639" spans="1:1" x14ac:dyDescent="0.2">
      <c r="A9639" t="s">
        <v>1134</v>
      </c>
    </row>
    <row r="9640" spans="1:1" x14ac:dyDescent="0.2">
      <c r="A9640" t="s">
        <v>1135</v>
      </c>
    </row>
    <row r="9641" spans="1:1" x14ac:dyDescent="0.2">
      <c r="A9641" t="s">
        <v>1136</v>
      </c>
    </row>
    <row r="9642" spans="1:1" x14ac:dyDescent="0.2">
      <c r="A9642" t="s">
        <v>1137</v>
      </c>
    </row>
    <row r="9643" spans="1:1" x14ac:dyDescent="0.2">
      <c r="A9643" t="s">
        <v>1138</v>
      </c>
    </row>
    <row r="9644" spans="1:1" x14ac:dyDescent="0.2">
      <c r="A9644" t="s">
        <v>1139</v>
      </c>
    </row>
    <row r="9645" spans="1:1" x14ac:dyDescent="0.2">
      <c r="A9645" t="s">
        <v>1140</v>
      </c>
    </row>
    <row r="9646" spans="1:1" x14ac:dyDescent="0.2">
      <c r="A9646" t="s">
        <v>1141</v>
      </c>
    </row>
    <row r="9647" spans="1:1" x14ac:dyDescent="0.2">
      <c r="A9647" t="s">
        <v>1142</v>
      </c>
    </row>
    <row r="9648" spans="1:1" x14ac:dyDescent="0.2">
      <c r="A9648" t="s">
        <v>1143</v>
      </c>
    </row>
    <row r="9649" spans="1:1" x14ac:dyDescent="0.2">
      <c r="A9649" t="s">
        <v>1144</v>
      </c>
    </row>
    <row r="9650" spans="1:1" x14ac:dyDescent="0.2">
      <c r="A9650" t="s">
        <v>1145</v>
      </c>
    </row>
    <row r="9651" spans="1:1" x14ac:dyDescent="0.2">
      <c r="A9651" t="s">
        <v>1146</v>
      </c>
    </row>
    <row r="9652" spans="1:1" x14ac:dyDescent="0.2">
      <c r="A9652" t="s">
        <v>1147</v>
      </c>
    </row>
    <row r="9653" spans="1:1" x14ac:dyDescent="0.2">
      <c r="A9653" t="s">
        <v>1148</v>
      </c>
    </row>
    <row r="9654" spans="1:1" x14ac:dyDescent="0.2">
      <c r="A9654" t="s">
        <v>1149</v>
      </c>
    </row>
    <row r="9655" spans="1:1" x14ac:dyDescent="0.2">
      <c r="A9655" t="s">
        <v>1150</v>
      </c>
    </row>
    <row r="9656" spans="1:1" x14ac:dyDescent="0.2">
      <c r="A9656" t="s">
        <v>1151</v>
      </c>
    </row>
    <row r="9657" spans="1:1" x14ac:dyDescent="0.2">
      <c r="A9657" t="s">
        <v>1152</v>
      </c>
    </row>
    <row r="9658" spans="1:1" x14ac:dyDescent="0.2">
      <c r="A9658" t="s">
        <v>1153</v>
      </c>
    </row>
    <row r="9659" spans="1:1" x14ac:dyDescent="0.2">
      <c r="A9659" t="s">
        <v>1154</v>
      </c>
    </row>
    <row r="9660" spans="1:1" x14ac:dyDescent="0.2">
      <c r="A9660" t="s">
        <v>1155</v>
      </c>
    </row>
    <row r="9661" spans="1:1" x14ac:dyDescent="0.2">
      <c r="A9661" t="s">
        <v>1156</v>
      </c>
    </row>
    <row r="9662" spans="1:1" x14ac:dyDescent="0.2">
      <c r="A9662" t="s">
        <v>1157</v>
      </c>
    </row>
    <row r="9663" spans="1:1" x14ac:dyDescent="0.2">
      <c r="A9663" t="s">
        <v>1158</v>
      </c>
    </row>
    <row r="9664" spans="1:1" x14ac:dyDescent="0.2">
      <c r="A9664" t="s">
        <v>1159</v>
      </c>
    </row>
    <row r="9665" spans="1:1" x14ac:dyDescent="0.2">
      <c r="A9665" t="s">
        <v>1160</v>
      </c>
    </row>
    <row r="9666" spans="1:1" x14ac:dyDescent="0.2">
      <c r="A9666" t="s">
        <v>1161</v>
      </c>
    </row>
    <row r="9667" spans="1:1" x14ac:dyDescent="0.2">
      <c r="A9667" t="s">
        <v>1162</v>
      </c>
    </row>
    <row r="9668" spans="1:1" x14ac:dyDescent="0.2">
      <c r="A9668" t="s">
        <v>1163</v>
      </c>
    </row>
    <row r="9669" spans="1:1" x14ac:dyDescent="0.2">
      <c r="A9669" t="s">
        <v>1164</v>
      </c>
    </row>
    <row r="9670" spans="1:1" x14ac:dyDescent="0.2">
      <c r="A9670" t="s">
        <v>1165</v>
      </c>
    </row>
    <row r="9671" spans="1:1" x14ac:dyDescent="0.2">
      <c r="A9671" t="s">
        <v>1166</v>
      </c>
    </row>
    <row r="9672" spans="1:1" x14ac:dyDescent="0.2">
      <c r="A9672" t="s">
        <v>1167</v>
      </c>
    </row>
    <row r="9673" spans="1:1" x14ac:dyDescent="0.2">
      <c r="A9673" t="s">
        <v>1168</v>
      </c>
    </row>
    <row r="9674" spans="1:1" x14ac:dyDescent="0.2">
      <c r="A9674" t="s">
        <v>1169</v>
      </c>
    </row>
    <row r="9675" spans="1:1" x14ac:dyDescent="0.2">
      <c r="A9675" t="s">
        <v>1170</v>
      </c>
    </row>
    <row r="9676" spans="1:1" x14ac:dyDescent="0.2">
      <c r="A9676" t="s">
        <v>1171</v>
      </c>
    </row>
    <row r="9677" spans="1:1" x14ac:dyDescent="0.2">
      <c r="A9677" t="s">
        <v>1172</v>
      </c>
    </row>
    <row r="9678" spans="1:1" x14ac:dyDescent="0.2">
      <c r="A9678" t="s">
        <v>1173</v>
      </c>
    </row>
    <row r="9679" spans="1:1" x14ac:dyDescent="0.2">
      <c r="A9679" t="s">
        <v>1174</v>
      </c>
    </row>
    <row r="9680" spans="1:1" x14ac:dyDescent="0.2">
      <c r="A9680" t="s">
        <v>1175</v>
      </c>
    </row>
    <row r="9681" spans="1:1" x14ac:dyDescent="0.2">
      <c r="A9681" t="s">
        <v>1176</v>
      </c>
    </row>
    <row r="9682" spans="1:1" x14ac:dyDescent="0.2">
      <c r="A9682" t="s">
        <v>1177</v>
      </c>
    </row>
    <row r="9683" spans="1:1" x14ac:dyDescent="0.2">
      <c r="A9683" t="s">
        <v>1178</v>
      </c>
    </row>
    <row r="9684" spans="1:1" x14ac:dyDescent="0.2">
      <c r="A9684" t="s">
        <v>1179</v>
      </c>
    </row>
    <row r="9685" spans="1:1" x14ac:dyDescent="0.2">
      <c r="A9685" t="s">
        <v>1180</v>
      </c>
    </row>
    <row r="9686" spans="1:1" x14ac:dyDescent="0.2">
      <c r="A9686" t="s">
        <v>1181</v>
      </c>
    </row>
    <row r="9687" spans="1:1" x14ac:dyDescent="0.2">
      <c r="A9687" t="s">
        <v>1182</v>
      </c>
    </row>
    <row r="9688" spans="1:1" x14ac:dyDescent="0.2">
      <c r="A9688" t="s">
        <v>1183</v>
      </c>
    </row>
    <row r="9689" spans="1:1" x14ac:dyDescent="0.2">
      <c r="A9689" t="s">
        <v>1184</v>
      </c>
    </row>
    <row r="9690" spans="1:1" x14ac:dyDescent="0.2">
      <c r="A9690" t="s">
        <v>1185</v>
      </c>
    </row>
    <row r="9691" spans="1:1" x14ac:dyDescent="0.2">
      <c r="A9691" t="s">
        <v>1186</v>
      </c>
    </row>
    <row r="9692" spans="1:1" x14ac:dyDescent="0.2">
      <c r="A9692" t="s">
        <v>1187</v>
      </c>
    </row>
    <row r="9693" spans="1:1" x14ac:dyDescent="0.2">
      <c r="A9693" t="s">
        <v>1188</v>
      </c>
    </row>
    <row r="9694" spans="1:1" x14ac:dyDescent="0.2">
      <c r="A9694" t="s">
        <v>1189</v>
      </c>
    </row>
    <row r="9695" spans="1:1" x14ac:dyDescent="0.2">
      <c r="A9695" t="s">
        <v>1190</v>
      </c>
    </row>
    <row r="9696" spans="1:1" x14ac:dyDescent="0.2">
      <c r="A9696" t="s">
        <v>1191</v>
      </c>
    </row>
    <row r="9697" spans="1:1" x14ac:dyDescent="0.2">
      <c r="A9697" t="s">
        <v>1192</v>
      </c>
    </row>
    <row r="9698" spans="1:1" x14ac:dyDescent="0.2">
      <c r="A9698" t="s">
        <v>1193</v>
      </c>
    </row>
    <row r="9699" spans="1:1" x14ac:dyDescent="0.2">
      <c r="A9699" t="s">
        <v>1194</v>
      </c>
    </row>
    <row r="9700" spans="1:1" x14ac:dyDescent="0.2">
      <c r="A9700" t="s">
        <v>1195</v>
      </c>
    </row>
    <row r="9701" spans="1:1" x14ac:dyDescent="0.2">
      <c r="A9701" t="s">
        <v>1196</v>
      </c>
    </row>
    <row r="9702" spans="1:1" x14ac:dyDescent="0.2">
      <c r="A9702" t="s">
        <v>1197</v>
      </c>
    </row>
    <row r="9703" spans="1:1" x14ac:dyDescent="0.2">
      <c r="A9703" t="s">
        <v>1198</v>
      </c>
    </row>
    <row r="9704" spans="1:1" x14ac:dyDescent="0.2">
      <c r="A9704" t="s">
        <v>1199</v>
      </c>
    </row>
    <row r="9705" spans="1:1" x14ac:dyDescent="0.2">
      <c r="A9705" t="s">
        <v>1200</v>
      </c>
    </row>
    <row r="9706" spans="1:1" x14ac:dyDescent="0.2">
      <c r="A9706" t="s">
        <v>1201</v>
      </c>
    </row>
    <row r="9707" spans="1:1" x14ac:dyDescent="0.2">
      <c r="A9707" t="s">
        <v>1202</v>
      </c>
    </row>
    <row r="9708" spans="1:1" x14ac:dyDescent="0.2">
      <c r="A9708" t="s">
        <v>1203</v>
      </c>
    </row>
    <row r="9709" spans="1:1" x14ac:dyDescent="0.2">
      <c r="A9709" t="s">
        <v>1204</v>
      </c>
    </row>
    <row r="9710" spans="1:1" x14ac:dyDescent="0.2">
      <c r="A9710" t="s">
        <v>1205</v>
      </c>
    </row>
    <row r="9711" spans="1:1" x14ac:dyDescent="0.2">
      <c r="A9711" t="s">
        <v>1206</v>
      </c>
    </row>
    <row r="9712" spans="1:1" x14ac:dyDescent="0.2">
      <c r="A9712" t="s">
        <v>1207</v>
      </c>
    </row>
    <row r="9713" spans="1:1" x14ac:dyDescent="0.2">
      <c r="A9713" t="s">
        <v>1208</v>
      </c>
    </row>
    <row r="9714" spans="1:1" x14ac:dyDescent="0.2">
      <c r="A9714" t="s">
        <v>1209</v>
      </c>
    </row>
    <row r="9715" spans="1:1" x14ac:dyDescent="0.2">
      <c r="A9715" t="s">
        <v>1210</v>
      </c>
    </row>
    <row r="9716" spans="1:1" x14ac:dyDescent="0.2">
      <c r="A9716" t="s">
        <v>1211</v>
      </c>
    </row>
    <row r="9717" spans="1:1" x14ac:dyDescent="0.2">
      <c r="A9717" t="s">
        <v>1212</v>
      </c>
    </row>
    <row r="9718" spans="1:1" x14ac:dyDescent="0.2">
      <c r="A9718" t="s">
        <v>1213</v>
      </c>
    </row>
    <row r="9719" spans="1:1" x14ac:dyDescent="0.2">
      <c r="A9719" t="s">
        <v>1214</v>
      </c>
    </row>
    <row r="9720" spans="1:1" x14ac:dyDescent="0.2">
      <c r="A9720" t="s">
        <v>1215</v>
      </c>
    </row>
    <row r="9721" spans="1:1" x14ac:dyDescent="0.2">
      <c r="A9721" t="s">
        <v>1216</v>
      </c>
    </row>
    <row r="9722" spans="1:1" x14ac:dyDescent="0.2">
      <c r="A9722" t="s">
        <v>1217</v>
      </c>
    </row>
    <row r="9723" spans="1:1" x14ac:dyDescent="0.2">
      <c r="A9723" t="s">
        <v>1218</v>
      </c>
    </row>
    <row r="9724" spans="1:1" x14ac:dyDescent="0.2">
      <c r="A9724" t="s">
        <v>1219</v>
      </c>
    </row>
    <row r="9725" spans="1:1" x14ac:dyDescent="0.2">
      <c r="A9725" t="s">
        <v>1220</v>
      </c>
    </row>
    <row r="9726" spans="1:1" x14ac:dyDescent="0.2">
      <c r="A9726" t="s">
        <v>1221</v>
      </c>
    </row>
    <row r="9727" spans="1:1" x14ac:dyDescent="0.2">
      <c r="A9727" t="s">
        <v>1222</v>
      </c>
    </row>
    <row r="9728" spans="1:1" x14ac:dyDescent="0.2">
      <c r="A9728" t="s">
        <v>1223</v>
      </c>
    </row>
    <row r="9729" spans="1:1" x14ac:dyDescent="0.2">
      <c r="A9729" t="s">
        <v>1224</v>
      </c>
    </row>
    <row r="9730" spans="1:1" x14ac:dyDescent="0.2">
      <c r="A9730" t="s">
        <v>1225</v>
      </c>
    </row>
    <row r="9731" spans="1:1" x14ac:dyDescent="0.2">
      <c r="A9731" t="s">
        <v>1226</v>
      </c>
    </row>
    <row r="9732" spans="1:1" x14ac:dyDescent="0.2">
      <c r="A9732" t="s">
        <v>1227</v>
      </c>
    </row>
    <row r="9733" spans="1:1" x14ac:dyDescent="0.2">
      <c r="A9733" t="s">
        <v>1228</v>
      </c>
    </row>
    <row r="9734" spans="1:1" x14ac:dyDescent="0.2">
      <c r="A9734" t="s">
        <v>1229</v>
      </c>
    </row>
    <row r="9735" spans="1:1" x14ac:dyDescent="0.2">
      <c r="A9735" t="s">
        <v>1230</v>
      </c>
    </row>
    <row r="9736" spans="1:1" x14ac:dyDescent="0.2">
      <c r="A9736" t="s">
        <v>1231</v>
      </c>
    </row>
    <row r="9737" spans="1:1" x14ac:dyDescent="0.2">
      <c r="A9737" t="s">
        <v>1232</v>
      </c>
    </row>
    <row r="9738" spans="1:1" x14ac:dyDescent="0.2">
      <c r="A9738" t="s">
        <v>1233</v>
      </c>
    </row>
    <row r="9739" spans="1:1" x14ac:dyDescent="0.2">
      <c r="A9739" t="s">
        <v>1234</v>
      </c>
    </row>
    <row r="9740" spans="1:1" x14ac:dyDescent="0.2">
      <c r="A9740" t="s">
        <v>1235</v>
      </c>
    </row>
    <row r="9741" spans="1:1" x14ac:dyDescent="0.2">
      <c r="A9741" t="s">
        <v>1236</v>
      </c>
    </row>
    <row r="9742" spans="1:1" x14ac:dyDescent="0.2">
      <c r="A9742" t="s">
        <v>1237</v>
      </c>
    </row>
    <row r="9743" spans="1:1" x14ac:dyDescent="0.2">
      <c r="A9743" t="s">
        <v>1238</v>
      </c>
    </row>
    <row r="9744" spans="1:1" x14ac:dyDescent="0.2">
      <c r="A9744" t="s">
        <v>1239</v>
      </c>
    </row>
    <row r="9745" spans="1:1" x14ac:dyDescent="0.2">
      <c r="A9745" t="s">
        <v>1240</v>
      </c>
    </row>
    <row r="9746" spans="1:1" x14ac:dyDescent="0.2">
      <c r="A9746" t="s">
        <v>1241</v>
      </c>
    </row>
    <row r="9747" spans="1:1" x14ac:dyDescent="0.2">
      <c r="A9747" t="s">
        <v>1242</v>
      </c>
    </row>
    <row r="9748" spans="1:1" x14ac:dyDescent="0.2">
      <c r="A9748" t="s">
        <v>1243</v>
      </c>
    </row>
    <row r="9749" spans="1:1" x14ac:dyDescent="0.2">
      <c r="A9749" t="s">
        <v>1244</v>
      </c>
    </row>
    <row r="9750" spans="1:1" x14ac:dyDescent="0.2">
      <c r="A9750" t="s">
        <v>1245</v>
      </c>
    </row>
    <row r="9751" spans="1:1" x14ac:dyDescent="0.2">
      <c r="A9751" t="s">
        <v>1246</v>
      </c>
    </row>
    <row r="9752" spans="1:1" x14ac:dyDescent="0.2">
      <c r="A9752" t="s">
        <v>1247</v>
      </c>
    </row>
    <row r="9753" spans="1:1" x14ac:dyDescent="0.2">
      <c r="A9753" t="s">
        <v>1248</v>
      </c>
    </row>
    <row r="9754" spans="1:1" x14ac:dyDescent="0.2">
      <c r="A9754" t="s">
        <v>1249</v>
      </c>
    </row>
    <row r="9755" spans="1:1" x14ac:dyDescent="0.2">
      <c r="A9755" t="s">
        <v>1250</v>
      </c>
    </row>
    <row r="9756" spans="1:1" x14ac:dyDescent="0.2">
      <c r="A9756" t="s">
        <v>1251</v>
      </c>
    </row>
    <row r="9757" spans="1:1" x14ac:dyDescent="0.2">
      <c r="A9757" t="s">
        <v>1252</v>
      </c>
    </row>
    <row r="9758" spans="1:1" x14ac:dyDescent="0.2">
      <c r="A9758" t="s">
        <v>1253</v>
      </c>
    </row>
    <row r="9759" spans="1:1" x14ac:dyDescent="0.2">
      <c r="A9759" t="s">
        <v>1254</v>
      </c>
    </row>
    <row r="9760" spans="1:1" x14ac:dyDescent="0.2">
      <c r="A9760" t="s">
        <v>1255</v>
      </c>
    </row>
    <row r="9761" spans="1:1" x14ac:dyDescent="0.2">
      <c r="A9761" t="s">
        <v>1256</v>
      </c>
    </row>
    <row r="9762" spans="1:1" x14ac:dyDescent="0.2">
      <c r="A9762" t="s">
        <v>1257</v>
      </c>
    </row>
    <row r="9763" spans="1:1" x14ac:dyDescent="0.2">
      <c r="A9763" t="s">
        <v>1258</v>
      </c>
    </row>
    <row r="9764" spans="1:1" x14ac:dyDescent="0.2">
      <c r="A9764" t="s">
        <v>1259</v>
      </c>
    </row>
    <row r="9765" spans="1:1" x14ac:dyDescent="0.2">
      <c r="A9765" t="s">
        <v>1260</v>
      </c>
    </row>
    <row r="9766" spans="1:1" x14ac:dyDescent="0.2">
      <c r="A9766" t="s">
        <v>1261</v>
      </c>
    </row>
    <row r="9767" spans="1:1" x14ac:dyDescent="0.2">
      <c r="A9767" t="s">
        <v>1262</v>
      </c>
    </row>
    <row r="9768" spans="1:1" x14ac:dyDescent="0.2">
      <c r="A9768" t="s">
        <v>1263</v>
      </c>
    </row>
    <row r="9769" spans="1:1" x14ac:dyDescent="0.2">
      <c r="A9769" t="s">
        <v>1264</v>
      </c>
    </row>
    <row r="9770" spans="1:1" x14ac:dyDescent="0.2">
      <c r="A9770" t="s">
        <v>1265</v>
      </c>
    </row>
    <row r="9771" spans="1:1" x14ac:dyDescent="0.2">
      <c r="A9771" t="s">
        <v>1266</v>
      </c>
    </row>
    <row r="9772" spans="1:1" x14ac:dyDescent="0.2">
      <c r="A9772" t="s">
        <v>1267</v>
      </c>
    </row>
    <row r="9773" spans="1:1" x14ac:dyDescent="0.2">
      <c r="A9773" t="s">
        <v>1268</v>
      </c>
    </row>
    <row r="9774" spans="1:1" x14ac:dyDescent="0.2">
      <c r="A9774" t="s">
        <v>1269</v>
      </c>
    </row>
    <row r="9775" spans="1:1" x14ac:dyDescent="0.2">
      <c r="A9775" t="s">
        <v>1270</v>
      </c>
    </row>
    <row r="9776" spans="1:1" x14ac:dyDescent="0.2">
      <c r="A9776" t="s">
        <v>1271</v>
      </c>
    </row>
    <row r="9777" spans="1:1" x14ac:dyDescent="0.2">
      <c r="A9777" t="s">
        <v>1272</v>
      </c>
    </row>
    <row r="9778" spans="1:1" x14ac:dyDescent="0.2">
      <c r="A9778" t="s">
        <v>1273</v>
      </c>
    </row>
    <row r="9779" spans="1:1" x14ac:dyDescent="0.2">
      <c r="A9779" t="s">
        <v>1274</v>
      </c>
    </row>
    <row r="9780" spans="1:1" x14ac:dyDescent="0.2">
      <c r="A9780" t="s">
        <v>1275</v>
      </c>
    </row>
    <row r="9781" spans="1:1" x14ac:dyDescent="0.2">
      <c r="A9781" t="s">
        <v>1276</v>
      </c>
    </row>
    <row r="9782" spans="1:1" x14ac:dyDescent="0.2">
      <c r="A9782" t="s">
        <v>1277</v>
      </c>
    </row>
    <row r="9783" spans="1:1" x14ac:dyDescent="0.2">
      <c r="A9783" t="s">
        <v>1278</v>
      </c>
    </row>
    <row r="9784" spans="1:1" x14ac:dyDescent="0.2">
      <c r="A9784" t="s">
        <v>1279</v>
      </c>
    </row>
    <row r="9785" spans="1:1" x14ac:dyDescent="0.2">
      <c r="A9785" t="s">
        <v>1280</v>
      </c>
    </row>
    <row r="9786" spans="1:1" x14ac:dyDescent="0.2">
      <c r="A9786" t="s">
        <v>1281</v>
      </c>
    </row>
    <row r="9787" spans="1:1" x14ac:dyDescent="0.2">
      <c r="A9787" t="s">
        <v>1282</v>
      </c>
    </row>
    <row r="9788" spans="1:1" x14ac:dyDescent="0.2">
      <c r="A9788" t="s">
        <v>1283</v>
      </c>
    </row>
    <row r="9789" spans="1:1" x14ac:dyDescent="0.2">
      <c r="A9789" t="s">
        <v>1284</v>
      </c>
    </row>
    <row r="9790" spans="1:1" x14ac:dyDescent="0.2">
      <c r="A9790" t="s">
        <v>1285</v>
      </c>
    </row>
    <row r="9791" spans="1:1" x14ac:dyDescent="0.2">
      <c r="A9791" t="s">
        <v>1286</v>
      </c>
    </row>
    <row r="9792" spans="1:1" x14ac:dyDescent="0.2">
      <c r="A9792" t="s">
        <v>3002</v>
      </c>
    </row>
    <row r="9793" spans="1:1" x14ac:dyDescent="0.2">
      <c r="A9793" t="s">
        <v>1053</v>
      </c>
    </row>
    <row r="9794" spans="1:1" x14ac:dyDescent="0.2">
      <c r="A9794" t="s">
        <v>3003</v>
      </c>
    </row>
    <row r="9795" spans="1:1" x14ac:dyDescent="0.2">
      <c r="A9795" t="s">
        <v>2768</v>
      </c>
    </row>
    <row r="9796" spans="1:1" x14ac:dyDescent="0.2">
      <c r="A9796" t="s">
        <v>2769</v>
      </c>
    </row>
    <row r="9797" spans="1:1" x14ac:dyDescent="0.2">
      <c r="A9797" t="s">
        <v>1054</v>
      </c>
    </row>
    <row r="9798" spans="1:1" x14ac:dyDescent="0.2">
      <c r="A9798" t="s">
        <v>1055</v>
      </c>
    </row>
    <row r="9799" spans="1:1" x14ac:dyDescent="0.2">
      <c r="A9799" t="s">
        <v>3004</v>
      </c>
    </row>
    <row r="9800" spans="1:1" x14ac:dyDescent="0.2">
      <c r="A9800" t="s">
        <v>1056</v>
      </c>
    </row>
    <row r="9801" spans="1:1" x14ac:dyDescent="0.2">
      <c r="A9801" t="s">
        <v>1057</v>
      </c>
    </row>
    <row r="9802" spans="1:1" x14ac:dyDescent="0.2">
      <c r="A9802" t="s">
        <v>1058</v>
      </c>
    </row>
    <row r="9803" spans="1:1" x14ac:dyDescent="0.2">
      <c r="A9803" t="s">
        <v>1059</v>
      </c>
    </row>
    <row r="9804" spans="1:1" x14ac:dyDescent="0.2">
      <c r="A9804" t="s">
        <v>1060</v>
      </c>
    </row>
    <row r="9805" spans="1:1" x14ac:dyDescent="0.2">
      <c r="A9805" t="s">
        <v>1061</v>
      </c>
    </row>
    <row r="9806" spans="1:1" x14ac:dyDescent="0.2">
      <c r="A9806" t="s">
        <v>1062</v>
      </c>
    </row>
    <row r="9807" spans="1:1" x14ac:dyDescent="0.2">
      <c r="A9807" t="s">
        <v>1063</v>
      </c>
    </row>
    <row r="9808" spans="1:1" x14ac:dyDescent="0.2">
      <c r="A9808" t="s">
        <v>1064</v>
      </c>
    </row>
    <row r="9809" spans="1:1" x14ac:dyDescent="0.2">
      <c r="A9809" t="s">
        <v>1065</v>
      </c>
    </row>
    <row r="9810" spans="1:1" x14ac:dyDescent="0.2">
      <c r="A9810" t="s">
        <v>1066</v>
      </c>
    </row>
    <row r="9811" spans="1:1" x14ac:dyDescent="0.2">
      <c r="A9811" t="s">
        <v>1067</v>
      </c>
    </row>
    <row r="9812" spans="1:1" x14ac:dyDescent="0.2">
      <c r="A9812" t="s">
        <v>1068</v>
      </c>
    </row>
    <row r="9813" spans="1:1" x14ac:dyDescent="0.2">
      <c r="A9813" t="s">
        <v>1069</v>
      </c>
    </row>
    <row r="9814" spans="1:1" x14ac:dyDescent="0.2">
      <c r="A9814" t="s">
        <v>1070</v>
      </c>
    </row>
    <row r="9815" spans="1:1" x14ac:dyDescent="0.2">
      <c r="A9815" t="s">
        <v>1071</v>
      </c>
    </row>
    <row r="9816" spans="1:1" x14ac:dyDescent="0.2">
      <c r="A9816" t="s">
        <v>1072</v>
      </c>
    </row>
    <row r="9817" spans="1:1" x14ac:dyDescent="0.2">
      <c r="A9817" t="s">
        <v>1073</v>
      </c>
    </row>
    <row r="9818" spans="1:1" x14ac:dyDescent="0.2">
      <c r="A9818" t="s">
        <v>1074</v>
      </c>
    </row>
    <row r="9819" spans="1:1" x14ac:dyDescent="0.2">
      <c r="A9819" t="s">
        <v>1075</v>
      </c>
    </row>
    <row r="9820" spans="1:1" x14ac:dyDescent="0.2">
      <c r="A9820" t="s">
        <v>1076</v>
      </c>
    </row>
    <row r="9821" spans="1:1" x14ac:dyDescent="0.2">
      <c r="A9821" t="s">
        <v>1077</v>
      </c>
    </row>
    <row r="9822" spans="1:1" x14ac:dyDescent="0.2">
      <c r="A9822" t="s">
        <v>1078</v>
      </c>
    </row>
    <row r="9823" spans="1:1" x14ac:dyDescent="0.2">
      <c r="A9823" t="s">
        <v>1079</v>
      </c>
    </row>
    <row r="9824" spans="1:1" x14ac:dyDescent="0.2">
      <c r="A9824" t="s">
        <v>1080</v>
      </c>
    </row>
    <row r="9825" spans="1:1" x14ac:dyDescent="0.2">
      <c r="A9825" t="s">
        <v>1081</v>
      </c>
    </row>
    <row r="9826" spans="1:1" x14ac:dyDescent="0.2">
      <c r="A9826" t="s">
        <v>1082</v>
      </c>
    </row>
    <row r="9827" spans="1:1" x14ac:dyDescent="0.2">
      <c r="A9827" t="s">
        <v>1083</v>
      </c>
    </row>
    <row r="9828" spans="1:1" x14ac:dyDescent="0.2">
      <c r="A9828" t="s">
        <v>2771</v>
      </c>
    </row>
    <row r="9829" spans="1:1" x14ac:dyDescent="0.2">
      <c r="A9829" t="s">
        <v>2772</v>
      </c>
    </row>
    <row r="9830" spans="1:1" x14ac:dyDescent="0.2">
      <c r="A9830" t="s">
        <v>2773</v>
      </c>
    </row>
    <row r="9831" spans="1:1" x14ac:dyDescent="0.2">
      <c r="A9831" t="s">
        <v>2774</v>
      </c>
    </row>
    <row r="9832" spans="1:1" x14ac:dyDescent="0.2">
      <c r="A9832" t="s">
        <v>2775</v>
      </c>
    </row>
    <row r="9833" spans="1:1" x14ac:dyDescent="0.2">
      <c r="A9833" t="s">
        <v>2776</v>
      </c>
    </row>
    <row r="9834" spans="1:1" x14ac:dyDescent="0.2">
      <c r="A9834" t="s">
        <v>1084</v>
      </c>
    </row>
    <row r="9835" spans="1:1" x14ac:dyDescent="0.2">
      <c r="A9835" t="s">
        <v>1085</v>
      </c>
    </row>
    <row r="9836" spans="1:1" x14ac:dyDescent="0.2">
      <c r="A9836" t="s">
        <v>1086</v>
      </c>
    </row>
    <row r="9837" spans="1:1" x14ac:dyDescent="0.2">
      <c r="A9837" t="s">
        <v>1087</v>
      </c>
    </row>
    <row r="9838" spans="1:1" x14ac:dyDescent="0.2">
      <c r="A9838" t="s">
        <v>1088</v>
      </c>
    </row>
    <row r="9839" spans="1:1" x14ac:dyDescent="0.2">
      <c r="A9839" t="s">
        <v>1089</v>
      </c>
    </row>
    <row r="9840" spans="1:1" x14ac:dyDescent="0.2">
      <c r="A9840" t="s">
        <v>1090</v>
      </c>
    </row>
    <row r="9841" spans="1:1" x14ac:dyDescent="0.2">
      <c r="A9841" t="s">
        <v>1091</v>
      </c>
    </row>
    <row r="9842" spans="1:1" x14ac:dyDescent="0.2">
      <c r="A9842" t="s">
        <v>1092</v>
      </c>
    </row>
    <row r="9843" spans="1:1" x14ac:dyDescent="0.2">
      <c r="A9843" t="s">
        <v>1093</v>
      </c>
    </row>
    <row r="9844" spans="1:1" x14ac:dyDescent="0.2">
      <c r="A9844" t="s">
        <v>1094</v>
      </c>
    </row>
    <row r="9845" spans="1:1" x14ac:dyDescent="0.2">
      <c r="A9845" t="s">
        <v>1095</v>
      </c>
    </row>
    <row r="9846" spans="1:1" x14ac:dyDescent="0.2">
      <c r="A9846" t="s">
        <v>1096</v>
      </c>
    </row>
    <row r="9847" spans="1:1" x14ac:dyDescent="0.2">
      <c r="A9847" t="s">
        <v>1097</v>
      </c>
    </row>
    <row r="9848" spans="1:1" x14ac:dyDescent="0.2">
      <c r="A9848" t="s">
        <v>1098</v>
      </c>
    </row>
    <row r="9849" spans="1:1" x14ac:dyDescent="0.2">
      <c r="A9849" t="s">
        <v>1099</v>
      </c>
    </row>
    <row r="9850" spans="1:1" x14ac:dyDescent="0.2">
      <c r="A9850" t="s">
        <v>1100</v>
      </c>
    </row>
    <row r="9851" spans="1:1" x14ac:dyDescent="0.2">
      <c r="A9851" t="s">
        <v>1101</v>
      </c>
    </row>
    <row r="9852" spans="1:1" x14ac:dyDescent="0.2">
      <c r="A9852" t="s">
        <v>1102</v>
      </c>
    </row>
    <row r="9853" spans="1:1" x14ac:dyDescent="0.2">
      <c r="A9853" t="s">
        <v>1103</v>
      </c>
    </row>
    <row r="9854" spans="1:1" x14ac:dyDescent="0.2">
      <c r="A9854" t="s">
        <v>1104</v>
      </c>
    </row>
    <row r="9855" spans="1:1" x14ac:dyDescent="0.2">
      <c r="A9855" t="s">
        <v>1105</v>
      </c>
    </row>
    <row r="9856" spans="1:1" x14ac:dyDescent="0.2">
      <c r="A9856" t="s">
        <v>1106</v>
      </c>
    </row>
    <row r="9857" spans="1:1" x14ac:dyDescent="0.2">
      <c r="A9857" t="s">
        <v>1107</v>
      </c>
    </row>
    <row r="9858" spans="1:1" x14ac:dyDescent="0.2">
      <c r="A9858" t="s">
        <v>1108</v>
      </c>
    </row>
    <row r="9859" spans="1:1" x14ac:dyDescent="0.2">
      <c r="A9859" t="s">
        <v>1109</v>
      </c>
    </row>
    <row r="9860" spans="1:1" x14ac:dyDescent="0.2">
      <c r="A9860" t="s">
        <v>1110</v>
      </c>
    </row>
    <row r="9861" spans="1:1" x14ac:dyDescent="0.2">
      <c r="A9861" t="s">
        <v>1111</v>
      </c>
    </row>
    <row r="9862" spans="1:1" x14ac:dyDescent="0.2">
      <c r="A9862" t="s">
        <v>1112</v>
      </c>
    </row>
    <row r="9863" spans="1:1" x14ac:dyDescent="0.2">
      <c r="A9863" t="s">
        <v>1113</v>
      </c>
    </row>
    <row r="9864" spans="1:1" x14ac:dyDescent="0.2">
      <c r="A9864" t="s">
        <v>1114</v>
      </c>
    </row>
    <row r="9865" spans="1:1" x14ac:dyDescent="0.2">
      <c r="A9865" t="s">
        <v>1115</v>
      </c>
    </row>
    <row r="9866" spans="1:1" x14ac:dyDescent="0.2">
      <c r="A9866" t="s">
        <v>1116</v>
      </c>
    </row>
    <row r="9867" spans="1:1" x14ac:dyDescent="0.2">
      <c r="A9867" t="s">
        <v>1117</v>
      </c>
    </row>
    <row r="9868" spans="1:1" x14ac:dyDescent="0.2">
      <c r="A9868" t="s">
        <v>1118</v>
      </c>
    </row>
    <row r="9869" spans="1:1" x14ac:dyDescent="0.2">
      <c r="A9869" t="s">
        <v>1119</v>
      </c>
    </row>
    <row r="9870" spans="1:1" x14ac:dyDescent="0.2">
      <c r="A9870" t="s">
        <v>1120</v>
      </c>
    </row>
    <row r="9871" spans="1:1" x14ac:dyDescent="0.2">
      <c r="A9871" t="s">
        <v>1288</v>
      </c>
    </row>
    <row r="9872" spans="1:1" x14ac:dyDescent="0.2">
      <c r="A9872" t="s">
        <v>3005</v>
      </c>
    </row>
    <row r="9873" spans="1:1" x14ac:dyDescent="0.2">
      <c r="A9873" t="s">
        <v>3006</v>
      </c>
    </row>
    <row r="9874" spans="1:1" x14ac:dyDescent="0.2">
      <c r="A9874" t="s">
        <v>3007</v>
      </c>
    </row>
    <row r="9875" spans="1:1" x14ac:dyDescent="0.2">
      <c r="A9875" t="s">
        <v>3008</v>
      </c>
    </row>
    <row r="9876" spans="1:1" x14ac:dyDescent="0.2">
      <c r="A9876" t="s">
        <v>1289</v>
      </c>
    </row>
    <row r="9877" spans="1:1" x14ac:dyDescent="0.2">
      <c r="A9877" t="s">
        <v>2781</v>
      </c>
    </row>
    <row r="9878" spans="1:1" x14ac:dyDescent="0.2">
      <c r="A9878" t="s">
        <v>3009</v>
      </c>
    </row>
    <row r="9879" spans="1:1" x14ac:dyDescent="0.2">
      <c r="A9879" t="s">
        <v>1122</v>
      </c>
    </row>
    <row r="9880" spans="1:1" x14ac:dyDescent="0.2">
      <c r="A9880" t="s">
        <v>1123</v>
      </c>
    </row>
    <row r="9881" spans="1:1" x14ac:dyDescent="0.2">
      <c r="A9881" t="s">
        <v>1124</v>
      </c>
    </row>
    <row r="9882" spans="1:1" x14ac:dyDescent="0.2">
      <c r="A9882" t="s">
        <v>1125</v>
      </c>
    </row>
    <row r="9883" spans="1:1" x14ac:dyDescent="0.2">
      <c r="A9883" t="s">
        <v>1126</v>
      </c>
    </row>
    <row r="9884" spans="1:1" x14ac:dyDescent="0.2">
      <c r="A9884" t="s">
        <v>1127</v>
      </c>
    </row>
    <row r="9885" spans="1:1" x14ac:dyDescent="0.2">
      <c r="A9885" t="s">
        <v>1128</v>
      </c>
    </row>
    <row r="9886" spans="1:1" x14ac:dyDescent="0.2">
      <c r="A9886" t="s">
        <v>1129</v>
      </c>
    </row>
    <row r="9887" spans="1:1" x14ac:dyDescent="0.2">
      <c r="A9887" t="s">
        <v>1130</v>
      </c>
    </row>
    <row r="9888" spans="1:1" x14ac:dyDescent="0.2">
      <c r="A9888" t="s">
        <v>1131</v>
      </c>
    </row>
    <row r="9889" spans="1:1" x14ac:dyDescent="0.2">
      <c r="A9889" t="s">
        <v>1132</v>
      </c>
    </row>
    <row r="9890" spans="1:1" x14ac:dyDescent="0.2">
      <c r="A9890" t="s">
        <v>1133</v>
      </c>
    </row>
    <row r="9891" spans="1:1" x14ac:dyDescent="0.2">
      <c r="A9891" t="s">
        <v>1134</v>
      </c>
    </row>
    <row r="9892" spans="1:1" x14ac:dyDescent="0.2">
      <c r="A9892" t="s">
        <v>1135</v>
      </c>
    </row>
    <row r="9893" spans="1:1" x14ac:dyDescent="0.2">
      <c r="A9893" t="s">
        <v>1136</v>
      </c>
    </row>
    <row r="9894" spans="1:1" x14ac:dyDescent="0.2">
      <c r="A9894" t="s">
        <v>1137</v>
      </c>
    </row>
    <row r="9895" spans="1:1" x14ac:dyDescent="0.2">
      <c r="A9895" t="s">
        <v>1138</v>
      </c>
    </row>
    <row r="9896" spans="1:1" x14ac:dyDescent="0.2">
      <c r="A9896" t="s">
        <v>1139</v>
      </c>
    </row>
    <row r="9897" spans="1:1" x14ac:dyDescent="0.2">
      <c r="A9897" t="s">
        <v>1140</v>
      </c>
    </row>
    <row r="9898" spans="1:1" x14ac:dyDescent="0.2">
      <c r="A9898" t="s">
        <v>1141</v>
      </c>
    </row>
    <row r="9899" spans="1:1" x14ac:dyDescent="0.2">
      <c r="A9899" t="s">
        <v>1142</v>
      </c>
    </row>
    <row r="9900" spans="1:1" x14ac:dyDescent="0.2">
      <c r="A9900" t="s">
        <v>1143</v>
      </c>
    </row>
    <row r="9901" spans="1:1" x14ac:dyDescent="0.2">
      <c r="A9901" t="s">
        <v>1144</v>
      </c>
    </row>
    <row r="9902" spans="1:1" x14ac:dyDescent="0.2">
      <c r="A9902" t="s">
        <v>1145</v>
      </c>
    </row>
    <row r="9903" spans="1:1" x14ac:dyDescent="0.2">
      <c r="A9903" t="s">
        <v>1146</v>
      </c>
    </row>
    <row r="9904" spans="1:1" x14ac:dyDescent="0.2">
      <c r="A9904" t="s">
        <v>1147</v>
      </c>
    </row>
    <row r="9905" spans="1:1" x14ac:dyDescent="0.2">
      <c r="A9905" t="s">
        <v>1148</v>
      </c>
    </row>
    <row r="9906" spans="1:1" x14ac:dyDescent="0.2">
      <c r="A9906" t="s">
        <v>1149</v>
      </c>
    </row>
    <row r="9907" spans="1:1" x14ac:dyDescent="0.2">
      <c r="A9907" t="s">
        <v>1150</v>
      </c>
    </row>
    <row r="9908" spans="1:1" x14ac:dyDescent="0.2">
      <c r="A9908" t="s">
        <v>1151</v>
      </c>
    </row>
    <row r="9909" spans="1:1" x14ac:dyDescent="0.2">
      <c r="A9909" t="s">
        <v>1152</v>
      </c>
    </row>
    <row r="9910" spans="1:1" x14ac:dyDescent="0.2">
      <c r="A9910" t="s">
        <v>1153</v>
      </c>
    </row>
    <row r="9911" spans="1:1" x14ac:dyDescent="0.2">
      <c r="A9911" t="s">
        <v>1154</v>
      </c>
    </row>
    <row r="9912" spans="1:1" x14ac:dyDescent="0.2">
      <c r="A9912" t="s">
        <v>1155</v>
      </c>
    </row>
    <row r="9913" spans="1:1" x14ac:dyDescent="0.2">
      <c r="A9913" t="s">
        <v>1156</v>
      </c>
    </row>
    <row r="9914" spans="1:1" x14ac:dyDescent="0.2">
      <c r="A9914" t="s">
        <v>1157</v>
      </c>
    </row>
    <row r="9915" spans="1:1" x14ac:dyDescent="0.2">
      <c r="A9915" t="s">
        <v>1158</v>
      </c>
    </row>
    <row r="9916" spans="1:1" x14ac:dyDescent="0.2">
      <c r="A9916" t="s">
        <v>1159</v>
      </c>
    </row>
    <row r="9917" spans="1:1" x14ac:dyDescent="0.2">
      <c r="A9917" t="s">
        <v>1160</v>
      </c>
    </row>
    <row r="9918" spans="1:1" x14ac:dyDescent="0.2">
      <c r="A9918" t="s">
        <v>1161</v>
      </c>
    </row>
    <row r="9919" spans="1:1" x14ac:dyDescent="0.2">
      <c r="A9919" t="s">
        <v>1162</v>
      </c>
    </row>
    <row r="9920" spans="1:1" x14ac:dyDescent="0.2">
      <c r="A9920" t="s">
        <v>1163</v>
      </c>
    </row>
    <row r="9921" spans="1:1" x14ac:dyDescent="0.2">
      <c r="A9921" t="s">
        <v>1164</v>
      </c>
    </row>
    <row r="9922" spans="1:1" x14ac:dyDescent="0.2">
      <c r="A9922" t="s">
        <v>1165</v>
      </c>
    </row>
    <row r="9923" spans="1:1" x14ac:dyDescent="0.2">
      <c r="A9923" t="s">
        <v>1166</v>
      </c>
    </row>
    <row r="9924" spans="1:1" x14ac:dyDescent="0.2">
      <c r="A9924" t="s">
        <v>1167</v>
      </c>
    </row>
    <row r="9925" spans="1:1" x14ac:dyDescent="0.2">
      <c r="A9925" t="s">
        <v>1168</v>
      </c>
    </row>
    <row r="9926" spans="1:1" x14ac:dyDescent="0.2">
      <c r="A9926" t="s">
        <v>1169</v>
      </c>
    </row>
    <row r="9927" spans="1:1" x14ac:dyDescent="0.2">
      <c r="A9927" t="s">
        <v>1170</v>
      </c>
    </row>
    <row r="9928" spans="1:1" x14ac:dyDescent="0.2">
      <c r="A9928" t="s">
        <v>1171</v>
      </c>
    </row>
    <row r="9929" spans="1:1" x14ac:dyDescent="0.2">
      <c r="A9929" t="s">
        <v>1172</v>
      </c>
    </row>
    <row r="9930" spans="1:1" x14ac:dyDescent="0.2">
      <c r="A9930" t="s">
        <v>1173</v>
      </c>
    </row>
    <row r="9931" spans="1:1" x14ac:dyDescent="0.2">
      <c r="A9931" t="s">
        <v>1174</v>
      </c>
    </row>
    <row r="9932" spans="1:1" x14ac:dyDescent="0.2">
      <c r="A9932" t="s">
        <v>1175</v>
      </c>
    </row>
    <row r="9933" spans="1:1" x14ac:dyDescent="0.2">
      <c r="A9933" t="s">
        <v>1176</v>
      </c>
    </row>
    <row r="9934" spans="1:1" x14ac:dyDescent="0.2">
      <c r="A9934" t="s">
        <v>1177</v>
      </c>
    </row>
    <row r="9935" spans="1:1" x14ac:dyDescent="0.2">
      <c r="A9935" t="s">
        <v>1178</v>
      </c>
    </row>
    <row r="9936" spans="1:1" x14ac:dyDescent="0.2">
      <c r="A9936" t="s">
        <v>1179</v>
      </c>
    </row>
    <row r="9937" spans="1:1" x14ac:dyDescent="0.2">
      <c r="A9937" t="s">
        <v>1180</v>
      </c>
    </row>
    <row r="9938" spans="1:1" x14ac:dyDescent="0.2">
      <c r="A9938" t="s">
        <v>1181</v>
      </c>
    </row>
    <row r="9939" spans="1:1" x14ac:dyDescent="0.2">
      <c r="A9939" t="s">
        <v>1182</v>
      </c>
    </row>
    <row r="9940" spans="1:1" x14ac:dyDescent="0.2">
      <c r="A9940" t="s">
        <v>1183</v>
      </c>
    </row>
    <row r="9941" spans="1:1" x14ac:dyDescent="0.2">
      <c r="A9941" t="s">
        <v>1184</v>
      </c>
    </row>
    <row r="9942" spans="1:1" x14ac:dyDescent="0.2">
      <c r="A9942" t="s">
        <v>1185</v>
      </c>
    </row>
    <row r="9943" spans="1:1" x14ac:dyDescent="0.2">
      <c r="A9943" t="s">
        <v>1186</v>
      </c>
    </row>
    <row r="9944" spans="1:1" x14ac:dyDescent="0.2">
      <c r="A9944" t="s">
        <v>1187</v>
      </c>
    </row>
    <row r="9945" spans="1:1" x14ac:dyDescent="0.2">
      <c r="A9945" t="s">
        <v>1188</v>
      </c>
    </row>
    <row r="9946" spans="1:1" x14ac:dyDescent="0.2">
      <c r="A9946" t="s">
        <v>1189</v>
      </c>
    </row>
    <row r="9947" spans="1:1" x14ac:dyDescent="0.2">
      <c r="A9947" t="s">
        <v>1190</v>
      </c>
    </row>
    <row r="9948" spans="1:1" x14ac:dyDescent="0.2">
      <c r="A9948" t="s">
        <v>1191</v>
      </c>
    </row>
    <row r="9949" spans="1:1" x14ac:dyDescent="0.2">
      <c r="A9949" t="s">
        <v>1192</v>
      </c>
    </row>
    <row r="9950" spans="1:1" x14ac:dyDescent="0.2">
      <c r="A9950" t="s">
        <v>1193</v>
      </c>
    </row>
    <row r="9951" spans="1:1" x14ac:dyDescent="0.2">
      <c r="A9951" t="s">
        <v>1194</v>
      </c>
    </row>
    <row r="9952" spans="1:1" x14ac:dyDescent="0.2">
      <c r="A9952" t="s">
        <v>1195</v>
      </c>
    </row>
    <row r="9953" spans="1:1" x14ac:dyDescent="0.2">
      <c r="A9953" t="s">
        <v>1196</v>
      </c>
    </row>
    <row r="9954" spans="1:1" x14ac:dyDescent="0.2">
      <c r="A9954" t="s">
        <v>1197</v>
      </c>
    </row>
    <row r="9955" spans="1:1" x14ac:dyDescent="0.2">
      <c r="A9955" t="s">
        <v>1198</v>
      </c>
    </row>
    <row r="9956" spans="1:1" x14ac:dyDescent="0.2">
      <c r="A9956" t="s">
        <v>1199</v>
      </c>
    </row>
    <row r="9957" spans="1:1" x14ac:dyDescent="0.2">
      <c r="A9957" t="s">
        <v>1200</v>
      </c>
    </row>
    <row r="9958" spans="1:1" x14ac:dyDescent="0.2">
      <c r="A9958" t="s">
        <v>1201</v>
      </c>
    </row>
    <row r="9959" spans="1:1" x14ac:dyDescent="0.2">
      <c r="A9959" t="s">
        <v>1202</v>
      </c>
    </row>
    <row r="9960" spans="1:1" x14ac:dyDescent="0.2">
      <c r="A9960" t="s">
        <v>1203</v>
      </c>
    </row>
    <row r="9961" spans="1:1" x14ac:dyDescent="0.2">
      <c r="A9961" t="s">
        <v>1204</v>
      </c>
    </row>
    <row r="9962" spans="1:1" x14ac:dyDescent="0.2">
      <c r="A9962" t="s">
        <v>1205</v>
      </c>
    </row>
    <row r="9963" spans="1:1" x14ac:dyDescent="0.2">
      <c r="A9963" t="s">
        <v>1206</v>
      </c>
    </row>
    <row r="9964" spans="1:1" x14ac:dyDescent="0.2">
      <c r="A9964" t="s">
        <v>1207</v>
      </c>
    </row>
    <row r="9965" spans="1:1" x14ac:dyDescent="0.2">
      <c r="A9965" t="s">
        <v>1208</v>
      </c>
    </row>
    <row r="9966" spans="1:1" x14ac:dyDescent="0.2">
      <c r="A9966" t="s">
        <v>1209</v>
      </c>
    </row>
    <row r="9967" spans="1:1" x14ac:dyDescent="0.2">
      <c r="A9967" t="s">
        <v>1210</v>
      </c>
    </row>
    <row r="9968" spans="1:1" x14ac:dyDescent="0.2">
      <c r="A9968" t="s">
        <v>1211</v>
      </c>
    </row>
    <row r="9969" spans="1:1" x14ac:dyDescent="0.2">
      <c r="A9969" t="s">
        <v>1212</v>
      </c>
    </row>
    <row r="9970" spans="1:1" x14ac:dyDescent="0.2">
      <c r="A9970" t="s">
        <v>1213</v>
      </c>
    </row>
    <row r="9971" spans="1:1" x14ac:dyDescent="0.2">
      <c r="A9971" t="s">
        <v>1214</v>
      </c>
    </row>
    <row r="9972" spans="1:1" x14ac:dyDescent="0.2">
      <c r="A9972" t="s">
        <v>1215</v>
      </c>
    </row>
    <row r="9973" spans="1:1" x14ac:dyDescent="0.2">
      <c r="A9973" t="s">
        <v>1216</v>
      </c>
    </row>
    <row r="9974" spans="1:1" x14ac:dyDescent="0.2">
      <c r="A9974" t="s">
        <v>1217</v>
      </c>
    </row>
    <row r="9975" spans="1:1" x14ac:dyDescent="0.2">
      <c r="A9975" t="s">
        <v>1218</v>
      </c>
    </row>
    <row r="9976" spans="1:1" x14ac:dyDescent="0.2">
      <c r="A9976" t="s">
        <v>1219</v>
      </c>
    </row>
    <row r="9977" spans="1:1" x14ac:dyDescent="0.2">
      <c r="A9977" t="s">
        <v>1220</v>
      </c>
    </row>
    <row r="9978" spans="1:1" x14ac:dyDescent="0.2">
      <c r="A9978" t="s">
        <v>1221</v>
      </c>
    </row>
    <row r="9979" spans="1:1" x14ac:dyDescent="0.2">
      <c r="A9979" t="s">
        <v>1222</v>
      </c>
    </row>
    <row r="9980" spans="1:1" x14ac:dyDescent="0.2">
      <c r="A9980" t="s">
        <v>1223</v>
      </c>
    </row>
    <row r="9981" spans="1:1" x14ac:dyDescent="0.2">
      <c r="A9981" t="s">
        <v>1224</v>
      </c>
    </row>
    <row r="9982" spans="1:1" x14ac:dyDescent="0.2">
      <c r="A9982" t="s">
        <v>1225</v>
      </c>
    </row>
    <row r="9983" spans="1:1" x14ac:dyDescent="0.2">
      <c r="A9983" t="s">
        <v>1226</v>
      </c>
    </row>
    <row r="9984" spans="1:1" x14ac:dyDescent="0.2">
      <c r="A9984" t="s">
        <v>1227</v>
      </c>
    </row>
    <row r="9985" spans="1:1" x14ac:dyDescent="0.2">
      <c r="A9985" t="s">
        <v>1228</v>
      </c>
    </row>
    <row r="9986" spans="1:1" x14ac:dyDescent="0.2">
      <c r="A9986" t="s">
        <v>1229</v>
      </c>
    </row>
    <row r="9987" spans="1:1" x14ac:dyDescent="0.2">
      <c r="A9987" t="s">
        <v>1230</v>
      </c>
    </row>
    <row r="9988" spans="1:1" x14ac:dyDescent="0.2">
      <c r="A9988" t="s">
        <v>1231</v>
      </c>
    </row>
    <row r="9989" spans="1:1" x14ac:dyDescent="0.2">
      <c r="A9989" t="s">
        <v>1232</v>
      </c>
    </row>
    <row r="9990" spans="1:1" x14ac:dyDescent="0.2">
      <c r="A9990" t="s">
        <v>1233</v>
      </c>
    </row>
    <row r="9991" spans="1:1" x14ac:dyDescent="0.2">
      <c r="A9991" t="s">
        <v>1234</v>
      </c>
    </row>
    <row r="9992" spans="1:1" x14ac:dyDescent="0.2">
      <c r="A9992" t="s">
        <v>1235</v>
      </c>
    </row>
    <row r="9993" spans="1:1" x14ac:dyDescent="0.2">
      <c r="A9993" t="s">
        <v>1236</v>
      </c>
    </row>
    <row r="9994" spans="1:1" x14ac:dyDescent="0.2">
      <c r="A9994" t="s">
        <v>1237</v>
      </c>
    </row>
    <row r="9995" spans="1:1" x14ac:dyDescent="0.2">
      <c r="A9995" t="s">
        <v>1238</v>
      </c>
    </row>
    <row r="9996" spans="1:1" x14ac:dyDescent="0.2">
      <c r="A9996" t="s">
        <v>1239</v>
      </c>
    </row>
    <row r="9997" spans="1:1" x14ac:dyDescent="0.2">
      <c r="A9997" t="s">
        <v>1240</v>
      </c>
    </row>
    <row r="9998" spans="1:1" x14ac:dyDescent="0.2">
      <c r="A9998" t="s">
        <v>1241</v>
      </c>
    </row>
    <row r="9999" spans="1:1" x14ac:dyDescent="0.2">
      <c r="A9999" t="s">
        <v>1242</v>
      </c>
    </row>
    <row r="10000" spans="1:1" x14ac:dyDescent="0.2">
      <c r="A10000" t="s">
        <v>1243</v>
      </c>
    </row>
    <row r="10001" spans="1:1" x14ac:dyDescent="0.2">
      <c r="A10001" t="s">
        <v>1244</v>
      </c>
    </row>
    <row r="10002" spans="1:1" x14ac:dyDescent="0.2">
      <c r="A10002" t="s">
        <v>1245</v>
      </c>
    </row>
    <row r="10003" spans="1:1" x14ac:dyDescent="0.2">
      <c r="A10003" t="s">
        <v>1246</v>
      </c>
    </row>
    <row r="10004" spans="1:1" x14ac:dyDescent="0.2">
      <c r="A10004" t="s">
        <v>1247</v>
      </c>
    </row>
    <row r="10005" spans="1:1" x14ac:dyDescent="0.2">
      <c r="A10005" t="s">
        <v>1248</v>
      </c>
    </row>
    <row r="10006" spans="1:1" x14ac:dyDescent="0.2">
      <c r="A10006" t="s">
        <v>1249</v>
      </c>
    </row>
    <row r="10007" spans="1:1" x14ac:dyDescent="0.2">
      <c r="A10007" t="s">
        <v>1250</v>
      </c>
    </row>
    <row r="10008" spans="1:1" x14ac:dyDescent="0.2">
      <c r="A10008" t="s">
        <v>1251</v>
      </c>
    </row>
    <row r="10009" spans="1:1" x14ac:dyDescent="0.2">
      <c r="A10009" t="s">
        <v>1252</v>
      </c>
    </row>
    <row r="10010" spans="1:1" x14ac:dyDescent="0.2">
      <c r="A10010" t="s">
        <v>1253</v>
      </c>
    </row>
    <row r="10011" spans="1:1" x14ac:dyDescent="0.2">
      <c r="A10011" t="s">
        <v>1254</v>
      </c>
    </row>
    <row r="10012" spans="1:1" x14ac:dyDescent="0.2">
      <c r="A10012" t="s">
        <v>1255</v>
      </c>
    </row>
    <row r="10013" spans="1:1" x14ac:dyDescent="0.2">
      <c r="A10013" t="s">
        <v>1256</v>
      </c>
    </row>
    <row r="10014" spans="1:1" x14ac:dyDescent="0.2">
      <c r="A10014" t="s">
        <v>1257</v>
      </c>
    </row>
    <row r="10015" spans="1:1" x14ac:dyDescent="0.2">
      <c r="A10015" t="s">
        <v>1258</v>
      </c>
    </row>
    <row r="10016" spans="1:1" x14ac:dyDescent="0.2">
      <c r="A10016" t="s">
        <v>1259</v>
      </c>
    </row>
    <row r="10017" spans="1:1" x14ac:dyDescent="0.2">
      <c r="A10017" t="s">
        <v>1260</v>
      </c>
    </row>
    <row r="10018" spans="1:1" x14ac:dyDescent="0.2">
      <c r="A10018" t="s">
        <v>1261</v>
      </c>
    </row>
    <row r="10019" spans="1:1" x14ac:dyDescent="0.2">
      <c r="A10019" t="s">
        <v>1262</v>
      </c>
    </row>
    <row r="10020" spans="1:1" x14ac:dyDescent="0.2">
      <c r="A10020" t="s">
        <v>1263</v>
      </c>
    </row>
    <row r="10021" spans="1:1" x14ac:dyDescent="0.2">
      <c r="A10021" t="s">
        <v>1264</v>
      </c>
    </row>
    <row r="10022" spans="1:1" x14ac:dyDescent="0.2">
      <c r="A10022" t="s">
        <v>1265</v>
      </c>
    </row>
    <row r="10023" spans="1:1" x14ac:dyDescent="0.2">
      <c r="A10023" t="s">
        <v>1266</v>
      </c>
    </row>
    <row r="10024" spans="1:1" x14ac:dyDescent="0.2">
      <c r="A10024" t="s">
        <v>1267</v>
      </c>
    </row>
    <row r="10025" spans="1:1" x14ac:dyDescent="0.2">
      <c r="A10025" t="s">
        <v>1268</v>
      </c>
    </row>
    <row r="10026" spans="1:1" x14ac:dyDescent="0.2">
      <c r="A10026" t="s">
        <v>1269</v>
      </c>
    </row>
    <row r="10027" spans="1:1" x14ac:dyDescent="0.2">
      <c r="A10027" t="s">
        <v>1270</v>
      </c>
    </row>
    <row r="10028" spans="1:1" x14ac:dyDescent="0.2">
      <c r="A10028" t="s">
        <v>1271</v>
      </c>
    </row>
    <row r="10029" spans="1:1" x14ac:dyDescent="0.2">
      <c r="A10029" t="s">
        <v>1272</v>
      </c>
    </row>
    <row r="10030" spans="1:1" x14ac:dyDescent="0.2">
      <c r="A10030" t="s">
        <v>1273</v>
      </c>
    </row>
    <row r="10031" spans="1:1" x14ac:dyDescent="0.2">
      <c r="A10031" t="s">
        <v>1274</v>
      </c>
    </row>
    <row r="10032" spans="1:1" x14ac:dyDescent="0.2">
      <c r="A10032" t="s">
        <v>1275</v>
      </c>
    </row>
    <row r="10033" spans="1:1" x14ac:dyDescent="0.2">
      <c r="A10033" t="s">
        <v>1276</v>
      </c>
    </row>
    <row r="10034" spans="1:1" x14ac:dyDescent="0.2">
      <c r="A10034" t="s">
        <v>1277</v>
      </c>
    </row>
    <row r="10035" spans="1:1" x14ac:dyDescent="0.2">
      <c r="A10035" t="s">
        <v>1278</v>
      </c>
    </row>
    <row r="10036" spans="1:1" x14ac:dyDescent="0.2">
      <c r="A10036" t="s">
        <v>1279</v>
      </c>
    </row>
    <row r="10037" spans="1:1" x14ac:dyDescent="0.2">
      <c r="A10037" t="s">
        <v>1280</v>
      </c>
    </row>
    <row r="10038" spans="1:1" x14ac:dyDescent="0.2">
      <c r="A10038" t="s">
        <v>1281</v>
      </c>
    </row>
    <row r="10039" spans="1:1" x14ac:dyDescent="0.2">
      <c r="A10039" t="s">
        <v>1282</v>
      </c>
    </row>
    <row r="10040" spans="1:1" x14ac:dyDescent="0.2">
      <c r="A10040" t="s">
        <v>1283</v>
      </c>
    </row>
    <row r="10041" spans="1:1" x14ac:dyDescent="0.2">
      <c r="A10041" t="s">
        <v>1284</v>
      </c>
    </row>
    <row r="10042" spans="1:1" x14ac:dyDescent="0.2">
      <c r="A10042" t="s">
        <v>1285</v>
      </c>
    </row>
    <row r="10043" spans="1:1" x14ac:dyDescent="0.2">
      <c r="A10043" t="s">
        <v>1286</v>
      </c>
    </row>
    <row r="10044" spans="1:1" x14ac:dyDescent="0.2">
      <c r="A10044" t="s">
        <v>3010</v>
      </c>
    </row>
    <row r="10045" spans="1:1" x14ac:dyDescent="0.2">
      <c r="A10045" t="s">
        <v>1053</v>
      </c>
    </row>
    <row r="10046" spans="1:1" x14ac:dyDescent="0.2">
      <c r="A10046" t="s">
        <v>3011</v>
      </c>
    </row>
    <row r="10047" spans="1:1" x14ac:dyDescent="0.2">
      <c r="A10047" t="s">
        <v>2768</v>
      </c>
    </row>
    <row r="10048" spans="1:1" x14ac:dyDescent="0.2">
      <c r="A10048" t="s">
        <v>2769</v>
      </c>
    </row>
    <row r="10049" spans="1:1" x14ac:dyDescent="0.2">
      <c r="A10049" t="s">
        <v>1054</v>
      </c>
    </row>
    <row r="10050" spans="1:1" x14ac:dyDescent="0.2">
      <c r="A10050" t="s">
        <v>1055</v>
      </c>
    </row>
    <row r="10051" spans="1:1" x14ac:dyDescent="0.2">
      <c r="A10051" t="s">
        <v>3012</v>
      </c>
    </row>
    <row r="10052" spans="1:1" x14ac:dyDescent="0.2">
      <c r="A10052" t="s">
        <v>1056</v>
      </c>
    </row>
    <row r="10053" spans="1:1" x14ac:dyDescent="0.2">
      <c r="A10053" t="s">
        <v>1057</v>
      </c>
    </row>
    <row r="10054" spans="1:1" x14ac:dyDescent="0.2">
      <c r="A10054" t="s">
        <v>1058</v>
      </c>
    </row>
    <row r="10055" spans="1:1" x14ac:dyDescent="0.2">
      <c r="A10055" t="s">
        <v>1059</v>
      </c>
    </row>
    <row r="10056" spans="1:1" x14ac:dyDescent="0.2">
      <c r="A10056" t="s">
        <v>1060</v>
      </c>
    </row>
    <row r="10057" spans="1:1" x14ac:dyDescent="0.2">
      <c r="A10057" t="s">
        <v>1061</v>
      </c>
    </row>
    <row r="10058" spans="1:1" x14ac:dyDescent="0.2">
      <c r="A10058" t="s">
        <v>1062</v>
      </c>
    </row>
    <row r="10059" spans="1:1" x14ac:dyDescent="0.2">
      <c r="A10059" t="s">
        <v>1063</v>
      </c>
    </row>
    <row r="10060" spans="1:1" x14ac:dyDescent="0.2">
      <c r="A10060" t="s">
        <v>1064</v>
      </c>
    </row>
    <row r="10061" spans="1:1" x14ac:dyDescent="0.2">
      <c r="A10061" t="s">
        <v>1065</v>
      </c>
    </row>
    <row r="10062" spans="1:1" x14ac:dyDescent="0.2">
      <c r="A10062" t="s">
        <v>1066</v>
      </c>
    </row>
    <row r="10063" spans="1:1" x14ac:dyDescent="0.2">
      <c r="A10063" t="s">
        <v>1067</v>
      </c>
    </row>
    <row r="10064" spans="1:1" x14ac:dyDescent="0.2">
      <c r="A10064" t="s">
        <v>1068</v>
      </c>
    </row>
    <row r="10065" spans="1:1" x14ac:dyDescent="0.2">
      <c r="A10065" t="s">
        <v>1069</v>
      </c>
    </row>
    <row r="10066" spans="1:1" x14ac:dyDescent="0.2">
      <c r="A10066" t="s">
        <v>1070</v>
      </c>
    </row>
    <row r="10067" spans="1:1" x14ac:dyDescent="0.2">
      <c r="A10067" t="s">
        <v>1071</v>
      </c>
    </row>
    <row r="10068" spans="1:1" x14ac:dyDescent="0.2">
      <c r="A10068" t="s">
        <v>1072</v>
      </c>
    </row>
    <row r="10069" spans="1:1" x14ac:dyDescent="0.2">
      <c r="A10069" t="s">
        <v>1073</v>
      </c>
    </row>
    <row r="10070" spans="1:1" x14ac:dyDescent="0.2">
      <c r="A10070" t="s">
        <v>1074</v>
      </c>
    </row>
    <row r="10071" spans="1:1" x14ac:dyDescent="0.2">
      <c r="A10071" t="s">
        <v>1075</v>
      </c>
    </row>
    <row r="10072" spans="1:1" x14ac:dyDescent="0.2">
      <c r="A10072" t="s">
        <v>1076</v>
      </c>
    </row>
    <row r="10073" spans="1:1" x14ac:dyDescent="0.2">
      <c r="A10073" t="s">
        <v>1077</v>
      </c>
    </row>
    <row r="10074" spans="1:1" x14ac:dyDescent="0.2">
      <c r="A10074" t="s">
        <v>1078</v>
      </c>
    </row>
    <row r="10075" spans="1:1" x14ac:dyDescent="0.2">
      <c r="A10075" t="s">
        <v>1079</v>
      </c>
    </row>
    <row r="10076" spans="1:1" x14ac:dyDescent="0.2">
      <c r="A10076" t="s">
        <v>1080</v>
      </c>
    </row>
    <row r="10077" spans="1:1" x14ac:dyDescent="0.2">
      <c r="A10077" t="s">
        <v>1081</v>
      </c>
    </row>
    <row r="10078" spans="1:1" x14ac:dyDescent="0.2">
      <c r="A10078" t="s">
        <v>1082</v>
      </c>
    </row>
    <row r="10079" spans="1:1" x14ac:dyDescent="0.2">
      <c r="A10079" t="s">
        <v>1083</v>
      </c>
    </row>
    <row r="10080" spans="1:1" x14ac:dyDescent="0.2">
      <c r="A10080" t="s">
        <v>2771</v>
      </c>
    </row>
    <row r="10081" spans="1:1" x14ac:dyDescent="0.2">
      <c r="A10081" t="s">
        <v>2772</v>
      </c>
    </row>
    <row r="10082" spans="1:1" x14ac:dyDescent="0.2">
      <c r="A10082" t="s">
        <v>2773</v>
      </c>
    </row>
    <row r="10083" spans="1:1" x14ac:dyDescent="0.2">
      <c r="A10083" t="s">
        <v>2774</v>
      </c>
    </row>
    <row r="10084" spans="1:1" x14ac:dyDescent="0.2">
      <c r="A10084" t="s">
        <v>2775</v>
      </c>
    </row>
    <row r="10085" spans="1:1" x14ac:dyDescent="0.2">
      <c r="A10085" t="s">
        <v>2776</v>
      </c>
    </row>
    <row r="10086" spans="1:1" x14ac:dyDescent="0.2">
      <c r="A10086" t="s">
        <v>1084</v>
      </c>
    </row>
    <row r="10087" spans="1:1" x14ac:dyDescent="0.2">
      <c r="A10087" t="s">
        <v>1085</v>
      </c>
    </row>
    <row r="10088" spans="1:1" x14ac:dyDescent="0.2">
      <c r="A10088" t="s">
        <v>1086</v>
      </c>
    </row>
    <row r="10089" spans="1:1" x14ac:dyDescent="0.2">
      <c r="A10089" t="s">
        <v>1087</v>
      </c>
    </row>
    <row r="10090" spans="1:1" x14ac:dyDescent="0.2">
      <c r="A10090" t="s">
        <v>1088</v>
      </c>
    </row>
    <row r="10091" spans="1:1" x14ac:dyDescent="0.2">
      <c r="A10091" t="s">
        <v>1089</v>
      </c>
    </row>
    <row r="10092" spans="1:1" x14ac:dyDescent="0.2">
      <c r="A10092" t="s">
        <v>1090</v>
      </c>
    </row>
    <row r="10093" spans="1:1" x14ac:dyDescent="0.2">
      <c r="A10093" t="s">
        <v>1091</v>
      </c>
    </row>
    <row r="10094" spans="1:1" x14ac:dyDescent="0.2">
      <c r="A10094" t="s">
        <v>1092</v>
      </c>
    </row>
    <row r="10095" spans="1:1" x14ac:dyDescent="0.2">
      <c r="A10095" t="s">
        <v>1093</v>
      </c>
    </row>
    <row r="10096" spans="1:1" x14ac:dyDescent="0.2">
      <c r="A10096" t="s">
        <v>1094</v>
      </c>
    </row>
    <row r="10097" spans="1:1" x14ac:dyDescent="0.2">
      <c r="A10097" t="s">
        <v>1095</v>
      </c>
    </row>
    <row r="10098" spans="1:1" x14ac:dyDescent="0.2">
      <c r="A10098" t="s">
        <v>1096</v>
      </c>
    </row>
    <row r="10099" spans="1:1" x14ac:dyDescent="0.2">
      <c r="A10099" t="s">
        <v>1097</v>
      </c>
    </row>
    <row r="10100" spans="1:1" x14ac:dyDescent="0.2">
      <c r="A10100" t="s">
        <v>1098</v>
      </c>
    </row>
    <row r="10101" spans="1:1" x14ac:dyDescent="0.2">
      <c r="A10101" t="s">
        <v>1099</v>
      </c>
    </row>
    <row r="10102" spans="1:1" x14ac:dyDescent="0.2">
      <c r="A10102" t="s">
        <v>1100</v>
      </c>
    </row>
    <row r="10103" spans="1:1" x14ac:dyDescent="0.2">
      <c r="A10103" t="s">
        <v>1101</v>
      </c>
    </row>
    <row r="10104" spans="1:1" x14ac:dyDescent="0.2">
      <c r="A10104" t="s">
        <v>1102</v>
      </c>
    </row>
    <row r="10105" spans="1:1" x14ac:dyDescent="0.2">
      <c r="A10105" t="s">
        <v>1103</v>
      </c>
    </row>
    <row r="10106" spans="1:1" x14ac:dyDescent="0.2">
      <c r="A10106" t="s">
        <v>1104</v>
      </c>
    </row>
    <row r="10107" spans="1:1" x14ac:dyDescent="0.2">
      <c r="A10107" t="s">
        <v>1105</v>
      </c>
    </row>
    <row r="10108" spans="1:1" x14ac:dyDescent="0.2">
      <c r="A10108" t="s">
        <v>1106</v>
      </c>
    </row>
    <row r="10109" spans="1:1" x14ac:dyDescent="0.2">
      <c r="A10109" t="s">
        <v>1107</v>
      </c>
    </row>
    <row r="10110" spans="1:1" x14ac:dyDescent="0.2">
      <c r="A10110" t="s">
        <v>1108</v>
      </c>
    </row>
    <row r="10111" spans="1:1" x14ac:dyDescent="0.2">
      <c r="A10111" t="s">
        <v>1109</v>
      </c>
    </row>
    <row r="10112" spans="1:1" x14ac:dyDescent="0.2">
      <c r="A10112" t="s">
        <v>1110</v>
      </c>
    </row>
    <row r="10113" spans="1:1" x14ac:dyDescent="0.2">
      <c r="A10113" t="s">
        <v>1111</v>
      </c>
    </row>
    <row r="10114" spans="1:1" x14ac:dyDescent="0.2">
      <c r="A10114" t="s">
        <v>1112</v>
      </c>
    </row>
    <row r="10115" spans="1:1" x14ac:dyDescent="0.2">
      <c r="A10115" t="s">
        <v>1113</v>
      </c>
    </row>
    <row r="10116" spans="1:1" x14ac:dyDescent="0.2">
      <c r="A10116" t="s">
        <v>1114</v>
      </c>
    </row>
    <row r="10117" spans="1:1" x14ac:dyDescent="0.2">
      <c r="A10117" t="s">
        <v>1115</v>
      </c>
    </row>
    <row r="10118" spans="1:1" x14ac:dyDescent="0.2">
      <c r="A10118" t="s">
        <v>1116</v>
      </c>
    </row>
    <row r="10119" spans="1:1" x14ac:dyDescent="0.2">
      <c r="A10119" t="s">
        <v>1117</v>
      </c>
    </row>
    <row r="10120" spans="1:1" x14ac:dyDescent="0.2">
      <c r="A10120" t="s">
        <v>1118</v>
      </c>
    </row>
    <row r="10121" spans="1:1" x14ac:dyDescent="0.2">
      <c r="A10121" t="s">
        <v>1119</v>
      </c>
    </row>
    <row r="10122" spans="1:1" x14ac:dyDescent="0.2">
      <c r="A10122" t="s">
        <v>1120</v>
      </c>
    </row>
    <row r="10123" spans="1:1" x14ac:dyDescent="0.2">
      <c r="A10123" t="s">
        <v>1288</v>
      </c>
    </row>
    <row r="10124" spans="1:1" x14ac:dyDescent="0.2">
      <c r="A10124" t="s">
        <v>3013</v>
      </c>
    </row>
    <row r="10125" spans="1:1" x14ac:dyDescent="0.2">
      <c r="A10125" t="s">
        <v>3014</v>
      </c>
    </row>
    <row r="10126" spans="1:1" x14ac:dyDescent="0.2">
      <c r="A10126" t="s">
        <v>3007</v>
      </c>
    </row>
    <row r="10127" spans="1:1" x14ac:dyDescent="0.2">
      <c r="A10127" t="s">
        <v>3008</v>
      </c>
    </row>
    <row r="10128" spans="1:1" x14ac:dyDescent="0.2">
      <c r="A10128" t="s">
        <v>1289</v>
      </c>
    </row>
    <row r="10129" spans="1:1" x14ac:dyDescent="0.2">
      <c r="A10129" t="s">
        <v>2781</v>
      </c>
    </row>
    <row r="10130" spans="1:1" x14ac:dyDescent="0.2">
      <c r="A10130" t="s">
        <v>3015</v>
      </c>
    </row>
    <row r="10131" spans="1:1" x14ac:dyDescent="0.2">
      <c r="A10131" t="s">
        <v>1122</v>
      </c>
    </row>
    <row r="10132" spans="1:1" x14ac:dyDescent="0.2">
      <c r="A10132" t="s">
        <v>1123</v>
      </c>
    </row>
    <row r="10133" spans="1:1" x14ac:dyDescent="0.2">
      <c r="A10133" t="s">
        <v>1124</v>
      </c>
    </row>
    <row r="10134" spans="1:1" x14ac:dyDescent="0.2">
      <c r="A10134" t="s">
        <v>1125</v>
      </c>
    </row>
    <row r="10135" spans="1:1" x14ac:dyDescent="0.2">
      <c r="A10135" t="s">
        <v>1126</v>
      </c>
    </row>
    <row r="10136" spans="1:1" x14ac:dyDescent="0.2">
      <c r="A10136" t="s">
        <v>1127</v>
      </c>
    </row>
    <row r="10137" spans="1:1" x14ac:dyDescent="0.2">
      <c r="A10137" t="s">
        <v>1128</v>
      </c>
    </row>
    <row r="10138" spans="1:1" x14ac:dyDescent="0.2">
      <c r="A10138" t="s">
        <v>1129</v>
      </c>
    </row>
    <row r="10139" spans="1:1" x14ac:dyDescent="0.2">
      <c r="A10139" t="s">
        <v>1130</v>
      </c>
    </row>
    <row r="10140" spans="1:1" x14ac:dyDescent="0.2">
      <c r="A10140" t="s">
        <v>1131</v>
      </c>
    </row>
    <row r="10141" spans="1:1" x14ac:dyDescent="0.2">
      <c r="A10141" t="s">
        <v>1132</v>
      </c>
    </row>
    <row r="10142" spans="1:1" x14ac:dyDescent="0.2">
      <c r="A10142" t="s">
        <v>1133</v>
      </c>
    </row>
    <row r="10143" spans="1:1" x14ac:dyDescent="0.2">
      <c r="A10143" t="s">
        <v>1134</v>
      </c>
    </row>
    <row r="10144" spans="1:1" x14ac:dyDescent="0.2">
      <c r="A10144" t="s">
        <v>1135</v>
      </c>
    </row>
    <row r="10145" spans="1:1" x14ac:dyDescent="0.2">
      <c r="A10145" t="s">
        <v>1136</v>
      </c>
    </row>
    <row r="10146" spans="1:1" x14ac:dyDescent="0.2">
      <c r="A10146" t="s">
        <v>1137</v>
      </c>
    </row>
    <row r="10147" spans="1:1" x14ac:dyDescent="0.2">
      <c r="A10147" t="s">
        <v>1138</v>
      </c>
    </row>
    <row r="10148" spans="1:1" x14ac:dyDescent="0.2">
      <c r="A10148" t="s">
        <v>1139</v>
      </c>
    </row>
    <row r="10149" spans="1:1" x14ac:dyDescent="0.2">
      <c r="A10149" t="s">
        <v>1140</v>
      </c>
    </row>
    <row r="10150" spans="1:1" x14ac:dyDescent="0.2">
      <c r="A10150" t="s">
        <v>1141</v>
      </c>
    </row>
    <row r="10151" spans="1:1" x14ac:dyDescent="0.2">
      <c r="A10151" t="s">
        <v>1142</v>
      </c>
    </row>
    <row r="10152" spans="1:1" x14ac:dyDescent="0.2">
      <c r="A10152" t="s">
        <v>1143</v>
      </c>
    </row>
    <row r="10153" spans="1:1" x14ac:dyDescent="0.2">
      <c r="A10153" t="s">
        <v>1144</v>
      </c>
    </row>
    <row r="10154" spans="1:1" x14ac:dyDescent="0.2">
      <c r="A10154" t="s">
        <v>1145</v>
      </c>
    </row>
    <row r="10155" spans="1:1" x14ac:dyDescent="0.2">
      <c r="A10155" t="s">
        <v>1146</v>
      </c>
    </row>
    <row r="10156" spans="1:1" x14ac:dyDescent="0.2">
      <c r="A10156" t="s">
        <v>1147</v>
      </c>
    </row>
    <row r="10157" spans="1:1" x14ac:dyDescent="0.2">
      <c r="A10157" t="s">
        <v>1148</v>
      </c>
    </row>
    <row r="10158" spans="1:1" x14ac:dyDescent="0.2">
      <c r="A10158" t="s">
        <v>1149</v>
      </c>
    </row>
    <row r="10159" spans="1:1" x14ac:dyDescent="0.2">
      <c r="A10159" t="s">
        <v>1150</v>
      </c>
    </row>
    <row r="10160" spans="1:1" x14ac:dyDescent="0.2">
      <c r="A10160" t="s">
        <v>1151</v>
      </c>
    </row>
    <row r="10161" spans="1:1" x14ac:dyDescent="0.2">
      <c r="A10161" t="s">
        <v>1152</v>
      </c>
    </row>
    <row r="10162" spans="1:1" x14ac:dyDescent="0.2">
      <c r="A10162" t="s">
        <v>1153</v>
      </c>
    </row>
    <row r="10163" spans="1:1" x14ac:dyDescent="0.2">
      <c r="A10163" t="s">
        <v>1154</v>
      </c>
    </row>
    <row r="10164" spans="1:1" x14ac:dyDescent="0.2">
      <c r="A10164" t="s">
        <v>1155</v>
      </c>
    </row>
    <row r="10165" spans="1:1" x14ac:dyDescent="0.2">
      <c r="A10165" t="s">
        <v>1156</v>
      </c>
    </row>
    <row r="10166" spans="1:1" x14ac:dyDescent="0.2">
      <c r="A10166" t="s">
        <v>1157</v>
      </c>
    </row>
    <row r="10167" spans="1:1" x14ac:dyDescent="0.2">
      <c r="A10167" t="s">
        <v>1158</v>
      </c>
    </row>
    <row r="10168" spans="1:1" x14ac:dyDescent="0.2">
      <c r="A10168" t="s">
        <v>1159</v>
      </c>
    </row>
    <row r="10169" spans="1:1" x14ac:dyDescent="0.2">
      <c r="A10169" t="s">
        <v>1160</v>
      </c>
    </row>
    <row r="10170" spans="1:1" x14ac:dyDescent="0.2">
      <c r="A10170" t="s">
        <v>1161</v>
      </c>
    </row>
    <row r="10171" spans="1:1" x14ac:dyDescent="0.2">
      <c r="A10171" t="s">
        <v>1162</v>
      </c>
    </row>
    <row r="10172" spans="1:1" x14ac:dyDescent="0.2">
      <c r="A10172" t="s">
        <v>1163</v>
      </c>
    </row>
    <row r="10173" spans="1:1" x14ac:dyDescent="0.2">
      <c r="A10173" t="s">
        <v>1164</v>
      </c>
    </row>
    <row r="10174" spans="1:1" x14ac:dyDescent="0.2">
      <c r="A10174" t="s">
        <v>1165</v>
      </c>
    </row>
    <row r="10175" spans="1:1" x14ac:dyDescent="0.2">
      <c r="A10175" t="s">
        <v>1166</v>
      </c>
    </row>
    <row r="10176" spans="1:1" x14ac:dyDescent="0.2">
      <c r="A10176" t="s">
        <v>1167</v>
      </c>
    </row>
    <row r="10177" spans="1:1" x14ac:dyDescent="0.2">
      <c r="A10177" t="s">
        <v>1168</v>
      </c>
    </row>
    <row r="10178" spans="1:1" x14ac:dyDescent="0.2">
      <c r="A10178" t="s">
        <v>1169</v>
      </c>
    </row>
    <row r="10179" spans="1:1" x14ac:dyDescent="0.2">
      <c r="A10179" t="s">
        <v>1170</v>
      </c>
    </row>
    <row r="10180" spans="1:1" x14ac:dyDescent="0.2">
      <c r="A10180" t="s">
        <v>1171</v>
      </c>
    </row>
    <row r="10181" spans="1:1" x14ac:dyDescent="0.2">
      <c r="A10181" t="s">
        <v>1172</v>
      </c>
    </row>
    <row r="10182" spans="1:1" x14ac:dyDescent="0.2">
      <c r="A10182" t="s">
        <v>1173</v>
      </c>
    </row>
    <row r="10183" spans="1:1" x14ac:dyDescent="0.2">
      <c r="A10183" t="s">
        <v>1174</v>
      </c>
    </row>
    <row r="10184" spans="1:1" x14ac:dyDescent="0.2">
      <c r="A10184" t="s">
        <v>1175</v>
      </c>
    </row>
    <row r="10185" spans="1:1" x14ac:dyDescent="0.2">
      <c r="A10185" t="s">
        <v>1176</v>
      </c>
    </row>
    <row r="10186" spans="1:1" x14ac:dyDescent="0.2">
      <c r="A10186" t="s">
        <v>1177</v>
      </c>
    </row>
    <row r="10187" spans="1:1" x14ac:dyDescent="0.2">
      <c r="A10187" t="s">
        <v>1178</v>
      </c>
    </row>
    <row r="10188" spans="1:1" x14ac:dyDescent="0.2">
      <c r="A10188" t="s">
        <v>1179</v>
      </c>
    </row>
    <row r="10189" spans="1:1" x14ac:dyDescent="0.2">
      <c r="A10189" t="s">
        <v>1180</v>
      </c>
    </row>
    <row r="10190" spans="1:1" x14ac:dyDescent="0.2">
      <c r="A10190" t="s">
        <v>1181</v>
      </c>
    </row>
    <row r="10191" spans="1:1" x14ac:dyDescent="0.2">
      <c r="A10191" t="s">
        <v>1182</v>
      </c>
    </row>
    <row r="10192" spans="1:1" x14ac:dyDescent="0.2">
      <c r="A10192" t="s">
        <v>1183</v>
      </c>
    </row>
    <row r="10193" spans="1:1" x14ac:dyDescent="0.2">
      <c r="A10193" t="s">
        <v>1184</v>
      </c>
    </row>
    <row r="10194" spans="1:1" x14ac:dyDescent="0.2">
      <c r="A10194" t="s">
        <v>1185</v>
      </c>
    </row>
    <row r="10195" spans="1:1" x14ac:dyDescent="0.2">
      <c r="A10195" t="s">
        <v>1186</v>
      </c>
    </row>
    <row r="10196" spans="1:1" x14ac:dyDescent="0.2">
      <c r="A10196" t="s">
        <v>1187</v>
      </c>
    </row>
    <row r="10197" spans="1:1" x14ac:dyDescent="0.2">
      <c r="A10197" t="s">
        <v>1188</v>
      </c>
    </row>
    <row r="10198" spans="1:1" x14ac:dyDescent="0.2">
      <c r="A10198" t="s">
        <v>1189</v>
      </c>
    </row>
    <row r="10199" spans="1:1" x14ac:dyDescent="0.2">
      <c r="A10199" t="s">
        <v>1190</v>
      </c>
    </row>
    <row r="10200" spans="1:1" x14ac:dyDescent="0.2">
      <c r="A10200" t="s">
        <v>1191</v>
      </c>
    </row>
    <row r="10201" spans="1:1" x14ac:dyDescent="0.2">
      <c r="A10201" t="s">
        <v>1192</v>
      </c>
    </row>
    <row r="10202" spans="1:1" x14ac:dyDescent="0.2">
      <c r="A10202" t="s">
        <v>1193</v>
      </c>
    </row>
    <row r="10203" spans="1:1" x14ac:dyDescent="0.2">
      <c r="A10203" t="s">
        <v>1194</v>
      </c>
    </row>
    <row r="10204" spans="1:1" x14ac:dyDescent="0.2">
      <c r="A10204" t="s">
        <v>1195</v>
      </c>
    </row>
    <row r="10205" spans="1:1" x14ac:dyDescent="0.2">
      <c r="A10205" t="s">
        <v>1196</v>
      </c>
    </row>
    <row r="10206" spans="1:1" x14ac:dyDescent="0.2">
      <c r="A10206" t="s">
        <v>1197</v>
      </c>
    </row>
    <row r="10207" spans="1:1" x14ac:dyDescent="0.2">
      <c r="A10207" t="s">
        <v>1198</v>
      </c>
    </row>
    <row r="10208" spans="1:1" x14ac:dyDescent="0.2">
      <c r="A10208" t="s">
        <v>1199</v>
      </c>
    </row>
    <row r="10209" spans="1:1" x14ac:dyDescent="0.2">
      <c r="A10209" t="s">
        <v>1200</v>
      </c>
    </row>
    <row r="10210" spans="1:1" x14ac:dyDescent="0.2">
      <c r="A10210" t="s">
        <v>1201</v>
      </c>
    </row>
    <row r="10211" spans="1:1" x14ac:dyDescent="0.2">
      <c r="A10211" t="s">
        <v>1202</v>
      </c>
    </row>
    <row r="10212" spans="1:1" x14ac:dyDescent="0.2">
      <c r="A10212" t="s">
        <v>1203</v>
      </c>
    </row>
    <row r="10213" spans="1:1" x14ac:dyDescent="0.2">
      <c r="A10213" t="s">
        <v>1204</v>
      </c>
    </row>
    <row r="10214" spans="1:1" x14ac:dyDescent="0.2">
      <c r="A10214" t="s">
        <v>1205</v>
      </c>
    </row>
    <row r="10215" spans="1:1" x14ac:dyDescent="0.2">
      <c r="A10215" t="s">
        <v>1206</v>
      </c>
    </row>
    <row r="10216" spans="1:1" x14ac:dyDescent="0.2">
      <c r="A10216" t="s">
        <v>1207</v>
      </c>
    </row>
    <row r="10217" spans="1:1" x14ac:dyDescent="0.2">
      <c r="A10217" t="s">
        <v>1208</v>
      </c>
    </row>
    <row r="10218" spans="1:1" x14ac:dyDescent="0.2">
      <c r="A10218" t="s">
        <v>1209</v>
      </c>
    </row>
    <row r="10219" spans="1:1" x14ac:dyDescent="0.2">
      <c r="A10219" t="s">
        <v>1210</v>
      </c>
    </row>
    <row r="10220" spans="1:1" x14ac:dyDescent="0.2">
      <c r="A10220" t="s">
        <v>1211</v>
      </c>
    </row>
    <row r="10221" spans="1:1" x14ac:dyDescent="0.2">
      <c r="A10221" t="s">
        <v>1212</v>
      </c>
    </row>
    <row r="10222" spans="1:1" x14ac:dyDescent="0.2">
      <c r="A10222" t="s">
        <v>1213</v>
      </c>
    </row>
    <row r="10223" spans="1:1" x14ac:dyDescent="0.2">
      <c r="A10223" t="s">
        <v>1214</v>
      </c>
    </row>
    <row r="10224" spans="1:1" x14ac:dyDescent="0.2">
      <c r="A10224" t="s">
        <v>1215</v>
      </c>
    </row>
    <row r="10225" spans="1:1" x14ac:dyDescent="0.2">
      <c r="A10225" t="s">
        <v>1216</v>
      </c>
    </row>
    <row r="10226" spans="1:1" x14ac:dyDescent="0.2">
      <c r="A10226" t="s">
        <v>1217</v>
      </c>
    </row>
    <row r="10227" spans="1:1" x14ac:dyDescent="0.2">
      <c r="A10227" t="s">
        <v>1218</v>
      </c>
    </row>
    <row r="10228" spans="1:1" x14ac:dyDescent="0.2">
      <c r="A10228" t="s">
        <v>1219</v>
      </c>
    </row>
    <row r="10229" spans="1:1" x14ac:dyDescent="0.2">
      <c r="A10229" t="s">
        <v>1220</v>
      </c>
    </row>
    <row r="10230" spans="1:1" x14ac:dyDescent="0.2">
      <c r="A10230" t="s">
        <v>1221</v>
      </c>
    </row>
    <row r="10231" spans="1:1" x14ac:dyDescent="0.2">
      <c r="A10231" t="s">
        <v>1222</v>
      </c>
    </row>
    <row r="10232" spans="1:1" x14ac:dyDescent="0.2">
      <c r="A10232" t="s">
        <v>1223</v>
      </c>
    </row>
    <row r="10233" spans="1:1" x14ac:dyDescent="0.2">
      <c r="A10233" t="s">
        <v>1224</v>
      </c>
    </row>
    <row r="10234" spans="1:1" x14ac:dyDescent="0.2">
      <c r="A10234" t="s">
        <v>1225</v>
      </c>
    </row>
    <row r="10235" spans="1:1" x14ac:dyDescent="0.2">
      <c r="A10235" t="s">
        <v>1226</v>
      </c>
    </row>
    <row r="10236" spans="1:1" x14ac:dyDescent="0.2">
      <c r="A10236" t="s">
        <v>1227</v>
      </c>
    </row>
    <row r="10237" spans="1:1" x14ac:dyDescent="0.2">
      <c r="A10237" t="s">
        <v>1228</v>
      </c>
    </row>
    <row r="10238" spans="1:1" x14ac:dyDescent="0.2">
      <c r="A10238" t="s">
        <v>1229</v>
      </c>
    </row>
    <row r="10239" spans="1:1" x14ac:dyDescent="0.2">
      <c r="A10239" t="s">
        <v>1230</v>
      </c>
    </row>
    <row r="10240" spans="1:1" x14ac:dyDescent="0.2">
      <c r="A10240" t="s">
        <v>1231</v>
      </c>
    </row>
    <row r="10241" spans="1:1" x14ac:dyDescent="0.2">
      <c r="A10241" t="s">
        <v>1232</v>
      </c>
    </row>
    <row r="10242" spans="1:1" x14ac:dyDescent="0.2">
      <c r="A10242" t="s">
        <v>1233</v>
      </c>
    </row>
    <row r="10243" spans="1:1" x14ac:dyDescent="0.2">
      <c r="A10243" t="s">
        <v>1234</v>
      </c>
    </row>
    <row r="10244" spans="1:1" x14ac:dyDescent="0.2">
      <c r="A10244" t="s">
        <v>1235</v>
      </c>
    </row>
    <row r="10245" spans="1:1" x14ac:dyDescent="0.2">
      <c r="A10245" t="s">
        <v>1236</v>
      </c>
    </row>
    <row r="10246" spans="1:1" x14ac:dyDescent="0.2">
      <c r="A10246" t="s">
        <v>1237</v>
      </c>
    </row>
    <row r="10247" spans="1:1" x14ac:dyDescent="0.2">
      <c r="A10247" t="s">
        <v>1238</v>
      </c>
    </row>
    <row r="10248" spans="1:1" x14ac:dyDescent="0.2">
      <c r="A10248" t="s">
        <v>1239</v>
      </c>
    </row>
    <row r="10249" spans="1:1" x14ac:dyDescent="0.2">
      <c r="A10249" t="s">
        <v>1240</v>
      </c>
    </row>
    <row r="10250" spans="1:1" x14ac:dyDescent="0.2">
      <c r="A10250" t="s">
        <v>1241</v>
      </c>
    </row>
    <row r="10251" spans="1:1" x14ac:dyDescent="0.2">
      <c r="A10251" t="s">
        <v>1242</v>
      </c>
    </row>
    <row r="10252" spans="1:1" x14ac:dyDescent="0.2">
      <c r="A10252" t="s">
        <v>1243</v>
      </c>
    </row>
    <row r="10253" spans="1:1" x14ac:dyDescent="0.2">
      <c r="A10253" t="s">
        <v>1244</v>
      </c>
    </row>
    <row r="10254" spans="1:1" x14ac:dyDescent="0.2">
      <c r="A10254" t="s">
        <v>1245</v>
      </c>
    </row>
    <row r="10255" spans="1:1" x14ac:dyDescent="0.2">
      <c r="A10255" t="s">
        <v>1246</v>
      </c>
    </row>
    <row r="10256" spans="1:1" x14ac:dyDescent="0.2">
      <c r="A10256" t="s">
        <v>1247</v>
      </c>
    </row>
    <row r="10257" spans="1:1" x14ac:dyDescent="0.2">
      <c r="A10257" t="s">
        <v>1248</v>
      </c>
    </row>
    <row r="10258" spans="1:1" x14ac:dyDescent="0.2">
      <c r="A10258" t="s">
        <v>1249</v>
      </c>
    </row>
    <row r="10259" spans="1:1" x14ac:dyDescent="0.2">
      <c r="A10259" t="s">
        <v>1250</v>
      </c>
    </row>
    <row r="10260" spans="1:1" x14ac:dyDescent="0.2">
      <c r="A10260" t="s">
        <v>1251</v>
      </c>
    </row>
    <row r="10261" spans="1:1" x14ac:dyDescent="0.2">
      <c r="A10261" t="s">
        <v>1252</v>
      </c>
    </row>
    <row r="10262" spans="1:1" x14ac:dyDescent="0.2">
      <c r="A10262" t="s">
        <v>1253</v>
      </c>
    </row>
    <row r="10263" spans="1:1" x14ac:dyDescent="0.2">
      <c r="A10263" t="s">
        <v>1254</v>
      </c>
    </row>
    <row r="10264" spans="1:1" x14ac:dyDescent="0.2">
      <c r="A10264" t="s">
        <v>1255</v>
      </c>
    </row>
    <row r="10265" spans="1:1" x14ac:dyDescent="0.2">
      <c r="A10265" t="s">
        <v>1256</v>
      </c>
    </row>
    <row r="10266" spans="1:1" x14ac:dyDescent="0.2">
      <c r="A10266" t="s">
        <v>1257</v>
      </c>
    </row>
    <row r="10267" spans="1:1" x14ac:dyDescent="0.2">
      <c r="A10267" t="s">
        <v>1258</v>
      </c>
    </row>
    <row r="10268" spans="1:1" x14ac:dyDescent="0.2">
      <c r="A10268" t="s">
        <v>1259</v>
      </c>
    </row>
    <row r="10269" spans="1:1" x14ac:dyDescent="0.2">
      <c r="A10269" t="s">
        <v>1260</v>
      </c>
    </row>
    <row r="10270" spans="1:1" x14ac:dyDescent="0.2">
      <c r="A10270" t="s">
        <v>1261</v>
      </c>
    </row>
    <row r="10271" spans="1:1" x14ac:dyDescent="0.2">
      <c r="A10271" t="s">
        <v>1262</v>
      </c>
    </row>
    <row r="10272" spans="1:1" x14ac:dyDescent="0.2">
      <c r="A10272" t="s">
        <v>1263</v>
      </c>
    </row>
    <row r="10273" spans="1:1" x14ac:dyDescent="0.2">
      <c r="A10273" t="s">
        <v>1264</v>
      </c>
    </row>
    <row r="10274" spans="1:1" x14ac:dyDescent="0.2">
      <c r="A10274" t="s">
        <v>1265</v>
      </c>
    </row>
    <row r="10275" spans="1:1" x14ac:dyDescent="0.2">
      <c r="A10275" t="s">
        <v>1266</v>
      </c>
    </row>
    <row r="10276" spans="1:1" x14ac:dyDescent="0.2">
      <c r="A10276" t="s">
        <v>1267</v>
      </c>
    </row>
    <row r="10277" spans="1:1" x14ac:dyDescent="0.2">
      <c r="A10277" t="s">
        <v>1268</v>
      </c>
    </row>
    <row r="10278" spans="1:1" x14ac:dyDescent="0.2">
      <c r="A10278" t="s">
        <v>1269</v>
      </c>
    </row>
    <row r="10279" spans="1:1" x14ac:dyDescent="0.2">
      <c r="A10279" t="s">
        <v>1270</v>
      </c>
    </row>
    <row r="10280" spans="1:1" x14ac:dyDescent="0.2">
      <c r="A10280" t="s">
        <v>1271</v>
      </c>
    </row>
    <row r="10281" spans="1:1" x14ac:dyDescent="0.2">
      <c r="A10281" t="s">
        <v>1272</v>
      </c>
    </row>
    <row r="10282" spans="1:1" x14ac:dyDescent="0.2">
      <c r="A10282" t="s">
        <v>1273</v>
      </c>
    </row>
    <row r="10283" spans="1:1" x14ac:dyDescent="0.2">
      <c r="A10283" t="s">
        <v>1274</v>
      </c>
    </row>
    <row r="10284" spans="1:1" x14ac:dyDescent="0.2">
      <c r="A10284" t="s">
        <v>1275</v>
      </c>
    </row>
    <row r="10285" spans="1:1" x14ac:dyDescent="0.2">
      <c r="A10285" t="s">
        <v>1276</v>
      </c>
    </row>
    <row r="10286" spans="1:1" x14ac:dyDescent="0.2">
      <c r="A10286" t="s">
        <v>1277</v>
      </c>
    </row>
    <row r="10287" spans="1:1" x14ac:dyDescent="0.2">
      <c r="A10287" t="s">
        <v>1278</v>
      </c>
    </row>
    <row r="10288" spans="1:1" x14ac:dyDescent="0.2">
      <c r="A10288" t="s">
        <v>1279</v>
      </c>
    </row>
    <row r="10289" spans="1:1" x14ac:dyDescent="0.2">
      <c r="A10289" t="s">
        <v>1280</v>
      </c>
    </row>
    <row r="10290" spans="1:1" x14ac:dyDescent="0.2">
      <c r="A10290" t="s">
        <v>1281</v>
      </c>
    </row>
    <row r="10291" spans="1:1" x14ac:dyDescent="0.2">
      <c r="A10291" t="s">
        <v>1282</v>
      </c>
    </row>
    <row r="10292" spans="1:1" x14ac:dyDescent="0.2">
      <c r="A10292" t="s">
        <v>1283</v>
      </c>
    </row>
    <row r="10293" spans="1:1" x14ac:dyDescent="0.2">
      <c r="A10293" t="s">
        <v>1284</v>
      </c>
    </row>
    <row r="10294" spans="1:1" x14ac:dyDescent="0.2">
      <c r="A10294" t="s">
        <v>1285</v>
      </c>
    </row>
    <row r="10295" spans="1:1" x14ac:dyDescent="0.2">
      <c r="A10295" t="s">
        <v>1286</v>
      </c>
    </row>
    <row r="10296" spans="1:1" x14ac:dyDescent="0.2">
      <c r="A10296" t="s">
        <v>3016</v>
      </c>
    </row>
    <row r="10297" spans="1:1" x14ac:dyDescent="0.2">
      <c r="A10297" t="s">
        <v>1053</v>
      </c>
    </row>
    <row r="10298" spans="1:1" x14ac:dyDescent="0.2">
      <c r="A10298" t="s">
        <v>3017</v>
      </c>
    </row>
    <row r="10299" spans="1:1" x14ac:dyDescent="0.2">
      <c r="A10299" t="s">
        <v>2768</v>
      </c>
    </row>
    <row r="10300" spans="1:1" x14ac:dyDescent="0.2">
      <c r="A10300" t="s">
        <v>2769</v>
      </c>
    </row>
    <row r="10301" spans="1:1" x14ac:dyDescent="0.2">
      <c r="A10301" t="s">
        <v>1054</v>
      </c>
    </row>
    <row r="10302" spans="1:1" x14ac:dyDescent="0.2">
      <c r="A10302" t="s">
        <v>1055</v>
      </c>
    </row>
    <row r="10303" spans="1:1" x14ac:dyDescent="0.2">
      <c r="A10303" t="s">
        <v>2807</v>
      </c>
    </row>
    <row r="10304" spans="1:1" x14ac:dyDescent="0.2">
      <c r="A10304" t="s">
        <v>1056</v>
      </c>
    </row>
    <row r="10305" spans="1:1" x14ac:dyDescent="0.2">
      <c r="A10305" t="s">
        <v>1057</v>
      </c>
    </row>
    <row r="10306" spans="1:1" x14ac:dyDescent="0.2">
      <c r="A10306" t="s">
        <v>1058</v>
      </c>
    </row>
    <row r="10307" spans="1:1" x14ac:dyDescent="0.2">
      <c r="A10307" t="s">
        <v>1059</v>
      </c>
    </row>
    <row r="10308" spans="1:1" x14ac:dyDescent="0.2">
      <c r="A10308" t="s">
        <v>1060</v>
      </c>
    </row>
    <row r="10309" spans="1:1" x14ac:dyDescent="0.2">
      <c r="A10309" t="s">
        <v>1061</v>
      </c>
    </row>
    <row r="10310" spans="1:1" x14ac:dyDescent="0.2">
      <c r="A10310" t="s">
        <v>1062</v>
      </c>
    </row>
    <row r="10311" spans="1:1" x14ac:dyDescent="0.2">
      <c r="A10311" t="s">
        <v>1063</v>
      </c>
    </row>
    <row r="10312" spans="1:1" x14ac:dyDescent="0.2">
      <c r="A10312" t="s">
        <v>1064</v>
      </c>
    </row>
    <row r="10313" spans="1:1" x14ac:dyDescent="0.2">
      <c r="A10313" t="s">
        <v>1065</v>
      </c>
    </row>
    <row r="10314" spans="1:1" x14ac:dyDescent="0.2">
      <c r="A10314" t="s">
        <v>1066</v>
      </c>
    </row>
    <row r="10315" spans="1:1" x14ac:dyDescent="0.2">
      <c r="A10315" t="s">
        <v>1067</v>
      </c>
    </row>
    <row r="10316" spans="1:1" x14ac:dyDescent="0.2">
      <c r="A10316" t="s">
        <v>1068</v>
      </c>
    </row>
    <row r="10317" spans="1:1" x14ac:dyDescent="0.2">
      <c r="A10317" t="s">
        <v>1069</v>
      </c>
    </row>
    <row r="10318" spans="1:1" x14ac:dyDescent="0.2">
      <c r="A10318" t="s">
        <v>1070</v>
      </c>
    </row>
    <row r="10319" spans="1:1" x14ac:dyDescent="0.2">
      <c r="A10319" t="s">
        <v>1071</v>
      </c>
    </row>
    <row r="10320" spans="1:1" x14ac:dyDescent="0.2">
      <c r="A10320" t="s">
        <v>1072</v>
      </c>
    </row>
    <row r="10321" spans="1:1" x14ac:dyDescent="0.2">
      <c r="A10321" t="s">
        <v>1073</v>
      </c>
    </row>
    <row r="10322" spans="1:1" x14ac:dyDescent="0.2">
      <c r="A10322" t="s">
        <v>1074</v>
      </c>
    </row>
    <row r="10323" spans="1:1" x14ac:dyDescent="0.2">
      <c r="A10323" t="s">
        <v>1075</v>
      </c>
    </row>
    <row r="10324" spans="1:1" x14ac:dyDescent="0.2">
      <c r="A10324" t="s">
        <v>1076</v>
      </c>
    </row>
    <row r="10325" spans="1:1" x14ac:dyDescent="0.2">
      <c r="A10325" t="s">
        <v>1077</v>
      </c>
    </row>
    <row r="10326" spans="1:1" x14ac:dyDescent="0.2">
      <c r="A10326" t="s">
        <v>1078</v>
      </c>
    </row>
    <row r="10327" spans="1:1" x14ac:dyDescent="0.2">
      <c r="A10327" t="s">
        <v>1079</v>
      </c>
    </row>
    <row r="10328" spans="1:1" x14ac:dyDescent="0.2">
      <c r="A10328" t="s">
        <v>1080</v>
      </c>
    </row>
    <row r="10329" spans="1:1" x14ac:dyDescent="0.2">
      <c r="A10329" t="s">
        <v>1081</v>
      </c>
    </row>
    <row r="10330" spans="1:1" x14ac:dyDescent="0.2">
      <c r="A10330" t="s">
        <v>1082</v>
      </c>
    </row>
    <row r="10331" spans="1:1" x14ac:dyDescent="0.2">
      <c r="A10331" t="s">
        <v>1083</v>
      </c>
    </row>
    <row r="10332" spans="1:1" x14ac:dyDescent="0.2">
      <c r="A10332" t="s">
        <v>2771</v>
      </c>
    </row>
    <row r="10333" spans="1:1" x14ac:dyDescent="0.2">
      <c r="A10333" t="s">
        <v>2772</v>
      </c>
    </row>
    <row r="10334" spans="1:1" x14ac:dyDescent="0.2">
      <c r="A10334" t="s">
        <v>2773</v>
      </c>
    </row>
    <row r="10335" spans="1:1" x14ac:dyDescent="0.2">
      <c r="A10335" t="s">
        <v>2774</v>
      </c>
    </row>
    <row r="10336" spans="1:1" x14ac:dyDescent="0.2">
      <c r="A10336" t="s">
        <v>2775</v>
      </c>
    </row>
    <row r="10337" spans="1:1" x14ac:dyDescent="0.2">
      <c r="A10337" t="s">
        <v>2776</v>
      </c>
    </row>
    <row r="10338" spans="1:1" x14ac:dyDescent="0.2">
      <c r="A10338" t="s">
        <v>1084</v>
      </c>
    </row>
    <row r="10339" spans="1:1" x14ac:dyDescent="0.2">
      <c r="A10339" t="s">
        <v>1085</v>
      </c>
    </row>
    <row r="10340" spans="1:1" x14ac:dyDescent="0.2">
      <c r="A10340" t="s">
        <v>1086</v>
      </c>
    </row>
    <row r="10341" spans="1:1" x14ac:dyDescent="0.2">
      <c r="A10341" t="s">
        <v>1087</v>
      </c>
    </row>
    <row r="10342" spans="1:1" x14ac:dyDescent="0.2">
      <c r="A10342" t="s">
        <v>1088</v>
      </c>
    </row>
    <row r="10343" spans="1:1" x14ac:dyDescent="0.2">
      <c r="A10343" t="s">
        <v>1089</v>
      </c>
    </row>
    <row r="10344" spans="1:1" x14ac:dyDescent="0.2">
      <c r="A10344" t="s">
        <v>1090</v>
      </c>
    </row>
    <row r="10345" spans="1:1" x14ac:dyDescent="0.2">
      <c r="A10345" t="s">
        <v>1091</v>
      </c>
    </row>
    <row r="10346" spans="1:1" x14ac:dyDescent="0.2">
      <c r="A10346" t="s">
        <v>1092</v>
      </c>
    </row>
    <row r="10347" spans="1:1" x14ac:dyDescent="0.2">
      <c r="A10347" t="s">
        <v>1093</v>
      </c>
    </row>
    <row r="10348" spans="1:1" x14ac:dyDescent="0.2">
      <c r="A10348" t="s">
        <v>1094</v>
      </c>
    </row>
    <row r="10349" spans="1:1" x14ac:dyDescent="0.2">
      <c r="A10349" t="s">
        <v>1095</v>
      </c>
    </row>
    <row r="10350" spans="1:1" x14ac:dyDescent="0.2">
      <c r="A10350" t="s">
        <v>1096</v>
      </c>
    </row>
    <row r="10351" spans="1:1" x14ac:dyDescent="0.2">
      <c r="A10351" t="s">
        <v>1097</v>
      </c>
    </row>
    <row r="10352" spans="1:1" x14ac:dyDescent="0.2">
      <c r="A10352" t="s">
        <v>1098</v>
      </c>
    </row>
    <row r="10353" spans="1:1" x14ac:dyDescent="0.2">
      <c r="A10353" t="s">
        <v>1099</v>
      </c>
    </row>
    <row r="10354" spans="1:1" x14ac:dyDescent="0.2">
      <c r="A10354" t="s">
        <v>1100</v>
      </c>
    </row>
    <row r="10355" spans="1:1" x14ac:dyDescent="0.2">
      <c r="A10355" t="s">
        <v>1101</v>
      </c>
    </row>
    <row r="10356" spans="1:1" x14ac:dyDescent="0.2">
      <c r="A10356" t="s">
        <v>1102</v>
      </c>
    </row>
    <row r="10357" spans="1:1" x14ac:dyDescent="0.2">
      <c r="A10357" t="s">
        <v>1103</v>
      </c>
    </row>
    <row r="10358" spans="1:1" x14ac:dyDescent="0.2">
      <c r="A10358" t="s">
        <v>1104</v>
      </c>
    </row>
    <row r="10359" spans="1:1" x14ac:dyDescent="0.2">
      <c r="A10359" t="s">
        <v>1105</v>
      </c>
    </row>
    <row r="10360" spans="1:1" x14ac:dyDescent="0.2">
      <c r="A10360" t="s">
        <v>1106</v>
      </c>
    </row>
    <row r="10361" spans="1:1" x14ac:dyDescent="0.2">
      <c r="A10361" t="s">
        <v>1107</v>
      </c>
    </row>
    <row r="10362" spans="1:1" x14ac:dyDescent="0.2">
      <c r="A10362" t="s">
        <v>1108</v>
      </c>
    </row>
    <row r="10363" spans="1:1" x14ac:dyDescent="0.2">
      <c r="A10363" t="s">
        <v>1109</v>
      </c>
    </row>
    <row r="10364" spans="1:1" x14ac:dyDescent="0.2">
      <c r="A10364" t="s">
        <v>1110</v>
      </c>
    </row>
    <row r="10365" spans="1:1" x14ac:dyDescent="0.2">
      <c r="A10365" t="s">
        <v>1111</v>
      </c>
    </row>
    <row r="10366" spans="1:1" x14ac:dyDescent="0.2">
      <c r="A10366" t="s">
        <v>1112</v>
      </c>
    </row>
    <row r="10367" spans="1:1" x14ac:dyDescent="0.2">
      <c r="A10367" t="s">
        <v>1113</v>
      </c>
    </row>
    <row r="10368" spans="1:1" x14ac:dyDescent="0.2">
      <c r="A10368" t="s">
        <v>1114</v>
      </c>
    </row>
    <row r="10369" spans="1:1" x14ac:dyDescent="0.2">
      <c r="A10369" t="s">
        <v>1115</v>
      </c>
    </row>
    <row r="10370" spans="1:1" x14ac:dyDescent="0.2">
      <c r="A10370" t="s">
        <v>1116</v>
      </c>
    </row>
    <row r="10371" spans="1:1" x14ac:dyDescent="0.2">
      <c r="A10371" t="s">
        <v>1117</v>
      </c>
    </row>
    <row r="10372" spans="1:1" x14ac:dyDescent="0.2">
      <c r="A10372" t="s">
        <v>1118</v>
      </c>
    </row>
    <row r="10373" spans="1:1" x14ac:dyDescent="0.2">
      <c r="A10373" t="s">
        <v>1119</v>
      </c>
    </row>
    <row r="10374" spans="1:1" x14ac:dyDescent="0.2">
      <c r="A10374" t="s">
        <v>1120</v>
      </c>
    </row>
    <row r="10375" spans="1:1" x14ac:dyDescent="0.2">
      <c r="A10375" t="s">
        <v>1288</v>
      </c>
    </row>
    <row r="10376" spans="1:1" x14ac:dyDescent="0.2">
      <c r="A10376" t="s">
        <v>3018</v>
      </c>
    </row>
    <row r="10377" spans="1:1" x14ac:dyDescent="0.2">
      <c r="A10377" t="s">
        <v>3019</v>
      </c>
    </row>
    <row r="10378" spans="1:1" x14ac:dyDescent="0.2">
      <c r="A10378" t="s">
        <v>3020</v>
      </c>
    </row>
    <row r="10379" spans="1:1" x14ac:dyDescent="0.2">
      <c r="A10379" t="s">
        <v>3021</v>
      </c>
    </row>
    <row r="10380" spans="1:1" x14ac:dyDescent="0.2">
      <c r="A10380" t="s">
        <v>1289</v>
      </c>
    </row>
    <row r="10381" spans="1:1" x14ac:dyDescent="0.2">
      <c r="A10381" t="s">
        <v>2781</v>
      </c>
    </row>
    <row r="10382" spans="1:1" x14ac:dyDescent="0.2">
      <c r="A10382" t="s">
        <v>3022</v>
      </c>
    </row>
    <row r="10383" spans="1:1" x14ac:dyDescent="0.2">
      <c r="A10383" t="s">
        <v>1122</v>
      </c>
    </row>
    <row r="10384" spans="1:1" x14ac:dyDescent="0.2">
      <c r="A10384" t="s">
        <v>1123</v>
      </c>
    </row>
    <row r="10385" spans="1:1" x14ac:dyDescent="0.2">
      <c r="A10385" t="s">
        <v>1124</v>
      </c>
    </row>
    <row r="10386" spans="1:1" x14ac:dyDescent="0.2">
      <c r="A10386" t="s">
        <v>1125</v>
      </c>
    </row>
    <row r="10387" spans="1:1" x14ac:dyDescent="0.2">
      <c r="A10387" t="s">
        <v>1126</v>
      </c>
    </row>
    <row r="10388" spans="1:1" x14ac:dyDescent="0.2">
      <c r="A10388" t="s">
        <v>1127</v>
      </c>
    </row>
    <row r="10389" spans="1:1" x14ac:dyDescent="0.2">
      <c r="A10389" t="s">
        <v>1128</v>
      </c>
    </row>
    <row r="10390" spans="1:1" x14ac:dyDescent="0.2">
      <c r="A10390" t="s">
        <v>1129</v>
      </c>
    </row>
    <row r="10391" spans="1:1" x14ac:dyDescent="0.2">
      <c r="A10391" t="s">
        <v>1130</v>
      </c>
    </row>
    <row r="10392" spans="1:1" x14ac:dyDescent="0.2">
      <c r="A10392" t="s">
        <v>1131</v>
      </c>
    </row>
    <row r="10393" spans="1:1" x14ac:dyDescent="0.2">
      <c r="A10393" t="s">
        <v>1132</v>
      </c>
    </row>
    <row r="10394" spans="1:1" x14ac:dyDescent="0.2">
      <c r="A10394" t="s">
        <v>1133</v>
      </c>
    </row>
    <row r="10395" spans="1:1" x14ac:dyDescent="0.2">
      <c r="A10395" t="s">
        <v>1134</v>
      </c>
    </row>
    <row r="10396" spans="1:1" x14ac:dyDescent="0.2">
      <c r="A10396" t="s">
        <v>1135</v>
      </c>
    </row>
    <row r="10397" spans="1:1" x14ac:dyDescent="0.2">
      <c r="A10397" t="s">
        <v>1136</v>
      </c>
    </row>
    <row r="10398" spans="1:1" x14ac:dyDescent="0.2">
      <c r="A10398" t="s">
        <v>1137</v>
      </c>
    </row>
    <row r="10399" spans="1:1" x14ac:dyDescent="0.2">
      <c r="A10399" t="s">
        <v>1138</v>
      </c>
    </row>
    <row r="10400" spans="1:1" x14ac:dyDescent="0.2">
      <c r="A10400" t="s">
        <v>1139</v>
      </c>
    </row>
    <row r="10401" spans="1:1" x14ac:dyDescent="0.2">
      <c r="A10401" t="s">
        <v>1140</v>
      </c>
    </row>
    <row r="10402" spans="1:1" x14ac:dyDescent="0.2">
      <c r="A10402" t="s">
        <v>1141</v>
      </c>
    </row>
    <row r="10403" spans="1:1" x14ac:dyDescent="0.2">
      <c r="A10403" t="s">
        <v>1142</v>
      </c>
    </row>
    <row r="10404" spans="1:1" x14ac:dyDescent="0.2">
      <c r="A10404" t="s">
        <v>1143</v>
      </c>
    </row>
    <row r="10405" spans="1:1" x14ac:dyDescent="0.2">
      <c r="A10405" t="s">
        <v>1144</v>
      </c>
    </row>
    <row r="10406" spans="1:1" x14ac:dyDescent="0.2">
      <c r="A10406" t="s">
        <v>1145</v>
      </c>
    </row>
    <row r="10407" spans="1:1" x14ac:dyDescent="0.2">
      <c r="A10407" t="s">
        <v>1146</v>
      </c>
    </row>
    <row r="10408" spans="1:1" x14ac:dyDescent="0.2">
      <c r="A10408" t="s">
        <v>1147</v>
      </c>
    </row>
    <row r="10409" spans="1:1" x14ac:dyDescent="0.2">
      <c r="A10409" t="s">
        <v>1148</v>
      </c>
    </row>
    <row r="10410" spans="1:1" x14ac:dyDescent="0.2">
      <c r="A10410" t="s">
        <v>1149</v>
      </c>
    </row>
    <row r="10411" spans="1:1" x14ac:dyDescent="0.2">
      <c r="A10411" t="s">
        <v>1150</v>
      </c>
    </row>
    <row r="10412" spans="1:1" x14ac:dyDescent="0.2">
      <c r="A10412" t="s">
        <v>1151</v>
      </c>
    </row>
    <row r="10413" spans="1:1" x14ac:dyDescent="0.2">
      <c r="A10413" t="s">
        <v>1152</v>
      </c>
    </row>
    <row r="10414" spans="1:1" x14ac:dyDescent="0.2">
      <c r="A10414" t="s">
        <v>1153</v>
      </c>
    </row>
    <row r="10415" spans="1:1" x14ac:dyDescent="0.2">
      <c r="A10415" t="s">
        <v>1154</v>
      </c>
    </row>
    <row r="10416" spans="1:1" x14ac:dyDescent="0.2">
      <c r="A10416" t="s">
        <v>1155</v>
      </c>
    </row>
    <row r="10417" spans="1:1" x14ac:dyDescent="0.2">
      <c r="A10417" t="s">
        <v>1156</v>
      </c>
    </row>
    <row r="10418" spans="1:1" x14ac:dyDescent="0.2">
      <c r="A10418" t="s">
        <v>1157</v>
      </c>
    </row>
    <row r="10419" spans="1:1" x14ac:dyDescent="0.2">
      <c r="A10419" t="s">
        <v>1158</v>
      </c>
    </row>
    <row r="10420" spans="1:1" x14ac:dyDescent="0.2">
      <c r="A10420" t="s">
        <v>1159</v>
      </c>
    </row>
    <row r="10421" spans="1:1" x14ac:dyDescent="0.2">
      <c r="A10421" t="s">
        <v>1160</v>
      </c>
    </row>
    <row r="10422" spans="1:1" x14ac:dyDescent="0.2">
      <c r="A10422" t="s">
        <v>1161</v>
      </c>
    </row>
    <row r="10423" spans="1:1" x14ac:dyDescent="0.2">
      <c r="A10423" t="s">
        <v>1162</v>
      </c>
    </row>
    <row r="10424" spans="1:1" x14ac:dyDescent="0.2">
      <c r="A10424" t="s">
        <v>1163</v>
      </c>
    </row>
    <row r="10425" spans="1:1" x14ac:dyDescent="0.2">
      <c r="A10425" t="s">
        <v>1164</v>
      </c>
    </row>
    <row r="10426" spans="1:1" x14ac:dyDescent="0.2">
      <c r="A10426" t="s">
        <v>1165</v>
      </c>
    </row>
    <row r="10427" spans="1:1" x14ac:dyDescent="0.2">
      <c r="A10427" t="s">
        <v>1166</v>
      </c>
    </row>
    <row r="10428" spans="1:1" x14ac:dyDescent="0.2">
      <c r="A10428" t="s">
        <v>1167</v>
      </c>
    </row>
    <row r="10429" spans="1:1" x14ac:dyDescent="0.2">
      <c r="A10429" t="s">
        <v>1168</v>
      </c>
    </row>
    <row r="10430" spans="1:1" x14ac:dyDescent="0.2">
      <c r="A10430" t="s">
        <v>1169</v>
      </c>
    </row>
    <row r="10431" spans="1:1" x14ac:dyDescent="0.2">
      <c r="A10431" t="s">
        <v>1170</v>
      </c>
    </row>
    <row r="10432" spans="1:1" x14ac:dyDescent="0.2">
      <c r="A10432" t="s">
        <v>1171</v>
      </c>
    </row>
    <row r="10433" spans="1:1" x14ac:dyDescent="0.2">
      <c r="A10433" t="s">
        <v>1172</v>
      </c>
    </row>
    <row r="10434" spans="1:1" x14ac:dyDescent="0.2">
      <c r="A10434" t="s">
        <v>1173</v>
      </c>
    </row>
    <row r="10435" spans="1:1" x14ac:dyDescent="0.2">
      <c r="A10435" t="s">
        <v>1174</v>
      </c>
    </row>
    <row r="10436" spans="1:1" x14ac:dyDescent="0.2">
      <c r="A10436" t="s">
        <v>1175</v>
      </c>
    </row>
    <row r="10437" spans="1:1" x14ac:dyDescent="0.2">
      <c r="A10437" t="s">
        <v>1176</v>
      </c>
    </row>
    <row r="10438" spans="1:1" x14ac:dyDescent="0.2">
      <c r="A10438" t="s">
        <v>1177</v>
      </c>
    </row>
    <row r="10439" spans="1:1" x14ac:dyDescent="0.2">
      <c r="A10439" t="s">
        <v>1178</v>
      </c>
    </row>
    <row r="10440" spans="1:1" x14ac:dyDescent="0.2">
      <c r="A10440" t="s">
        <v>1179</v>
      </c>
    </row>
    <row r="10441" spans="1:1" x14ac:dyDescent="0.2">
      <c r="A10441" t="s">
        <v>1180</v>
      </c>
    </row>
    <row r="10442" spans="1:1" x14ac:dyDescent="0.2">
      <c r="A10442" t="s">
        <v>1181</v>
      </c>
    </row>
    <row r="10443" spans="1:1" x14ac:dyDescent="0.2">
      <c r="A10443" t="s">
        <v>1182</v>
      </c>
    </row>
    <row r="10444" spans="1:1" x14ac:dyDescent="0.2">
      <c r="A10444" t="s">
        <v>1183</v>
      </c>
    </row>
    <row r="10445" spans="1:1" x14ac:dyDescent="0.2">
      <c r="A10445" t="s">
        <v>1184</v>
      </c>
    </row>
    <row r="10446" spans="1:1" x14ac:dyDescent="0.2">
      <c r="A10446" t="s">
        <v>1185</v>
      </c>
    </row>
    <row r="10447" spans="1:1" x14ac:dyDescent="0.2">
      <c r="A10447" t="s">
        <v>1186</v>
      </c>
    </row>
    <row r="10448" spans="1:1" x14ac:dyDescent="0.2">
      <c r="A10448" t="s">
        <v>1187</v>
      </c>
    </row>
    <row r="10449" spans="1:1" x14ac:dyDescent="0.2">
      <c r="A10449" t="s">
        <v>1188</v>
      </c>
    </row>
    <row r="10450" spans="1:1" x14ac:dyDescent="0.2">
      <c r="A10450" t="s">
        <v>1189</v>
      </c>
    </row>
    <row r="10451" spans="1:1" x14ac:dyDescent="0.2">
      <c r="A10451" t="s">
        <v>1190</v>
      </c>
    </row>
    <row r="10452" spans="1:1" x14ac:dyDescent="0.2">
      <c r="A10452" t="s">
        <v>1191</v>
      </c>
    </row>
    <row r="10453" spans="1:1" x14ac:dyDescent="0.2">
      <c r="A10453" t="s">
        <v>1192</v>
      </c>
    </row>
    <row r="10454" spans="1:1" x14ac:dyDescent="0.2">
      <c r="A10454" t="s">
        <v>1193</v>
      </c>
    </row>
    <row r="10455" spans="1:1" x14ac:dyDescent="0.2">
      <c r="A10455" t="s">
        <v>1194</v>
      </c>
    </row>
    <row r="10456" spans="1:1" x14ac:dyDescent="0.2">
      <c r="A10456" t="s">
        <v>1195</v>
      </c>
    </row>
    <row r="10457" spans="1:1" x14ac:dyDescent="0.2">
      <c r="A10457" t="s">
        <v>1196</v>
      </c>
    </row>
    <row r="10458" spans="1:1" x14ac:dyDescent="0.2">
      <c r="A10458" t="s">
        <v>1197</v>
      </c>
    </row>
    <row r="10459" spans="1:1" x14ac:dyDescent="0.2">
      <c r="A10459" t="s">
        <v>1198</v>
      </c>
    </row>
    <row r="10460" spans="1:1" x14ac:dyDescent="0.2">
      <c r="A10460" t="s">
        <v>1199</v>
      </c>
    </row>
    <row r="10461" spans="1:1" x14ac:dyDescent="0.2">
      <c r="A10461" t="s">
        <v>1200</v>
      </c>
    </row>
    <row r="10462" spans="1:1" x14ac:dyDescent="0.2">
      <c r="A10462" t="s">
        <v>1201</v>
      </c>
    </row>
    <row r="10463" spans="1:1" x14ac:dyDescent="0.2">
      <c r="A10463" t="s">
        <v>1202</v>
      </c>
    </row>
    <row r="10464" spans="1:1" x14ac:dyDescent="0.2">
      <c r="A10464" t="s">
        <v>1203</v>
      </c>
    </row>
    <row r="10465" spans="1:1" x14ac:dyDescent="0.2">
      <c r="A10465" t="s">
        <v>1204</v>
      </c>
    </row>
    <row r="10466" spans="1:1" x14ac:dyDescent="0.2">
      <c r="A10466" t="s">
        <v>1205</v>
      </c>
    </row>
    <row r="10467" spans="1:1" x14ac:dyDescent="0.2">
      <c r="A10467" t="s">
        <v>1206</v>
      </c>
    </row>
    <row r="10468" spans="1:1" x14ac:dyDescent="0.2">
      <c r="A10468" t="s">
        <v>1207</v>
      </c>
    </row>
    <row r="10469" spans="1:1" x14ac:dyDescent="0.2">
      <c r="A10469" t="s">
        <v>1208</v>
      </c>
    </row>
    <row r="10470" spans="1:1" x14ac:dyDescent="0.2">
      <c r="A10470" t="s">
        <v>1209</v>
      </c>
    </row>
    <row r="10471" spans="1:1" x14ac:dyDescent="0.2">
      <c r="A10471" t="s">
        <v>1210</v>
      </c>
    </row>
    <row r="10472" spans="1:1" x14ac:dyDescent="0.2">
      <c r="A10472" t="s">
        <v>1211</v>
      </c>
    </row>
    <row r="10473" spans="1:1" x14ac:dyDescent="0.2">
      <c r="A10473" t="s">
        <v>1212</v>
      </c>
    </row>
    <row r="10474" spans="1:1" x14ac:dyDescent="0.2">
      <c r="A10474" t="s">
        <v>1213</v>
      </c>
    </row>
    <row r="10475" spans="1:1" x14ac:dyDescent="0.2">
      <c r="A10475" t="s">
        <v>1214</v>
      </c>
    </row>
    <row r="10476" spans="1:1" x14ac:dyDescent="0.2">
      <c r="A10476" t="s">
        <v>1215</v>
      </c>
    </row>
    <row r="10477" spans="1:1" x14ac:dyDescent="0.2">
      <c r="A10477" t="s">
        <v>1216</v>
      </c>
    </row>
    <row r="10478" spans="1:1" x14ac:dyDescent="0.2">
      <c r="A10478" t="s">
        <v>1217</v>
      </c>
    </row>
    <row r="10479" spans="1:1" x14ac:dyDescent="0.2">
      <c r="A10479" t="s">
        <v>1218</v>
      </c>
    </row>
    <row r="10480" spans="1:1" x14ac:dyDescent="0.2">
      <c r="A10480" t="s">
        <v>1219</v>
      </c>
    </row>
    <row r="10481" spans="1:1" x14ac:dyDescent="0.2">
      <c r="A10481" t="s">
        <v>1220</v>
      </c>
    </row>
    <row r="10482" spans="1:1" x14ac:dyDescent="0.2">
      <c r="A10482" t="s">
        <v>1221</v>
      </c>
    </row>
    <row r="10483" spans="1:1" x14ac:dyDescent="0.2">
      <c r="A10483" t="s">
        <v>1222</v>
      </c>
    </row>
    <row r="10484" spans="1:1" x14ac:dyDescent="0.2">
      <c r="A10484" t="s">
        <v>1223</v>
      </c>
    </row>
    <row r="10485" spans="1:1" x14ac:dyDescent="0.2">
      <c r="A10485" t="s">
        <v>1224</v>
      </c>
    </row>
    <row r="10486" spans="1:1" x14ac:dyDescent="0.2">
      <c r="A10486" t="s">
        <v>1225</v>
      </c>
    </row>
    <row r="10487" spans="1:1" x14ac:dyDescent="0.2">
      <c r="A10487" t="s">
        <v>1226</v>
      </c>
    </row>
    <row r="10488" spans="1:1" x14ac:dyDescent="0.2">
      <c r="A10488" t="s">
        <v>1227</v>
      </c>
    </row>
    <row r="10489" spans="1:1" x14ac:dyDescent="0.2">
      <c r="A10489" t="s">
        <v>1228</v>
      </c>
    </row>
    <row r="10490" spans="1:1" x14ac:dyDescent="0.2">
      <c r="A10490" t="s">
        <v>1229</v>
      </c>
    </row>
    <row r="10491" spans="1:1" x14ac:dyDescent="0.2">
      <c r="A10491" t="s">
        <v>1230</v>
      </c>
    </row>
    <row r="10492" spans="1:1" x14ac:dyDescent="0.2">
      <c r="A10492" t="s">
        <v>1231</v>
      </c>
    </row>
    <row r="10493" spans="1:1" x14ac:dyDescent="0.2">
      <c r="A10493" t="s">
        <v>1232</v>
      </c>
    </row>
    <row r="10494" spans="1:1" x14ac:dyDescent="0.2">
      <c r="A10494" t="s">
        <v>1233</v>
      </c>
    </row>
    <row r="10495" spans="1:1" x14ac:dyDescent="0.2">
      <c r="A10495" t="s">
        <v>1234</v>
      </c>
    </row>
    <row r="10496" spans="1:1" x14ac:dyDescent="0.2">
      <c r="A10496" t="s">
        <v>1235</v>
      </c>
    </row>
    <row r="10497" spans="1:1" x14ac:dyDescent="0.2">
      <c r="A10497" t="s">
        <v>1236</v>
      </c>
    </row>
    <row r="10498" spans="1:1" x14ac:dyDescent="0.2">
      <c r="A10498" t="s">
        <v>1237</v>
      </c>
    </row>
    <row r="10499" spans="1:1" x14ac:dyDescent="0.2">
      <c r="A10499" t="s">
        <v>1238</v>
      </c>
    </row>
    <row r="10500" spans="1:1" x14ac:dyDescent="0.2">
      <c r="A10500" t="s">
        <v>1239</v>
      </c>
    </row>
    <row r="10501" spans="1:1" x14ac:dyDescent="0.2">
      <c r="A10501" t="s">
        <v>1240</v>
      </c>
    </row>
    <row r="10502" spans="1:1" x14ac:dyDescent="0.2">
      <c r="A10502" t="s">
        <v>1241</v>
      </c>
    </row>
    <row r="10503" spans="1:1" x14ac:dyDescent="0.2">
      <c r="A10503" t="s">
        <v>1242</v>
      </c>
    </row>
    <row r="10504" spans="1:1" x14ac:dyDescent="0.2">
      <c r="A10504" t="s">
        <v>1243</v>
      </c>
    </row>
    <row r="10505" spans="1:1" x14ac:dyDescent="0.2">
      <c r="A10505" t="s">
        <v>1244</v>
      </c>
    </row>
    <row r="10506" spans="1:1" x14ac:dyDescent="0.2">
      <c r="A10506" t="s">
        <v>1245</v>
      </c>
    </row>
    <row r="10507" spans="1:1" x14ac:dyDescent="0.2">
      <c r="A10507" t="s">
        <v>1246</v>
      </c>
    </row>
    <row r="10508" spans="1:1" x14ac:dyDescent="0.2">
      <c r="A10508" t="s">
        <v>1247</v>
      </c>
    </row>
    <row r="10509" spans="1:1" x14ac:dyDescent="0.2">
      <c r="A10509" t="s">
        <v>1248</v>
      </c>
    </row>
    <row r="10510" spans="1:1" x14ac:dyDescent="0.2">
      <c r="A10510" t="s">
        <v>1249</v>
      </c>
    </row>
    <row r="10511" spans="1:1" x14ac:dyDescent="0.2">
      <c r="A10511" t="s">
        <v>1250</v>
      </c>
    </row>
    <row r="10512" spans="1:1" x14ac:dyDescent="0.2">
      <c r="A10512" t="s">
        <v>1251</v>
      </c>
    </row>
    <row r="10513" spans="1:1" x14ac:dyDescent="0.2">
      <c r="A10513" t="s">
        <v>1252</v>
      </c>
    </row>
    <row r="10514" spans="1:1" x14ac:dyDescent="0.2">
      <c r="A10514" t="s">
        <v>1253</v>
      </c>
    </row>
    <row r="10515" spans="1:1" x14ac:dyDescent="0.2">
      <c r="A10515" t="s">
        <v>1254</v>
      </c>
    </row>
    <row r="10516" spans="1:1" x14ac:dyDescent="0.2">
      <c r="A10516" t="s">
        <v>1255</v>
      </c>
    </row>
    <row r="10517" spans="1:1" x14ac:dyDescent="0.2">
      <c r="A10517" t="s">
        <v>1256</v>
      </c>
    </row>
    <row r="10518" spans="1:1" x14ac:dyDescent="0.2">
      <c r="A10518" t="s">
        <v>1257</v>
      </c>
    </row>
    <row r="10519" spans="1:1" x14ac:dyDescent="0.2">
      <c r="A10519" t="s">
        <v>1258</v>
      </c>
    </row>
    <row r="10520" spans="1:1" x14ac:dyDescent="0.2">
      <c r="A10520" t="s">
        <v>1259</v>
      </c>
    </row>
    <row r="10521" spans="1:1" x14ac:dyDescent="0.2">
      <c r="A10521" t="s">
        <v>1260</v>
      </c>
    </row>
    <row r="10522" spans="1:1" x14ac:dyDescent="0.2">
      <c r="A10522" t="s">
        <v>1261</v>
      </c>
    </row>
    <row r="10523" spans="1:1" x14ac:dyDescent="0.2">
      <c r="A10523" t="s">
        <v>1262</v>
      </c>
    </row>
    <row r="10524" spans="1:1" x14ac:dyDescent="0.2">
      <c r="A10524" t="s">
        <v>1263</v>
      </c>
    </row>
    <row r="10525" spans="1:1" x14ac:dyDescent="0.2">
      <c r="A10525" t="s">
        <v>1264</v>
      </c>
    </row>
    <row r="10526" spans="1:1" x14ac:dyDescent="0.2">
      <c r="A10526" t="s">
        <v>1265</v>
      </c>
    </row>
    <row r="10527" spans="1:1" x14ac:dyDescent="0.2">
      <c r="A10527" t="s">
        <v>1266</v>
      </c>
    </row>
    <row r="10528" spans="1:1" x14ac:dyDescent="0.2">
      <c r="A10528" t="s">
        <v>1267</v>
      </c>
    </row>
    <row r="10529" spans="1:1" x14ac:dyDescent="0.2">
      <c r="A10529" t="s">
        <v>1268</v>
      </c>
    </row>
    <row r="10530" spans="1:1" x14ac:dyDescent="0.2">
      <c r="A10530" t="s">
        <v>1269</v>
      </c>
    </row>
    <row r="10531" spans="1:1" x14ac:dyDescent="0.2">
      <c r="A10531" t="s">
        <v>1270</v>
      </c>
    </row>
    <row r="10532" spans="1:1" x14ac:dyDescent="0.2">
      <c r="A10532" t="s">
        <v>1271</v>
      </c>
    </row>
    <row r="10533" spans="1:1" x14ac:dyDescent="0.2">
      <c r="A10533" t="s">
        <v>1272</v>
      </c>
    </row>
    <row r="10534" spans="1:1" x14ac:dyDescent="0.2">
      <c r="A10534" t="s">
        <v>1273</v>
      </c>
    </row>
    <row r="10535" spans="1:1" x14ac:dyDescent="0.2">
      <c r="A10535" t="s">
        <v>1274</v>
      </c>
    </row>
    <row r="10536" spans="1:1" x14ac:dyDescent="0.2">
      <c r="A10536" t="s">
        <v>1275</v>
      </c>
    </row>
    <row r="10537" spans="1:1" x14ac:dyDescent="0.2">
      <c r="A10537" t="s">
        <v>1276</v>
      </c>
    </row>
    <row r="10538" spans="1:1" x14ac:dyDescent="0.2">
      <c r="A10538" t="s">
        <v>1277</v>
      </c>
    </row>
    <row r="10539" spans="1:1" x14ac:dyDescent="0.2">
      <c r="A10539" t="s">
        <v>1278</v>
      </c>
    </row>
    <row r="10540" spans="1:1" x14ac:dyDescent="0.2">
      <c r="A10540" t="s">
        <v>1279</v>
      </c>
    </row>
    <row r="10541" spans="1:1" x14ac:dyDescent="0.2">
      <c r="A10541" t="s">
        <v>1280</v>
      </c>
    </row>
    <row r="10542" spans="1:1" x14ac:dyDescent="0.2">
      <c r="A10542" t="s">
        <v>1281</v>
      </c>
    </row>
    <row r="10543" spans="1:1" x14ac:dyDescent="0.2">
      <c r="A10543" t="s">
        <v>1282</v>
      </c>
    </row>
    <row r="10544" spans="1:1" x14ac:dyDescent="0.2">
      <c r="A10544" t="s">
        <v>1283</v>
      </c>
    </row>
    <row r="10545" spans="1:1" x14ac:dyDescent="0.2">
      <c r="A10545" t="s">
        <v>1284</v>
      </c>
    </row>
    <row r="10546" spans="1:1" x14ac:dyDescent="0.2">
      <c r="A10546" t="s">
        <v>1285</v>
      </c>
    </row>
    <row r="10547" spans="1:1" x14ac:dyDescent="0.2">
      <c r="A10547" t="s">
        <v>1286</v>
      </c>
    </row>
    <row r="10548" spans="1:1" x14ac:dyDescent="0.2">
      <c r="A10548" t="s">
        <v>3023</v>
      </c>
    </row>
    <row r="10549" spans="1:1" x14ac:dyDescent="0.2">
      <c r="A10549" t="s">
        <v>1053</v>
      </c>
    </row>
    <row r="10550" spans="1:1" x14ac:dyDescent="0.2">
      <c r="A10550" t="s">
        <v>3024</v>
      </c>
    </row>
    <row r="10551" spans="1:1" x14ac:dyDescent="0.2">
      <c r="A10551" t="s">
        <v>2768</v>
      </c>
    </row>
    <row r="10552" spans="1:1" x14ac:dyDescent="0.2">
      <c r="A10552" t="s">
        <v>2769</v>
      </c>
    </row>
    <row r="10553" spans="1:1" x14ac:dyDescent="0.2">
      <c r="A10553" t="s">
        <v>1054</v>
      </c>
    </row>
    <row r="10554" spans="1:1" x14ac:dyDescent="0.2">
      <c r="A10554" t="s">
        <v>1055</v>
      </c>
    </row>
    <row r="10555" spans="1:1" x14ac:dyDescent="0.2">
      <c r="A10555" t="s">
        <v>2972</v>
      </c>
    </row>
    <row r="10556" spans="1:1" x14ac:dyDescent="0.2">
      <c r="A10556" t="s">
        <v>1056</v>
      </c>
    </row>
    <row r="10557" spans="1:1" x14ac:dyDescent="0.2">
      <c r="A10557" t="s">
        <v>1057</v>
      </c>
    </row>
    <row r="10558" spans="1:1" x14ac:dyDescent="0.2">
      <c r="A10558" t="s">
        <v>1058</v>
      </c>
    </row>
    <row r="10559" spans="1:1" x14ac:dyDescent="0.2">
      <c r="A10559" t="s">
        <v>1059</v>
      </c>
    </row>
    <row r="10560" spans="1:1" x14ac:dyDescent="0.2">
      <c r="A10560" t="s">
        <v>1060</v>
      </c>
    </row>
    <row r="10561" spans="1:1" x14ac:dyDescent="0.2">
      <c r="A10561" t="s">
        <v>1061</v>
      </c>
    </row>
    <row r="10562" spans="1:1" x14ac:dyDescent="0.2">
      <c r="A10562" t="s">
        <v>1062</v>
      </c>
    </row>
    <row r="10563" spans="1:1" x14ac:dyDescent="0.2">
      <c r="A10563" t="s">
        <v>1063</v>
      </c>
    </row>
    <row r="10564" spans="1:1" x14ac:dyDescent="0.2">
      <c r="A10564" t="s">
        <v>1064</v>
      </c>
    </row>
    <row r="10565" spans="1:1" x14ac:dyDescent="0.2">
      <c r="A10565" t="s">
        <v>1065</v>
      </c>
    </row>
    <row r="10566" spans="1:1" x14ac:dyDescent="0.2">
      <c r="A10566" t="s">
        <v>1066</v>
      </c>
    </row>
    <row r="10567" spans="1:1" x14ac:dyDescent="0.2">
      <c r="A10567" t="s">
        <v>1067</v>
      </c>
    </row>
    <row r="10568" spans="1:1" x14ac:dyDescent="0.2">
      <c r="A10568" t="s">
        <v>1068</v>
      </c>
    </row>
    <row r="10569" spans="1:1" x14ac:dyDescent="0.2">
      <c r="A10569" t="s">
        <v>1069</v>
      </c>
    </row>
    <row r="10570" spans="1:1" x14ac:dyDescent="0.2">
      <c r="A10570" t="s">
        <v>1070</v>
      </c>
    </row>
    <row r="10571" spans="1:1" x14ac:dyDescent="0.2">
      <c r="A10571" t="s">
        <v>1071</v>
      </c>
    </row>
    <row r="10572" spans="1:1" x14ac:dyDescent="0.2">
      <c r="A10572" t="s">
        <v>1072</v>
      </c>
    </row>
    <row r="10573" spans="1:1" x14ac:dyDescent="0.2">
      <c r="A10573" t="s">
        <v>1073</v>
      </c>
    </row>
    <row r="10574" spans="1:1" x14ac:dyDescent="0.2">
      <c r="A10574" t="s">
        <v>1074</v>
      </c>
    </row>
    <row r="10575" spans="1:1" x14ac:dyDescent="0.2">
      <c r="A10575" t="s">
        <v>1075</v>
      </c>
    </row>
    <row r="10576" spans="1:1" x14ac:dyDescent="0.2">
      <c r="A10576" t="s">
        <v>1076</v>
      </c>
    </row>
    <row r="10577" spans="1:1" x14ac:dyDescent="0.2">
      <c r="A10577" t="s">
        <v>1077</v>
      </c>
    </row>
    <row r="10578" spans="1:1" x14ac:dyDescent="0.2">
      <c r="A10578" t="s">
        <v>1078</v>
      </c>
    </row>
    <row r="10579" spans="1:1" x14ac:dyDescent="0.2">
      <c r="A10579" t="s">
        <v>1079</v>
      </c>
    </row>
    <row r="10580" spans="1:1" x14ac:dyDescent="0.2">
      <c r="A10580" t="s">
        <v>1080</v>
      </c>
    </row>
    <row r="10581" spans="1:1" x14ac:dyDescent="0.2">
      <c r="A10581" t="s">
        <v>1081</v>
      </c>
    </row>
    <row r="10582" spans="1:1" x14ac:dyDescent="0.2">
      <c r="A10582" t="s">
        <v>1082</v>
      </c>
    </row>
    <row r="10583" spans="1:1" x14ac:dyDescent="0.2">
      <c r="A10583" t="s">
        <v>1083</v>
      </c>
    </row>
    <row r="10584" spans="1:1" x14ac:dyDescent="0.2">
      <c r="A10584" t="s">
        <v>2771</v>
      </c>
    </row>
    <row r="10585" spans="1:1" x14ac:dyDescent="0.2">
      <c r="A10585" t="s">
        <v>2772</v>
      </c>
    </row>
    <row r="10586" spans="1:1" x14ac:dyDescent="0.2">
      <c r="A10586" t="s">
        <v>2773</v>
      </c>
    </row>
    <row r="10587" spans="1:1" x14ac:dyDescent="0.2">
      <c r="A10587" t="s">
        <v>2774</v>
      </c>
    </row>
    <row r="10588" spans="1:1" x14ac:dyDescent="0.2">
      <c r="A10588" t="s">
        <v>2775</v>
      </c>
    </row>
    <row r="10589" spans="1:1" x14ac:dyDescent="0.2">
      <c r="A10589" t="s">
        <v>2776</v>
      </c>
    </row>
    <row r="10590" spans="1:1" x14ac:dyDescent="0.2">
      <c r="A10590" t="s">
        <v>1084</v>
      </c>
    </row>
    <row r="10591" spans="1:1" x14ac:dyDescent="0.2">
      <c r="A10591" t="s">
        <v>1085</v>
      </c>
    </row>
    <row r="10592" spans="1:1" x14ac:dyDescent="0.2">
      <c r="A10592" t="s">
        <v>1086</v>
      </c>
    </row>
    <row r="10593" spans="1:1" x14ac:dyDescent="0.2">
      <c r="A10593" t="s">
        <v>1087</v>
      </c>
    </row>
    <row r="10594" spans="1:1" x14ac:dyDescent="0.2">
      <c r="A10594" t="s">
        <v>1088</v>
      </c>
    </row>
    <row r="10595" spans="1:1" x14ac:dyDescent="0.2">
      <c r="A10595" t="s">
        <v>1089</v>
      </c>
    </row>
    <row r="10596" spans="1:1" x14ac:dyDescent="0.2">
      <c r="A10596" t="s">
        <v>1090</v>
      </c>
    </row>
    <row r="10597" spans="1:1" x14ac:dyDescent="0.2">
      <c r="A10597" t="s">
        <v>1091</v>
      </c>
    </row>
    <row r="10598" spans="1:1" x14ac:dyDescent="0.2">
      <c r="A10598" t="s">
        <v>1092</v>
      </c>
    </row>
    <row r="10599" spans="1:1" x14ac:dyDescent="0.2">
      <c r="A10599" t="s">
        <v>1093</v>
      </c>
    </row>
    <row r="10600" spans="1:1" x14ac:dyDescent="0.2">
      <c r="A10600" t="s">
        <v>1094</v>
      </c>
    </row>
    <row r="10601" spans="1:1" x14ac:dyDescent="0.2">
      <c r="A10601" t="s">
        <v>1095</v>
      </c>
    </row>
    <row r="10602" spans="1:1" x14ac:dyDescent="0.2">
      <c r="A10602" t="s">
        <v>1096</v>
      </c>
    </row>
    <row r="10603" spans="1:1" x14ac:dyDescent="0.2">
      <c r="A10603" t="s">
        <v>1097</v>
      </c>
    </row>
    <row r="10604" spans="1:1" x14ac:dyDescent="0.2">
      <c r="A10604" t="s">
        <v>1098</v>
      </c>
    </row>
    <row r="10605" spans="1:1" x14ac:dyDescent="0.2">
      <c r="A10605" t="s">
        <v>1099</v>
      </c>
    </row>
    <row r="10606" spans="1:1" x14ac:dyDescent="0.2">
      <c r="A10606" t="s">
        <v>1100</v>
      </c>
    </row>
    <row r="10607" spans="1:1" x14ac:dyDescent="0.2">
      <c r="A10607" t="s">
        <v>1101</v>
      </c>
    </row>
    <row r="10608" spans="1:1" x14ac:dyDescent="0.2">
      <c r="A10608" t="s">
        <v>1102</v>
      </c>
    </row>
    <row r="10609" spans="1:1" x14ac:dyDescent="0.2">
      <c r="A10609" t="s">
        <v>1103</v>
      </c>
    </row>
    <row r="10610" spans="1:1" x14ac:dyDescent="0.2">
      <c r="A10610" t="s">
        <v>1104</v>
      </c>
    </row>
    <row r="10611" spans="1:1" x14ac:dyDescent="0.2">
      <c r="A10611" t="s">
        <v>1105</v>
      </c>
    </row>
    <row r="10612" spans="1:1" x14ac:dyDescent="0.2">
      <c r="A10612" t="s">
        <v>1106</v>
      </c>
    </row>
    <row r="10613" spans="1:1" x14ac:dyDescent="0.2">
      <c r="A10613" t="s">
        <v>1107</v>
      </c>
    </row>
    <row r="10614" spans="1:1" x14ac:dyDescent="0.2">
      <c r="A10614" t="s">
        <v>1108</v>
      </c>
    </row>
    <row r="10615" spans="1:1" x14ac:dyDescent="0.2">
      <c r="A10615" t="s">
        <v>1109</v>
      </c>
    </row>
    <row r="10616" spans="1:1" x14ac:dyDescent="0.2">
      <c r="A10616" t="s">
        <v>1110</v>
      </c>
    </row>
    <row r="10617" spans="1:1" x14ac:dyDescent="0.2">
      <c r="A10617" t="s">
        <v>1111</v>
      </c>
    </row>
    <row r="10618" spans="1:1" x14ac:dyDescent="0.2">
      <c r="A10618" t="s">
        <v>1112</v>
      </c>
    </row>
    <row r="10619" spans="1:1" x14ac:dyDescent="0.2">
      <c r="A10619" t="s">
        <v>1113</v>
      </c>
    </row>
    <row r="10620" spans="1:1" x14ac:dyDescent="0.2">
      <c r="A10620" t="s">
        <v>1114</v>
      </c>
    </row>
    <row r="10621" spans="1:1" x14ac:dyDescent="0.2">
      <c r="A10621" t="s">
        <v>1115</v>
      </c>
    </row>
    <row r="10622" spans="1:1" x14ac:dyDescent="0.2">
      <c r="A10622" t="s">
        <v>1116</v>
      </c>
    </row>
    <row r="10623" spans="1:1" x14ac:dyDescent="0.2">
      <c r="A10623" t="s">
        <v>1117</v>
      </c>
    </row>
    <row r="10624" spans="1:1" x14ac:dyDescent="0.2">
      <c r="A10624" t="s">
        <v>1118</v>
      </c>
    </row>
    <row r="10625" spans="1:1" x14ac:dyDescent="0.2">
      <c r="A10625" t="s">
        <v>1119</v>
      </c>
    </row>
    <row r="10626" spans="1:1" x14ac:dyDescent="0.2">
      <c r="A10626" t="s">
        <v>1120</v>
      </c>
    </row>
    <row r="10627" spans="1:1" x14ac:dyDescent="0.2">
      <c r="A10627" t="s">
        <v>1288</v>
      </c>
    </row>
    <row r="10628" spans="1:1" x14ac:dyDescent="0.2">
      <c r="A10628" t="s">
        <v>3025</v>
      </c>
    </row>
    <row r="10629" spans="1:1" x14ac:dyDescent="0.2">
      <c r="A10629" t="s">
        <v>3026</v>
      </c>
    </row>
    <row r="10630" spans="1:1" x14ac:dyDescent="0.2">
      <c r="A10630" t="s">
        <v>3020</v>
      </c>
    </row>
    <row r="10631" spans="1:1" x14ac:dyDescent="0.2">
      <c r="A10631" t="s">
        <v>3021</v>
      </c>
    </row>
    <row r="10632" spans="1:1" x14ac:dyDescent="0.2">
      <c r="A10632" t="s">
        <v>1289</v>
      </c>
    </row>
    <row r="10633" spans="1:1" x14ac:dyDescent="0.2">
      <c r="A10633" t="s">
        <v>2781</v>
      </c>
    </row>
    <row r="10634" spans="1:1" x14ac:dyDescent="0.2">
      <c r="A10634" t="s">
        <v>3027</v>
      </c>
    </row>
    <row r="10635" spans="1:1" x14ac:dyDescent="0.2">
      <c r="A10635" t="s">
        <v>1122</v>
      </c>
    </row>
    <row r="10636" spans="1:1" x14ac:dyDescent="0.2">
      <c r="A10636" t="s">
        <v>1123</v>
      </c>
    </row>
    <row r="10637" spans="1:1" x14ac:dyDescent="0.2">
      <c r="A10637" t="s">
        <v>1124</v>
      </c>
    </row>
    <row r="10638" spans="1:1" x14ac:dyDescent="0.2">
      <c r="A10638" t="s">
        <v>1125</v>
      </c>
    </row>
    <row r="10639" spans="1:1" x14ac:dyDescent="0.2">
      <c r="A10639" t="s">
        <v>1126</v>
      </c>
    </row>
    <row r="10640" spans="1:1" x14ac:dyDescent="0.2">
      <c r="A10640" t="s">
        <v>1127</v>
      </c>
    </row>
    <row r="10641" spans="1:1" x14ac:dyDescent="0.2">
      <c r="A10641" t="s">
        <v>1128</v>
      </c>
    </row>
    <row r="10642" spans="1:1" x14ac:dyDescent="0.2">
      <c r="A10642" t="s">
        <v>1129</v>
      </c>
    </row>
    <row r="10643" spans="1:1" x14ac:dyDescent="0.2">
      <c r="A10643" t="s">
        <v>1130</v>
      </c>
    </row>
    <row r="10644" spans="1:1" x14ac:dyDescent="0.2">
      <c r="A10644" t="s">
        <v>1131</v>
      </c>
    </row>
    <row r="10645" spans="1:1" x14ac:dyDescent="0.2">
      <c r="A10645" t="s">
        <v>1132</v>
      </c>
    </row>
    <row r="10646" spans="1:1" x14ac:dyDescent="0.2">
      <c r="A10646" t="s">
        <v>1133</v>
      </c>
    </row>
    <row r="10647" spans="1:1" x14ac:dyDescent="0.2">
      <c r="A10647" t="s">
        <v>1134</v>
      </c>
    </row>
    <row r="10648" spans="1:1" x14ac:dyDescent="0.2">
      <c r="A10648" t="s">
        <v>1135</v>
      </c>
    </row>
    <row r="10649" spans="1:1" x14ac:dyDescent="0.2">
      <c r="A10649" t="s">
        <v>1136</v>
      </c>
    </row>
    <row r="10650" spans="1:1" x14ac:dyDescent="0.2">
      <c r="A10650" t="s">
        <v>1137</v>
      </c>
    </row>
    <row r="10651" spans="1:1" x14ac:dyDescent="0.2">
      <c r="A10651" t="s">
        <v>1138</v>
      </c>
    </row>
    <row r="10652" spans="1:1" x14ac:dyDescent="0.2">
      <c r="A10652" t="s">
        <v>1139</v>
      </c>
    </row>
    <row r="10653" spans="1:1" x14ac:dyDescent="0.2">
      <c r="A10653" t="s">
        <v>1140</v>
      </c>
    </row>
    <row r="10654" spans="1:1" x14ac:dyDescent="0.2">
      <c r="A10654" t="s">
        <v>1141</v>
      </c>
    </row>
    <row r="10655" spans="1:1" x14ac:dyDescent="0.2">
      <c r="A10655" t="s">
        <v>1142</v>
      </c>
    </row>
    <row r="10656" spans="1:1" x14ac:dyDescent="0.2">
      <c r="A10656" t="s">
        <v>1143</v>
      </c>
    </row>
    <row r="10657" spans="1:1" x14ac:dyDescent="0.2">
      <c r="A10657" t="s">
        <v>1144</v>
      </c>
    </row>
    <row r="10658" spans="1:1" x14ac:dyDescent="0.2">
      <c r="A10658" t="s">
        <v>1145</v>
      </c>
    </row>
    <row r="10659" spans="1:1" x14ac:dyDescent="0.2">
      <c r="A10659" t="s">
        <v>1146</v>
      </c>
    </row>
    <row r="10660" spans="1:1" x14ac:dyDescent="0.2">
      <c r="A10660" t="s">
        <v>1147</v>
      </c>
    </row>
    <row r="10661" spans="1:1" x14ac:dyDescent="0.2">
      <c r="A10661" t="s">
        <v>1148</v>
      </c>
    </row>
    <row r="10662" spans="1:1" x14ac:dyDescent="0.2">
      <c r="A10662" t="s">
        <v>1149</v>
      </c>
    </row>
    <row r="10663" spans="1:1" x14ac:dyDescent="0.2">
      <c r="A10663" t="s">
        <v>1150</v>
      </c>
    </row>
    <row r="10664" spans="1:1" x14ac:dyDescent="0.2">
      <c r="A10664" t="s">
        <v>1151</v>
      </c>
    </row>
    <row r="10665" spans="1:1" x14ac:dyDescent="0.2">
      <c r="A10665" t="s">
        <v>1152</v>
      </c>
    </row>
    <row r="10666" spans="1:1" x14ac:dyDescent="0.2">
      <c r="A10666" t="s">
        <v>1153</v>
      </c>
    </row>
    <row r="10667" spans="1:1" x14ac:dyDescent="0.2">
      <c r="A10667" t="s">
        <v>1154</v>
      </c>
    </row>
    <row r="10668" spans="1:1" x14ac:dyDescent="0.2">
      <c r="A10668" t="s">
        <v>1155</v>
      </c>
    </row>
    <row r="10669" spans="1:1" x14ac:dyDescent="0.2">
      <c r="A10669" t="s">
        <v>1156</v>
      </c>
    </row>
    <row r="10670" spans="1:1" x14ac:dyDescent="0.2">
      <c r="A10670" t="s">
        <v>1157</v>
      </c>
    </row>
    <row r="10671" spans="1:1" x14ac:dyDescent="0.2">
      <c r="A10671" t="s">
        <v>1158</v>
      </c>
    </row>
    <row r="10672" spans="1:1" x14ac:dyDescent="0.2">
      <c r="A10672" t="s">
        <v>1159</v>
      </c>
    </row>
    <row r="10673" spans="1:1" x14ac:dyDescent="0.2">
      <c r="A10673" t="s">
        <v>1160</v>
      </c>
    </row>
    <row r="10674" spans="1:1" x14ac:dyDescent="0.2">
      <c r="A10674" t="s">
        <v>1161</v>
      </c>
    </row>
    <row r="10675" spans="1:1" x14ac:dyDescent="0.2">
      <c r="A10675" t="s">
        <v>1162</v>
      </c>
    </row>
    <row r="10676" spans="1:1" x14ac:dyDescent="0.2">
      <c r="A10676" t="s">
        <v>1163</v>
      </c>
    </row>
    <row r="10677" spans="1:1" x14ac:dyDescent="0.2">
      <c r="A10677" t="s">
        <v>1164</v>
      </c>
    </row>
    <row r="10678" spans="1:1" x14ac:dyDescent="0.2">
      <c r="A10678" t="s">
        <v>1165</v>
      </c>
    </row>
    <row r="10679" spans="1:1" x14ac:dyDescent="0.2">
      <c r="A10679" t="s">
        <v>1166</v>
      </c>
    </row>
    <row r="10680" spans="1:1" x14ac:dyDescent="0.2">
      <c r="A10680" t="s">
        <v>1167</v>
      </c>
    </row>
    <row r="10681" spans="1:1" x14ac:dyDescent="0.2">
      <c r="A10681" t="s">
        <v>1168</v>
      </c>
    </row>
    <row r="10682" spans="1:1" x14ac:dyDescent="0.2">
      <c r="A10682" t="s">
        <v>1169</v>
      </c>
    </row>
    <row r="10683" spans="1:1" x14ac:dyDescent="0.2">
      <c r="A10683" t="s">
        <v>1170</v>
      </c>
    </row>
    <row r="10684" spans="1:1" x14ac:dyDescent="0.2">
      <c r="A10684" t="s">
        <v>1171</v>
      </c>
    </row>
    <row r="10685" spans="1:1" x14ac:dyDescent="0.2">
      <c r="A10685" t="s">
        <v>1172</v>
      </c>
    </row>
    <row r="10686" spans="1:1" x14ac:dyDescent="0.2">
      <c r="A10686" t="s">
        <v>1173</v>
      </c>
    </row>
    <row r="10687" spans="1:1" x14ac:dyDescent="0.2">
      <c r="A10687" t="s">
        <v>1174</v>
      </c>
    </row>
    <row r="10688" spans="1:1" x14ac:dyDescent="0.2">
      <c r="A10688" t="s">
        <v>1175</v>
      </c>
    </row>
    <row r="10689" spans="1:1" x14ac:dyDescent="0.2">
      <c r="A10689" t="s">
        <v>1176</v>
      </c>
    </row>
    <row r="10690" spans="1:1" x14ac:dyDescent="0.2">
      <c r="A10690" t="s">
        <v>1177</v>
      </c>
    </row>
    <row r="10691" spans="1:1" x14ac:dyDescent="0.2">
      <c r="A10691" t="s">
        <v>1178</v>
      </c>
    </row>
    <row r="10692" spans="1:1" x14ac:dyDescent="0.2">
      <c r="A10692" t="s">
        <v>1179</v>
      </c>
    </row>
    <row r="10693" spans="1:1" x14ac:dyDescent="0.2">
      <c r="A10693" t="s">
        <v>1180</v>
      </c>
    </row>
    <row r="10694" spans="1:1" x14ac:dyDescent="0.2">
      <c r="A10694" t="s">
        <v>1181</v>
      </c>
    </row>
    <row r="10695" spans="1:1" x14ac:dyDescent="0.2">
      <c r="A10695" t="s">
        <v>1182</v>
      </c>
    </row>
    <row r="10696" spans="1:1" x14ac:dyDescent="0.2">
      <c r="A10696" t="s">
        <v>1183</v>
      </c>
    </row>
    <row r="10697" spans="1:1" x14ac:dyDescent="0.2">
      <c r="A10697" t="s">
        <v>1184</v>
      </c>
    </row>
    <row r="10698" spans="1:1" x14ac:dyDescent="0.2">
      <c r="A10698" t="s">
        <v>1185</v>
      </c>
    </row>
    <row r="10699" spans="1:1" x14ac:dyDescent="0.2">
      <c r="A10699" t="s">
        <v>1186</v>
      </c>
    </row>
    <row r="10700" spans="1:1" x14ac:dyDescent="0.2">
      <c r="A10700" t="s">
        <v>1187</v>
      </c>
    </row>
    <row r="10701" spans="1:1" x14ac:dyDescent="0.2">
      <c r="A10701" t="s">
        <v>1188</v>
      </c>
    </row>
    <row r="10702" spans="1:1" x14ac:dyDescent="0.2">
      <c r="A10702" t="s">
        <v>1189</v>
      </c>
    </row>
    <row r="10703" spans="1:1" x14ac:dyDescent="0.2">
      <c r="A10703" t="s">
        <v>1190</v>
      </c>
    </row>
    <row r="10704" spans="1:1" x14ac:dyDescent="0.2">
      <c r="A10704" t="s">
        <v>1191</v>
      </c>
    </row>
    <row r="10705" spans="1:1" x14ac:dyDescent="0.2">
      <c r="A10705" t="s">
        <v>1192</v>
      </c>
    </row>
    <row r="10706" spans="1:1" x14ac:dyDescent="0.2">
      <c r="A10706" t="s">
        <v>1193</v>
      </c>
    </row>
    <row r="10707" spans="1:1" x14ac:dyDescent="0.2">
      <c r="A10707" t="s">
        <v>1194</v>
      </c>
    </row>
    <row r="10708" spans="1:1" x14ac:dyDescent="0.2">
      <c r="A10708" t="s">
        <v>1195</v>
      </c>
    </row>
    <row r="10709" spans="1:1" x14ac:dyDescent="0.2">
      <c r="A10709" t="s">
        <v>1196</v>
      </c>
    </row>
    <row r="10710" spans="1:1" x14ac:dyDescent="0.2">
      <c r="A10710" t="s">
        <v>1197</v>
      </c>
    </row>
    <row r="10711" spans="1:1" x14ac:dyDescent="0.2">
      <c r="A10711" t="s">
        <v>1198</v>
      </c>
    </row>
    <row r="10712" spans="1:1" x14ac:dyDescent="0.2">
      <c r="A10712" t="s">
        <v>1199</v>
      </c>
    </row>
    <row r="10713" spans="1:1" x14ac:dyDescent="0.2">
      <c r="A10713" t="s">
        <v>1200</v>
      </c>
    </row>
    <row r="10714" spans="1:1" x14ac:dyDescent="0.2">
      <c r="A10714" t="s">
        <v>1201</v>
      </c>
    </row>
    <row r="10715" spans="1:1" x14ac:dyDescent="0.2">
      <c r="A10715" t="s">
        <v>1202</v>
      </c>
    </row>
    <row r="10716" spans="1:1" x14ac:dyDescent="0.2">
      <c r="A10716" t="s">
        <v>1203</v>
      </c>
    </row>
    <row r="10717" spans="1:1" x14ac:dyDescent="0.2">
      <c r="A10717" t="s">
        <v>1204</v>
      </c>
    </row>
    <row r="10718" spans="1:1" x14ac:dyDescent="0.2">
      <c r="A10718" t="s">
        <v>1205</v>
      </c>
    </row>
    <row r="10719" spans="1:1" x14ac:dyDescent="0.2">
      <c r="A10719" t="s">
        <v>1206</v>
      </c>
    </row>
    <row r="10720" spans="1:1" x14ac:dyDescent="0.2">
      <c r="A10720" t="s">
        <v>1207</v>
      </c>
    </row>
    <row r="10721" spans="1:1" x14ac:dyDescent="0.2">
      <c r="A10721" t="s">
        <v>1208</v>
      </c>
    </row>
    <row r="10722" spans="1:1" x14ac:dyDescent="0.2">
      <c r="A10722" t="s">
        <v>1209</v>
      </c>
    </row>
    <row r="10723" spans="1:1" x14ac:dyDescent="0.2">
      <c r="A10723" t="s">
        <v>1210</v>
      </c>
    </row>
    <row r="10724" spans="1:1" x14ac:dyDescent="0.2">
      <c r="A10724" t="s">
        <v>1211</v>
      </c>
    </row>
    <row r="10725" spans="1:1" x14ac:dyDescent="0.2">
      <c r="A10725" t="s">
        <v>1212</v>
      </c>
    </row>
    <row r="10726" spans="1:1" x14ac:dyDescent="0.2">
      <c r="A10726" t="s">
        <v>1213</v>
      </c>
    </row>
    <row r="10727" spans="1:1" x14ac:dyDescent="0.2">
      <c r="A10727" t="s">
        <v>1214</v>
      </c>
    </row>
    <row r="10728" spans="1:1" x14ac:dyDescent="0.2">
      <c r="A10728" t="s">
        <v>1215</v>
      </c>
    </row>
    <row r="10729" spans="1:1" x14ac:dyDescent="0.2">
      <c r="A10729" t="s">
        <v>1216</v>
      </c>
    </row>
    <row r="10730" spans="1:1" x14ac:dyDescent="0.2">
      <c r="A10730" t="s">
        <v>1217</v>
      </c>
    </row>
    <row r="10731" spans="1:1" x14ac:dyDescent="0.2">
      <c r="A10731" t="s">
        <v>1218</v>
      </c>
    </row>
    <row r="10732" spans="1:1" x14ac:dyDescent="0.2">
      <c r="A10732" t="s">
        <v>1219</v>
      </c>
    </row>
    <row r="10733" spans="1:1" x14ac:dyDescent="0.2">
      <c r="A10733" t="s">
        <v>1220</v>
      </c>
    </row>
    <row r="10734" spans="1:1" x14ac:dyDescent="0.2">
      <c r="A10734" t="s">
        <v>1221</v>
      </c>
    </row>
    <row r="10735" spans="1:1" x14ac:dyDescent="0.2">
      <c r="A10735" t="s">
        <v>1222</v>
      </c>
    </row>
    <row r="10736" spans="1:1" x14ac:dyDescent="0.2">
      <c r="A10736" t="s">
        <v>1223</v>
      </c>
    </row>
    <row r="10737" spans="1:1" x14ac:dyDescent="0.2">
      <c r="A10737" t="s">
        <v>1224</v>
      </c>
    </row>
    <row r="10738" spans="1:1" x14ac:dyDescent="0.2">
      <c r="A10738" t="s">
        <v>1225</v>
      </c>
    </row>
    <row r="10739" spans="1:1" x14ac:dyDescent="0.2">
      <c r="A10739" t="s">
        <v>1226</v>
      </c>
    </row>
    <row r="10740" spans="1:1" x14ac:dyDescent="0.2">
      <c r="A10740" t="s">
        <v>1227</v>
      </c>
    </row>
    <row r="10741" spans="1:1" x14ac:dyDescent="0.2">
      <c r="A10741" t="s">
        <v>1228</v>
      </c>
    </row>
    <row r="10742" spans="1:1" x14ac:dyDescent="0.2">
      <c r="A10742" t="s">
        <v>1229</v>
      </c>
    </row>
    <row r="10743" spans="1:1" x14ac:dyDescent="0.2">
      <c r="A10743" t="s">
        <v>1230</v>
      </c>
    </row>
    <row r="10744" spans="1:1" x14ac:dyDescent="0.2">
      <c r="A10744" t="s">
        <v>1231</v>
      </c>
    </row>
    <row r="10745" spans="1:1" x14ac:dyDescent="0.2">
      <c r="A10745" t="s">
        <v>1232</v>
      </c>
    </row>
    <row r="10746" spans="1:1" x14ac:dyDescent="0.2">
      <c r="A10746" t="s">
        <v>1233</v>
      </c>
    </row>
    <row r="10747" spans="1:1" x14ac:dyDescent="0.2">
      <c r="A10747" t="s">
        <v>1234</v>
      </c>
    </row>
    <row r="10748" spans="1:1" x14ac:dyDescent="0.2">
      <c r="A10748" t="s">
        <v>1235</v>
      </c>
    </row>
    <row r="10749" spans="1:1" x14ac:dyDescent="0.2">
      <c r="A10749" t="s">
        <v>1236</v>
      </c>
    </row>
    <row r="10750" spans="1:1" x14ac:dyDescent="0.2">
      <c r="A10750" t="s">
        <v>1237</v>
      </c>
    </row>
    <row r="10751" spans="1:1" x14ac:dyDescent="0.2">
      <c r="A10751" t="s">
        <v>1238</v>
      </c>
    </row>
    <row r="10752" spans="1:1" x14ac:dyDescent="0.2">
      <c r="A10752" t="s">
        <v>1239</v>
      </c>
    </row>
    <row r="10753" spans="1:1" x14ac:dyDescent="0.2">
      <c r="A10753" t="s">
        <v>1240</v>
      </c>
    </row>
    <row r="10754" spans="1:1" x14ac:dyDescent="0.2">
      <c r="A10754" t="s">
        <v>1241</v>
      </c>
    </row>
    <row r="10755" spans="1:1" x14ac:dyDescent="0.2">
      <c r="A10755" t="s">
        <v>1242</v>
      </c>
    </row>
    <row r="10756" spans="1:1" x14ac:dyDescent="0.2">
      <c r="A10756" t="s">
        <v>1243</v>
      </c>
    </row>
    <row r="10757" spans="1:1" x14ac:dyDescent="0.2">
      <c r="A10757" t="s">
        <v>1244</v>
      </c>
    </row>
    <row r="10758" spans="1:1" x14ac:dyDescent="0.2">
      <c r="A10758" t="s">
        <v>1245</v>
      </c>
    </row>
    <row r="10759" spans="1:1" x14ac:dyDescent="0.2">
      <c r="A10759" t="s">
        <v>1246</v>
      </c>
    </row>
    <row r="10760" spans="1:1" x14ac:dyDescent="0.2">
      <c r="A10760" t="s">
        <v>1247</v>
      </c>
    </row>
    <row r="10761" spans="1:1" x14ac:dyDescent="0.2">
      <c r="A10761" t="s">
        <v>1248</v>
      </c>
    </row>
    <row r="10762" spans="1:1" x14ac:dyDescent="0.2">
      <c r="A10762" t="s">
        <v>1249</v>
      </c>
    </row>
    <row r="10763" spans="1:1" x14ac:dyDescent="0.2">
      <c r="A10763" t="s">
        <v>1250</v>
      </c>
    </row>
    <row r="10764" spans="1:1" x14ac:dyDescent="0.2">
      <c r="A10764" t="s">
        <v>1251</v>
      </c>
    </row>
    <row r="10765" spans="1:1" x14ac:dyDescent="0.2">
      <c r="A10765" t="s">
        <v>1252</v>
      </c>
    </row>
    <row r="10766" spans="1:1" x14ac:dyDescent="0.2">
      <c r="A10766" t="s">
        <v>1253</v>
      </c>
    </row>
    <row r="10767" spans="1:1" x14ac:dyDescent="0.2">
      <c r="A10767" t="s">
        <v>1254</v>
      </c>
    </row>
    <row r="10768" spans="1:1" x14ac:dyDescent="0.2">
      <c r="A10768" t="s">
        <v>1255</v>
      </c>
    </row>
    <row r="10769" spans="1:1" x14ac:dyDescent="0.2">
      <c r="A10769" t="s">
        <v>1256</v>
      </c>
    </row>
    <row r="10770" spans="1:1" x14ac:dyDescent="0.2">
      <c r="A10770" t="s">
        <v>1257</v>
      </c>
    </row>
    <row r="10771" spans="1:1" x14ac:dyDescent="0.2">
      <c r="A10771" t="s">
        <v>1258</v>
      </c>
    </row>
    <row r="10772" spans="1:1" x14ac:dyDescent="0.2">
      <c r="A10772" t="s">
        <v>1259</v>
      </c>
    </row>
    <row r="10773" spans="1:1" x14ac:dyDescent="0.2">
      <c r="A10773" t="s">
        <v>1260</v>
      </c>
    </row>
    <row r="10774" spans="1:1" x14ac:dyDescent="0.2">
      <c r="A10774" t="s">
        <v>1261</v>
      </c>
    </row>
    <row r="10775" spans="1:1" x14ac:dyDescent="0.2">
      <c r="A10775" t="s">
        <v>1262</v>
      </c>
    </row>
    <row r="10776" spans="1:1" x14ac:dyDescent="0.2">
      <c r="A10776" t="s">
        <v>1263</v>
      </c>
    </row>
    <row r="10777" spans="1:1" x14ac:dyDescent="0.2">
      <c r="A10777" t="s">
        <v>1264</v>
      </c>
    </row>
    <row r="10778" spans="1:1" x14ac:dyDescent="0.2">
      <c r="A10778" t="s">
        <v>1265</v>
      </c>
    </row>
    <row r="10779" spans="1:1" x14ac:dyDescent="0.2">
      <c r="A10779" t="s">
        <v>1266</v>
      </c>
    </row>
    <row r="10780" spans="1:1" x14ac:dyDescent="0.2">
      <c r="A10780" t="s">
        <v>1267</v>
      </c>
    </row>
    <row r="10781" spans="1:1" x14ac:dyDescent="0.2">
      <c r="A10781" t="s">
        <v>1268</v>
      </c>
    </row>
    <row r="10782" spans="1:1" x14ac:dyDescent="0.2">
      <c r="A10782" t="s">
        <v>1269</v>
      </c>
    </row>
    <row r="10783" spans="1:1" x14ac:dyDescent="0.2">
      <c r="A10783" t="s">
        <v>1270</v>
      </c>
    </row>
    <row r="10784" spans="1:1" x14ac:dyDescent="0.2">
      <c r="A10784" t="s">
        <v>1271</v>
      </c>
    </row>
    <row r="10785" spans="1:1" x14ac:dyDescent="0.2">
      <c r="A10785" t="s">
        <v>1272</v>
      </c>
    </row>
    <row r="10786" spans="1:1" x14ac:dyDescent="0.2">
      <c r="A10786" t="s">
        <v>1273</v>
      </c>
    </row>
    <row r="10787" spans="1:1" x14ac:dyDescent="0.2">
      <c r="A10787" t="s">
        <v>1274</v>
      </c>
    </row>
    <row r="10788" spans="1:1" x14ac:dyDescent="0.2">
      <c r="A10788" t="s">
        <v>1275</v>
      </c>
    </row>
    <row r="10789" spans="1:1" x14ac:dyDescent="0.2">
      <c r="A10789" t="s">
        <v>1276</v>
      </c>
    </row>
    <row r="10790" spans="1:1" x14ac:dyDescent="0.2">
      <c r="A10790" t="s">
        <v>1277</v>
      </c>
    </row>
    <row r="10791" spans="1:1" x14ac:dyDescent="0.2">
      <c r="A10791" t="s">
        <v>1278</v>
      </c>
    </row>
    <row r="10792" spans="1:1" x14ac:dyDescent="0.2">
      <c r="A10792" t="s">
        <v>1279</v>
      </c>
    </row>
    <row r="10793" spans="1:1" x14ac:dyDescent="0.2">
      <c r="A10793" t="s">
        <v>1280</v>
      </c>
    </row>
    <row r="10794" spans="1:1" x14ac:dyDescent="0.2">
      <c r="A10794" t="s">
        <v>1281</v>
      </c>
    </row>
    <row r="10795" spans="1:1" x14ac:dyDescent="0.2">
      <c r="A10795" t="s">
        <v>1282</v>
      </c>
    </row>
    <row r="10796" spans="1:1" x14ac:dyDescent="0.2">
      <c r="A10796" t="s">
        <v>1283</v>
      </c>
    </row>
    <row r="10797" spans="1:1" x14ac:dyDescent="0.2">
      <c r="A10797" t="s">
        <v>1284</v>
      </c>
    </row>
    <row r="10798" spans="1:1" x14ac:dyDescent="0.2">
      <c r="A10798" t="s">
        <v>1285</v>
      </c>
    </row>
    <row r="10799" spans="1:1" x14ac:dyDescent="0.2">
      <c r="A10799" t="s">
        <v>1286</v>
      </c>
    </row>
    <row r="10800" spans="1:1" x14ac:dyDescent="0.2">
      <c r="A10800" t="s">
        <v>3028</v>
      </c>
    </row>
    <row r="10801" spans="1:1" x14ac:dyDescent="0.2">
      <c r="A10801" t="s">
        <v>1053</v>
      </c>
    </row>
    <row r="10802" spans="1:1" x14ac:dyDescent="0.2">
      <c r="A10802" t="s">
        <v>3029</v>
      </c>
    </row>
    <row r="10803" spans="1:1" x14ac:dyDescent="0.2">
      <c r="A10803" t="s">
        <v>2768</v>
      </c>
    </row>
    <row r="10804" spans="1:1" x14ac:dyDescent="0.2">
      <c r="A10804" t="s">
        <v>2769</v>
      </c>
    </row>
    <row r="10805" spans="1:1" x14ac:dyDescent="0.2">
      <c r="A10805" t="s">
        <v>1054</v>
      </c>
    </row>
    <row r="10806" spans="1:1" x14ac:dyDescent="0.2">
      <c r="A10806" t="s">
        <v>1055</v>
      </c>
    </row>
    <row r="10807" spans="1:1" x14ac:dyDescent="0.2">
      <c r="A10807" t="s">
        <v>2807</v>
      </c>
    </row>
    <row r="10808" spans="1:1" x14ac:dyDescent="0.2">
      <c r="A10808" t="s">
        <v>1056</v>
      </c>
    </row>
    <row r="10809" spans="1:1" x14ac:dyDescent="0.2">
      <c r="A10809" t="s">
        <v>1057</v>
      </c>
    </row>
    <row r="10810" spans="1:1" x14ac:dyDescent="0.2">
      <c r="A10810" t="s">
        <v>1058</v>
      </c>
    </row>
    <row r="10811" spans="1:1" x14ac:dyDescent="0.2">
      <c r="A10811" t="s">
        <v>1059</v>
      </c>
    </row>
    <row r="10812" spans="1:1" x14ac:dyDescent="0.2">
      <c r="A10812" t="s">
        <v>1060</v>
      </c>
    </row>
    <row r="10813" spans="1:1" x14ac:dyDescent="0.2">
      <c r="A10813" t="s">
        <v>1061</v>
      </c>
    </row>
    <row r="10814" spans="1:1" x14ac:dyDescent="0.2">
      <c r="A10814" t="s">
        <v>1062</v>
      </c>
    </row>
    <row r="10815" spans="1:1" x14ac:dyDescent="0.2">
      <c r="A10815" t="s">
        <v>1063</v>
      </c>
    </row>
    <row r="10816" spans="1:1" x14ac:dyDescent="0.2">
      <c r="A10816" t="s">
        <v>1064</v>
      </c>
    </row>
    <row r="10817" spans="1:1" x14ac:dyDescent="0.2">
      <c r="A10817" t="s">
        <v>1065</v>
      </c>
    </row>
    <row r="10818" spans="1:1" x14ac:dyDescent="0.2">
      <c r="A10818" t="s">
        <v>1066</v>
      </c>
    </row>
    <row r="10819" spans="1:1" x14ac:dyDescent="0.2">
      <c r="A10819" t="s">
        <v>1067</v>
      </c>
    </row>
    <row r="10820" spans="1:1" x14ac:dyDescent="0.2">
      <c r="A10820" t="s">
        <v>1068</v>
      </c>
    </row>
    <row r="10821" spans="1:1" x14ac:dyDescent="0.2">
      <c r="A10821" t="s">
        <v>1069</v>
      </c>
    </row>
    <row r="10822" spans="1:1" x14ac:dyDescent="0.2">
      <c r="A10822" t="s">
        <v>1070</v>
      </c>
    </row>
    <row r="10823" spans="1:1" x14ac:dyDescent="0.2">
      <c r="A10823" t="s">
        <v>1071</v>
      </c>
    </row>
    <row r="10824" spans="1:1" x14ac:dyDescent="0.2">
      <c r="A10824" t="s">
        <v>1072</v>
      </c>
    </row>
    <row r="10825" spans="1:1" x14ac:dyDescent="0.2">
      <c r="A10825" t="s">
        <v>1073</v>
      </c>
    </row>
    <row r="10826" spans="1:1" x14ac:dyDescent="0.2">
      <c r="A10826" t="s">
        <v>1074</v>
      </c>
    </row>
    <row r="10827" spans="1:1" x14ac:dyDescent="0.2">
      <c r="A10827" t="s">
        <v>1075</v>
      </c>
    </row>
    <row r="10828" spans="1:1" x14ac:dyDescent="0.2">
      <c r="A10828" t="s">
        <v>1076</v>
      </c>
    </row>
    <row r="10829" spans="1:1" x14ac:dyDescent="0.2">
      <c r="A10829" t="s">
        <v>1077</v>
      </c>
    </row>
    <row r="10830" spans="1:1" x14ac:dyDescent="0.2">
      <c r="A10830" t="s">
        <v>1078</v>
      </c>
    </row>
    <row r="10831" spans="1:1" x14ac:dyDescent="0.2">
      <c r="A10831" t="s">
        <v>1079</v>
      </c>
    </row>
    <row r="10832" spans="1:1" x14ac:dyDescent="0.2">
      <c r="A10832" t="s">
        <v>1080</v>
      </c>
    </row>
    <row r="10833" spans="1:1" x14ac:dyDescent="0.2">
      <c r="A10833" t="s">
        <v>1081</v>
      </c>
    </row>
    <row r="10834" spans="1:1" x14ac:dyDescent="0.2">
      <c r="A10834" t="s">
        <v>1082</v>
      </c>
    </row>
    <row r="10835" spans="1:1" x14ac:dyDescent="0.2">
      <c r="A10835" t="s">
        <v>1083</v>
      </c>
    </row>
    <row r="10836" spans="1:1" x14ac:dyDescent="0.2">
      <c r="A10836" t="s">
        <v>2771</v>
      </c>
    </row>
    <row r="10837" spans="1:1" x14ac:dyDescent="0.2">
      <c r="A10837" t="s">
        <v>2772</v>
      </c>
    </row>
    <row r="10838" spans="1:1" x14ac:dyDescent="0.2">
      <c r="A10838" t="s">
        <v>2773</v>
      </c>
    </row>
    <row r="10839" spans="1:1" x14ac:dyDescent="0.2">
      <c r="A10839" t="s">
        <v>2774</v>
      </c>
    </row>
    <row r="10840" spans="1:1" x14ac:dyDescent="0.2">
      <c r="A10840" t="s">
        <v>2775</v>
      </c>
    </row>
    <row r="10841" spans="1:1" x14ac:dyDescent="0.2">
      <c r="A10841" t="s">
        <v>2776</v>
      </c>
    </row>
    <row r="10842" spans="1:1" x14ac:dyDescent="0.2">
      <c r="A10842" t="s">
        <v>1084</v>
      </c>
    </row>
    <row r="10843" spans="1:1" x14ac:dyDescent="0.2">
      <c r="A10843" t="s">
        <v>1085</v>
      </c>
    </row>
    <row r="10844" spans="1:1" x14ac:dyDescent="0.2">
      <c r="A10844" t="s">
        <v>1086</v>
      </c>
    </row>
    <row r="10845" spans="1:1" x14ac:dyDescent="0.2">
      <c r="A10845" t="s">
        <v>1087</v>
      </c>
    </row>
    <row r="10846" spans="1:1" x14ac:dyDescent="0.2">
      <c r="A10846" t="s">
        <v>1088</v>
      </c>
    </row>
    <row r="10847" spans="1:1" x14ac:dyDescent="0.2">
      <c r="A10847" t="s">
        <v>1089</v>
      </c>
    </row>
    <row r="10848" spans="1:1" x14ac:dyDescent="0.2">
      <c r="A10848" t="s">
        <v>1090</v>
      </c>
    </row>
    <row r="10849" spans="1:1" x14ac:dyDescent="0.2">
      <c r="A10849" t="s">
        <v>1091</v>
      </c>
    </row>
    <row r="10850" spans="1:1" x14ac:dyDescent="0.2">
      <c r="A10850" t="s">
        <v>1092</v>
      </c>
    </row>
    <row r="10851" spans="1:1" x14ac:dyDescent="0.2">
      <c r="A10851" t="s">
        <v>1093</v>
      </c>
    </row>
    <row r="10852" spans="1:1" x14ac:dyDescent="0.2">
      <c r="A10852" t="s">
        <v>1094</v>
      </c>
    </row>
    <row r="10853" spans="1:1" x14ac:dyDescent="0.2">
      <c r="A10853" t="s">
        <v>1095</v>
      </c>
    </row>
    <row r="10854" spans="1:1" x14ac:dyDescent="0.2">
      <c r="A10854" t="s">
        <v>1096</v>
      </c>
    </row>
    <row r="10855" spans="1:1" x14ac:dyDescent="0.2">
      <c r="A10855" t="s">
        <v>1097</v>
      </c>
    </row>
    <row r="10856" spans="1:1" x14ac:dyDescent="0.2">
      <c r="A10856" t="s">
        <v>1098</v>
      </c>
    </row>
    <row r="10857" spans="1:1" x14ac:dyDescent="0.2">
      <c r="A10857" t="s">
        <v>1099</v>
      </c>
    </row>
    <row r="10858" spans="1:1" x14ac:dyDescent="0.2">
      <c r="A10858" t="s">
        <v>1100</v>
      </c>
    </row>
    <row r="10859" spans="1:1" x14ac:dyDescent="0.2">
      <c r="A10859" t="s">
        <v>1101</v>
      </c>
    </row>
    <row r="10860" spans="1:1" x14ac:dyDescent="0.2">
      <c r="A10860" t="s">
        <v>1102</v>
      </c>
    </row>
    <row r="10861" spans="1:1" x14ac:dyDescent="0.2">
      <c r="A10861" t="s">
        <v>1103</v>
      </c>
    </row>
    <row r="10862" spans="1:1" x14ac:dyDescent="0.2">
      <c r="A10862" t="s">
        <v>1104</v>
      </c>
    </row>
    <row r="10863" spans="1:1" x14ac:dyDescent="0.2">
      <c r="A10863" t="s">
        <v>1105</v>
      </c>
    </row>
    <row r="10864" spans="1:1" x14ac:dyDescent="0.2">
      <c r="A10864" t="s">
        <v>1106</v>
      </c>
    </row>
    <row r="10865" spans="1:1" x14ac:dyDescent="0.2">
      <c r="A10865" t="s">
        <v>1107</v>
      </c>
    </row>
    <row r="10866" spans="1:1" x14ac:dyDescent="0.2">
      <c r="A10866" t="s">
        <v>1108</v>
      </c>
    </row>
    <row r="10867" spans="1:1" x14ac:dyDescent="0.2">
      <c r="A10867" t="s">
        <v>1109</v>
      </c>
    </row>
    <row r="10868" spans="1:1" x14ac:dyDescent="0.2">
      <c r="A10868" t="s">
        <v>1110</v>
      </c>
    </row>
    <row r="10869" spans="1:1" x14ac:dyDescent="0.2">
      <c r="A10869" t="s">
        <v>1111</v>
      </c>
    </row>
    <row r="10870" spans="1:1" x14ac:dyDescent="0.2">
      <c r="A10870" t="s">
        <v>1112</v>
      </c>
    </row>
    <row r="10871" spans="1:1" x14ac:dyDescent="0.2">
      <c r="A10871" t="s">
        <v>1113</v>
      </c>
    </row>
    <row r="10872" spans="1:1" x14ac:dyDescent="0.2">
      <c r="A10872" t="s">
        <v>1114</v>
      </c>
    </row>
    <row r="10873" spans="1:1" x14ac:dyDescent="0.2">
      <c r="A10873" t="s">
        <v>1115</v>
      </c>
    </row>
    <row r="10874" spans="1:1" x14ac:dyDescent="0.2">
      <c r="A10874" t="s">
        <v>1116</v>
      </c>
    </row>
    <row r="10875" spans="1:1" x14ac:dyDescent="0.2">
      <c r="A10875" t="s">
        <v>1117</v>
      </c>
    </row>
    <row r="10876" spans="1:1" x14ac:dyDescent="0.2">
      <c r="A10876" t="s">
        <v>1118</v>
      </c>
    </row>
    <row r="10877" spans="1:1" x14ac:dyDescent="0.2">
      <c r="A10877" t="s">
        <v>1119</v>
      </c>
    </row>
    <row r="10878" spans="1:1" x14ac:dyDescent="0.2">
      <c r="A10878" t="s">
        <v>1120</v>
      </c>
    </row>
    <row r="10879" spans="1:1" x14ac:dyDescent="0.2">
      <c r="A10879" t="s">
        <v>1288</v>
      </c>
    </row>
    <row r="10880" spans="1:1" x14ac:dyDescent="0.2">
      <c r="A10880" t="s">
        <v>3030</v>
      </c>
    </row>
    <row r="10881" spans="1:1" x14ac:dyDescent="0.2">
      <c r="A10881" t="s">
        <v>3031</v>
      </c>
    </row>
    <row r="10882" spans="1:1" x14ac:dyDescent="0.2">
      <c r="A10882" t="s">
        <v>3032</v>
      </c>
    </row>
    <row r="10883" spans="1:1" x14ac:dyDescent="0.2">
      <c r="A10883" t="s">
        <v>3033</v>
      </c>
    </row>
    <row r="10884" spans="1:1" x14ac:dyDescent="0.2">
      <c r="A10884" t="s">
        <v>1289</v>
      </c>
    </row>
    <row r="10885" spans="1:1" x14ac:dyDescent="0.2">
      <c r="A10885" t="s">
        <v>2781</v>
      </c>
    </row>
    <row r="10886" spans="1:1" x14ac:dyDescent="0.2">
      <c r="A10886" t="s">
        <v>3034</v>
      </c>
    </row>
    <row r="10887" spans="1:1" x14ac:dyDescent="0.2">
      <c r="A10887" t="s">
        <v>1122</v>
      </c>
    </row>
    <row r="10888" spans="1:1" x14ac:dyDescent="0.2">
      <c r="A10888" t="s">
        <v>1123</v>
      </c>
    </row>
    <row r="10889" spans="1:1" x14ac:dyDescent="0.2">
      <c r="A10889" t="s">
        <v>1124</v>
      </c>
    </row>
    <row r="10890" spans="1:1" x14ac:dyDescent="0.2">
      <c r="A10890" t="s">
        <v>1125</v>
      </c>
    </row>
    <row r="10891" spans="1:1" x14ac:dyDescent="0.2">
      <c r="A10891" t="s">
        <v>1126</v>
      </c>
    </row>
    <row r="10892" spans="1:1" x14ac:dyDescent="0.2">
      <c r="A10892" t="s">
        <v>1127</v>
      </c>
    </row>
    <row r="10893" spans="1:1" x14ac:dyDescent="0.2">
      <c r="A10893" t="s">
        <v>1128</v>
      </c>
    </row>
    <row r="10894" spans="1:1" x14ac:dyDescent="0.2">
      <c r="A10894" t="s">
        <v>1129</v>
      </c>
    </row>
    <row r="10895" spans="1:1" x14ac:dyDescent="0.2">
      <c r="A10895" t="s">
        <v>1130</v>
      </c>
    </row>
    <row r="10896" spans="1:1" x14ac:dyDescent="0.2">
      <c r="A10896" t="s">
        <v>1131</v>
      </c>
    </row>
    <row r="10897" spans="1:1" x14ac:dyDescent="0.2">
      <c r="A10897" t="s">
        <v>1132</v>
      </c>
    </row>
    <row r="10898" spans="1:1" x14ac:dyDescent="0.2">
      <c r="A10898" t="s">
        <v>1133</v>
      </c>
    </row>
    <row r="10899" spans="1:1" x14ac:dyDescent="0.2">
      <c r="A10899" t="s">
        <v>1134</v>
      </c>
    </row>
    <row r="10900" spans="1:1" x14ac:dyDescent="0.2">
      <c r="A10900" t="s">
        <v>1135</v>
      </c>
    </row>
    <row r="10901" spans="1:1" x14ac:dyDescent="0.2">
      <c r="A10901" t="s">
        <v>1136</v>
      </c>
    </row>
    <row r="10902" spans="1:1" x14ac:dyDescent="0.2">
      <c r="A10902" t="s">
        <v>1137</v>
      </c>
    </row>
    <row r="10903" spans="1:1" x14ac:dyDescent="0.2">
      <c r="A10903" t="s">
        <v>1138</v>
      </c>
    </row>
    <row r="10904" spans="1:1" x14ac:dyDescent="0.2">
      <c r="A10904" t="s">
        <v>1139</v>
      </c>
    </row>
    <row r="10905" spans="1:1" x14ac:dyDescent="0.2">
      <c r="A10905" t="s">
        <v>1140</v>
      </c>
    </row>
    <row r="10906" spans="1:1" x14ac:dyDescent="0.2">
      <c r="A10906" t="s">
        <v>1141</v>
      </c>
    </row>
    <row r="10907" spans="1:1" x14ac:dyDescent="0.2">
      <c r="A10907" t="s">
        <v>1142</v>
      </c>
    </row>
    <row r="10908" spans="1:1" x14ac:dyDescent="0.2">
      <c r="A10908" t="s">
        <v>1143</v>
      </c>
    </row>
    <row r="10909" spans="1:1" x14ac:dyDescent="0.2">
      <c r="A10909" t="s">
        <v>1144</v>
      </c>
    </row>
    <row r="10910" spans="1:1" x14ac:dyDescent="0.2">
      <c r="A10910" t="s">
        <v>1145</v>
      </c>
    </row>
    <row r="10911" spans="1:1" x14ac:dyDescent="0.2">
      <c r="A10911" t="s">
        <v>1146</v>
      </c>
    </row>
    <row r="10912" spans="1:1" x14ac:dyDescent="0.2">
      <c r="A10912" t="s">
        <v>1147</v>
      </c>
    </row>
    <row r="10913" spans="1:1" x14ac:dyDescent="0.2">
      <c r="A10913" t="s">
        <v>1148</v>
      </c>
    </row>
    <row r="10914" spans="1:1" x14ac:dyDescent="0.2">
      <c r="A10914" t="s">
        <v>1149</v>
      </c>
    </row>
    <row r="10915" spans="1:1" x14ac:dyDescent="0.2">
      <c r="A10915" t="s">
        <v>1150</v>
      </c>
    </row>
    <row r="10916" spans="1:1" x14ac:dyDescent="0.2">
      <c r="A10916" t="s">
        <v>1151</v>
      </c>
    </row>
    <row r="10917" spans="1:1" x14ac:dyDescent="0.2">
      <c r="A10917" t="s">
        <v>1152</v>
      </c>
    </row>
    <row r="10918" spans="1:1" x14ac:dyDescent="0.2">
      <c r="A10918" t="s">
        <v>1153</v>
      </c>
    </row>
    <row r="10919" spans="1:1" x14ac:dyDescent="0.2">
      <c r="A10919" t="s">
        <v>1154</v>
      </c>
    </row>
    <row r="10920" spans="1:1" x14ac:dyDescent="0.2">
      <c r="A10920" t="s">
        <v>1155</v>
      </c>
    </row>
    <row r="10921" spans="1:1" x14ac:dyDescent="0.2">
      <c r="A10921" t="s">
        <v>1156</v>
      </c>
    </row>
    <row r="10922" spans="1:1" x14ac:dyDescent="0.2">
      <c r="A10922" t="s">
        <v>1157</v>
      </c>
    </row>
    <row r="10923" spans="1:1" x14ac:dyDescent="0.2">
      <c r="A10923" t="s">
        <v>1158</v>
      </c>
    </row>
    <row r="10924" spans="1:1" x14ac:dyDescent="0.2">
      <c r="A10924" t="s">
        <v>1159</v>
      </c>
    </row>
    <row r="10925" spans="1:1" x14ac:dyDescent="0.2">
      <c r="A10925" t="s">
        <v>1160</v>
      </c>
    </row>
    <row r="10926" spans="1:1" x14ac:dyDescent="0.2">
      <c r="A10926" t="s">
        <v>1161</v>
      </c>
    </row>
    <row r="10927" spans="1:1" x14ac:dyDescent="0.2">
      <c r="A10927" t="s">
        <v>1162</v>
      </c>
    </row>
    <row r="10928" spans="1:1" x14ac:dyDescent="0.2">
      <c r="A10928" t="s">
        <v>1163</v>
      </c>
    </row>
    <row r="10929" spans="1:1" x14ac:dyDescent="0.2">
      <c r="A10929" t="s">
        <v>1164</v>
      </c>
    </row>
    <row r="10930" spans="1:1" x14ac:dyDescent="0.2">
      <c r="A10930" t="s">
        <v>1165</v>
      </c>
    </row>
    <row r="10931" spans="1:1" x14ac:dyDescent="0.2">
      <c r="A10931" t="s">
        <v>1166</v>
      </c>
    </row>
    <row r="10932" spans="1:1" x14ac:dyDescent="0.2">
      <c r="A10932" t="s">
        <v>1167</v>
      </c>
    </row>
    <row r="10933" spans="1:1" x14ac:dyDescent="0.2">
      <c r="A10933" t="s">
        <v>1168</v>
      </c>
    </row>
    <row r="10934" spans="1:1" x14ac:dyDescent="0.2">
      <c r="A10934" t="s">
        <v>1169</v>
      </c>
    </row>
    <row r="10935" spans="1:1" x14ac:dyDescent="0.2">
      <c r="A10935" t="s">
        <v>1170</v>
      </c>
    </row>
    <row r="10936" spans="1:1" x14ac:dyDescent="0.2">
      <c r="A10936" t="s">
        <v>1171</v>
      </c>
    </row>
    <row r="10937" spans="1:1" x14ac:dyDescent="0.2">
      <c r="A10937" t="s">
        <v>1172</v>
      </c>
    </row>
    <row r="10938" spans="1:1" x14ac:dyDescent="0.2">
      <c r="A10938" t="s">
        <v>1173</v>
      </c>
    </row>
    <row r="10939" spans="1:1" x14ac:dyDescent="0.2">
      <c r="A10939" t="s">
        <v>1174</v>
      </c>
    </row>
    <row r="10940" spans="1:1" x14ac:dyDescent="0.2">
      <c r="A10940" t="s">
        <v>1175</v>
      </c>
    </row>
    <row r="10941" spans="1:1" x14ac:dyDescent="0.2">
      <c r="A10941" t="s">
        <v>1176</v>
      </c>
    </row>
    <row r="10942" spans="1:1" x14ac:dyDescent="0.2">
      <c r="A10942" t="s">
        <v>1177</v>
      </c>
    </row>
    <row r="10943" spans="1:1" x14ac:dyDescent="0.2">
      <c r="A10943" t="s">
        <v>1178</v>
      </c>
    </row>
    <row r="10944" spans="1:1" x14ac:dyDescent="0.2">
      <c r="A10944" t="s">
        <v>1179</v>
      </c>
    </row>
    <row r="10945" spans="1:1" x14ac:dyDescent="0.2">
      <c r="A10945" t="s">
        <v>1180</v>
      </c>
    </row>
    <row r="10946" spans="1:1" x14ac:dyDescent="0.2">
      <c r="A10946" t="s">
        <v>1181</v>
      </c>
    </row>
    <row r="10947" spans="1:1" x14ac:dyDescent="0.2">
      <c r="A10947" t="s">
        <v>1182</v>
      </c>
    </row>
    <row r="10948" spans="1:1" x14ac:dyDescent="0.2">
      <c r="A10948" t="s">
        <v>1183</v>
      </c>
    </row>
    <row r="10949" spans="1:1" x14ac:dyDescent="0.2">
      <c r="A10949" t="s">
        <v>1184</v>
      </c>
    </row>
    <row r="10950" spans="1:1" x14ac:dyDescent="0.2">
      <c r="A10950" t="s">
        <v>1185</v>
      </c>
    </row>
    <row r="10951" spans="1:1" x14ac:dyDescent="0.2">
      <c r="A10951" t="s">
        <v>1186</v>
      </c>
    </row>
    <row r="10952" spans="1:1" x14ac:dyDescent="0.2">
      <c r="A10952" t="s">
        <v>1187</v>
      </c>
    </row>
    <row r="10953" spans="1:1" x14ac:dyDescent="0.2">
      <c r="A10953" t="s">
        <v>1188</v>
      </c>
    </row>
    <row r="10954" spans="1:1" x14ac:dyDescent="0.2">
      <c r="A10954" t="s">
        <v>1189</v>
      </c>
    </row>
    <row r="10955" spans="1:1" x14ac:dyDescent="0.2">
      <c r="A10955" t="s">
        <v>1190</v>
      </c>
    </row>
    <row r="10956" spans="1:1" x14ac:dyDescent="0.2">
      <c r="A10956" t="s">
        <v>1191</v>
      </c>
    </row>
    <row r="10957" spans="1:1" x14ac:dyDescent="0.2">
      <c r="A10957" t="s">
        <v>1192</v>
      </c>
    </row>
    <row r="10958" spans="1:1" x14ac:dyDescent="0.2">
      <c r="A10958" t="s">
        <v>1193</v>
      </c>
    </row>
    <row r="10959" spans="1:1" x14ac:dyDescent="0.2">
      <c r="A10959" t="s">
        <v>1194</v>
      </c>
    </row>
    <row r="10960" spans="1:1" x14ac:dyDescent="0.2">
      <c r="A10960" t="s">
        <v>1195</v>
      </c>
    </row>
    <row r="10961" spans="1:1" x14ac:dyDescent="0.2">
      <c r="A10961" t="s">
        <v>1196</v>
      </c>
    </row>
    <row r="10962" spans="1:1" x14ac:dyDescent="0.2">
      <c r="A10962" t="s">
        <v>1197</v>
      </c>
    </row>
    <row r="10963" spans="1:1" x14ac:dyDescent="0.2">
      <c r="A10963" t="s">
        <v>1198</v>
      </c>
    </row>
    <row r="10964" spans="1:1" x14ac:dyDescent="0.2">
      <c r="A10964" t="s">
        <v>1199</v>
      </c>
    </row>
    <row r="10965" spans="1:1" x14ac:dyDescent="0.2">
      <c r="A10965" t="s">
        <v>1200</v>
      </c>
    </row>
    <row r="10966" spans="1:1" x14ac:dyDescent="0.2">
      <c r="A10966" t="s">
        <v>1201</v>
      </c>
    </row>
    <row r="10967" spans="1:1" x14ac:dyDescent="0.2">
      <c r="A10967" t="s">
        <v>1202</v>
      </c>
    </row>
    <row r="10968" spans="1:1" x14ac:dyDescent="0.2">
      <c r="A10968" t="s">
        <v>1203</v>
      </c>
    </row>
    <row r="10969" spans="1:1" x14ac:dyDescent="0.2">
      <c r="A10969" t="s">
        <v>1204</v>
      </c>
    </row>
    <row r="10970" spans="1:1" x14ac:dyDescent="0.2">
      <c r="A10970" t="s">
        <v>1205</v>
      </c>
    </row>
    <row r="10971" spans="1:1" x14ac:dyDescent="0.2">
      <c r="A10971" t="s">
        <v>1206</v>
      </c>
    </row>
    <row r="10972" spans="1:1" x14ac:dyDescent="0.2">
      <c r="A10972" t="s">
        <v>1207</v>
      </c>
    </row>
    <row r="10973" spans="1:1" x14ac:dyDescent="0.2">
      <c r="A10973" t="s">
        <v>1208</v>
      </c>
    </row>
    <row r="10974" spans="1:1" x14ac:dyDescent="0.2">
      <c r="A10974" t="s">
        <v>1209</v>
      </c>
    </row>
    <row r="10975" spans="1:1" x14ac:dyDescent="0.2">
      <c r="A10975" t="s">
        <v>1210</v>
      </c>
    </row>
    <row r="10976" spans="1:1" x14ac:dyDescent="0.2">
      <c r="A10976" t="s">
        <v>1211</v>
      </c>
    </row>
    <row r="10977" spans="1:1" x14ac:dyDescent="0.2">
      <c r="A10977" t="s">
        <v>1212</v>
      </c>
    </row>
    <row r="10978" spans="1:1" x14ac:dyDescent="0.2">
      <c r="A10978" t="s">
        <v>1213</v>
      </c>
    </row>
    <row r="10979" spans="1:1" x14ac:dyDescent="0.2">
      <c r="A10979" t="s">
        <v>1214</v>
      </c>
    </row>
    <row r="10980" spans="1:1" x14ac:dyDescent="0.2">
      <c r="A10980" t="s">
        <v>1215</v>
      </c>
    </row>
    <row r="10981" spans="1:1" x14ac:dyDescent="0.2">
      <c r="A10981" t="s">
        <v>1216</v>
      </c>
    </row>
    <row r="10982" spans="1:1" x14ac:dyDescent="0.2">
      <c r="A10982" t="s">
        <v>1217</v>
      </c>
    </row>
    <row r="10983" spans="1:1" x14ac:dyDescent="0.2">
      <c r="A10983" t="s">
        <v>1218</v>
      </c>
    </row>
    <row r="10984" spans="1:1" x14ac:dyDescent="0.2">
      <c r="A10984" t="s">
        <v>1219</v>
      </c>
    </row>
    <row r="10985" spans="1:1" x14ac:dyDescent="0.2">
      <c r="A10985" t="s">
        <v>1220</v>
      </c>
    </row>
    <row r="10986" spans="1:1" x14ac:dyDescent="0.2">
      <c r="A10986" t="s">
        <v>1221</v>
      </c>
    </row>
    <row r="10987" spans="1:1" x14ac:dyDescent="0.2">
      <c r="A10987" t="s">
        <v>1222</v>
      </c>
    </row>
    <row r="10988" spans="1:1" x14ac:dyDescent="0.2">
      <c r="A10988" t="s">
        <v>1223</v>
      </c>
    </row>
    <row r="10989" spans="1:1" x14ac:dyDescent="0.2">
      <c r="A10989" t="s">
        <v>1224</v>
      </c>
    </row>
    <row r="10990" spans="1:1" x14ac:dyDescent="0.2">
      <c r="A10990" t="s">
        <v>1225</v>
      </c>
    </row>
    <row r="10991" spans="1:1" x14ac:dyDescent="0.2">
      <c r="A10991" t="s">
        <v>1226</v>
      </c>
    </row>
    <row r="10992" spans="1:1" x14ac:dyDescent="0.2">
      <c r="A10992" t="s">
        <v>1227</v>
      </c>
    </row>
    <row r="10993" spans="1:1" x14ac:dyDescent="0.2">
      <c r="A10993" t="s">
        <v>1228</v>
      </c>
    </row>
    <row r="10994" spans="1:1" x14ac:dyDescent="0.2">
      <c r="A10994" t="s">
        <v>1229</v>
      </c>
    </row>
    <row r="10995" spans="1:1" x14ac:dyDescent="0.2">
      <c r="A10995" t="s">
        <v>1230</v>
      </c>
    </row>
    <row r="10996" spans="1:1" x14ac:dyDescent="0.2">
      <c r="A10996" t="s">
        <v>1231</v>
      </c>
    </row>
    <row r="10997" spans="1:1" x14ac:dyDescent="0.2">
      <c r="A10997" t="s">
        <v>1232</v>
      </c>
    </row>
    <row r="10998" spans="1:1" x14ac:dyDescent="0.2">
      <c r="A10998" t="s">
        <v>1233</v>
      </c>
    </row>
    <row r="10999" spans="1:1" x14ac:dyDescent="0.2">
      <c r="A10999" t="s">
        <v>1234</v>
      </c>
    </row>
    <row r="11000" spans="1:1" x14ac:dyDescent="0.2">
      <c r="A11000" t="s">
        <v>1235</v>
      </c>
    </row>
    <row r="11001" spans="1:1" x14ac:dyDescent="0.2">
      <c r="A11001" t="s">
        <v>1236</v>
      </c>
    </row>
    <row r="11002" spans="1:1" x14ac:dyDescent="0.2">
      <c r="A11002" t="s">
        <v>1237</v>
      </c>
    </row>
    <row r="11003" spans="1:1" x14ac:dyDescent="0.2">
      <c r="A11003" t="s">
        <v>1238</v>
      </c>
    </row>
    <row r="11004" spans="1:1" x14ac:dyDescent="0.2">
      <c r="A11004" t="s">
        <v>1239</v>
      </c>
    </row>
    <row r="11005" spans="1:1" x14ac:dyDescent="0.2">
      <c r="A11005" t="s">
        <v>1240</v>
      </c>
    </row>
    <row r="11006" spans="1:1" x14ac:dyDescent="0.2">
      <c r="A11006" t="s">
        <v>1241</v>
      </c>
    </row>
    <row r="11007" spans="1:1" x14ac:dyDescent="0.2">
      <c r="A11007" t="s">
        <v>1242</v>
      </c>
    </row>
    <row r="11008" spans="1:1" x14ac:dyDescent="0.2">
      <c r="A11008" t="s">
        <v>1243</v>
      </c>
    </row>
    <row r="11009" spans="1:1" x14ac:dyDescent="0.2">
      <c r="A11009" t="s">
        <v>1244</v>
      </c>
    </row>
    <row r="11010" spans="1:1" x14ac:dyDescent="0.2">
      <c r="A11010" t="s">
        <v>1245</v>
      </c>
    </row>
    <row r="11011" spans="1:1" x14ac:dyDescent="0.2">
      <c r="A11011" t="s">
        <v>1246</v>
      </c>
    </row>
    <row r="11012" spans="1:1" x14ac:dyDescent="0.2">
      <c r="A11012" t="s">
        <v>1247</v>
      </c>
    </row>
    <row r="11013" spans="1:1" x14ac:dyDescent="0.2">
      <c r="A11013" t="s">
        <v>1248</v>
      </c>
    </row>
    <row r="11014" spans="1:1" x14ac:dyDescent="0.2">
      <c r="A11014" t="s">
        <v>1249</v>
      </c>
    </row>
    <row r="11015" spans="1:1" x14ac:dyDescent="0.2">
      <c r="A11015" t="s">
        <v>1250</v>
      </c>
    </row>
    <row r="11016" spans="1:1" x14ac:dyDescent="0.2">
      <c r="A11016" t="s">
        <v>1251</v>
      </c>
    </row>
    <row r="11017" spans="1:1" x14ac:dyDescent="0.2">
      <c r="A11017" t="s">
        <v>1252</v>
      </c>
    </row>
    <row r="11018" spans="1:1" x14ac:dyDescent="0.2">
      <c r="A11018" t="s">
        <v>1253</v>
      </c>
    </row>
    <row r="11019" spans="1:1" x14ac:dyDescent="0.2">
      <c r="A11019" t="s">
        <v>1254</v>
      </c>
    </row>
    <row r="11020" spans="1:1" x14ac:dyDescent="0.2">
      <c r="A11020" t="s">
        <v>1255</v>
      </c>
    </row>
    <row r="11021" spans="1:1" x14ac:dyDescent="0.2">
      <c r="A11021" t="s">
        <v>1256</v>
      </c>
    </row>
    <row r="11022" spans="1:1" x14ac:dyDescent="0.2">
      <c r="A11022" t="s">
        <v>1257</v>
      </c>
    </row>
    <row r="11023" spans="1:1" x14ac:dyDescent="0.2">
      <c r="A11023" t="s">
        <v>1258</v>
      </c>
    </row>
    <row r="11024" spans="1:1" x14ac:dyDescent="0.2">
      <c r="A11024" t="s">
        <v>1259</v>
      </c>
    </row>
    <row r="11025" spans="1:1" x14ac:dyDescent="0.2">
      <c r="A11025" t="s">
        <v>1260</v>
      </c>
    </row>
    <row r="11026" spans="1:1" x14ac:dyDescent="0.2">
      <c r="A11026" t="s">
        <v>1261</v>
      </c>
    </row>
    <row r="11027" spans="1:1" x14ac:dyDescent="0.2">
      <c r="A11027" t="s">
        <v>1262</v>
      </c>
    </row>
    <row r="11028" spans="1:1" x14ac:dyDescent="0.2">
      <c r="A11028" t="s">
        <v>1263</v>
      </c>
    </row>
    <row r="11029" spans="1:1" x14ac:dyDescent="0.2">
      <c r="A11029" t="s">
        <v>1264</v>
      </c>
    </row>
    <row r="11030" spans="1:1" x14ac:dyDescent="0.2">
      <c r="A11030" t="s">
        <v>1265</v>
      </c>
    </row>
    <row r="11031" spans="1:1" x14ac:dyDescent="0.2">
      <c r="A11031" t="s">
        <v>1266</v>
      </c>
    </row>
    <row r="11032" spans="1:1" x14ac:dyDescent="0.2">
      <c r="A11032" t="s">
        <v>1267</v>
      </c>
    </row>
    <row r="11033" spans="1:1" x14ac:dyDescent="0.2">
      <c r="A11033" t="s">
        <v>1268</v>
      </c>
    </row>
    <row r="11034" spans="1:1" x14ac:dyDescent="0.2">
      <c r="A11034" t="s">
        <v>1269</v>
      </c>
    </row>
    <row r="11035" spans="1:1" x14ac:dyDescent="0.2">
      <c r="A11035" t="s">
        <v>1270</v>
      </c>
    </row>
    <row r="11036" spans="1:1" x14ac:dyDescent="0.2">
      <c r="A11036" t="s">
        <v>1271</v>
      </c>
    </row>
    <row r="11037" spans="1:1" x14ac:dyDescent="0.2">
      <c r="A11037" t="s">
        <v>1272</v>
      </c>
    </row>
    <row r="11038" spans="1:1" x14ac:dyDescent="0.2">
      <c r="A11038" t="s">
        <v>1273</v>
      </c>
    </row>
    <row r="11039" spans="1:1" x14ac:dyDescent="0.2">
      <c r="A11039" t="s">
        <v>1274</v>
      </c>
    </row>
    <row r="11040" spans="1:1" x14ac:dyDescent="0.2">
      <c r="A11040" t="s">
        <v>1275</v>
      </c>
    </row>
    <row r="11041" spans="1:1" x14ac:dyDescent="0.2">
      <c r="A11041" t="s">
        <v>1276</v>
      </c>
    </row>
    <row r="11042" spans="1:1" x14ac:dyDescent="0.2">
      <c r="A11042" t="s">
        <v>1277</v>
      </c>
    </row>
    <row r="11043" spans="1:1" x14ac:dyDescent="0.2">
      <c r="A11043" t="s">
        <v>1278</v>
      </c>
    </row>
    <row r="11044" spans="1:1" x14ac:dyDescent="0.2">
      <c r="A11044" t="s">
        <v>1279</v>
      </c>
    </row>
    <row r="11045" spans="1:1" x14ac:dyDescent="0.2">
      <c r="A11045" t="s">
        <v>1280</v>
      </c>
    </row>
    <row r="11046" spans="1:1" x14ac:dyDescent="0.2">
      <c r="A11046" t="s">
        <v>1281</v>
      </c>
    </row>
    <row r="11047" spans="1:1" x14ac:dyDescent="0.2">
      <c r="A11047" t="s">
        <v>1282</v>
      </c>
    </row>
    <row r="11048" spans="1:1" x14ac:dyDescent="0.2">
      <c r="A11048" t="s">
        <v>1283</v>
      </c>
    </row>
    <row r="11049" spans="1:1" x14ac:dyDescent="0.2">
      <c r="A11049" t="s">
        <v>1284</v>
      </c>
    </row>
    <row r="11050" spans="1:1" x14ac:dyDescent="0.2">
      <c r="A11050" t="s">
        <v>1285</v>
      </c>
    </row>
    <row r="11051" spans="1:1" x14ac:dyDescent="0.2">
      <c r="A11051" t="s">
        <v>1286</v>
      </c>
    </row>
    <row r="11052" spans="1:1" x14ac:dyDescent="0.2">
      <c r="A11052" t="s">
        <v>3035</v>
      </c>
    </row>
    <row r="11053" spans="1:1" x14ac:dyDescent="0.2">
      <c r="A11053" t="s">
        <v>1053</v>
      </c>
    </row>
    <row r="11054" spans="1:1" x14ac:dyDescent="0.2">
      <c r="A11054" t="s">
        <v>3036</v>
      </c>
    </row>
    <row r="11055" spans="1:1" x14ac:dyDescent="0.2">
      <c r="A11055" t="s">
        <v>2768</v>
      </c>
    </row>
    <row r="11056" spans="1:1" x14ac:dyDescent="0.2">
      <c r="A11056" t="s">
        <v>2769</v>
      </c>
    </row>
    <row r="11057" spans="1:1" x14ac:dyDescent="0.2">
      <c r="A11057" t="s">
        <v>1054</v>
      </c>
    </row>
    <row r="11058" spans="1:1" x14ac:dyDescent="0.2">
      <c r="A11058" t="s">
        <v>1055</v>
      </c>
    </row>
    <row r="11059" spans="1:1" x14ac:dyDescent="0.2">
      <c r="A11059" t="s">
        <v>2807</v>
      </c>
    </row>
    <row r="11060" spans="1:1" x14ac:dyDescent="0.2">
      <c r="A11060" t="s">
        <v>1056</v>
      </c>
    </row>
    <row r="11061" spans="1:1" x14ac:dyDescent="0.2">
      <c r="A11061" t="s">
        <v>1057</v>
      </c>
    </row>
    <row r="11062" spans="1:1" x14ac:dyDescent="0.2">
      <c r="A11062" t="s">
        <v>1058</v>
      </c>
    </row>
    <row r="11063" spans="1:1" x14ac:dyDescent="0.2">
      <c r="A11063" t="s">
        <v>1059</v>
      </c>
    </row>
    <row r="11064" spans="1:1" x14ac:dyDescent="0.2">
      <c r="A11064" t="s">
        <v>1060</v>
      </c>
    </row>
    <row r="11065" spans="1:1" x14ac:dyDescent="0.2">
      <c r="A11065" t="s">
        <v>1061</v>
      </c>
    </row>
    <row r="11066" spans="1:1" x14ac:dyDescent="0.2">
      <c r="A11066" t="s">
        <v>1062</v>
      </c>
    </row>
    <row r="11067" spans="1:1" x14ac:dyDescent="0.2">
      <c r="A11067" t="s">
        <v>1063</v>
      </c>
    </row>
    <row r="11068" spans="1:1" x14ac:dyDescent="0.2">
      <c r="A11068" t="s">
        <v>1064</v>
      </c>
    </row>
    <row r="11069" spans="1:1" x14ac:dyDescent="0.2">
      <c r="A11069" t="s">
        <v>1065</v>
      </c>
    </row>
    <row r="11070" spans="1:1" x14ac:dyDescent="0.2">
      <c r="A11070" t="s">
        <v>1066</v>
      </c>
    </row>
    <row r="11071" spans="1:1" x14ac:dyDescent="0.2">
      <c r="A11071" t="s">
        <v>1067</v>
      </c>
    </row>
    <row r="11072" spans="1:1" x14ac:dyDescent="0.2">
      <c r="A11072" t="s">
        <v>1068</v>
      </c>
    </row>
    <row r="11073" spans="1:1" x14ac:dyDescent="0.2">
      <c r="A11073" t="s">
        <v>1069</v>
      </c>
    </row>
    <row r="11074" spans="1:1" x14ac:dyDescent="0.2">
      <c r="A11074" t="s">
        <v>1070</v>
      </c>
    </row>
    <row r="11075" spans="1:1" x14ac:dyDescent="0.2">
      <c r="A11075" t="s">
        <v>1071</v>
      </c>
    </row>
    <row r="11076" spans="1:1" x14ac:dyDescent="0.2">
      <c r="A11076" t="s">
        <v>1072</v>
      </c>
    </row>
    <row r="11077" spans="1:1" x14ac:dyDescent="0.2">
      <c r="A11077" t="s">
        <v>1073</v>
      </c>
    </row>
    <row r="11078" spans="1:1" x14ac:dyDescent="0.2">
      <c r="A11078" t="s">
        <v>1074</v>
      </c>
    </row>
    <row r="11079" spans="1:1" x14ac:dyDescent="0.2">
      <c r="A11079" t="s">
        <v>1075</v>
      </c>
    </row>
    <row r="11080" spans="1:1" x14ac:dyDescent="0.2">
      <c r="A11080" t="s">
        <v>1076</v>
      </c>
    </row>
    <row r="11081" spans="1:1" x14ac:dyDescent="0.2">
      <c r="A11081" t="s">
        <v>1077</v>
      </c>
    </row>
    <row r="11082" spans="1:1" x14ac:dyDescent="0.2">
      <c r="A11082" t="s">
        <v>1078</v>
      </c>
    </row>
    <row r="11083" spans="1:1" x14ac:dyDescent="0.2">
      <c r="A11083" t="s">
        <v>1079</v>
      </c>
    </row>
    <row r="11084" spans="1:1" x14ac:dyDescent="0.2">
      <c r="A11084" t="s">
        <v>1080</v>
      </c>
    </row>
    <row r="11085" spans="1:1" x14ac:dyDescent="0.2">
      <c r="A11085" t="s">
        <v>1081</v>
      </c>
    </row>
    <row r="11086" spans="1:1" x14ac:dyDescent="0.2">
      <c r="A11086" t="s">
        <v>1082</v>
      </c>
    </row>
    <row r="11087" spans="1:1" x14ac:dyDescent="0.2">
      <c r="A11087" t="s">
        <v>1083</v>
      </c>
    </row>
    <row r="11088" spans="1:1" x14ac:dyDescent="0.2">
      <c r="A11088" t="s">
        <v>2771</v>
      </c>
    </row>
    <row r="11089" spans="1:1" x14ac:dyDescent="0.2">
      <c r="A11089" t="s">
        <v>2772</v>
      </c>
    </row>
    <row r="11090" spans="1:1" x14ac:dyDescent="0.2">
      <c r="A11090" t="s">
        <v>2773</v>
      </c>
    </row>
    <row r="11091" spans="1:1" x14ac:dyDescent="0.2">
      <c r="A11091" t="s">
        <v>2774</v>
      </c>
    </row>
    <row r="11092" spans="1:1" x14ac:dyDescent="0.2">
      <c r="A11092" t="s">
        <v>2775</v>
      </c>
    </row>
    <row r="11093" spans="1:1" x14ac:dyDescent="0.2">
      <c r="A11093" t="s">
        <v>2776</v>
      </c>
    </row>
    <row r="11094" spans="1:1" x14ac:dyDescent="0.2">
      <c r="A11094" t="s">
        <v>1084</v>
      </c>
    </row>
    <row r="11095" spans="1:1" x14ac:dyDescent="0.2">
      <c r="A11095" t="s">
        <v>1085</v>
      </c>
    </row>
    <row r="11096" spans="1:1" x14ac:dyDescent="0.2">
      <c r="A11096" t="s">
        <v>1086</v>
      </c>
    </row>
    <row r="11097" spans="1:1" x14ac:dyDescent="0.2">
      <c r="A11097" t="s">
        <v>1087</v>
      </c>
    </row>
    <row r="11098" spans="1:1" x14ac:dyDescent="0.2">
      <c r="A11098" t="s">
        <v>1088</v>
      </c>
    </row>
    <row r="11099" spans="1:1" x14ac:dyDescent="0.2">
      <c r="A11099" t="s">
        <v>1089</v>
      </c>
    </row>
    <row r="11100" spans="1:1" x14ac:dyDescent="0.2">
      <c r="A11100" t="s">
        <v>1090</v>
      </c>
    </row>
    <row r="11101" spans="1:1" x14ac:dyDescent="0.2">
      <c r="A11101" t="s">
        <v>1091</v>
      </c>
    </row>
    <row r="11102" spans="1:1" x14ac:dyDescent="0.2">
      <c r="A11102" t="s">
        <v>1092</v>
      </c>
    </row>
    <row r="11103" spans="1:1" x14ac:dyDescent="0.2">
      <c r="A11103" t="s">
        <v>1093</v>
      </c>
    </row>
    <row r="11104" spans="1:1" x14ac:dyDescent="0.2">
      <c r="A11104" t="s">
        <v>1094</v>
      </c>
    </row>
    <row r="11105" spans="1:1" x14ac:dyDescent="0.2">
      <c r="A11105" t="s">
        <v>1095</v>
      </c>
    </row>
    <row r="11106" spans="1:1" x14ac:dyDescent="0.2">
      <c r="A11106" t="s">
        <v>1096</v>
      </c>
    </row>
    <row r="11107" spans="1:1" x14ac:dyDescent="0.2">
      <c r="A11107" t="s">
        <v>1097</v>
      </c>
    </row>
    <row r="11108" spans="1:1" x14ac:dyDescent="0.2">
      <c r="A11108" t="s">
        <v>1098</v>
      </c>
    </row>
    <row r="11109" spans="1:1" x14ac:dyDescent="0.2">
      <c r="A11109" t="s">
        <v>1099</v>
      </c>
    </row>
    <row r="11110" spans="1:1" x14ac:dyDescent="0.2">
      <c r="A11110" t="s">
        <v>1100</v>
      </c>
    </row>
    <row r="11111" spans="1:1" x14ac:dyDescent="0.2">
      <c r="A11111" t="s">
        <v>1101</v>
      </c>
    </row>
    <row r="11112" spans="1:1" x14ac:dyDescent="0.2">
      <c r="A11112" t="s">
        <v>1102</v>
      </c>
    </row>
    <row r="11113" spans="1:1" x14ac:dyDescent="0.2">
      <c r="A11113" t="s">
        <v>1103</v>
      </c>
    </row>
    <row r="11114" spans="1:1" x14ac:dyDescent="0.2">
      <c r="A11114" t="s">
        <v>1104</v>
      </c>
    </row>
    <row r="11115" spans="1:1" x14ac:dyDescent="0.2">
      <c r="A11115" t="s">
        <v>1105</v>
      </c>
    </row>
    <row r="11116" spans="1:1" x14ac:dyDescent="0.2">
      <c r="A11116" t="s">
        <v>1106</v>
      </c>
    </row>
    <row r="11117" spans="1:1" x14ac:dyDescent="0.2">
      <c r="A11117" t="s">
        <v>1107</v>
      </c>
    </row>
    <row r="11118" spans="1:1" x14ac:dyDescent="0.2">
      <c r="A11118" t="s">
        <v>1108</v>
      </c>
    </row>
    <row r="11119" spans="1:1" x14ac:dyDescent="0.2">
      <c r="A11119" t="s">
        <v>1109</v>
      </c>
    </row>
    <row r="11120" spans="1:1" x14ac:dyDescent="0.2">
      <c r="A11120" t="s">
        <v>1110</v>
      </c>
    </row>
    <row r="11121" spans="1:1" x14ac:dyDescent="0.2">
      <c r="A11121" t="s">
        <v>1111</v>
      </c>
    </row>
    <row r="11122" spans="1:1" x14ac:dyDescent="0.2">
      <c r="A11122" t="s">
        <v>1112</v>
      </c>
    </row>
    <row r="11123" spans="1:1" x14ac:dyDescent="0.2">
      <c r="A11123" t="s">
        <v>1113</v>
      </c>
    </row>
    <row r="11124" spans="1:1" x14ac:dyDescent="0.2">
      <c r="A11124" t="s">
        <v>1114</v>
      </c>
    </row>
    <row r="11125" spans="1:1" x14ac:dyDescent="0.2">
      <c r="A11125" t="s">
        <v>1115</v>
      </c>
    </row>
    <row r="11126" spans="1:1" x14ac:dyDescent="0.2">
      <c r="A11126" t="s">
        <v>1116</v>
      </c>
    </row>
    <row r="11127" spans="1:1" x14ac:dyDescent="0.2">
      <c r="A11127" t="s">
        <v>1117</v>
      </c>
    </row>
    <row r="11128" spans="1:1" x14ac:dyDescent="0.2">
      <c r="A11128" t="s">
        <v>1118</v>
      </c>
    </row>
    <row r="11129" spans="1:1" x14ac:dyDescent="0.2">
      <c r="A11129" t="s">
        <v>1119</v>
      </c>
    </row>
    <row r="11130" spans="1:1" x14ac:dyDescent="0.2">
      <c r="A11130" t="s">
        <v>1120</v>
      </c>
    </row>
    <row r="11131" spans="1:1" x14ac:dyDescent="0.2">
      <c r="A11131" t="s">
        <v>1288</v>
      </c>
    </row>
    <row r="11132" spans="1:1" x14ac:dyDescent="0.2">
      <c r="A11132" t="s">
        <v>3037</v>
      </c>
    </row>
    <row r="11133" spans="1:1" x14ac:dyDescent="0.2">
      <c r="A11133" t="s">
        <v>3038</v>
      </c>
    </row>
    <row r="11134" spans="1:1" x14ac:dyDescent="0.2">
      <c r="A11134" t="s">
        <v>3032</v>
      </c>
    </row>
    <row r="11135" spans="1:1" x14ac:dyDescent="0.2">
      <c r="A11135" t="s">
        <v>3033</v>
      </c>
    </row>
    <row r="11136" spans="1:1" x14ac:dyDescent="0.2">
      <c r="A11136" t="s">
        <v>1289</v>
      </c>
    </row>
    <row r="11137" spans="1:1" x14ac:dyDescent="0.2">
      <c r="A11137" t="s">
        <v>2781</v>
      </c>
    </row>
    <row r="11138" spans="1:1" x14ac:dyDescent="0.2">
      <c r="A11138" t="s">
        <v>3039</v>
      </c>
    </row>
    <row r="11139" spans="1:1" x14ac:dyDescent="0.2">
      <c r="A11139" t="s">
        <v>1122</v>
      </c>
    </row>
    <row r="11140" spans="1:1" x14ac:dyDescent="0.2">
      <c r="A11140" t="s">
        <v>1123</v>
      </c>
    </row>
    <row r="11141" spans="1:1" x14ac:dyDescent="0.2">
      <c r="A11141" t="s">
        <v>1124</v>
      </c>
    </row>
    <row r="11142" spans="1:1" x14ac:dyDescent="0.2">
      <c r="A11142" t="s">
        <v>1125</v>
      </c>
    </row>
    <row r="11143" spans="1:1" x14ac:dyDescent="0.2">
      <c r="A11143" t="s">
        <v>1126</v>
      </c>
    </row>
    <row r="11144" spans="1:1" x14ac:dyDescent="0.2">
      <c r="A11144" t="s">
        <v>1127</v>
      </c>
    </row>
    <row r="11145" spans="1:1" x14ac:dyDescent="0.2">
      <c r="A11145" t="s">
        <v>1128</v>
      </c>
    </row>
    <row r="11146" spans="1:1" x14ac:dyDescent="0.2">
      <c r="A11146" t="s">
        <v>1129</v>
      </c>
    </row>
    <row r="11147" spans="1:1" x14ac:dyDescent="0.2">
      <c r="A11147" t="s">
        <v>1130</v>
      </c>
    </row>
    <row r="11148" spans="1:1" x14ac:dyDescent="0.2">
      <c r="A11148" t="s">
        <v>1131</v>
      </c>
    </row>
    <row r="11149" spans="1:1" x14ac:dyDescent="0.2">
      <c r="A11149" t="s">
        <v>1132</v>
      </c>
    </row>
    <row r="11150" spans="1:1" x14ac:dyDescent="0.2">
      <c r="A11150" t="s">
        <v>1133</v>
      </c>
    </row>
    <row r="11151" spans="1:1" x14ac:dyDescent="0.2">
      <c r="A11151" t="s">
        <v>1134</v>
      </c>
    </row>
    <row r="11152" spans="1:1" x14ac:dyDescent="0.2">
      <c r="A11152" t="s">
        <v>1135</v>
      </c>
    </row>
    <row r="11153" spans="1:1" x14ac:dyDescent="0.2">
      <c r="A11153" t="s">
        <v>1136</v>
      </c>
    </row>
    <row r="11154" spans="1:1" x14ac:dyDescent="0.2">
      <c r="A11154" t="s">
        <v>1137</v>
      </c>
    </row>
    <row r="11155" spans="1:1" x14ac:dyDescent="0.2">
      <c r="A11155" t="s">
        <v>1138</v>
      </c>
    </row>
    <row r="11156" spans="1:1" x14ac:dyDescent="0.2">
      <c r="A11156" t="s">
        <v>1139</v>
      </c>
    </row>
    <row r="11157" spans="1:1" x14ac:dyDescent="0.2">
      <c r="A11157" t="s">
        <v>1140</v>
      </c>
    </row>
    <row r="11158" spans="1:1" x14ac:dyDescent="0.2">
      <c r="A11158" t="s">
        <v>1141</v>
      </c>
    </row>
    <row r="11159" spans="1:1" x14ac:dyDescent="0.2">
      <c r="A11159" t="s">
        <v>1142</v>
      </c>
    </row>
    <row r="11160" spans="1:1" x14ac:dyDescent="0.2">
      <c r="A11160" t="s">
        <v>1143</v>
      </c>
    </row>
    <row r="11161" spans="1:1" x14ac:dyDescent="0.2">
      <c r="A11161" t="s">
        <v>1144</v>
      </c>
    </row>
    <row r="11162" spans="1:1" x14ac:dyDescent="0.2">
      <c r="A11162" t="s">
        <v>1145</v>
      </c>
    </row>
    <row r="11163" spans="1:1" x14ac:dyDescent="0.2">
      <c r="A11163" t="s">
        <v>1146</v>
      </c>
    </row>
    <row r="11164" spans="1:1" x14ac:dyDescent="0.2">
      <c r="A11164" t="s">
        <v>1147</v>
      </c>
    </row>
    <row r="11165" spans="1:1" x14ac:dyDescent="0.2">
      <c r="A11165" t="s">
        <v>1148</v>
      </c>
    </row>
    <row r="11166" spans="1:1" x14ac:dyDescent="0.2">
      <c r="A11166" t="s">
        <v>1149</v>
      </c>
    </row>
    <row r="11167" spans="1:1" x14ac:dyDescent="0.2">
      <c r="A11167" t="s">
        <v>1150</v>
      </c>
    </row>
    <row r="11168" spans="1:1" x14ac:dyDescent="0.2">
      <c r="A11168" t="s">
        <v>1151</v>
      </c>
    </row>
    <row r="11169" spans="1:1" x14ac:dyDescent="0.2">
      <c r="A11169" t="s">
        <v>1152</v>
      </c>
    </row>
    <row r="11170" spans="1:1" x14ac:dyDescent="0.2">
      <c r="A11170" t="s">
        <v>1153</v>
      </c>
    </row>
    <row r="11171" spans="1:1" x14ac:dyDescent="0.2">
      <c r="A11171" t="s">
        <v>1154</v>
      </c>
    </row>
    <row r="11172" spans="1:1" x14ac:dyDescent="0.2">
      <c r="A11172" t="s">
        <v>1155</v>
      </c>
    </row>
    <row r="11173" spans="1:1" x14ac:dyDescent="0.2">
      <c r="A11173" t="s">
        <v>1156</v>
      </c>
    </row>
    <row r="11174" spans="1:1" x14ac:dyDescent="0.2">
      <c r="A11174" t="s">
        <v>1157</v>
      </c>
    </row>
    <row r="11175" spans="1:1" x14ac:dyDescent="0.2">
      <c r="A11175" t="s">
        <v>1158</v>
      </c>
    </row>
    <row r="11176" spans="1:1" x14ac:dyDescent="0.2">
      <c r="A11176" t="s">
        <v>1159</v>
      </c>
    </row>
    <row r="11177" spans="1:1" x14ac:dyDescent="0.2">
      <c r="A11177" t="s">
        <v>1160</v>
      </c>
    </row>
    <row r="11178" spans="1:1" x14ac:dyDescent="0.2">
      <c r="A11178" t="s">
        <v>1161</v>
      </c>
    </row>
    <row r="11179" spans="1:1" x14ac:dyDescent="0.2">
      <c r="A11179" t="s">
        <v>1162</v>
      </c>
    </row>
    <row r="11180" spans="1:1" x14ac:dyDescent="0.2">
      <c r="A11180" t="s">
        <v>1163</v>
      </c>
    </row>
    <row r="11181" spans="1:1" x14ac:dyDescent="0.2">
      <c r="A11181" t="s">
        <v>1164</v>
      </c>
    </row>
    <row r="11182" spans="1:1" x14ac:dyDescent="0.2">
      <c r="A11182" t="s">
        <v>1165</v>
      </c>
    </row>
    <row r="11183" spans="1:1" x14ac:dyDescent="0.2">
      <c r="A11183" t="s">
        <v>1166</v>
      </c>
    </row>
    <row r="11184" spans="1:1" x14ac:dyDescent="0.2">
      <c r="A11184" t="s">
        <v>1167</v>
      </c>
    </row>
    <row r="11185" spans="1:1" x14ac:dyDescent="0.2">
      <c r="A11185" t="s">
        <v>1168</v>
      </c>
    </row>
    <row r="11186" spans="1:1" x14ac:dyDescent="0.2">
      <c r="A11186" t="s">
        <v>1169</v>
      </c>
    </row>
    <row r="11187" spans="1:1" x14ac:dyDescent="0.2">
      <c r="A11187" t="s">
        <v>1170</v>
      </c>
    </row>
    <row r="11188" spans="1:1" x14ac:dyDescent="0.2">
      <c r="A11188" t="s">
        <v>1171</v>
      </c>
    </row>
    <row r="11189" spans="1:1" x14ac:dyDescent="0.2">
      <c r="A11189" t="s">
        <v>1172</v>
      </c>
    </row>
    <row r="11190" spans="1:1" x14ac:dyDescent="0.2">
      <c r="A11190" t="s">
        <v>1173</v>
      </c>
    </row>
    <row r="11191" spans="1:1" x14ac:dyDescent="0.2">
      <c r="A11191" t="s">
        <v>1174</v>
      </c>
    </row>
    <row r="11192" spans="1:1" x14ac:dyDescent="0.2">
      <c r="A11192" t="s">
        <v>1175</v>
      </c>
    </row>
    <row r="11193" spans="1:1" x14ac:dyDescent="0.2">
      <c r="A11193" t="s">
        <v>1176</v>
      </c>
    </row>
    <row r="11194" spans="1:1" x14ac:dyDescent="0.2">
      <c r="A11194" t="s">
        <v>1177</v>
      </c>
    </row>
    <row r="11195" spans="1:1" x14ac:dyDescent="0.2">
      <c r="A11195" t="s">
        <v>1178</v>
      </c>
    </row>
    <row r="11196" spans="1:1" x14ac:dyDescent="0.2">
      <c r="A11196" t="s">
        <v>1179</v>
      </c>
    </row>
    <row r="11197" spans="1:1" x14ac:dyDescent="0.2">
      <c r="A11197" t="s">
        <v>1180</v>
      </c>
    </row>
    <row r="11198" spans="1:1" x14ac:dyDescent="0.2">
      <c r="A11198" t="s">
        <v>1181</v>
      </c>
    </row>
    <row r="11199" spans="1:1" x14ac:dyDescent="0.2">
      <c r="A11199" t="s">
        <v>1182</v>
      </c>
    </row>
    <row r="11200" spans="1:1" x14ac:dyDescent="0.2">
      <c r="A11200" t="s">
        <v>1183</v>
      </c>
    </row>
    <row r="11201" spans="1:1" x14ac:dyDescent="0.2">
      <c r="A11201" t="s">
        <v>1184</v>
      </c>
    </row>
    <row r="11202" spans="1:1" x14ac:dyDescent="0.2">
      <c r="A11202" t="s">
        <v>1185</v>
      </c>
    </row>
    <row r="11203" spans="1:1" x14ac:dyDescent="0.2">
      <c r="A11203" t="s">
        <v>1186</v>
      </c>
    </row>
    <row r="11204" spans="1:1" x14ac:dyDescent="0.2">
      <c r="A11204" t="s">
        <v>1187</v>
      </c>
    </row>
    <row r="11205" spans="1:1" x14ac:dyDescent="0.2">
      <c r="A11205" t="s">
        <v>1188</v>
      </c>
    </row>
    <row r="11206" spans="1:1" x14ac:dyDescent="0.2">
      <c r="A11206" t="s">
        <v>1189</v>
      </c>
    </row>
    <row r="11207" spans="1:1" x14ac:dyDescent="0.2">
      <c r="A11207" t="s">
        <v>1190</v>
      </c>
    </row>
    <row r="11208" spans="1:1" x14ac:dyDescent="0.2">
      <c r="A11208" t="s">
        <v>1191</v>
      </c>
    </row>
    <row r="11209" spans="1:1" x14ac:dyDescent="0.2">
      <c r="A11209" t="s">
        <v>1192</v>
      </c>
    </row>
    <row r="11210" spans="1:1" x14ac:dyDescent="0.2">
      <c r="A11210" t="s">
        <v>1193</v>
      </c>
    </row>
    <row r="11211" spans="1:1" x14ac:dyDescent="0.2">
      <c r="A11211" t="s">
        <v>1194</v>
      </c>
    </row>
    <row r="11212" spans="1:1" x14ac:dyDescent="0.2">
      <c r="A11212" t="s">
        <v>1195</v>
      </c>
    </row>
    <row r="11213" spans="1:1" x14ac:dyDescent="0.2">
      <c r="A11213" t="s">
        <v>1196</v>
      </c>
    </row>
    <row r="11214" spans="1:1" x14ac:dyDescent="0.2">
      <c r="A11214" t="s">
        <v>1197</v>
      </c>
    </row>
    <row r="11215" spans="1:1" x14ac:dyDescent="0.2">
      <c r="A11215" t="s">
        <v>1198</v>
      </c>
    </row>
    <row r="11216" spans="1:1" x14ac:dyDescent="0.2">
      <c r="A11216" t="s">
        <v>1199</v>
      </c>
    </row>
    <row r="11217" spans="1:1" x14ac:dyDescent="0.2">
      <c r="A11217" t="s">
        <v>1200</v>
      </c>
    </row>
    <row r="11218" spans="1:1" x14ac:dyDescent="0.2">
      <c r="A11218" t="s">
        <v>1201</v>
      </c>
    </row>
    <row r="11219" spans="1:1" x14ac:dyDescent="0.2">
      <c r="A11219" t="s">
        <v>1202</v>
      </c>
    </row>
    <row r="11220" spans="1:1" x14ac:dyDescent="0.2">
      <c r="A11220" t="s">
        <v>1203</v>
      </c>
    </row>
    <row r="11221" spans="1:1" x14ac:dyDescent="0.2">
      <c r="A11221" t="s">
        <v>1204</v>
      </c>
    </row>
    <row r="11222" spans="1:1" x14ac:dyDescent="0.2">
      <c r="A11222" t="s">
        <v>1205</v>
      </c>
    </row>
    <row r="11223" spans="1:1" x14ac:dyDescent="0.2">
      <c r="A11223" t="s">
        <v>1206</v>
      </c>
    </row>
    <row r="11224" spans="1:1" x14ac:dyDescent="0.2">
      <c r="A11224" t="s">
        <v>1207</v>
      </c>
    </row>
    <row r="11225" spans="1:1" x14ac:dyDescent="0.2">
      <c r="A11225" t="s">
        <v>1208</v>
      </c>
    </row>
    <row r="11226" spans="1:1" x14ac:dyDescent="0.2">
      <c r="A11226" t="s">
        <v>1209</v>
      </c>
    </row>
    <row r="11227" spans="1:1" x14ac:dyDescent="0.2">
      <c r="A11227" t="s">
        <v>1210</v>
      </c>
    </row>
    <row r="11228" spans="1:1" x14ac:dyDescent="0.2">
      <c r="A11228" t="s">
        <v>1211</v>
      </c>
    </row>
    <row r="11229" spans="1:1" x14ac:dyDescent="0.2">
      <c r="A11229" t="s">
        <v>1212</v>
      </c>
    </row>
    <row r="11230" spans="1:1" x14ac:dyDescent="0.2">
      <c r="A11230" t="s">
        <v>1213</v>
      </c>
    </row>
    <row r="11231" spans="1:1" x14ac:dyDescent="0.2">
      <c r="A11231" t="s">
        <v>1214</v>
      </c>
    </row>
    <row r="11232" spans="1:1" x14ac:dyDescent="0.2">
      <c r="A11232" t="s">
        <v>1215</v>
      </c>
    </row>
    <row r="11233" spans="1:1" x14ac:dyDescent="0.2">
      <c r="A11233" t="s">
        <v>1216</v>
      </c>
    </row>
    <row r="11234" spans="1:1" x14ac:dyDescent="0.2">
      <c r="A11234" t="s">
        <v>1217</v>
      </c>
    </row>
    <row r="11235" spans="1:1" x14ac:dyDescent="0.2">
      <c r="A11235" t="s">
        <v>1218</v>
      </c>
    </row>
    <row r="11236" spans="1:1" x14ac:dyDescent="0.2">
      <c r="A11236" t="s">
        <v>1219</v>
      </c>
    </row>
    <row r="11237" spans="1:1" x14ac:dyDescent="0.2">
      <c r="A11237" t="s">
        <v>1220</v>
      </c>
    </row>
    <row r="11238" spans="1:1" x14ac:dyDescent="0.2">
      <c r="A11238" t="s">
        <v>1221</v>
      </c>
    </row>
    <row r="11239" spans="1:1" x14ac:dyDescent="0.2">
      <c r="A11239" t="s">
        <v>1222</v>
      </c>
    </row>
    <row r="11240" spans="1:1" x14ac:dyDescent="0.2">
      <c r="A11240" t="s">
        <v>1223</v>
      </c>
    </row>
    <row r="11241" spans="1:1" x14ac:dyDescent="0.2">
      <c r="A11241" t="s">
        <v>1224</v>
      </c>
    </row>
    <row r="11242" spans="1:1" x14ac:dyDescent="0.2">
      <c r="A11242" t="s">
        <v>1225</v>
      </c>
    </row>
    <row r="11243" spans="1:1" x14ac:dyDescent="0.2">
      <c r="A11243" t="s">
        <v>1226</v>
      </c>
    </row>
    <row r="11244" spans="1:1" x14ac:dyDescent="0.2">
      <c r="A11244" t="s">
        <v>1227</v>
      </c>
    </row>
    <row r="11245" spans="1:1" x14ac:dyDescent="0.2">
      <c r="A11245" t="s">
        <v>1228</v>
      </c>
    </row>
    <row r="11246" spans="1:1" x14ac:dyDescent="0.2">
      <c r="A11246" t="s">
        <v>1229</v>
      </c>
    </row>
    <row r="11247" spans="1:1" x14ac:dyDescent="0.2">
      <c r="A11247" t="s">
        <v>1230</v>
      </c>
    </row>
    <row r="11248" spans="1:1" x14ac:dyDescent="0.2">
      <c r="A11248" t="s">
        <v>1231</v>
      </c>
    </row>
    <row r="11249" spans="1:1" x14ac:dyDescent="0.2">
      <c r="A11249" t="s">
        <v>1232</v>
      </c>
    </row>
    <row r="11250" spans="1:1" x14ac:dyDescent="0.2">
      <c r="A11250" t="s">
        <v>1233</v>
      </c>
    </row>
    <row r="11251" spans="1:1" x14ac:dyDescent="0.2">
      <c r="A11251" t="s">
        <v>1234</v>
      </c>
    </row>
    <row r="11252" spans="1:1" x14ac:dyDescent="0.2">
      <c r="A11252" t="s">
        <v>1235</v>
      </c>
    </row>
    <row r="11253" spans="1:1" x14ac:dyDescent="0.2">
      <c r="A11253" t="s">
        <v>1236</v>
      </c>
    </row>
    <row r="11254" spans="1:1" x14ac:dyDescent="0.2">
      <c r="A11254" t="s">
        <v>1237</v>
      </c>
    </row>
    <row r="11255" spans="1:1" x14ac:dyDescent="0.2">
      <c r="A11255" t="s">
        <v>1238</v>
      </c>
    </row>
    <row r="11256" spans="1:1" x14ac:dyDescent="0.2">
      <c r="A11256" t="s">
        <v>1239</v>
      </c>
    </row>
    <row r="11257" spans="1:1" x14ac:dyDescent="0.2">
      <c r="A11257" t="s">
        <v>1240</v>
      </c>
    </row>
    <row r="11258" spans="1:1" x14ac:dyDescent="0.2">
      <c r="A11258" t="s">
        <v>1241</v>
      </c>
    </row>
    <row r="11259" spans="1:1" x14ac:dyDescent="0.2">
      <c r="A11259" t="s">
        <v>1242</v>
      </c>
    </row>
    <row r="11260" spans="1:1" x14ac:dyDescent="0.2">
      <c r="A11260" t="s">
        <v>1243</v>
      </c>
    </row>
    <row r="11261" spans="1:1" x14ac:dyDescent="0.2">
      <c r="A11261" t="s">
        <v>1244</v>
      </c>
    </row>
    <row r="11262" spans="1:1" x14ac:dyDescent="0.2">
      <c r="A11262" t="s">
        <v>1245</v>
      </c>
    </row>
    <row r="11263" spans="1:1" x14ac:dyDescent="0.2">
      <c r="A11263" t="s">
        <v>1246</v>
      </c>
    </row>
    <row r="11264" spans="1:1" x14ac:dyDescent="0.2">
      <c r="A11264" t="s">
        <v>1247</v>
      </c>
    </row>
    <row r="11265" spans="1:1" x14ac:dyDescent="0.2">
      <c r="A11265" t="s">
        <v>1248</v>
      </c>
    </row>
    <row r="11266" spans="1:1" x14ac:dyDescent="0.2">
      <c r="A11266" t="s">
        <v>1249</v>
      </c>
    </row>
    <row r="11267" spans="1:1" x14ac:dyDescent="0.2">
      <c r="A11267" t="s">
        <v>1250</v>
      </c>
    </row>
    <row r="11268" spans="1:1" x14ac:dyDescent="0.2">
      <c r="A11268" t="s">
        <v>1251</v>
      </c>
    </row>
    <row r="11269" spans="1:1" x14ac:dyDescent="0.2">
      <c r="A11269" t="s">
        <v>1252</v>
      </c>
    </row>
    <row r="11270" spans="1:1" x14ac:dyDescent="0.2">
      <c r="A11270" t="s">
        <v>1253</v>
      </c>
    </row>
    <row r="11271" spans="1:1" x14ac:dyDescent="0.2">
      <c r="A11271" t="s">
        <v>1254</v>
      </c>
    </row>
    <row r="11272" spans="1:1" x14ac:dyDescent="0.2">
      <c r="A11272" t="s">
        <v>1255</v>
      </c>
    </row>
    <row r="11273" spans="1:1" x14ac:dyDescent="0.2">
      <c r="A11273" t="s">
        <v>1256</v>
      </c>
    </row>
    <row r="11274" spans="1:1" x14ac:dyDescent="0.2">
      <c r="A11274" t="s">
        <v>1257</v>
      </c>
    </row>
    <row r="11275" spans="1:1" x14ac:dyDescent="0.2">
      <c r="A11275" t="s">
        <v>1258</v>
      </c>
    </row>
    <row r="11276" spans="1:1" x14ac:dyDescent="0.2">
      <c r="A11276" t="s">
        <v>1259</v>
      </c>
    </row>
    <row r="11277" spans="1:1" x14ac:dyDescent="0.2">
      <c r="A11277" t="s">
        <v>1260</v>
      </c>
    </row>
    <row r="11278" spans="1:1" x14ac:dyDescent="0.2">
      <c r="A11278" t="s">
        <v>1261</v>
      </c>
    </row>
    <row r="11279" spans="1:1" x14ac:dyDescent="0.2">
      <c r="A11279" t="s">
        <v>1262</v>
      </c>
    </row>
    <row r="11280" spans="1:1" x14ac:dyDescent="0.2">
      <c r="A11280" t="s">
        <v>1263</v>
      </c>
    </row>
    <row r="11281" spans="1:1" x14ac:dyDescent="0.2">
      <c r="A11281" t="s">
        <v>1264</v>
      </c>
    </row>
    <row r="11282" spans="1:1" x14ac:dyDescent="0.2">
      <c r="A11282" t="s">
        <v>1265</v>
      </c>
    </row>
    <row r="11283" spans="1:1" x14ac:dyDescent="0.2">
      <c r="A11283" t="s">
        <v>1266</v>
      </c>
    </row>
    <row r="11284" spans="1:1" x14ac:dyDescent="0.2">
      <c r="A11284" t="s">
        <v>1267</v>
      </c>
    </row>
    <row r="11285" spans="1:1" x14ac:dyDescent="0.2">
      <c r="A11285" t="s">
        <v>1268</v>
      </c>
    </row>
    <row r="11286" spans="1:1" x14ac:dyDescent="0.2">
      <c r="A11286" t="s">
        <v>1269</v>
      </c>
    </row>
    <row r="11287" spans="1:1" x14ac:dyDescent="0.2">
      <c r="A11287" t="s">
        <v>1270</v>
      </c>
    </row>
    <row r="11288" spans="1:1" x14ac:dyDescent="0.2">
      <c r="A11288" t="s">
        <v>1271</v>
      </c>
    </row>
    <row r="11289" spans="1:1" x14ac:dyDescent="0.2">
      <c r="A11289" t="s">
        <v>1272</v>
      </c>
    </row>
    <row r="11290" spans="1:1" x14ac:dyDescent="0.2">
      <c r="A11290" t="s">
        <v>1273</v>
      </c>
    </row>
    <row r="11291" spans="1:1" x14ac:dyDescent="0.2">
      <c r="A11291" t="s">
        <v>1274</v>
      </c>
    </row>
    <row r="11292" spans="1:1" x14ac:dyDescent="0.2">
      <c r="A11292" t="s">
        <v>1275</v>
      </c>
    </row>
    <row r="11293" spans="1:1" x14ac:dyDescent="0.2">
      <c r="A11293" t="s">
        <v>1276</v>
      </c>
    </row>
    <row r="11294" spans="1:1" x14ac:dyDescent="0.2">
      <c r="A11294" t="s">
        <v>1277</v>
      </c>
    </row>
    <row r="11295" spans="1:1" x14ac:dyDescent="0.2">
      <c r="A11295" t="s">
        <v>1278</v>
      </c>
    </row>
    <row r="11296" spans="1:1" x14ac:dyDescent="0.2">
      <c r="A11296" t="s">
        <v>1279</v>
      </c>
    </row>
    <row r="11297" spans="1:1" x14ac:dyDescent="0.2">
      <c r="A11297" t="s">
        <v>1280</v>
      </c>
    </row>
    <row r="11298" spans="1:1" x14ac:dyDescent="0.2">
      <c r="A11298" t="s">
        <v>1281</v>
      </c>
    </row>
    <row r="11299" spans="1:1" x14ac:dyDescent="0.2">
      <c r="A11299" t="s">
        <v>1282</v>
      </c>
    </row>
    <row r="11300" spans="1:1" x14ac:dyDescent="0.2">
      <c r="A11300" t="s">
        <v>1283</v>
      </c>
    </row>
    <row r="11301" spans="1:1" x14ac:dyDescent="0.2">
      <c r="A11301" t="s">
        <v>1284</v>
      </c>
    </row>
    <row r="11302" spans="1:1" x14ac:dyDescent="0.2">
      <c r="A11302" t="s">
        <v>1285</v>
      </c>
    </row>
    <row r="11303" spans="1:1" x14ac:dyDescent="0.2">
      <c r="A11303" t="s">
        <v>1286</v>
      </c>
    </row>
    <row r="11304" spans="1:1" x14ac:dyDescent="0.2">
      <c r="A11304" t="s">
        <v>3040</v>
      </c>
    </row>
    <row r="11305" spans="1:1" x14ac:dyDescent="0.2">
      <c r="A11305" t="s">
        <v>1053</v>
      </c>
    </row>
    <row r="11306" spans="1:1" x14ac:dyDescent="0.2">
      <c r="A11306" t="s">
        <v>3041</v>
      </c>
    </row>
    <row r="11307" spans="1:1" x14ac:dyDescent="0.2">
      <c r="A11307" t="s">
        <v>2768</v>
      </c>
    </row>
    <row r="11308" spans="1:1" x14ac:dyDescent="0.2">
      <c r="A11308" t="s">
        <v>2769</v>
      </c>
    </row>
    <row r="11309" spans="1:1" x14ac:dyDescent="0.2">
      <c r="A11309" t="s">
        <v>1054</v>
      </c>
    </row>
    <row r="11310" spans="1:1" x14ac:dyDescent="0.2">
      <c r="A11310" t="s">
        <v>1055</v>
      </c>
    </row>
    <row r="11311" spans="1:1" x14ac:dyDescent="0.2">
      <c r="A11311" t="s">
        <v>2807</v>
      </c>
    </row>
    <row r="11312" spans="1:1" x14ac:dyDescent="0.2">
      <c r="A11312" t="s">
        <v>1056</v>
      </c>
    </row>
    <row r="11313" spans="1:1" x14ac:dyDescent="0.2">
      <c r="A11313" t="s">
        <v>1057</v>
      </c>
    </row>
    <row r="11314" spans="1:1" x14ac:dyDescent="0.2">
      <c r="A11314" t="s">
        <v>1058</v>
      </c>
    </row>
    <row r="11315" spans="1:1" x14ac:dyDescent="0.2">
      <c r="A11315" t="s">
        <v>1059</v>
      </c>
    </row>
    <row r="11316" spans="1:1" x14ac:dyDescent="0.2">
      <c r="A11316" t="s">
        <v>1060</v>
      </c>
    </row>
    <row r="11317" spans="1:1" x14ac:dyDescent="0.2">
      <c r="A11317" t="s">
        <v>1061</v>
      </c>
    </row>
    <row r="11318" spans="1:1" x14ac:dyDescent="0.2">
      <c r="A11318" t="s">
        <v>1062</v>
      </c>
    </row>
    <row r="11319" spans="1:1" x14ac:dyDescent="0.2">
      <c r="A11319" t="s">
        <v>1063</v>
      </c>
    </row>
    <row r="11320" spans="1:1" x14ac:dyDescent="0.2">
      <c r="A11320" t="s">
        <v>1064</v>
      </c>
    </row>
    <row r="11321" spans="1:1" x14ac:dyDescent="0.2">
      <c r="A11321" t="s">
        <v>1065</v>
      </c>
    </row>
    <row r="11322" spans="1:1" x14ac:dyDescent="0.2">
      <c r="A11322" t="s">
        <v>1066</v>
      </c>
    </row>
    <row r="11323" spans="1:1" x14ac:dyDescent="0.2">
      <c r="A11323" t="s">
        <v>1067</v>
      </c>
    </row>
    <row r="11324" spans="1:1" x14ac:dyDescent="0.2">
      <c r="A11324" t="s">
        <v>1068</v>
      </c>
    </row>
    <row r="11325" spans="1:1" x14ac:dyDescent="0.2">
      <c r="A11325" t="s">
        <v>1069</v>
      </c>
    </row>
    <row r="11326" spans="1:1" x14ac:dyDescent="0.2">
      <c r="A11326" t="s">
        <v>1070</v>
      </c>
    </row>
    <row r="11327" spans="1:1" x14ac:dyDescent="0.2">
      <c r="A11327" t="s">
        <v>1071</v>
      </c>
    </row>
    <row r="11328" spans="1:1" x14ac:dyDescent="0.2">
      <c r="A11328" t="s">
        <v>1072</v>
      </c>
    </row>
    <row r="11329" spans="1:1" x14ac:dyDescent="0.2">
      <c r="A11329" t="s">
        <v>1073</v>
      </c>
    </row>
    <row r="11330" spans="1:1" x14ac:dyDescent="0.2">
      <c r="A11330" t="s">
        <v>1074</v>
      </c>
    </row>
    <row r="11331" spans="1:1" x14ac:dyDescent="0.2">
      <c r="A11331" t="s">
        <v>1075</v>
      </c>
    </row>
    <row r="11332" spans="1:1" x14ac:dyDescent="0.2">
      <c r="A11332" t="s">
        <v>1076</v>
      </c>
    </row>
    <row r="11333" spans="1:1" x14ac:dyDescent="0.2">
      <c r="A11333" t="s">
        <v>1077</v>
      </c>
    </row>
    <row r="11334" spans="1:1" x14ac:dyDescent="0.2">
      <c r="A11334" t="s">
        <v>1078</v>
      </c>
    </row>
    <row r="11335" spans="1:1" x14ac:dyDescent="0.2">
      <c r="A11335" t="s">
        <v>1079</v>
      </c>
    </row>
    <row r="11336" spans="1:1" x14ac:dyDescent="0.2">
      <c r="A11336" t="s">
        <v>1080</v>
      </c>
    </row>
    <row r="11337" spans="1:1" x14ac:dyDescent="0.2">
      <c r="A11337" t="s">
        <v>1081</v>
      </c>
    </row>
    <row r="11338" spans="1:1" x14ac:dyDescent="0.2">
      <c r="A11338" t="s">
        <v>1082</v>
      </c>
    </row>
    <row r="11339" spans="1:1" x14ac:dyDescent="0.2">
      <c r="A11339" t="s">
        <v>1083</v>
      </c>
    </row>
    <row r="11340" spans="1:1" x14ac:dyDescent="0.2">
      <c r="A11340" t="s">
        <v>2771</v>
      </c>
    </row>
    <row r="11341" spans="1:1" x14ac:dyDescent="0.2">
      <c r="A11341" t="s">
        <v>2772</v>
      </c>
    </row>
    <row r="11342" spans="1:1" x14ac:dyDescent="0.2">
      <c r="A11342" t="s">
        <v>2773</v>
      </c>
    </row>
    <row r="11343" spans="1:1" x14ac:dyDescent="0.2">
      <c r="A11343" t="s">
        <v>2774</v>
      </c>
    </row>
    <row r="11344" spans="1:1" x14ac:dyDescent="0.2">
      <c r="A11344" t="s">
        <v>2775</v>
      </c>
    </row>
    <row r="11345" spans="1:1" x14ac:dyDescent="0.2">
      <c r="A11345" t="s">
        <v>2776</v>
      </c>
    </row>
    <row r="11346" spans="1:1" x14ac:dyDescent="0.2">
      <c r="A11346" t="s">
        <v>1084</v>
      </c>
    </row>
    <row r="11347" spans="1:1" x14ac:dyDescent="0.2">
      <c r="A11347" t="s">
        <v>1085</v>
      </c>
    </row>
    <row r="11348" spans="1:1" x14ac:dyDescent="0.2">
      <c r="A11348" t="s">
        <v>1086</v>
      </c>
    </row>
    <row r="11349" spans="1:1" x14ac:dyDescent="0.2">
      <c r="A11349" t="s">
        <v>1087</v>
      </c>
    </row>
    <row r="11350" spans="1:1" x14ac:dyDescent="0.2">
      <c r="A11350" t="s">
        <v>1088</v>
      </c>
    </row>
    <row r="11351" spans="1:1" x14ac:dyDescent="0.2">
      <c r="A11351" t="s">
        <v>1089</v>
      </c>
    </row>
    <row r="11352" spans="1:1" x14ac:dyDescent="0.2">
      <c r="A11352" t="s">
        <v>1090</v>
      </c>
    </row>
    <row r="11353" spans="1:1" x14ac:dyDescent="0.2">
      <c r="A11353" t="s">
        <v>1091</v>
      </c>
    </row>
    <row r="11354" spans="1:1" x14ac:dyDescent="0.2">
      <c r="A11354" t="s">
        <v>1092</v>
      </c>
    </row>
    <row r="11355" spans="1:1" x14ac:dyDescent="0.2">
      <c r="A11355" t="s">
        <v>1093</v>
      </c>
    </row>
    <row r="11356" spans="1:1" x14ac:dyDescent="0.2">
      <c r="A11356" t="s">
        <v>1094</v>
      </c>
    </row>
    <row r="11357" spans="1:1" x14ac:dyDescent="0.2">
      <c r="A11357" t="s">
        <v>1095</v>
      </c>
    </row>
    <row r="11358" spans="1:1" x14ac:dyDescent="0.2">
      <c r="A11358" t="s">
        <v>1096</v>
      </c>
    </row>
    <row r="11359" spans="1:1" x14ac:dyDescent="0.2">
      <c r="A11359" t="s">
        <v>1097</v>
      </c>
    </row>
    <row r="11360" spans="1:1" x14ac:dyDescent="0.2">
      <c r="A11360" t="s">
        <v>1098</v>
      </c>
    </row>
    <row r="11361" spans="1:1" x14ac:dyDescent="0.2">
      <c r="A11361" t="s">
        <v>1099</v>
      </c>
    </row>
    <row r="11362" spans="1:1" x14ac:dyDescent="0.2">
      <c r="A11362" t="s">
        <v>1100</v>
      </c>
    </row>
    <row r="11363" spans="1:1" x14ac:dyDescent="0.2">
      <c r="A11363" t="s">
        <v>1101</v>
      </c>
    </row>
    <row r="11364" spans="1:1" x14ac:dyDescent="0.2">
      <c r="A11364" t="s">
        <v>1102</v>
      </c>
    </row>
    <row r="11365" spans="1:1" x14ac:dyDescent="0.2">
      <c r="A11365" t="s">
        <v>1103</v>
      </c>
    </row>
    <row r="11366" spans="1:1" x14ac:dyDescent="0.2">
      <c r="A11366" t="s">
        <v>1104</v>
      </c>
    </row>
    <row r="11367" spans="1:1" x14ac:dyDescent="0.2">
      <c r="A11367" t="s">
        <v>1105</v>
      </c>
    </row>
    <row r="11368" spans="1:1" x14ac:dyDescent="0.2">
      <c r="A11368" t="s">
        <v>1106</v>
      </c>
    </row>
    <row r="11369" spans="1:1" x14ac:dyDescent="0.2">
      <c r="A11369" t="s">
        <v>1107</v>
      </c>
    </row>
    <row r="11370" spans="1:1" x14ac:dyDescent="0.2">
      <c r="A11370" t="s">
        <v>1108</v>
      </c>
    </row>
    <row r="11371" spans="1:1" x14ac:dyDescent="0.2">
      <c r="A11371" t="s">
        <v>1109</v>
      </c>
    </row>
    <row r="11372" spans="1:1" x14ac:dyDescent="0.2">
      <c r="A11372" t="s">
        <v>1110</v>
      </c>
    </row>
    <row r="11373" spans="1:1" x14ac:dyDescent="0.2">
      <c r="A11373" t="s">
        <v>1111</v>
      </c>
    </row>
    <row r="11374" spans="1:1" x14ac:dyDescent="0.2">
      <c r="A11374" t="s">
        <v>1112</v>
      </c>
    </row>
    <row r="11375" spans="1:1" x14ac:dyDescent="0.2">
      <c r="A11375" t="s">
        <v>1113</v>
      </c>
    </row>
    <row r="11376" spans="1:1" x14ac:dyDescent="0.2">
      <c r="A11376" t="s">
        <v>1114</v>
      </c>
    </row>
    <row r="11377" spans="1:1" x14ac:dyDescent="0.2">
      <c r="A11377" t="s">
        <v>1115</v>
      </c>
    </row>
    <row r="11378" spans="1:1" x14ac:dyDescent="0.2">
      <c r="A11378" t="s">
        <v>1116</v>
      </c>
    </row>
    <row r="11379" spans="1:1" x14ac:dyDescent="0.2">
      <c r="A11379" t="s">
        <v>1117</v>
      </c>
    </row>
    <row r="11380" spans="1:1" x14ac:dyDescent="0.2">
      <c r="A11380" t="s">
        <v>1118</v>
      </c>
    </row>
    <row r="11381" spans="1:1" x14ac:dyDescent="0.2">
      <c r="A11381" t="s">
        <v>1119</v>
      </c>
    </row>
    <row r="11382" spans="1:1" x14ac:dyDescent="0.2">
      <c r="A11382" t="s">
        <v>1120</v>
      </c>
    </row>
    <row r="11383" spans="1:1" x14ac:dyDescent="0.2">
      <c r="A11383" t="s">
        <v>1288</v>
      </c>
    </row>
    <row r="11384" spans="1:1" x14ac:dyDescent="0.2">
      <c r="A11384" t="s">
        <v>3042</v>
      </c>
    </row>
    <row r="11385" spans="1:1" x14ac:dyDescent="0.2">
      <c r="A11385" t="s">
        <v>3043</v>
      </c>
    </row>
    <row r="11386" spans="1:1" x14ac:dyDescent="0.2">
      <c r="A11386" t="s">
        <v>3007</v>
      </c>
    </row>
    <row r="11387" spans="1:1" x14ac:dyDescent="0.2">
      <c r="A11387" t="s">
        <v>3008</v>
      </c>
    </row>
    <row r="11388" spans="1:1" x14ac:dyDescent="0.2">
      <c r="A11388" t="s">
        <v>1289</v>
      </c>
    </row>
    <row r="11389" spans="1:1" x14ac:dyDescent="0.2">
      <c r="A11389" t="s">
        <v>2781</v>
      </c>
    </row>
    <row r="11390" spans="1:1" x14ac:dyDescent="0.2">
      <c r="A11390" t="s">
        <v>3044</v>
      </c>
    </row>
    <row r="11391" spans="1:1" x14ac:dyDescent="0.2">
      <c r="A11391" t="s">
        <v>1122</v>
      </c>
    </row>
    <row r="11392" spans="1:1" x14ac:dyDescent="0.2">
      <c r="A11392" t="s">
        <v>1123</v>
      </c>
    </row>
    <row r="11393" spans="1:1" x14ac:dyDescent="0.2">
      <c r="A11393" t="s">
        <v>1124</v>
      </c>
    </row>
    <row r="11394" spans="1:1" x14ac:dyDescent="0.2">
      <c r="A11394" t="s">
        <v>1125</v>
      </c>
    </row>
    <row r="11395" spans="1:1" x14ac:dyDescent="0.2">
      <c r="A11395" t="s">
        <v>1126</v>
      </c>
    </row>
    <row r="11396" spans="1:1" x14ac:dyDescent="0.2">
      <c r="A11396" t="s">
        <v>1127</v>
      </c>
    </row>
    <row r="11397" spans="1:1" x14ac:dyDescent="0.2">
      <c r="A11397" t="s">
        <v>1128</v>
      </c>
    </row>
    <row r="11398" spans="1:1" x14ac:dyDescent="0.2">
      <c r="A11398" t="s">
        <v>1129</v>
      </c>
    </row>
    <row r="11399" spans="1:1" x14ac:dyDescent="0.2">
      <c r="A11399" t="s">
        <v>1130</v>
      </c>
    </row>
    <row r="11400" spans="1:1" x14ac:dyDescent="0.2">
      <c r="A11400" t="s">
        <v>1131</v>
      </c>
    </row>
    <row r="11401" spans="1:1" x14ac:dyDescent="0.2">
      <c r="A11401" t="s">
        <v>1132</v>
      </c>
    </row>
    <row r="11402" spans="1:1" x14ac:dyDescent="0.2">
      <c r="A11402" t="s">
        <v>1133</v>
      </c>
    </row>
    <row r="11403" spans="1:1" x14ac:dyDescent="0.2">
      <c r="A11403" t="s">
        <v>1134</v>
      </c>
    </row>
    <row r="11404" spans="1:1" x14ac:dyDescent="0.2">
      <c r="A11404" t="s">
        <v>1135</v>
      </c>
    </row>
    <row r="11405" spans="1:1" x14ac:dyDescent="0.2">
      <c r="A11405" t="s">
        <v>1136</v>
      </c>
    </row>
    <row r="11406" spans="1:1" x14ac:dyDescent="0.2">
      <c r="A11406" t="s">
        <v>1137</v>
      </c>
    </row>
    <row r="11407" spans="1:1" x14ac:dyDescent="0.2">
      <c r="A11407" t="s">
        <v>1138</v>
      </c>
    </row>
    <row r="11408" spans="1:1" x14ac:dyDescent="0.2">
      <c r="A11408" t="s">
        <v>1139</v>
      </c>
    </row>
    <row r="11409" spans="1:1" x14ac:dyDescent="0.2">
      <c r="A11409" t="s">
        <v>1140</v>
      </c>
    </row>
    <row r="11410" spans="1:1" x14ac:dyDescent="0.2">
      <c r="A11410" t="s">
        <v>1141</v>
      </c>
    </row>
    <row r="11411" spans="1:1" x14ac:dyDescent="0.2">
      <c r="A11411" t="s">
        <v>1142</v>
      </c>
    </row>
    <row r="11412" spans="1:1" x14ac:dyDescent="0.2">
      <c r="A11412" t="s">
        <v>1143</v>
      </c>
    </row>
    <row r="11413" spans="1:1" x14ac:dyDescent="0.2">
      <c r="A11413" t="s">
        <v>1144</v>
      </c>
    </row>
    <row r="11414" spans="1:1" x14ac:dyDescent="0.2">
      <c r="A11414" t="s">
        <v>1145</v>
      </c>
    </row>
    <row r="11415" spans="1:1" x14ac:dyDescent="0.2">
      <c r="A11415" t="s">
        <v>1146</v>
      </c>
    </row>
    <row r="11416" spans="1:1" x14ac:dyDescent="0.2">
      <c r="A11416" t="s">
        <v>1147</v>
      </c>
    </row>
    <row r="11417" spans="1:1" x14ac:dyDescent="0.2">
      <c r="A11417" t="s">
        <v>1148</v>
      </c>
    </row>
    <row r="11418" spans="1:1" x14ac:dyDescent="0.2">
      <c r="A11418" t="s">
        <v>1149</v>
      </c>
    </row>
    <row r="11419" spans="1:1" x14ac:dyDescent="0.2">
      <c r="A11419" t="s">
        <v>1150</v>
      </c>
    </row>
    <row r="11420" spans="1:1" x14ac:dyDescent="0.2">
      <c r="A11420" t="s">
        <v>1151</v>
      </c>
    </row>
    <row r="11421" spans="1:1" x14ac:dyDescent="0.2">
      <c r="A11421" t="s">
        <v>1152</v>
      </c>
    </row>
    <row r="11422" spans="1:1" x14ac:dyDescent="0.2">
      <c r="A11422" t="s">
        <v>1153</v>
      </c>
    </row>
    <row r="11423" spans="1:1" x14ac:dyDescent="0.2">
      <c r="A11423" t="s">
        <v>1154</v>
      </c>
    </row>
    <row r="11424" spans="1:1" x14ac:dyDescent="0.2">
      <c r="A11424" t="s">
        <v>1155</v>
      </c>
    </row>
    <row r="11425" spans="1:1" x14ac:dyDescent="0.2">
      <c r="A11425" t="s">
        <v>1156</v>
      </c>
    </row>
    <row r="11426" spans="1:1" x14ac:dyDescent="0.2">
      <c r="A11426" t="s">
        <v>1157</v>
      </c>
    </row>
    <row r="11427" spans="1:1" x14ac:dyDescent="0.2">
      <c r="A11427" t="s">
        <v>1158</v>
      </c>
    </row>
    <row r="11428" spans="1:1" x14ac:dyDescent="0.2">
      <c r="A11428" t="s">
        <v>1159</v>
      </c>
    </row>
    <row r="11429" spans="1:1" x14ac:dyDescent="0.2">
      <c r="A11429" t="s">
        <v>1160</v>
      </c>
    </row>
    <row r="11430" spans="1:1" x14ac:dyDescent="0.2">
      <c r="A11430" t="s">
        <v>1161</v>
      </c>
    </row>
    <row r="11431" spans="1:1" x14ac:dyDescent="0.2">
      <c r="A11431" t="s">
        <v>1162</v>
      </c>
    </row>
    <row r="11432" spans="1:1" x14ac:dyDescent="0.2">
      <c r="A11432" t="s">
        <v>1163</v>
      </c>
    </row>
    <row r="11433" spans="1:1" x14ac:dyDescent="0.2">
      <c r="A11433" t="s">
        <v>1164</v>
      </c>
    </row>
    <row r="11434" spans="1:1" x14ac:dyDescent="0.2">
      <c r="A11434" t="s">
        <v>1165</v>
      </c>
    </row>
    <row r="11435" spans="1:1" x14ac:dyDescent="0.2">
      <c r="A11435" t="s">
        <v>1166</v>
      </c>
    </row>
    <row r="11436" spans="1:1" x14ac:dyDescent="0.2">
      <c r="A11436" t="s">
        <v>1167</v>
      </c>
    </row>
    <row r="11437" spans="1:1" x14ac:dyDescent="0.2">
      <c r="A11437" t="s">
        <v>1168</v>
      </c>
    </row>
    <row r="11438" spans="1:1" x14ac:dyDescent="0.2">
      <c r="A11438" t="s">
        <v>1169</v>
      </c>
    </row>
    <row r="11439" spans="1:1" x14ac:dyDescent="0.2">
      <c r="A11439" t="s">
        <v>1170</v>
      </c>
    </row>
    <row r="11440" spans="1:1" x14ac:dyDescent="0.2">
      <c r="A11440" t="s">
        <v>1171</v>
      </c>
    </row>
    <row r="11441" spans="1:1" x14ac:dyDescent="0.2">
      <c r="A11441" t="s">
        <v>1172</v>
      </c>
    </row>
    <row r="11442" spans="1:1" x14ac:dyDescent="0.2">
      <c r="A11442" t="s">
        <v>1173</v>
      </c>
    </row>
    <row r="11443" spans="1:1" x14ac:dyDescent="0.2">
      <c r="A11443" t="s">
        <v>1174</v>
      </c>
    </row>
    <row r="11444" spans="1:1" x14ac:dyDescent="0.2">
      <c r="A11444" t="s">
        <v>1175</v>
      </c>
    </row>
    <row r="11445" spans="1:1" x14ac:dyDescent="0.2">
      <c r="A11445" t="s">
        <v>1176</v>
      </c>
    </row>
    <row r="11446" spans="1:1" x14ac:dyDescent="0.2">
      <c r="A11446" t="s">
        <v>1177</v>
      </c>
    </row>
    <row r="11447" spans="1:1" x14ac:dyDescent="0.2">
      <c r="A11447" t="s">
        <v>1178</v>
      </c>
    </row>
    <row r="11448" spans="1:1" x14ac:dyDescent="0.2">
      <c r="A11448" t="s">
        <v>1179</v>
      </c>
    </row>
    <row r="11449" spans="1:1" x14ac:dyDescent="0.2">
      <c r="A11449" t="s">
        <v>1180</v>
      </c>
    </row>
    <row r="11450" spans="1:1" x14ac:dyDescent="0.2">
      <c r="A11450" t="s">
        <v>1181</v>
      </c>
    </row>
    <row r="11451" spans="1:1" x14ac:dyDescent="0.2">
      <c r="A11451" t="s">
        <v>1182</v>
      </c>
    </row>
    <row r="11452" spans="1:1" x14ac:dyDescent="0.2">
      <c r="A11452" t="s">
        <v>1183</v>
      </c>
    </row>
    <row r="11453" spans="1:1" x14ac:dyDescent="0.2">
      <c r="A11453" t="s">
        <v>1184</v>
      </c>
    </row>
    <row r="11454" spans="1:1" x14ac:dyDescent="0.2">
      <c r="A11454" t="s">
        <v>1185</v>
      </c>
    </row>
    <row r="11455" spans="1:1" x14ac:dyDescent="0.2">
      <c r="A11455" t="s">
        <v>1186</v>
      </c>
    </row>
    <row r="11456" spans="1:1" x14ac:dyDescent="0.2">
      <c r="A11456" t="s">
        <v>1187</v>
      </c>
    </row>
    <row r="11457" spans="1:1" x14ac:dyDescent="0.2">
      <c r="A11457" t="s">
        <v>1188</v>
      </c>
    </row>
    <row r="11458" spans="1:1" x14ac:dyDescent="0.2">
      <c r="A11458" t="s">
        <v>1189</v>
      </c>
    </row>
    <row r="11459" spans="1:1" x14ac:dyDescent="0.2">
      <c r="A11459" t="s">
        <v>1190</v>
      </c>
    </row>
    <row r="11460" spans="1:1" x14ac:dyDescent="0.2">
      <c r="A11460" t="s">
        <v>1191</v>
      </c>
    </row>
    <row r="11461" spans="1:1" x14ac:dyDescent="0.2">
      <c r="A11461" t="s">
        <v>1192</v>
      </c>
    </row>
    <row r="11462" spans="1:1" x14ac:dyDescent="0.2">
      <c r="A11462" t="s">
        <v>1193</v>
      </c>
    </row>
    <row r="11463" spans="1:1" x14ac:dyDescent="0.2">
      <c r="A11463" t="s">
        <v>1194</v>
      </c>
    </row>
    <row r="11464" spans="1:1" x14ac:dyDescent="0.2">
      <c r="A11464" t="s">
        <v>1195</v>
      </c>
    </row>
    <row r="11465" spans="1:1" x14ac:dyDescent="0.2">
      <c r="A11465" t="s">
        <v>1196</v>
      </c>
    </row>
    <row r="11466" spans="1:1" x14ac:dyDescent="0.2">
      <c r="A11466" t="s">
        <v>1197</v>
      </c>
    </row>
    <row r="11467" spans="1:1" x14ac:dyDescent="0.2">
      <c r="A11467" t="s">
        <v>1198</v>
      </c>
    </row>
    <row r="11468" spans="1:1" x14ac:dyDescent="0.2">
      <c r="A11468" t="s">
        <v>1199</v>
      </c>
    </row>
    <row r="11469" spans="1:1" x14ac:dyDescent="0.2">
      <c r="A11469" t="s">
        <v>1200</v>
      </c>
    </row>
    <row r="11470" spans="1:1" x14ac:dyDescent="0.2">
      <c r="A11470" t="s">
        <v>1201</v>
      </c>
    </row>
    <row r="11471" spans="1:1" x14ac:dyDescent="0.2">
      <c r="A11471" t="s">
        <v>1202</v>
      </c>
    </row>
    <row r="11472" spans="1:1" x14ac:dyDescent="0.2">
      <c r="A11472" t="s">
        <v>1203</v>
      </c>
    </row>
    <row r="11473" spans="1:1" x14ac:dyDescent="0.2">
      <c r="A11473" t="s">
        <v>1204</v>
      </c>
    </row>
    <row r="11474" spans="1:1" x14ac:dyDescent="0.2">
      <c r="A11474" t="s">
        <v>1205</v>
      </c>
    </row>
    <row r="11475" spans="1:1" x14ac:dyDescent="0.2">
      <c r="A11475" t="s">
        <v>1206</v>
      </c>
    </row>
    <row r="11476" spans="1:1" x14ac:dyDescent="0.2">
      <c r="A11476" t="s">
        <v>1207</v>
      </c>
    </row>
    <row r="11477" spans="1:1" x14ac:dyDescent="0.2">
      <c r="A11477" t="s">
        <v>1208</v>
      </c>
    </row>
    <row r="11478" spans="1:1" x14ac:dyDescent="0.2">
      <c r="A11478" t="s">
        <v>1209</v>
      </c>
    </row>
    <row r="11479" spans="1:1" x14ac:dyDescent="0.2">
      <c r="A11479" t="s">
        <v>1210</v>
      </c>
    </row>
    <row r="11480" spans="1:1" x14ac:dyDescent="0.2">
      <c r="A11480" t="s">
        <v>1211</v>
      </c>
    </row>
    <row r="11481" spans="1:1" x14ac:dyDescent="0.2">
      <c r="A11481" t="s">
        <v>1212</v>
      </c>
    </row>
    <row r="11482" spans="1:1" x14ac:dyDescent="0.2">
      <c r="A11482" t="s">
        <v>1213</v>
      </c>
    </row>
    <row r="11483" spans="1:1" x14ac:dyDescent="0.2">
      <c r="A11483" t="s">
        <v>1214</v>
      </c>
    </row>
    <row r="11484" spans="1:1" x14ac:dyDescent="0.2">
      <c r="A11484" t="s">
        <v>1215</v>
      </c>
    </row>
    <row r="11485" spans="1:1" x14ac:dyDescent="0.2">
      <c r="A11485" t="s">
        <v>1216</v>
      </c>
    </row>
    <row r="11486" spans="1:1" x14ac:dyDescent="0.2">
      <c r="A11486" t="s">
        <v>1217</v>
      </c>
    </row>
    <row r="11487" spans="1:1" x14ac:dyDescent="0.2">
      <c r="A11487" t="s">
        <v>1218</v>
      </c>
    </row>
    <row r="11488" spans="1:1" x14ac:dyDescent="0.2">
      <c r="A11488" t="s">
        <v>1219</v>
      </c>
    </row>
    <row r="11489" spans="1:1" x14ac:dyDescent="0.2">
      <c r="A11489" t="s">
        <v>1220</v>
      </c>
    </row>
    <row r="11490" spans="1:1" x14ac:dyDescent="0.2">
      <c r="A11490" t="s">
        <v>1221</v>
      </c>
    </row>
    <row r="11491" spans="1:1" x14ac:dyDescent="0.2">
      <c r="A11491" t="s">
        <v>1222</v>
      </c>
    </row>
    <row r="11492" spans="1:1" x14ac:dyDescent="0.2">
      <c r="A11492" t="s">
        <v>1223</v>
      </c>
    </row>
    <row r="11493" spans="1:1" x14ac:dyDescent="0.2">
      <c r="A11493" t="s">
        <v>1224</v>
      </c>
    </row>
    <row r="11494" spans="1:1" x14ac:dyDescent="0.2">
      <c r="A11494" t="s">
        <v>1225</v>
      </c>
    </row>
    <row r="11495" spans="1:1" x14ac:dyDescent="0.2">
      <c r="A11495" t="s">
        <v>1226</v>
      </c>
    </row>
    <row r="11496" spans="1:1" x14ac:dyDescent="0.2">
      <c r="A11496" t="s">
        <v>1227</v>
      </c>
    </row>
    <row r="11497" spans="1:1" x14ac:dyDescent="0.2">
      <c r="A11497" t="s">
        <v>1228</v>
      </c>
    </row>
    <row r="11498" spans="1:1" x14ac:dyDescent="0.2">
      <c r="A11498" t="s">
        <v>1229</v>
      </c>
    </row>
    <row r="11499" spans="1:1" x14ac:dyDescent="0.2">
      <c r="A11499" t="s">
        <v>1230</v>
      </c>
    </row>
    <row r="11500" spans="1:1" x14ac:dyDescent="0.2">
      <c r="A11500" t="s">
        <v>1231</v>
      </c>
    </row>
    <row r="11501" spans="1:1" x14ac:dyDescent="0.2">
      <c r="A11501" t="s">
        <v>1232</v>
      </c>
    </row>
    <row r="11502" spans="1:1" x14ac:dyDescent="0.2">
      <c r="A11502" t="s">
        <v>1233</v>
      </c>
    </row>
    <row r="11503" spans="1:1" x14ac:dyDescent="0.2">
      <c r="A11503" t="s">
        <v>1234</v>
      </c>
    </row>
    <row r="11504" spans="1:1" x14ac:dyDescent="0.2">
      <c r="A11504" t="s">
        <v>1235</v>
      </c>
    </row>
    <row r="11505" spans="1:1" x14ac:dyDescent="0.2">
      <c r="A11505" t="s">
        <v>1236</v>
      </c>
    </row>
    <row r="11506" spans="1:1" x14ac:dyDescent="0.2">
      <c r="A11506" t="s">
        <v>1237</v>
      </c>
    </row>
    <row r="11507" spans="1:1" x14ac:dyDescent="0.2">
      <c r="A11507" t="s">
        <v>1238</v>
      </c>
    </row>
    <row r="11508" spans="1:1" x14ac:dyDescent="0.2">
      <c r="A11508" t="s">
        <v>1239</v>
      </c>
    </row>
    <row r="11509" spans="1:1" x14ac:dyDescent="0.2">
      <c r="A11509" t="s">
        <v>1240</v>
      </c>
    </row>
    <row r="11510" spans="1:1" x14ac:dyDescent="0.2">
      <c r="A11510" t="s">
        <v>1241</v>
      </c>
    </row>
    <row r="11511" spans="1:1" x14ac:dyDescent="0.2">
      <c r="A11511" t="s">
        <v>1242</v>
      </c>
    </row>
    <row r="11512" spans="1:1" x14ac:dyDescent="0.2">
      <c r="A11512" t="s">
        <v>1243</v>
      </c>
    </row>
    <row r="11513" spans="1:1" x14ac:dyDescent="0.2">
      <c r="A11513" t="s">
        <v>1244</v>
      </c>
    </row>
    <row r="11514" spans="1:1" x14ac:dyDescent="0.2">
      <c r="A11514" t="s">
        <v>1245</v>
      </c>
    </row>
    <row r="11515" spans="1:1" x14ac:dyDescent="0.2">
      <c r="A11515" t="s">
        <v>1246</v>
      </c>
    </row>
    <row r="11516" spans="1:1" x14ac:dyDescent="0.2">
      <c r="A11516" t="s">
        <v>1247</v>
      </c>
    </row>
    <row r="11517" spans="1:1" x14ac:dyDescent="0.2">
      <c r="A11517" t="s">
        <v>1248</v>
      </c>
    </row>
    <row r="11518" spans="1:1" x14ac:dyDescent="0.2">
      <c r="A11518" t="s">
        <v>1249</v>
      </c>
    </row>
    <row r="11519" spans="1:1" x14ac:dyDescent="0.2">
      <c r="A11519" t="s">
        <v>1250</v>
      </c>
    </row>
    <row r="11520" spans="1:1" x14ac:dyDescent="0.2">
      <c r="A11520" t="s">
        <v>1251</v>
      </c>
    </row>
    <row r="11521" spans="1:1" x14ac:dyDescent="0.2">
      <c r="A11521" t="s">
        <v>1252</v>
      </c>
    </row>
    <row r="11522" spans="1:1" x14ac:dyDescent="0.2">
      <c r="A11522" t="s">
        <v>1253</v>
      </c>
    </row>
    <row r="11523" spans="1:1" x14ac:dyDescent="0.2">
      <c r="A11523" t="s">
        <v>1254</v>
      </c>
    </row>
    <row r="11524" spans="1:1" x14ac:dyDescent="0.2">
      <c r="A11524" t="s">
        <v>1255</v>
      </c>
    </row>
    <row r="11525" spans="1:1" x14ac:dyDescent="0.2">
      <c r="A11525" t="s">
        <v>1256</v>
      </c>
    </row>
    <row r="11526" spans="1:1" x14ac:dyDescent="0.2">
      <c r="A11526" t="s">
        <v>1257</v>
      </c>
    </row>
    <row r="11527" spans="1:1" x14ac:dyDescent="0.2">
      <c r="A11527" t="s">
        <v>1258</v>
      </c>
    </row>
    <row r="11528" spans="1:1" x14ac:dyDescent="0.2">
      <c r="A11528" t="s">
        <v>1259</v>
      </c>
    </row>
    <row r="11529" spans="1:1" x14ac:dyDescent="0.2">
      <c r="A11529" t="s">
        <v>1260</v>
      </c>
    </row>
    <row r="11530" spans="1:1" x14ac:dyDescent="0.2">
      <c r="A11530" t="s">
        <v>1261</v>
      </c>
    </row>
    <row r="11531" spans="1:1" x14ac:dyDescent="0.2">
      <c r="A11531" t="s">
        <v>1262</v>
      </c>
    </row>
    <row r="11532" spans="1:1" x14ac:dyDescent="0.2">
      <c r="A11532" t="s">
        <v>1263</v>
      </c>
    </row>
    <row r="11533" spans="1:1" x14ac:dyDescent="0.2">
      <c r="A11533" t="s">
        <v>1264</v>
      </c>
    </row>
    <row r="11534" spans="1:1" x14ac:dyDescent="0.2">
      <c r="A11534" t="s">
        <v>1265</v>
      </c>
    </row>
    <row r="11535" spans="1:1" x14ac:dyDescent="0.2">
      <c r="A11535" t="s">
        <v>1266</v>
      </c>
    </row>
    <row r="11536" spans="1:1" x14ac:dyDescent="0.2">
      <c r="A11536" t="s">
        <v>1267</v>
      </c>
    </row>
    <row r="11537" spans="1:1" x14ac:dyDescent="0.2">
      <c r="A11537" t="s">
        <v>1268</v>
      </c>
    </row>
    <row r="11538" spans="1:1" x14ac:dyDescent="0.2">
      <c r="A11538" t="s">
        <v>1269</v>
      </c>
    </row>
    <row r="11539" spans="1:1" x14ac:dyDescent="0.2">
      <c r="A11539" t="s">
        <v>1270</v>
      </c>
    </row>
    <row r="11540" spans="1:1" x14ac:dyDescent="0.2">
      <c r="A11540" t="s">
        <v>1271</v>
      </c>
    </row>
    <row r="11541" spans="1:1" x14ac:dyDescent="0.2">
      <c r="A11541" t="s">
        <v>1272</v>
      </c>
    </row>
    <row r="11542" spans="1:1" x14ac:dyDescent="0.2">
      <c r="A11542" t="s">
        <v>1273</v>
      </c>
    </row>
    <row r="11543" spans="1:1" x14ac:dyDescent="0.2">
      <c r="A11543" t="s">
        <v>1274</v>
      </c>
    </row>
    <row r="11544" spans="1:1" x14ac:dyDescent="0.2">
      <c r="A11544" t="s">
        <v>1275</v>
      </c>
    </row>
    <row r="11545" spans="1:1" x14ac:dyDescent="0.2">
      <c r="A11545" t="s">
        <v>1276</v>
      </c>
    </row>
    <row r="11546" spans="1:1" x14ac:dyDescent="0.2">
      <c r="A11546" t="s">
        <v>1277</v>
      </c>
    </row>
    <row r="11547" spans="1:1" x14ac:dyDescent="0.2">
      <c r="A11547" t="s">
        <v>1278</v>
      </c>
    </row>
    <row r="11548" spans="1:1" x14ac:dyDescent="0.2">
      <c r="A11548" t="s">
        <v>1279</v>
      </c>
    </row>
    <row r="11549" spans="1:1" x14ac:dyDescent="0.2">
      <c r="A11549" t="s">
        <v>1280</v>
      </c>
    </row>
    <row r="11550" spans="1:1" x14ac:dyDescent="0.2">
      <c r="A11550" t="s">
        <v>1281</v>
      </c>
    </row>
    <row r="11551" spans="1:1" x14ac:dyDescent="0.2">
      <c r="A11551" t="s">
        <v>1282</v>
      </c>
    </row>
    <row r="11552" spans="1:1" x14ac:dyDescent="0.2">
      <c r="A11552" t="s">
        <v>1283</v>
      </c>
    </row>
    <row r="11553" spans="1:1" x14ac:dyDescent="0.2">
      <c r="A11553" t="s">
        <v>1284</v>
      </c>
    </row>
    <row r="11554" spans="1:1" x14ac:dyDescent="0.2">
      <c r="A11554" t="s">
        <v>1285</v>
      </c>
    </row>
    <row r="11555" spans="1:1" x14ac:dyDescent="0.2">
      <c r="A11555" t="s">
        <v>1286</v>
      </c>
    </row>
    <row r="11556" spans="1:1" x14ac:dyDescent="0.2">
      <c r="A11556" t="s">
        <v>3045</v>
      </c>
    </row>
    <row r="11557" spans="1:1" x14ac:dyDescent="0.2">
      <c r="A11557" t="s">
        <v>1053</v>
      </c>
    </row>
    <row r="11558" spans="1:1" x14ac:dyDescent="0.2">
      <c r="A11558" t="s">
        <v>3046</v>
      </c>
    </row>
    <row r="11559" spans="1:1" x14ac:dyDescent="0.2">
      <c r="A11559" t="s">
        <v>2768</v>
      </c>
    </row>
    <row r="11560" spans="1:1" x14ac:dyDescent="0.2">
      <c r="A11560" t="s">
        <v>2769</v>
      </c>
    </row>
    <row r="11561" spans="1:1" x14ac:dyDescent="0.2">
      <c r="A11561" t="s">
        <v>1054</v>
      </c>
    </row>
    <row r="11562" spans="1:1" x14ac:dyDescent="0.2">
      <c r="A11562" t="s">
        <v>1055</v>
      </c>
    </row>
    <row r="11563" spans="1:1" x14ac:dyDescent="0.2">
      <c r="A11563" t="s">
        <v>2770</v>
      </c>
    </row>
    <row r="11564" spans="1:1" x14ac:dyDescent="0.2">
      <c r="A11564" t="s">
        <v>1056</v>
      </c>
    </row>
    <row r="11565" spans="1:1" x14ac:dyDescent="0.2">
      <c r="A11565" t="s">
        <v>1057</v>
      </c>
    </row>
    <row r="11566" spans="1:1" x14ac:dyDescent="0.2">
      <c r="A11566" t="s">
        <v>1058</v>
      </c>
    </row>
    <row r="11567" spans="1:1" x14ac:dyDescent="0.2">
      <c r="A11567" t="s">
        <v>1059</v>
      </c>
    </row>
    <row r="11568" spans="1:1" x14ac:dyDescent="0.2">
      <c r="A11568" t="s">
        <v>1060</v>
      </c>
    </row>
    <row r="11569" spans="1:1" x14ac:dyDescent="0.2">
      <c r="A11569" t="s">
        <v>1061</v>
      </c>
    </row>
    <row r="11570" spans="1:1" x14ac:dyDescent="0.2">
      <c r="A11570" t="s">
        <v>1062</v>
      </c>
    </row>
    <row r="11571" spans="1:1" x14ac:dyDescent="0.2">
      <c r="A11571" t="s">
        <v>1063</v>
      </c>
    </row>
    <row r="11572" spans="1:1" x14ac:dyDescent="0.2">
      <c r="A11572" t="s">
        <v>1064</v>
      </c>
    </row>
    <row r="11573" spans="1:1" x14ac:dyDescent="0.2">
      <c r="A11573" t="s">
        <v>1065</v>
      </c>
    </row>
    <row r="11574" spans="1:1" x14ac:dyDescent="0.2">
      <c r="A11574" t="s">
        <v>1066</v>
      </c>
    </row>
    <row r="11575" spans="1:1" x14ac:dyDescent="0.2">
      <c r="A11575" t="s">
        <v>1067</v>
      </c>
    </row>
    <row r="11576" spans="1:1" x14ac:dyDescent="0.2">
      <c r="A11576" t="s">
        <v>1068</v>
      </c>
    </row>
    <row r="11577" spans="1:1" x14ac:dyDescent="0.2">
      <c r="A11577" t="s">
        <v>1069</v>
      </c>
    </row>
    <row r="11578" spans="1:1" x14ac:dyDescent="0.2">
      <c r="A11578" t="s">
        <v>1070</v>
      </c>
    </row>
    <row r="11579" spans="1:1" x14ac:dyDescent="0.2">
      <c r="A11579" t="s">
        <v>1071</v>
      </c>
    </row>
    <row r="11580" spans="1:1" x14ac:dyDescent="0.2">
      <c r="A11580" t="s">
        <v>1072</v>
      </c>
    </row>
    <row r="11581" spans="1:1" x14ac:dyDescent="0.2">
      <c r="A11581" t="s">
        <v>1073</v>
      </c>
    </row>
    <row r="11582" spans="1:1" x14ac:dyDescent="0.2">
      <c r="A11582" t="s">
        <v>1074</v>
      </c>
    </row>
    <row r="11583" spans="1:1" x14ac:dyDescent="0.2">
      <c r="A11583" t="s">
        <v>1075</v>
      </c>
    </row>
    <row r="11584" spans="1:1" x14ac:dyDescent="0.2">
      <c r="A11584" t="s">
        <v>1076</v>
      </c>
    </row>
    <row r="11585" spans="1:1" x14ac:dyDescent="0.2">
      <c r="A11585" t="s">
        <v>1077</v>
      </c>
    </row>
    <row r="11586" spans="1:1" x14ac:dyDescent="0.2">
      <c r="A11586" t="s">
        <v>1078</v>
      </c>
    </row>
    <row r="11587" spans="1:1" x14ac:dyDescent="0.2">
      <c r="A11587" t="s">
        <v>1079</v>
      </c>
    </row>
    <row r="11588" spans="1:1" x14ac:dyDescent="0.2">
      <c r="A11588" t="s">
        <v>1080</v>
      </c>
    </row>
    <row r="11589" spans="1:1" x14ac:dyDescent="0.2">
      <c r="A11589" t="s">
        <v>1081</v>
      </c>
    </row>
    <row r="11590" spans="1:1" x14ac:dyDescent="0.2">
      <c r="A11590" t="s">
        <v>1082</v>
      </c>
    </row>
    <row r="11591" spans="1:1" x14ac:dyDescent="0.2">
      <c r="A11591" t="s">
        <v>1083</v>
      </c>
    </row>
    <row r="11592" spans="1:1" x14ac:dyDescent="0.2">
      <c r="A11592" t="s">
        <v>2771</v>
      </c>
    </row>
    <row r="11593" spans="1:1" x14ac:dyDescent="0.2">
      <c r="A11593" t="s">
        <v>2772</v>
      </c>
    </row>
    <row r="11594" spans="1:1" x14ac:dyDescent="0.2">
      <c r="A11594" t="s">
        <v>2773</v>
      </c>
    </row>
    <row r="11595" spans="1:1" x14ac:dyDescent="0.2">
      <c r="A11595" t="s">
        <v>2774</v>
      </c>
    </row>
    <row r="11596" spans="1:1" x14ac:dyDescent="0.2">
      <c r="A11596" t="s">
        <v>2775</v>
      </c>
    </row>
    <row r="11597" spans="1:1" x14ac:dyDescent="0.2">
      <c r="A11597" t="s">
        <v>2776</v>
      </c>
    </row>
    <row r="11598" spans="1:1" x14ac:dyDescent="0.2">
      <c r="A11598" t="s">
        <v>1084</v>
      </c>
    </row>
    <row r="11599" spans="1:1" x14ac:dyDescent="0.2">
      <c r="A11599" t="s">
        <v>1085</v>
      </c>
    </row>
    <row r="11600" spans="1:1" x14ac:dyDescent="0.2">
      <c r="A11600" t="s">
        <v>1086</v>
      </c>
    </row>
    <row r="11601" spans="1:1" x14ac:dyDescent="0.2">
      <c r="A11601" t="s">
        <v>1087</v>
      </c>
    </row>
    <row r="11602" spans="1:1" x14ac:dyDescent="0.2">
      <c r="A11602" t="s">
        <v>1088</v>
      </c>
    </row>
    <row r="11603" spans="1:1" x14ac:dyDescent="0.2">
      <c r="A11603" t="s">
        <v>1089</v>
      </c>
    </row>
    <row r="11604" spans="1:1" x14ac:dyDescent="0.2">
      <c r="A11604" t="s">
        <v>1090</v>
      </c>
    </row>
    <row r="11605" spans="1:1" x14ac:dyDescent="0.2">
      <c r="A11605" t="s">
        <v>1091</v>
      </c>
    </row>
    <row r="11606" spans="1:1" x14ac:dyDescent="0.2">
      <c r="A11606" t="s">
        <v>1092</v>
      </c>
    </row>
    <row r="11607" spans="1:1" x14ac:dyDescent="0.2">
      <c r="A11607" t="s">
        <v>1093</v>
      </c>
    </row>
    <row r="11608" spans="1:1" x14ac:dyDescent="0.2">
      <c r="A11608" t="s">
        <v>1094</v>
      </c>
    </row>
    <row r="11609" spans="1:1" x14ac:dyDescent="0.2">
      <c r="A11609" t="s">
        <v>1095</v>
      </c>
    </row>
    <row r="11610" spans="1:1" x14ac:dyDescent="0.2">
      <c r="A11610" t="s">
        <v>1096</v>
      </c>
    </row>
    <row r="11611" spans="1:1" x14ac:dyDescent="0.2">
      <c r="A11611" t="s">
        <v>1097</v>
      </c>
    </row>
    <row r="11612" spans="1:1" x14ac:dyDescent="0.2">
      <c r="A11612" t="s">
        <v>1098</v>
      </c>
    </row>
    <row r="11613" spans="1:1" x14ac:dyDescent="0.2">
      <c r="A11613" t="s">
        <v>1099</v>
      </c>
    </row>
    <row r="11614" spans="1:1" x14ac:dyDescent="0.2">
      <c r="A11614" t="s">
        <v>1100</v>
      </c>
    </row>
    <row r="11615" spans="1:1" x14ac:dyDescent="0.2">
      <c r="A11615" t="s">
        <v>1101</v>
      </c>
    </row>
    <row r="11616" spans="1:1" x14ac:dyDescent="0.2">
      <c r="A11616" t="s">
        <v>1102</v>
      </c>
    </row>
    <row r="11617" spans="1:1" x14ac:dyDescent="0.2">
      <c r="A11617" t="s">
        <v>1103</v>
      </c>
    </row>
    <row r="11618" spans="1:1" x14ac:dyDescent="0.2">
      <c r="A11618" t="s">
        <v>1104</v>
      </c>
    </row>
    <row r="11619" spans="1:1" x14ac:dyDescent="0.2">
      <c r="A11619" t="s">
        <v>1105</v>
      </c>
    </row>
    <row r="11620" spans="1:1" x14ac:dyDescent="0.2">
      <c r="A11620" t="s">
        <v>1106</v>
      </c>
    </row>
    <row r="11621" spans="1:1" x14ac:dyDescent="0.2">
      <c r="A11621" t="s">
        <v>1107</v>
      </c>
    </row>
    <row r="11622" spans="1:1" x14ac:dyDescent="0.2">
      <c r="A11622" t="s">
        <v>1108</v>
      </c>
    </row>
    <row r="11623" spans="1:1" x14ac:dyDescent="0.2">
      <c r="A11623" t="s">
        <v>1109</v>
      </c>
    </row>
    <row r="11624" spans="1:1" x14ac:dyDescent="0.2">
      <c r="A11624" t="s">
        <v>1110</v>
      </c>
    </row>
    <row r="11625" spans="1:1" x14ac:dyDescent="0.2">
      <c r="A11625" t="s">
        <v>1111</v>
      </c>
    </row>
    <row r="11626" spans="1:1" x14ac:dyDescent="0.2">
      <c r="A11626" t="s">
        <v>1112</v>
      </c>
    </row>
    <row r="11627" spans="1:1" x14ac:dyDescent="0.2">
      <c r="A11627" t="s">
        <v>1113</v>
      </c>
    </row>
    <row r="11628" spans="1:1" x14ac:dyDescent="0.2">
      <c r="A11628" t="s">
        <v>1114</v>
      </c>
    </row>
    <row r="11629" spans="1:1" x14ac:dyDescent="0.2">
      <c r="A11629" t="s">
        <v>1115</v>
      </c>
    </row>
    <row r="11630" spans="1:1" x14ac:dyDescent="0.2">
      <c r="A11630" t="s">
        <v>1116</v>
      </c>
    </row>
    <row r="11631" spans="1:1" x14ac:dyDescent="0.2">
      <c r="A11631" t="s">
        <v>1117</v>
      </c>
    </row>
    <row r="11632" spans="1:1" x14ac:dyDescent="0.2">
      <c r="A11632" t="s">
        <v>1118</v>
      </c>
    </row>
    <row r="11633" spans="1:1" x14ac:dyDescent="0.2">
      <c r="A11633" t="s">
        <v>1119</v>
      </c>
    </row>
    <row r="11634" spans="1:1" x14ac:dyDescent="0.2">
      <c r="A11634" t="s">
        <v>1120</v>
      </c>
    </row>
    <row r="11635" spans="1:1" x14ac:dyDescent="0.2">
      <c r="A11635" t="s">
        <v>1288</v>
      </c>
    </row>
    <row r="11636" spans="1:1" x14ac:dyDescent="0.2">
      <c r="A11636" t="s">
        <v>3047</v>
      </c>
    </row>
    <row r="11637" spans="1:1" x14ac:dyDescent="0.2">
      <c r="A11637" t="s">
        <v>3048</v>
      </c>
    </row>
    <row r="11638" spans="1:1" x14ac:dyDescent="0.2">
      <c r="A11638" t="s">
        <v>3032</v>
      </c>
    </row>
    <row r="11639" spans="1:1" x14ac:dyDescent="0.2">
      <c r="A11639" t="s">
        <v>3033</v>
      </c>
    </row>
    <row r="11640" spans="1:1" x14ac:dyDescent="0.2">
      <c r="A11640" t="s">
        <v>1289</v>
      </c>
    </row>
    <row r="11641" spans="1:1" x14ac:dyDescent="0.2">
      <c r="A11641" t="s">
        <v>2781</v>
      </c>
    </row>
    <row r="11642" spans="1:1" x14ac:dyDescent="0.2">
      <c r="A11642" t="s">
        <v>3049</v>
      </c>
    </row>
    <row r="11643" spans="1:1" x14ac:dyDescent="0.2">
      <c r="A11643" t="s">
        <v>1122</v>
      </c>
    </row>
    <row r="11644" spans="1:1" x14ac:dyDescent="0.2">
      <c r="A11644" t="s">
        <v>1123</v>
      </c>
    </row>
    <row r="11645" spans="1:1" x14ac:dyDescent="0.2">
      <c r="A11645" t="s">
        <v>1124</v>
      </c>
    </row>
    <row r="11646" spans="1:1" x14ac:dyDescent="0.2">
      <c r="A11646" t="s">
        <v>1125</v>
      </c>
    </row>
    <row r="11647" spans="1:1" x14ac:dyDescent="0.2">
      <c r="A11647" t="s">
        <v>1126</v>
      </c>
    </row>
    <row r="11648" spans="1:1" x14ac:dyDescent="0.2">
      <c r="A11648" t="s">
        <v>1127</v>
      </c>
    </row>
    <row r="11649" spans="1:1" x14ac:dyDescent="0.2">
      <c r="A11649" t="s">
        <v>1128</v>
      </c>
    </row>
    <row r="11650" spans="1:1" x14ac:dyDescent="0.2">
      <c r="A11650" t="s">
        <v>1129</v>
      </c>
    </row>
    <row r="11651" spans="1:1" x14ac:dyDescent="0.2">
      <c r="A11651" t="s">
        <v>1130</v>
      </c>
    </row>
    <row r="11652" spans="1:1" x14ac:dyDescent="0.2">
      <c r="A11652" t="s">
        <v>1131</v>
      </c>
    </row>
    <row r="11653" spans="1:1" x14ac:dyDescent="0.2">
      <c r="A11653" t="s">
        <v>1132</v>
      </c>
    </row>
    <row r="11654" spans="1:1" x14ac:dyDescent="0.2">
      <c r="A11654" t="s">
        <v>1133</v>
      </c>
    </row>
    <row r="11655" spans="1:1" x14ac:dyDescent="0.2">
      <c r="A11655" t="s">
        <v>1134</v>
      </c>
    </row>
    <row r="11656" spans="1:1" x14ac:dyDescent="0.2">
      <c r="A11656" t="s">
        <v>1135</v>
      </c>
    </row>
    <row r="11657" spans="1:1" x14ac:dyDescent="0.2">
      <c r="A11657" t="s">
        <v>1136</v>
      </c>
    </row>
    <row r="11658" spans="1:1" x14ac:dyDescent="0.2">
      <c r="A11658" t="s">
        <v>1137</v>
      </c>
    </row>
    <row r="11659" spans="1:1" x14ac:dyDescent="0.2">
      <c r="A11659" t="s">
        <v>1138</v>
      </c>
    </row>
    <row r="11660" spans="1:1" x14ac:dyDescent="0.2">
      <c r="A11660" t="s">
        <v>1139</v>
      </c>
    </row>
    <row r="11661" spans="1:1" x14ac:dyDescent="0.2">
      <c r="A11661" t="s">
        <v>1140</v>
      </c>
    </row>
    <row r="11662" spans="1:1" x14ac:dyDescent="0.2">
      <c r="A11662" t="s">
        <v>1141</v>
      </c>
    </row>
    <row r="11663" spans="1:1" x14ac:dyDescent="0.2">
      <c r="A11663" t="s">
        <v>1142</v>
      </c>
    </row>
    <row r="11664" spans="1:1" x14ac:dyDescent="0.2">
      <c r="A11664" t="s">
        <v>1143</v>
      </c>
    </row>
    <row r="11665" spans="1:1" x14ac:dyDescent="0.2">
      <c r="A11665" t="s">
        <v>1144</v>
      </c>
    </row>
    <row r="11666" spans="1:1" x14ac:dyDescent="0.2">
      <c r="A11666" t="s">
        <v>1145</v>
      </c>
    </row>
    <row r="11667" spans="1:1" x14ac:dyDescent="0.2">
      <c r="A11667" t="s">
        <v>1146</v>
      </c>
    </row>
    <row r="11668" spans="1:1" x14ac:dyDescent="0.2">
      <c r="A11668" t="s">
        <v>1147</v>
      </c>
    </row>
    <row r="11669" spans="1:1" x14ac:dyDescent="0.2">
      <c r="A11669" t="s">
        <v>1148</v>
      </c>
    </row>
    <row r="11670" spans="1:1" x14ac:dyDescent="0.2">
      <c r="A11670" t="s">
        <v>1149</v>
      </c>
    </row>
    <row r="11671" spans="1:1" x14ac:dyDescent="0.2">
      <c r="A11671" t="s">
        <v>1150</v>
      </c>
    </row>
    <row r="11672" spans="1:1" x14ac:dyDescent="0.2">
      <c r="A11672" t="s">
        <v>1151</v>
      </c>
    </row>
    <row r="11673" spans="1:1" x14ac:dyDescent="0.2">
      <c r="A11673" t="s">
        <v>1152</v>
      </c>
    </row>
    <row r="11674" spans="1:1" x14ac:dyDescent="0.2">
      <c r="A11674" t="s">
        <v>1153</v>
      </c>
    </row>
    <row r="11675" spans="1:1" x14ac:dyDescent="0.2">
      <c r="A11675" t="s">
        <v>1154</v>
      </c>
    </row>
    <row r="11676" spans="1:1" x14ac:dyDescent="0.2">
      <c r="A11676" t="s">
        <v>1155</v>
      </c>
    </row>
    <row r="11677" spans="1:1" x14ac:dyDescent="0.2">
      <c r="A11677" t="s">
        <v>1156</v>
      </c>
    </row>
    <row r="11678" spans="1:1" x14ac:dyDescent="0.2">
      <c r="A11678" t="s">
        <v>1157</v>
      </c>
    </row>
    <row r="11679" spans="1:1" x14ac:dyDescent="0.2">
      <c r="A11679" t="s">
        <v>1158</v>
      </c>
    </row>
    <row r="11680" spans="1:1" x14ac:dyDescent="0.2">
      <c r="A11680" t="s">
        <v>1159</v>
      </c>
    </row>
    <row r="11681" spans="1:1" x14ac:dyDescent="0.2">
      <c r="A11681" t="s">
        <v>1160</v>
      </c>
    </row>
    <row r="11682" spans="1:1" x14ac:dyDescent="0.2">
      <c r="A11682" t="s">
        <v>1161</v>
      </c>
    </row>
    <row r="11683" spans="1:1" x14ac:dyDescent="0.2">
      <c r="A11683" t="s">
        <v>1162</v>
      </c>
    </row>
    <row r="11684" spans="1:1" x14ac:dyDescent="0.2">
      <c r="A11684" t="s">
        <v>1163</v>
      </c>
    </row>
    <row r="11685" spans="1:1" x14ac:dyDescent="0.2">
      <c r="A11685" t="s">
        <v>1164</v>
      </c>
    </row>
    <row r="11686" spans="1:1" x14ac:dyDescent="0.2">
      <c r="A11686" t="s">
        <v>1165</v>
      </c>
    </row>
    <row r="11687" spans="1:1" x14ac:dyDescent="0.2">
      <c r="A11687" t="s">
        <v>1166</v>
      </c>
    </row>
    <row r="11688" spans="1:1" x14ac:dyDescent="0.2">
      <c r="A11688" t="s">
        <v>1167</v>
      </c>
    </row>
    <row r="11689" spans="1:1" x14ac:dyDescent="0.2">
      <c r="A11689" t="s">
        <v>1168</v>
      </c>
    </row>
    <row r="11690" spans="1:1" x14ac:dyDescent="0.2">
      <c r="A11690" t="s">
        <v>1169</v>
      </c>
    </row>
    <row r="11691" spans="1:1" x14ac:dyDescent="0.2">
      <c r="A11691" t="s">
        <v>1170</v>
      </c>
    </row>
    <row r="11692" spans="1:1" x14ac:dyDescent="0.2">
      <c r="A11692" t="s">
        <v>1171</v>
      </c>
    </row>
    <row r="11693" spans="1:1" x14ac:dyDescent="0.2">
      <c r="A11693" t="s">
        <v>1172</v>
      </c>
    </row>
    <row r="11694" spans="1:1" x14ac:dyDescent="0.2">
      <c r="A11694" t="s">
        <v>1173</v>
      </c>
    </row>
    <row r="11695" spans="1:1" x14ac:dyDescent="0.2">
      <c r="A11695" t="s">
        <v>1174</v>
      </c>
    </row>
    <row r="11696" spans="1:1" x14ac:dyDescent="0.2">
      <c r="A11696" t="s">
        <v>1175</v>
      </c>
    </row>
    <row r="11697" spans="1:1" x14ac:dyDescent="0.2">
      <c r="A11697" t="s">
        <v>1176</v>
      </c>
    </row>
    <row r="11698" spans="1:1" x14ac:dyDescent="0.2">
      <c r="A11698" t="s">
        <v>1177</v>
      </c>
    </row>
    <row r="11699" spans="1:1" x14ac:dyDescent="0.2">
      <c r="A11699" t="s">
        <v>1178</v>
      </c>
    </row>
    <row r="11700" spans="1:1" x14ac:dyDescent="0.2">
      <c r="A11700" t="s">
        <v>1179</v>
      </c>
    </row>
    <row r="11701" spans="1:1" x14ac:dyDescent="0.2">
      <c r="A11701" t="s">
        <v>1180</v>
      </c>
    </row>
    <row r="11702" spans="1:1" x14ac:dyDescent="0.2">
      <c r="A11702" t="s">
        <v>1181</v>
      </c>
    </row>
    <row r="11703" spans="1:1" x14ac:dyDescent="0.2">
      <c r="A11703" t="s">
        <v>1182</v>
      </c>
    </row>
    <row r="11704" spans="1:1" x14ac:dyDescent="0.2">
      <c r="A11704" t="s">
        <v>1183</v>
      </c>
    </row>
    <row r="11705" spans="1:1" x14ac:dyDescent="0.2">
      <c r="A11705" t="s">
        <v>1184</v>
      </c>
    </row>
    <row r="11706" spans="1:1" x14ac:dyDescent="0.2">
      <c r="A11706" t="s">
        <v>1185</v>
      </c>
    </row>
    <row r="11707" spans="1:1" x14ac:dyDescent="0.2">
      <c r="A11707" t="s">
        <v>1186</v>
      </c>
    </row>
    <row r="11708" spans="1:1" x14ac:dyDescent="0.2">
      <c r="A11708" t="s">
        <v>1187</v>
      </c>
    </row>
    <row r="11709" spans="1:1" x14ac:dyDescent="0.2">
      <c r="A11709" t="s">
        <v>1188</v>
      </c>
    </row>
    <row r="11710" spans="1:1" x14ac:dyDescent="0.2">
      <c r="A11710" t="s">
        <v>1189</v>
      </c>
    </row>
    <row r="11711" spans="1:1" x14ac:dyDescent="0.2">
      <c r="A11711" t="s">
        <v>1190</v>
      </c>
    </row>
    <row r="11712" spans="1:1" x14ac:dyDescent="0.2">
      <c r="A11712" t="s">
        <v>1191</v>
      </c>
    </row>
    <row r="11713" spans="1:1" x14ac:dyDescent="0.2">
      <c r="A11713" t="s">
        <v>1192</v>
      </c>
    </row>
    <row r="11714" spans="1:1" x14ac:dyDescent="0.2">
      <c r="A11714" t="s">
        <v>1193</v>
      </c>
    </row>
    <row r="11715" spans="1:1" x14ac:dyDescent="0.2">
      <c r="A11715" t="s">
        <v>1194</v>
      </c>
    </row>
    <row r="11716" spans="1:1" x14ac:dyDescent="0.2">
      <c r="A11716" t="s">
        <v>1195</v>
      </c>
    </row>
    <row r="11717" spans="1:1" x14ac:dyDescent="0.2">
      <c r="A11717" t="s">
        <v>1196</v>
      </c>
    </row>
    <row r="11718" spans="1:1" x14ac:dyDescent="0.2">
      <c r="A11718" t="s">
        <v>1197</v>
      </c>
    </row>
    <row r="11719" spans="1:1" x14ac:dyDescent="0.2">
      <c r="A11719" t="s">
        <v>1198</v>
      </c>
    </row>
    <row r="11720" spans="1:1" x14ac:dyDescent="0.2">
      <c r="A11720" t="s">
        <v>1199</v>
      </c>
    </row>
    <row r="11721" spans="1:1" x14ac:dyDescent="0.2">
      <c r="A11721" t="s">
        <v>1200</v>
      </c>
    </row>
    <row r="11722" spans="1:1" x14ac:dyDescent="0.2">
      <c r="A11722" t="s">
        <v>1201</v>
      </c>
    </row>
    <row r="11723" spans="1:1" x14ac:dyDescent="0.2">
      <c r="A11723" t="s">
        <v>1202</v>
      </c>
    </row>
    <row r="11724" spans="1:1" x14ac:dyDescent="0.2">
      <c r="A11724" t="s">
        <v>1203</v>
      </c>
    </row>
    <row r="11725" spans="1:1" x14ac:dyDescent="0.2">
      <c r="A11725" t="s">
        <v>1204</v>
      </c>
    </row>
    <row r="11726" spans="1:1" x14ac:dyDescent="0.2">
      <c r="A11726" t="s">
        <v>1205</v>
      </c>
    </row>
    <row r="11727" spans="1:1" x14ac:dyDescent="0.2">
      <c r="A11727" t="s">
        <v>1206</v>
      </c>
    </row>
    <row r="11728" spans="1:1" x14ac:dyDescent="0.2">
      <c r="A11728" t="s">
        <v>1207</v>
      </c>
    </row>
    <row r="11729" spans="1:1" x14ac:dyDescent="0.2">
      <c r="A11729" t="s">
        <v>1208</v>
      </c>
    </row>
    <row r="11730" spans="1:1" x14ac:dyDescent="0.2">
      <c r="A11730" t="s">
        <v>1209</v>
      </c>
    </row>
    <row r="11731" spans="1:1" x14ac:dyDescent="0.2">
      <c r="A11731" t="s">
        <v>1210</v>
      </c>
    </row>
    <row r="11732" spans="1:1" x14ac:dyDescent="0.2">
      <c r="A11732" t="s">
        <v>1211</v>
      </c>
    </row>
    <row r="11733" spans="1:1" x14ac:dyDescent="0.2">
      <c r="A11733" t="s">
        <v>1212</v>
      </c>
    </row>
    <row r="11734" spans="1:1" x14ac:dyDescent="0.2">
      <c r="A11734" t="s">
        <v>1213</v>
      </c>
    </row>
    <row r="11735" spans="1:1" x14ac:dyDescent="0.2">
      <c r="A11735" t="s">
        <v>1214</v>
      </c>
    </row>
    <row r="11736" spans="1:1" x14ac:dyDescent="0.2">
      <c r="A11736" t="s">
        <v>1215</v>
      </c>
    </row>
    <row r="11737" spans="1:1" x14ac:dyDescent="0.2">
      <c r="A11737" t="s">
        <v>1216</v>
      </c>
    </row>
    <row r="11738" spans="1:1" x14ac:dyDescent="0.2">
      <c r="A11738" t="s">
        <v>1217</v>
      </c>
    </row>
    <row r="11739" spans="1:1" x14ac:dyDescent="0.2">
      <c r="A11739" t="s">
        <v>1218</v>
      </c>
    </row>
    <row r="11740" spans="1:1" x14ac:dyDescent="0.2">
      <c r="A11740" t="s">
        <v>1219</v>
      </c>
    </row>
    <row r="11741" spans="1:1" x14ac:dyDescent="0.2">
      <c r="A11741" t="s">
        <v>1220</v>
      </c>
    </row>
    <row r="11742" spans="1:1" x14ac:dyDescent="0.2">
      <c r="A11742" t="s">
        <v>1221</v>
      </c>
    </row>
    <row r="11743" spans="1:1" x14ac:dyDescent="0.2">
      <c r="A11743" t="s">
        <v>1222</v>
      </c>
    </row>
    <row r="11744" spans="1:1" x14ac:dyDescent="0.2">
      <c r="A11744" t="s">
        <v>1223</v>
      </c>
    </row>
    <row r="11745" spans="1:1" x14ac:dyDescent="0.2">
      <c r="A11745" t="s">
        <v>1224</v>
      </c>
    </row>
    <row r="11746" spans="1:1" x14ac:dyDescent="0.2">
      <c r="A11746" t="s">
        <v>1225</v>
      </c>
    </row>
    <row r="11747" spans="1:1" x14ac:dyDescent="0.2">
      <c r="A11747" t="s">
        <v>1226</v>
      </c>
    </row>
    <row r="11748" spans="1:1" x14ac:dyDescent="0.2">
      <c r="A11748" t="s">
        <v>1227</v>
      </c>
    </row>
    <row r="11749" spans="1:1" x14ac:dyDescent="0.2">
      <c r="A11749" t="s">
        <v>1228</v>
      </c>
    </row>
    <row r="11750" spans="1:1" x14ac:dyDescent="0.2">
      <c r="A11750" t="s">
        <v>1229</v>
      </c>
    </row>
    <row r="11751" spans="1:1" x14ac:dyDescent="0.2">
      <c r="A11751" t="s">
        <v>1230</v>
      </c>
    </row>
    <row r="11752" spans="1:1" x14ac:dyDescent="0.2">
      <c r="A11752" t="s">
        <v>1231</v>
      </c>
    </row>
    <row r="11753" spans="1:1" x14ac:dyDescent="0.2">
      <c r="A11753" t="s">
        <v>1232</v>
      </c>
    </row>
    <row r="11754" spans="1:1" x14ac:dyDescent="0.2">
      <c r="A11754" t="s">
        <v>1233</v>
      </c>
    </row>
    <row r="11755" spans="1:1" x14ac:dyDescent="0.2">
      <c r="A11755" t="s">
        <v>1234</v>
      </c>
    </row>
    <row r="11756" spans="1:1" x14ac:dyDescent="0.2">
      <c r="A11756" t="s">
        <v>1235</v>
      </c>
    </row>
    <row r="11757" spans="1:1" x14ac:dyDescent="0.2">
      <c r="A11757" t="s">
        <v>1236</v>
      </c>
    </row>
    <row r="11758" spans="1:1" x14ac:dyDescent="0.2">
      <c r="A11758" t="s">
        <v>1237</v>
      </c>
    </row>
    <row r="11759" spans="1:1" x14ac:dyDescent="0.2">
      <c r="A11759" t="s">
        <v>1238</v>
      </c>
    </row>
    <row r="11760" spans="1:1" x14ac:dyDescent="0.2">
      <c r="A11760" t="s">
        <v>1239</v>
      </c>
    </row>
    <row r="11761" spans="1:1" x14ac:dyDescent="0.2">
      <c r="A11761" t="s">
        <v>1240</v>
      </c>
    </row>
    <row r="11762" spans="1:1" x14ac:dyDescent="0.2">
      <c r="A11762" t="s">
        <v>1241</v>
      </c>
    </row>
    <row r="11763" spans="1:1" x14ac:dyDescent="0.2">
      <c r="A11763" t="s">
        <v>1242</v>
      </c>
    </row>
    <row r="11764" spans="1:1" x14ac:dyDescent="0.2">
      <c r="A11764" t="s">
        <v>1243</v>
      </c>
    </row>
    <row r="11765" spans="1:1" x14ac:dyDescent="0.2">
      <c r="A11765" t="s">
        <v>1244</v>
      </c>
    </row>
    <row r="11766" spans="1:1" x14ac:dyDescent="0.2">
      <c r="A11766" t="s">
        <v>1245</v>
      </c>
    </row>
    <row r="11767" spans="1:1" x14ac:dyDescent="0.2">
      <c r="A11767" t="s">
        <v>1246</v>
      </c>
    </row>
    <row r="11768" spans="1:1" x14ac:dyDescent="0.2">
      <c r="A11768" t="s">
        <v>1247</v>
      </c>
    </row>
    <row r="11769" spans="1:1" x14ac:dyDescent="0.2">
      <c r="A11769" t="s">
        <v>1248</v>
      </c>
    </row>
    <row r="11770" spans="1:1" x14ac:dyDescent="0.2">
      <c r="A11770" t="s">
        <v>1249</v>
      </c>
    </row>
    <row r="11771" spans="1:1" x14ac:dyDescent="0.2">
      <c r="A11771" t="s">
        <v>1250</v>
      </c>
    </row>
    <row r="11772" spans="1:1" x14ac:dyDescent="0.2">
      <c r="A11772" t="s">
        <v>1251</v>
      </c>
    </row>
    <row r="11773" spans="1:1" x14ac:dyDescent="0.2">
      <c r="A11773" t="s">
        <v>1252</v>
      </c>
    </row>
    <row r="11774" spans="1:1" x14ac:dyDescent="0.2">
      <c r="A11774" t="s">
        <v>1253</v>
      </c>
    </row>
    <row r="11775" spans="1:1" x14ac:dyDescent="0.2">
      <c r="A11775" t="s">
        <v>1254</v>
      </c>
    </row>
    <row r="11776" spans="1:1" x14ac:dyDescent="0.2">
      <c r="A11776" t="s">
        <v>1255</v>
      </c>
    </row>
    <row r="11777" spans="1:1" x14ac:dyDescent="0.2">
      <c r="A11777" t="s">
        <v>1256</v>
      </c>
    </row>
    <row r="11778" spans="1:1" x14ac:dyDescent="0.2">
      <c r="A11778" t="s">
        <v>1257</v>
      </c>
    </row>
    <row r="11779" spans="1:1" x14ac:dyDescent="0.2">
      <c r="A11779" t="s">
        <v>1258</v>
      </c>
    </row>
    <row r="11780" spans="1:1" x14ac:dyDescent="0.2">
      <c r="A11780" t="s">
        <v>1259</v>
      </c>
    </row>
    <row r="11781" spans="1:1" x14ac:dyDescent="0.2">
      <c r="A11781" t="s">
        <v>1260</v>
      </c>
    </row>
    <row r="11782" spans="1:1" x14ac:dyDescent="0.2">
      <c r="A11782" t="s">
        <v>1261</v>
      </c>
    </row>
    <row r="11783" spans="1:1" x14ac:dyDescent="0.2">
      <c r="A11783" t="s">
        <v>1262</v>
      </c>
    </row>
    <row r="11784" spans="1:1" x14ac:dyDescent="0.2">
      <c r="A11784" t="s">
        <v>1263</v>
      </c>
    </row>
    <row r="11785" spans="1:1" x14ac:dyDescent="0.2">
      <c r="A11785" t="s">
        <v>1264</v>
      </c>
    </row>
    <row r="11786" spans="1:1" x14ac:dyDescent="0.2">
      <c r="A11786" t="s">
        <v>1265</v>
      </c>
    </row>
    <row r="11787" spans="1:1" x14ac:dyDescent="0.2">
      <c r="A11787" t="s">
        <v>1266</v>
      </c>
    </row>
    <row r="11788" spans="1:1" x14ac:dyDescent="0.2">
      <c r="A11788" t="s">
        <v>1267</v>
      </c>
    </row>
    <row r="11789" spans="1:1" x14ac:dyDescent="0.2">
      <c r="A11789" t="s">
        <v>1268</v>
      </c>
    </row>
    <row r="11790" spans="1:1" x14ac:dyDescent="0.2">
      <c r="A11790" t="s">
        <v>1269</v>
      </c>
    </row>
    <row r="11791" spans="1:1" x14ac:dyDescent="0.2">
      <c r="A11791" t="s">
        <v>1270</v>
      </c>
    </row>
    <row r="11792" spans="1:1" x14ac:dyDescent="0.2">
      <c r="A11792" t="s">
        <v>1271</v>
      </c>
    </row>
    <row r="11793" spans="1:1" x14ac:dyDescent="0.2">
      <c r="A11793" t="s">
        <v>1272</v>
      </c>
    </row>
    <row r="11794" spans="1:1" x14ac:dyDescent="0.2">
      <c r="A11794" t="s">
        <v>1273</v>
      </c>
    </row>
    <row r="11795" spans="1:1" x14ac:dyDescent="0.2">
      <c r="A11795" t="s">
        <v>1274</v>
      </c>
    </row>
    <row r="11796" spans="1:1" x14ac:dyDescent="0.2">
      <c r="A11796" t="s">
        <v>1275</v>
      </c>
    </row>
    <row r="11797" spans="1:1" x14ac:dyDescent="0.2">
      <c r="A11797" t="s">
        <v>1276</v>
      </c>
    </row>
    <row r="11798" spans="1:1" x14ac:dyDescent="0.2">
      <c r="A11798" t="s">
        <v>1277</v>
      </c>
    </row>
    <row r="11799" spans="1:1" x14ac:dyDescent="0.2">
      <c r="A11799" t="s">
        <v>1278</v>
      </c>
    </row>
    <row r="11800" spans="1:1" x14ac:dyDescent="0.2">
      <c r="A11800" t="s">
        <v>1279</v>
      </c>
    </row>
    <row r="11801" spans="1:1" x14ac:dyDescent="0.2">
      <c r="A11801" t="s">
        <v>1280</v>
      </c>
    </row>
    <row r="11802" spans="1:1" x14ac:dyDescent="0.2">
      <c r="A11802" t="s">
        <v>1281</v>
      </c>
    </row>
    <row r="11803" spans="1:1" x14ac:dyDescent="0.2">
      <c r="A11803" t="s">
        <v>1282</v>
      </c>
    </row>
    <row r="11804" spans="1:1" x14ac:dyDescent="0.2">
      <c r="A11804" t="s">
        <v>1283</v>
      </c>
    </row>
    <row r="11805" spans="1:1" x14ac:dyDescent="0.2">
      <c r="A11805" t="s">
        <v>1284</v>
      </c>
    </row>
    <row r="11806" spans="1:1" x14ac:dyDescent="0.2">
      <c r="A11806" t="s">
        <v>1285</v>
      </c>
    </row>
    <row r="11807" spans="1:1" x14ac:dyDescent="0.2">
      <c r="A11807" t="s">
        <v>1286</v>
      </c>
    </row>
    <row r="11808" spans="1:1" x14ac:dyDescent="0.2">
      <c r="A11808" t="s">
        <v>3050</v>
      </c>
    </row>
    <row r="11809" spans="1:1" x14ac:dyDescent="0.2">
      <c r="A11809" t="s">
        <v>1053</v>
      </c>
    </row>
    <row r="11810" spans="1:1" x14ac:dyDescent="0.2">
      <c r="A11810" t="s">
        <v>3051</v>
      </c>
    </row>
    <row r="11811" spans="1:1" x14ac:dyDescent="0.2">
      <c r="A11811" t="s">
        <v>2768</v>
      </c>
    </row>
    <row r="11812" spans="1:1" x14ac:dyDescent="0.2">
      <c r="A11812" t="s">
        <v>2769</v>
      </c>
    </row>
    <row r="11813" spans="1:1" x14ac:dyDescent="0.2">
      <c r="A11813" t="s">
        <v>1054</v>
      </c>
    </row>
    <row r="11814" spans="1:1" x14ac:dyDescent="0.2">
      <c r="A11814" t="s">
        <v>1055</v>
      </c>
    </row>
    <row r="11815" spans="1:1" x14ac:dyDescent="0.2">
      <c r="A11815" t="s">
        <v>2770</v>
      </c>
    </row>
    <row r="11816" spans="1:1" x14ac:dyDescent="0.2">
      <c r="A11816" t="s">
        <v>1056</v>
      </c>
    </row>
    <row r="11817" spans="1:1" x14ac:dyDescent="0.2">
      <c r="A11817" t="s">
        <v>1057</v>
      </c>
    </row>
    <row r="11818" spans="1:1" x14ac:dyDescent="0.2">
      <c r="A11818" t="s">
        <v>1058</v>
      </c>
    </row>
    <row r="11819" spans="1:1" x14ac:dyDescent="0.2">
      <c r="A11819" t="s">
        <v>1059</v>
      </c>
    </row>
    <row r="11820" spans="1:1" x14ac:dyDescent="0.2">
      <c r="A11820" t="s">
        <v>1060</v>
      </c>
    </row>
    <row r="11821" spans="1:1" x14ac:dyDescent="0.2">
      <c r="A11821" t="s">
        <v>1061</v>
      </c>
    </row>
    <row r="11822" spans="1:1" x14ac:dyDescent="0.2">
      <c r="A11822" t="s">
        <v>1062</v>
      </c>
    </row>
    <row r="11823" spans="1:1" x14ac:dyDescent="0.2">
      <c r="A11823" t="s">
        <v>1063</v>
      </c>
    </row>
    <row r="11824" spans="1:1" x14ac:dyDescent="0.2">
      <c r="A11824" t="s">
        <v>1064</v>
      </c>
    </row>
    <row r="11825" spans="1:1" x14ac:dyDescent="0.2">
      <c r="A11825" t="s">
        <v>1065</v>
      </c>
    </row>
    <row r="11826" spans="1:1" x14ac:dyDescent="0.2">
      <c r="A11826" t="s">
        <v>1066</v>
      </c>
    </row>
    <row r="11827" spans="1:1" x14ac:dyDescent="0.2">
      <c r="A11827" t="s">
        <v>1067</v>
      </c>
    </row>
    <row r="11828" spans="1:1" x14ac:dyDescent="0.2">
      <c r="A11828" t="s">
        <v>1068</v>
      </c>
    </row>
    <row r="11829" spans="1:1" x14ac:dyDescent="0.2">
      <c r="A11829" t="s">
        <v>1069</v>
      </c>
    </row>
    <row r="11830" spans="1:1" x14ac:dyDescent="0.2">
      <c r="A11830" t="s">
        <v>1070</v>
      </c>
    </row>
    <row r="11831" spans="1:1" x14ac:dyDescent="0.2">
      <c r="A11831" t="s">
        <v>1071</v>
      </c>
    </row>
    <row r="11832" spans="1:1" x14ac:dyDescent="0.2">
      <c r="A11832" t="s">
        <v>1072</v>
      </c>
    </row>
    <row r="11833" spans="1:1" x14ac:dyDescent="0.2">
      <c r="A11833" t="s">
        <v>1073</v>
      </c>
    </row>
    <row r="11834" spans="1:1" x14ac:dyDescent="0.2">
      <c r="A11834" t="s">
        <v>1074</v>
      </c>
    </row>
    <row r="11835" spans="1:1" x14ac:dyDescent="0.2">
      <c r="A11835" t="s">
        <v>1075</v>
      </c>
    </row>
    <row r="11836" spans="1:1" x14ac:dyDescent="0.2">
      <c r="A11836" t="s">
        <v>1076</v>
      </c>
    </row>
    <row r="11837" spans="1:1" x14ac:dyDescent="0.2">
      <c r="A11837" t="s">
        <v>1077</v>
      </c>
    </row>
    <row r="11838" spans="1:1" x14ac:dyDescent="0.2">
      <c r="A11838" t="s">
        <v>1078</v>
      </c>
    </row>
    <row r="11839" spans="1:1" x14ac:dyDescent="0.2">
      <c r="A11839" t="s">
        <v>1079</v>
      </c>
    </row>
    <row r="11840" spans="1:1" x14ac:dyDescent="0.2">
      <c r="A11840" t="s">
        <v>1080</v>
      </c>
    </row>
    <row r="11841" spans="1:1" x14ac:dyDescent="0.2">
      <c r="A11841" t="s">
        <v>1081</v>
      </c>
    </row>
    <row r="11842" spans="1:1" x14ac:dyDescent="0.2">
      <c r="A11842" t="s">
        <v>1082</v>
      </c>
    </row>
    <row r="11843" spans="1:1" x14ac:dyDescent="0.2">
      <c r="A11843" t="s">
        <v>1083</v>
      </c>
    </row>
    <row r="11844" spans="1:1" x14ac:dyDescent="0.2">
      <c r="A11844" t="s">
        <v>2771</v>
      </c>
    </row>
    <row r="11845" spans="1:1" x14ac:dyDescent="0.2">
      <c r="A11845" t="s">
        <v>2772</v>
      </c>
    </row>
    <row r="11846" spans="1:1" x14ac:dyDescent="0.2">
      <c r="A11846" t="s">
        <v>2773</v>
      </c>
    </row>
    <row r="11847" spans="1:1" x14ac:dyDescent="0.2">
      <c r="A11847" t="s">
        <v>2774</v>
      </c>
    </row>
    <row r="11848" spans="1:1" x14ac:dyDescent="0.2">
      <c r="A11848" t="s">
        <v>2775</v>
      </c>
    </row>
    <row r="11849" spans="1:1" x14ac:dyDescent="0.2">
      <c r="A11849" t="s">
        <v>2776</v>
      </c>
    </row>
    <row r="11850" spans="1:1" x14ac:dyDescent="0.2">
      <c r="A11850" t="s">
        <v>1084</v>
      </c>
    </row>
    <row r="11851" spans="1:1" x14ac:dyDescent="0.2">
      <c r="A11851" t="s">
        <v>1085</v>
      </c>
    </row>
    <row r="11852" spans="1:1" x14ac:dyDescent="0.2">
      <c r="A11852" t="s">
        <v>1086</v>
      </c>
    </row>
    <row r="11853" spans="1:1" x14ac:dyDescent="0.2">
      <c r="A11853" t="s">
        <v>1087</v>
      </c>
    </row>
    <row r="11854" spans="1:1" x14ac:dyDescent="0.2">
      <c r="A11854" t="s">
        <v>1088</v>
      </c>
    </row>
    <row r="11855" spans="1:1" x14ac:dyDescent="0.2">
      <c r="A11855" t="s">
        <v>1089</v>
      </c>
    </row>
    <row r="11856" spans="1:1" x14ac:dyDescent="0.2">
      <c r="A11856" t="s">
        <v>1090</v>
      </c>
    </row>
    <row r="11857" spans="1:1" x14ac:dyDescent="0.2">
      <c r="A11857" t="s">
        <v>1091</v>
      </c>
    </row>
    <row r="11858" spans="1:1" x14ac:dyDescent="0.2">
      <c r="A11858" t="s">
        <v>1092</v>
      </c>
    </row>
    <row r="11859" spans="1:1" x14ac:dyDescent="0.2">
      <c r="A11859" t="s">
        <v>1093</v>
      </c>
    </row>
    <row r="11860" spans="1:1" x14ac:dyDescent="0.2">
      <c r="A11860" t="s">
        <v>1094</v>
      </c>
    </row>
    <row r="11861" spans="1:1" x14ac:dyDescent="0.2">
      <c r="A11861" t="s">
        <v>1095</v>
      </c>
    </row>
    <row r="11862" spans="1:1" x14ac:dyDescent="0.2">
      <c r="A11862" t="s">
        <v>1096</v>
      </c>
    </row>
    <row r="11863" spans="1:1" x14ac:dyDescent="0.2">
      <c r="A11863" t="s">
        <v>1097</v>
      </c>
    </row>
    <row r="11864" spans="1:1" x14ac:dyDescent="0.2">
      <c r="A11864" t="s">
        <v>1098</v>
      </c>
    </row>
    <row r="11865" spans="1:1" x14ac:dyDescent="0.2">
      <c r="A11865" t="s">
        <v>1099</v>
      </c>
    </row>
    <row r="11866" spans="1:1" x14ac:dyDescent="0.2">
      <c r="A11866" t="s">
        <v>1100</v>
      </c>
    </row>
    <row r="11867" spans="1:1" x14ac:dyDescent="0.2">
      <c r="A11867" t="s">
        <v>1101</v>
      </c>
    </row>
    <row r="11868" spans="1:1" x14ac:dyDescent="0.2">
      <c r="A11868" t="s">
        <v>1102</v>
      </c>
    </row>
    <row r="11869" spans="1:1" x14ac:dyDescent="0.2">
      <c r="A11869" t="s">
        <v>1103</v>
      </c>
    </row>
    <row r="11870" spans="1:1" x14ac:dyDescent="0.2">
      <c r="A11870" t="s">
        <v>1104</v>
      </c>
    </row>
    <row r="11871" spans="1:1" x14ac:dyDescent="0.2">
      <c r="A11871" t="s">
        <v>1105</v>
      </c>
    </row>
    <row r="11872" spans="1:1" x14ac:dyDescent="0.2">
      <c r="A11872" t="s">
        <v>1106</v>
      </c>
    </row>
    <row r="11873" spans="1:1" x14ac:dyDescent="0.2">
      <c r="A11873" t="s">
        <v>1107</v>
      </c>
    </row>
    <row r="11874" spans="1:1" x14ac:dyDescent="0.2">
      <c r="A11874" t="s">
        <v>1108</v>
      </c>
    </row>
    <row r="11875" spans="1:1" x14ac:dyDescent="0.2">
      <c r="A11875" t="s">
        <v>1109</v>
      </c>
    </row>
    <row r="11876" spans="1:1" x14ac:dyDescent="0.2">
      <c r="A11876" t="s">
        <v>1110</v>
      </c>
    </row>
    <row r="11877" spans="1:1" x14ac:dyDescent="0.2">
      <c r="A11877" t="s">
        <v>1111</v>
      </c>
    </row>
    <row r="11878" spans="1:1" x14ac:dyDescent="0.2">
      <c r="A11878" t="s">
        <v>1112</v>
      </c>
    </row>
    <row r="11879" spans="1:1" x14ac:dyDescent="0.2">
      <c r="A11879" t="s">
        <v>1113</v>
      </c>
    </row>
    <row r="11880" spans="1:1" x14ac:dyDescent="0.2">
      <c r="A11880" t="s">
        <v>1114</v>
      </c>
    </row>
    <row r="11881" spans="1:1" x14ac:dyDescent="0.2">
      <c r="A11881" t="s">
        <v>1115</v>
      </c>
    </row>
    <row r="11882" spans="1:1" x14ac:dyDescent="0.2">
      <c r="A11882" t="s">
        <v>1116</v>
      </c>
    </row>
    <row r="11883" spans="1:1" x14ac:dyDescent="0.2">
      <c r="A11883" t="s">
        <v>1117</v>
      </c>
    </row>
    <row r="11884" spans="1:1" x14ac:dyDescent="0.2">
      <c r="A11884" t="s">
        <v>1118</v>
      </c>
    </row>
    <row r="11885" spans="1:1" x14ac:dyDescent="0.2">
      <c r="A11885" t="s">
        <v>1119</v>
      </c>
    </row>
    <row r="11886" spans="1:1" x14ac:dyDescent="0.2">
      <c r="A11886" t="s">
        <v>1120</v>
      </c>
    </row>
    <row r="11887" spans="1:1" x14ac:dyDescent="0.2">
      <c r="A11887" t="s">
        <v>1288</v>
      </c>
    </row>
    <row r="11888" spans="1:1" x14ac:dyDescent="0.2">
      <c r="A11888" t="s">
        <v>3052</v>
      </c>
    </row>
    <row r="11889" spans="1:1" x14ac:dyDescent="0.2">
      <c r="A11889" t="s">
        <v>3053</v>
      </c>
    </row>
    <row r="11890" spans="1:1" x14ac:dyDescent="0.2">
      <c r="A11890" t="s">
        <v>2958</v>
      </c>
    </row>
    <row r="11891" spans="1:1" x14ac:dyDescent="0.2">
      <c r="A11891" t="s">
        <v>2959</v>
      </c>
    </row>
    <row r="11892" spans="1:1" x14ac:dyDescent="0.2">
      <c r="A11892" t="s">
        <v>1289</v>
      </c>
    </row>
    <row r="11893" spans="1:1" x14ac:dyDescent="0.2">
      <c r="A11893" t="s">
        <v>2781</v>
      </c>
    </row>
    <row r="11894" spans="1:1" x14ac:dyDescent="0.2">
      <c r="A11894" t="s">
        <v>3054</v>
      </c>
    </row>
    <row r="11895" spans="1:1" x14ac:dyDescent="0.2">
      <c r="A11895" t="s">
        <v>1122</v>
      </c>
    </row>
    <row r="11896" spans="1:1" x14ac:dyDescent="0.2">
      <c r="A11896" t="s">
        <v>1123</v>
      </c>
    </row>
    <row r="11897" spans="1:1" x14ac:dyDescent="0.2">
      <c r="A11897" t="s">
        <v>1124</v>
      </c>
    </row>
    <row r="11898" spans="1:1" x14ac:dyDescent="0.2">
      <c r="A11898" t="s">
        <v>1125</v>
      </c>
    </row>
    <row r="11899" spans="1:1" x14ac:dyDescent="0.2">
      <c r="A11899" t="s">
        <v>1126</v>
      </c>
    </row>
    <row r="11900" spans="1:1" x14ac:dyDescent="0.2">
      <c r="A11900" t="s">
        <v>1127</v>
      </c>
    </row>
    <row r="11901" spans="1:1" x14ac:dyDescent="0.2">
      <c r="A11901" t="s">
        <v>1128</v>
      </c>
    </row>
    <row r="11902" spans="1:1" x14ac:dyDescent="0.2">
      <c r="A11902" t="s">
        <v>1129</v>
      </c>
    </row>
    <row r="11903" spans="1:1" x14ac:dyDescent="0.2">
      <c r="A11903" t="s">
        <v>1130</v>
      </c>
    </row>
    <row r="11904" spans="1:1" x14ac:dyDescent="0.2">
      <c r="A11904" t="s">
        <v>1131</v>
      </c>
    </row>
    <row r="11905" spans="1:1" x14ac:dyDescent="0.2">
      <c r="A11905" t="s">
        <v>1132</v>
      </c>
    </row>
    <row r="11906" spans="1:1" x14ac:dyDescent="0.2">
      <c r="A11906" t="s">
        <v>1133</v>
      </c>
    </row>
    <row r="11907" spans="1:1" x14ac:dyDescent="0.2">
      <c r="A11907" t="s">
        <v>1134</v>
      </c>
    </row>
    <row r="11908" spans="1:1" x14ac:dyDescent="0.2">
      <c r="A11908" t="s">
        <v>1135</v>
      </c>
    </row>
    <row r="11909" spans="1:1" x14ac:dyDescent="0.2">
      <c r="A11909" t="s">
        <v>1136</v>
      </c>
    </row>
    <row r="11910" spans="1:1" x14ac:dyDescent="0.2">
      <c r="A11910" t="s">
        <v>1137</v>
      </c>
    </row>
    <row r="11911" spans="1:1" x14ac:dyDescent="0.2">
      <c r="A11911" t="s">
        <v>1138</v>
      </c>
    </row>
    <row r="11912" spans="1:1" x14ac:dyDescent="0.2">
      <c r="A11912" t="s">
        <v>1139</v>
      </c>
    </row>
    <row r="11913" spans="1:1" x14ac:dyDescent="0.2">
      <c r="A11913" t="s">
        <v>1140</v>
      </c>
    </row>
    <row r="11914" spans="1:1" x14ac:dyDescent="0.2">
      <c r="A11914" t="s">
        <v>1141</v>
      </c>
    </row>
    <row r="11915" spans="1:1" x14ac:dyDescent="0.2">
      <c r="A11915" t="s">
        <v>1142</v>
      </c>
    </row>
    <row r="11916" spans="1:1" x14ac:dyDescent="0.2">
      <c r="A11916" t="s">
        <v>1143</v>
      </c>
    </row>
    <row r="11917" spans="1:1" x14ac:dyDescent="0.2">
      <c r="A11917" t="s">
        <v>1144</v>
      </c>
    </row>
    <row r="11918" spans="1:1" x14ac:dyDescent="0.2">
      <c r="A11918" t="s">
        <v>1145</v>
      </c>
    </row>
    <row r="11919" spans="1:1" x14ac:dyDescent="0.2">
      <c r="A11919" t="s">
        <v>1146</v>
      </c>
    </row>
    <row r="11920" spans="1:1" x14ac:dyDescent="0.2">
      <c r="A11920" t="s">
        <v>1147</v>
      </c>
    </row>
    <row r="11921" spans="1:1" x14ac:dyDescent="0.2">
      <c r="A11921" t="s">
        <v>1148</v>
      </c>
    </row>
    <row r="11922" spans="1:1" x14ac:dyDescent="0.2">
      <c r="A11922" t="s">
        <v>1149</v>
      </c>
    </row>
    <row r="11923" spans="1:1" x14ac:dyDescent="0.2">
      <c r="A11923" t="s">
        <v>1150</v>
      </c>
    </row>
    <row r="11924" spans="1:1" x14ac:dyDescent="0.2">
      <c r="A11924" t="s">
        <v>1151</v>
      </c>
    </row>
    <row r="11925" spans="1:1" x14ac:dyDescent="0.2">
      <c r="A11925" t="s">
        <v>1152</v>
      </c>
    </row>
    <row r="11926" spans="1:1" x14ac:dyDescent="0.2">
      <c r="A11926" t="s">
        <v>1153</v>
      </c>
    </row>
    <row r="11927" spans="1:1" x14ac:dyDescent="0.2">
      <c r="A11927" t="s">
        <v>1154</v>
      </c>
    </row>
    <row r="11928" spans="1:1" x14ac:dyDescent="0.2">
      <c r="A11928" t="s">
        <v>1155</v>
      </c>
    </row>
    <row r="11929" spans="1:1" x14ac:dyDescent="0.2">
      <c r="A11929" t="s">
        <v>1156</v>
      </c>
    </row>
    <row r="11930" spans="1:1" x14ac:dyDescent="0.2">
      <c r="A11930" t="s">
        <v>1157</v>
      </c>
    </row>
    <row r="11931" spans="1:1" x14ac:dyDescent="0.2">
      <c r="A11931" t="s">
        <v>1158</v>
      </c>
    </row>
    <row r="11932" spans="1:1" x14ac:dyDescent="0.2">
      <c r="A11932" t="s">
        <v>1159</v>
      </c>
    </row>
    <row r="11933" spans="1:1" x14ac:dyDescent="0.2">
      <c r="A11933" t="s">
        <v>1160</v>
      </c>
    </row>
    <row r="11934" spans="1:1" x14ac:dyDescent="0.2">
      <c r="A11934" t="s">
        <v>1161</v>
      </c>
    </row>
    <row r="11935" spans="1:1" x14ac:dyDescent="0.2">
      <c r="A11935" t="s">
        <v>1162</v>
      </c>
    </row>
    <row r="11936" spans="1:1" x14ac:dyDescent="0.2">
      <c r="A11936" t="s">
        <v>1163</v>
      </c>
    </row>
    <row r="11937" spans="1:1" x14ac:dyDescent="0.2">
      <c r="A11937" t="s">
        <v>1164</v>
      </c>
    </row>
    <row r="11938" spans="1:1" x14ac:dyDescent="0.2">
      <c r="A11938" t="s">
        <v>1165</v>
      </c>
    </row>
    <row r="11939" spans="1:1" x14ac:dyDescent="0.2">
      <c r="A11939" t="s">
        <v>1166</v>
      </c>
    </row>
    <row r="11940" spans="1:1" x14ac:dyDescent="0.2">
      <c r="A11940" t="s">
        <v>1167</v>
      </c>
    </row>
    <row r="11941" spans="1:1" x14ac:dyDescent="0.2">
      <c r="A11941" t="s">
        <v>1168</v>
      </c>
    </row>
    <row r="11942" spans="1:1" x14ac:dyDescent="0.2">
      <c r="A11942" t="s">
        <v>1169</v>
      </c>
    </row>
    <row r="11943" spans="1:1" x14ac:dyDescent="0.2">
      <c r="A11943" t="s">
        <v>1170</v>
      </c>
    </row>
    <row r="11944" spans="1:1" x14ac:dyDescent="0.2">
      <c r="A11944" t="s">
        <v>1171</v>
      </c>
    </row>
    <row r="11945" spans="1:1" x14ac:dyDescent="0.2">
      <c r="A11945" t="s">
        <v>1172</v>
      </c>
    </row>
    <row r="11946" spans="1:1" x14ac:dyDescent="0.2">
      <c r="A11946" t="s">
        <v>1173</v>
      </c>
    </row>
    <row r="11947" spans="1:1" x14ac:dyDescent="0.2">
      <c r="A11947" t="s">
        <v>1174</v>
      </c>
    </row>
    <row r="11948" spans="1:1" x14ac:dyDescent="0.2">
      <c r="A11948" t="s">
        <v>1175</v>
      </c>
    </row>
    <row r="11949" spans="1:1" x14ac:dyDescent="0.2">
      <c r="A11949" t="s">
        <v>1176</v>
      </c>
    </row>
    <row r="11950" spans="1:1" x14ac:dyDescent="0.2">
      <c r="A11950" t="s">
        <v>1177</v>
      </c>
    </row>
    <row r="11951" spans="1:1" x14ac:dyDescent="0.2">
      <c r="A11951" t="s">
        <v>1178</v>
      </c>
    </row>
    <row r="11952" spans="1:1" x14ac:dyDescent="0.2">
      <c r="A11952" t="s">
        <v>1179</v>
      </c>
    </row>
    <row r="11953" spans="1:1" x14ac:dyDescent="0.2">
      <c r="A11953" t="s">
        <v>1180</v>
      </c>
    </row>
    <row r="11954" spans="1:1" x14ac:dyDescent="0.2">
      <c r="A11954" t="s">
        <v>1181</v>
      </c>
    </row>
    <row r="11955" spans="1:1" x14ac:dyDescent="0.2">
      <c r="A11955" t="s">
        <v>1182</v>
      </c>
    </row>
    <row r="11956" spans="1:1" x14ac:dyDescent="0.2">
      <c r="A11956" t="s">
        <v>1183</v>
      </c>
    </row>
    <row r="11957" spans="1:1" x14ac:dyDescent="0.2">
      <c r="A11957" t="s">
        <v>1184</v>
      </c>
    </row>
    <row r="11958" spans="1:1" x14ac:dyDescent="0.2">
      <c r="A11958" t="s">
        <v>1185</v>
      </c>
    </row>
    <row r="11959" spans="1:1" x14ac:dyDescent="0.2">
      <c r="A11959" t="s">
        <v>1186</v>
      </c>
    </row>
    <row r="11960" spans="1:1" x14ac:dyDescent="0.2">
      <c r="A11960" t="s">
        <v>1187</v>
      </c>
    </row>
    <row r="11961" spans="1:1" x14ac:dyDescent="0.2">
      <c r="A11961" t="s">
        <v>1188</v>
      </c>
    </row>
    <row r="11962" spans="1:1" x14ac:dyDescent="0.2">
      <c r="A11962" t="s">
        <v>1189</v>
      </c>
    </row>
    <row r="11963" spans="1:1" x14ac:dyDescent="0.2">
      <c r="A11963" t="s">
        <v>1190</v>
      </c>
    </row>
    <row r="11964" spans="1:1" x14ac:dyDescent="0.2">
      <c r="A11964" t="s">
        <v>1191</v>
      </c>
    </row>
    <row r="11965" spans="1:1" x14ac:dyDescent="0.2">
      <c r="A11965" t="s">
        <v>1192</v>
      </c>
    </row>
    <row r="11966" spans="1:1" x14ac:dyDescent="0.2">
      <c r="A11966" t="s">
        <v>1193</v>
      </c>
    </row>
    <row r="11967" spans="1:1" x14ac:dyDescent="0.2">
      <c r="A11967" t="s">
        <v>1194</v>
      </c>
    </row>
    <row r="11968" spans="1:1" x14ac:dyDescent="0.2">
      <c r="A11968" t="s">
        <v>1195</v>
      </c>
    </row>
    <row r="11969" spans="1:1" x14ac:dyDescent="0.2">
      <c r="A11969" t="s">
        <v>1196</v>
      </c>
    </row>
    <row r="11970" spans="1:1" x14ac:dyDescent="0.2">
      <c r="A11970" t="s">
        <v>1197</v>
      </c>
    </row>
    <row r="11971" spans="1:1" x14ac:dyDescent="0.2">
      <c r="A11971" t="s">
        <v>1198</v>
      </c>
    </row>
    <row r="11972" spans="1:1" x14ac:dyDescent="0.2">
      <c r="A11972" t="s">
        <v>1199</v>
      </c>
    </row>
    <row r="11973" spans="1:1" x14ac:dyDescent="0.2">
      <c r="A11973" t="s">
        <v>1200</v>
      </c>
    </row>
    <row r="11974" spans="1:1" x14ac:dyDescent="0.2">
      <c r="A11974" t="s">
        <v>1201</v>
      </c>
    </row>
    <row r="11975" spans="1:1" x14ac:dyDescent="0.2">
      <c r="A11975" t="s">
        <v>1202</v>
      </c>
    </row>
    <row r="11976" spans="1:1" x14ac:dyDescent="0.2">
      <c r="A11976" t="s">
        <v>1203</v>
      </c>
    </row>
    <row r="11977" spans="1:1" x14ac:dyDescent="0.2">
      <c r="A11977" t="s">
        <v>1204</v>
      </c>
    </row>
    <row r="11978" spans="1:1" x14ac:dyDescent="0.2">
      <c r="A11978" t="s">
        <v>1205</v>
      </c>
    </row>
    <row r="11979" spans="1:1" x14ac:dyDescent="0.2">
      <c r="A11979" t="s">
        <v>1206</v>
      </c>
    </row>
    <row r="11980" spans="1:1" x14ac:dyDescent="0.2">
      <c r="A11980" t="s">
        <v>1207</v>
      </c>
    </row>
    <row r="11981" spans="1:1" x14ac:dyDescent="0.2">
      <c r="A11981" t="s">
        <v>1208</v>
      </c>
    </row>
    <row r="11982" spans="1:1" x14ac:dyDescent="0.2">
      <c r="A11982" t="s">
        <v>1209</v>
      </c>
    </row>
    <row r="11983" spans="1:1" x14ac:dyDescent="0.2">
      <c r="A11983" t="s">
        <v>1210</v>
      </c>
    </row>
    <row r="11984" spans="1:1" x14ac:dyDescent="0.2">
      <c r="A11984" t="s">
        <v>1211</v>
      </c>
    </row>
    <row r="11985" spans="1:1" x14ac:dyDescent="0.2">
      <c r="A11985" t="s">
        <v>1212</v>
      </c>
    </row>
    <row r="11986" spans="1:1" x14ac:dyDescent="0.2">
      <c r="A11986" t="s">
        <v>1213</v>
      </c>
    </row>
    <row r="11987" spans="1:1" x14ac:dyDescent="0.2">
      <c r="A11987" t="s">
        <v>1214</v>
      </c>
    </row>
    <row r="11988" spans="1:1" x14ac:dyDescent="0.2">
      <c r="A11988" t="s">
        <v>1215</v>
      </c>
    </row>
    <row r="11989" spans="1:1" x14ac:dyDescent="0.2">
      <c r="A11989" t="s">
        <v>1216</v>
      </c>
    </row>
    <row r="11990" spans="1:1" x14ac:dyDescent="0.2">
      <c r="A11990" t="s">
        <v>1217</v>
      </c>
    </row>
    <row r="11991" spans="1:1" x14ac:dyDescent="0.2">
      <c r="A11991" t="s">
        <v>1218</v>
      </c>
    </row>
    <row r="11992" spans="1:1" x14ac:dyDescent="0.2">
      <c r="A11992" t="s">
        <v>1219</v>
      </c>
    </row>
    <row r="11993" spans="1:1" x14ac:dyDescent="0.2">
      <c r="A11993" t="s">
        <v>1220</v>
      </c>
    </row>
    <row r="11994" spans="1:1" x14ac:dyDescent="0.2">
      <c r="A11994" t="s">
        <v>1221</v>
      </c>
    </row>
    <row r="11995" spans="1:1" x14ac:dyDescent="0.2">
      <c r="A11995" t="s">
        <v>1222</v>
      </c>
    </row>
    <row r="11996" spans="1:1" x14ac:dyDescent="0.2">
      <c r="A11996" t="s">
        <v>1223</v>
      </c>
    </row>
    <row r="11997" spans="1:1" x14ac:dyDescent="0.2">
      <c r="A11997" t="s">
        <v>1224</v>
      </c>
    </row>
    <row r="11998" spans="1:1" x14ac:dyDescent="0.2">
      <c r="A11998" t="s">
        <v>1225</v>
      </c>
    </row>
    <row r="11999" spans="1:1" x14ac:dyDescent="0.2">
      <c r="A11999" t="s">
        <v>1226</v>
      </c>
    </row>
    <row r="12000" spans="1:1" x14ac:dyDescent="0.2">
      <c r="A12000" t="s">
        <v>1227</v>
      </c>
    </row>
    <row r="12001" spans="1:1" x14ac:dyDescent="0.2">
      <c r="A12001" t="s">
        <v>1228</v>
      </c>
    </row>
    <row r="12002" spans="1:1" x14ac:dyDescent="0.2">
      <c r="A12002" t="s">
        <v>1229</v>
      </c>
    </row>
    <row r="12003" spans="1:1" x14ac:dyDescent="0.2">
      <c r="A12003" t="s">
        <v>1230</v>
      </c>
    </row>
    <row r="12004" spans="1:1" x14ac:dyDescent="0.2">
      <c r="A12004" t="s">
        <v>1231</v>
      </c>
    </row>
    <row r="12005" spans="1:1" x14ac:dyDescent="0.2">
      <c r="A12005" t="s">
        <v>1232</v>
      </c>
    </row>
    <row r="12006" spans="1:1" x14ac:dyDescent="0.2">
      <c r="A12006" t="s">
        <v>1233</v>
      </c>
    </row>
    <row r="12007" spans="1:1" x14ac:dyDescent="0.2">
      <c r="A12007" t="s">
        <v>1234</v>
      </c>
    </row>
    <row r="12008" spans="1:1" x14ac:dyDescent="0.2">
      <c r="A12008" t="s">
        <v>1235</v>
      </c>
    </row>
    <row r="12009" spans="1:1" x14ac:dyDescent="0.2">
      <c r="A12009" t="s">
        <v>1236</v>
      </c>
    </row>
    <row r="12010" spans="1:1" x14ac:dyDescent="0.2">
      <c r="A12010" t="s">
        <v>1237</v>
      </c>
    </row>
    <row r="12011" spans="1:1" x14ac:dyDescent="0.2">
      <c r="A12011" t="s">
        <v>1238</v>
      </c>
    </row>
    <row r="12012" spans="1:1" x14ac:dyDescent="0.2">
      <c r="A12012" t="s">
        <v>1239</v>
      </c>
    </row>
    <row r="12013" spans="1:1" x14ac:dyDescent="0.2">
      <c r="A12013" t="s">
        <v>1240</v>
      </c>
    </row>
    <row r="12014" spans="1:1" x14ac:dyDescent="0.2">
      <c r="A12014" t="s">
        <v>1241</v>
      </c>
    </row>
    <row r="12015" spans="1:1" x14ac:dyDescent="0.2">
      <c r="A12015" t="s">
        <v>1242</v>
      </c>
    </row>
    <row r="12016" spans="1:1" x14ac:dyDescent="0.2">
      <c r="A12016" t="s">
        <v>1243</v>
      </c>
    </row>
    <row r="12017" spans="1:1" x14ac:dyDescent="0.2">
      <c r="A12017" t="s">
        <v>1244</v>
      </c>
    </row>
    <row r="12018" spans="1:1" x14ac:dyDescent="0.2">
      <c r="A12018" t="s">
        <v>1245</v>
      </c>
    </row>
    <row r="12019" spans="1:1" x14ac:dyDescent="0.2">
      <c r="A12019" t="s">
        <v>1246</v>
      </c>
    </row>
    <row r="12020" spans="1:1" x14ac:dyDescent="0.2">
      <c r="A12020" t="s">
        <v>1247</v>
      </c>
    </row>
    <row r="12021" spans="1:1" x14ac:dyDescent="0.2">
      <c r="A12021" t="s">
        <v>1248</v>
      </c>
    </row>
    <row r="12022" spans="1:1" x14ac:dyDescent="0.2">
      <c r="A12022" t="s">
        <v>1249</v>
      </c>
    </row>
    <row r="12023" spans="1:1" x14ac:dyDescent="0.2">
      <c r="A12023" t="s">
        <v>1250</v>
      </c>
    </row>
    <row r="12024" spans="1:1" x14ac:dyDescent="0.2">
      <c r="A12024" t="s">
        <v>1251</v>
      </c>
    </row>
    <row r="12025" spans="1:1" x14ac:dyDescent="0.2">
      <c r="A12025" t="s">
        <v>1252</v>
      </c>
    </row>
    <row r="12026" spans="1:1" x14ac:dyDescent="0.2">
      <c r="A12026" t="s">
        <v>1253</v>
      </c>
    </row>
    <row r="12027" spans="1:1" x14ac:dyDescent="0.2">
      <c r="A12027" t="s">
        <v>1254</v>
      </c>
    </row>
    <row r="12028" spans="1:1" x14ac:dyDescent="0.2">
      <c r="A12028" t="s">
        <v>1255</v>
      </c>
    </row>
    <row r="12029" spans="1:1" x14ac:dyDescent="0.2">
      <c r="A12029" t="s">
        <v>1256</v>
      </c>
    </row>
    <row r="12030" spans="1:1" x14ac:dyDescent="0.2">
      <c r="A12030" t="s">
        <v>1257</v>
      </c>
    </row>
    <row r="12031" spans="1:1" x14ac:dyDescent="0.2">
      <c r="A12031" t="s">
        <v>1258</v>
      </c>
    </row>
    <row r="12032" spans="1:1" x14ac:dyDescent="0.2">
      <c r="A12032" t="s">
        <v>1259</v>
      </c>
    </row>
    <row r="12033" spans="1:1" x14ac:dyDescent="0.2">
      <c r="A12033" t="s">
        <v>1260</v>
      </c>
    </row>
    <row r="12034" spans="1:1" x14ac:dyDescent="0.2">
      <c r="A12034" t="s">
        <v>1261</v>
      </c>
    </row>
    <row r="12035" spans="1:1" x14ac:dyDescent="0.2">
      <c r="A12035" t="s">
        <v>1262</v>
      </c>
    </row>
    <row r="12036" spans="1:1" x14ac:dyDescent="0.2">
      <c r="A12036" t="s">
        <v>1263</v>
      </c>
    </row>
    <row r="12037" spans="1:1" x14ac:dyDescent="0.2">
      <c r="A12037" t="s">
        <v>1264</v>
      </c>
    </row>
    <row r="12038" spans="1:1" x14ac:dyDescent="0.2">
      <c r="A12038" t="s">
        <v>1265</v>
      </c>
    </row>
    <row r="12039" spans="1:1" x14ac:dyDescent="0.2">
      <c r="A12039" t="s">
        <v>1266</v>
      </c>
    </row>
    <row r="12040" spans="1:1" x14ac:dyDescent="0.2">
      <c r="A12040" t="s">
        <v>1267</v>
      </c>
    </row>
    <row r="12041" spans="1:1" x14ac:dyDescent="0.2">
      <c r="A12041" t="s">
        <v>1268</v>
      </c>
    </row>
    <row r="12042" spans="1:1" x14ac:dyDescent="0.2">
      <c r="A12042" t="s">
        <v>1269</v>
      </c>
    </row>
    <row r="12043" spans="1:1" x14ac:dyDescent="0.2">
      <c r="A12043" t="s">
        <v>1270</v>
      </c>
    </row>
    <row r="12044" spans="1:1" x14ac:dyDescent="0.2">
      <c r="A12044" t="s">
        <v>1271</v>
      </c>
    </row>
    <row r="12045" spans="1:1" x14ac:dyDescent="0.2">
      <c r="A12045" t="s">
        <v>1272</v>
      </c>
    </row>
    <row r="12046" spans="1:1" x14ac:dyDescent="0.2">
      <c r="A12046" t="s">
        <v>1273</v>
      </c>
    </row>
    <row r="12047" spans="1:1" x14ac:dyDescent="0.2">
      <c r="A12047" t="s">
        <v>1274</v>
      </c>
    </row>
    <row r="12048" spans="1:1" x14ac:dyDescent="0.2">
      <c r="A12048" t="s">
        <v>1275</v>
      </c>
    </row>
    <row r="12049" spans="1:1" x14ac:dyDescent="0.2">
      <c r="A12049" t="s">
        <v>1276</v>
      </c>
    </row>
    <row r="12050" spans="1:1" x14ac:dyDescent="0.2">
      <c r="A12050" t="s">
        <v>1277</v>
      </c>
    </row>
    <row r="12051" spans="1:1" x14ac:dyDescent="0.2">
      <c r="A12051" t="s">
        <v>1278</v>
      </c>
    </row>
    <row r="12052" spans="1:1" x14ac:dyDescent="0.2">
      <c r="A12052" t="s">
        <v>1279</v>
      </c>
    </row>
    <row r="12053" spans="1:1" x14ac:dyDescent="0.2">
      <c r="A12053" t="s">
        <v>1280</v>
      </c>
    </row>
    <row r="12054" spans="1:1" x14ac:dyDescent="0.2">
      <c r="A12054" t="s">
        <v>1281</v>
      </c>
    </row>
    <row r="12055" spans="1:1" x14ac:dyDescent="0.2">
      <c r="A12055" t="s">
        <v>1282</v>
      </c>
    </row>
    <row r="12056" spans="1:1" x14ac:dyDescent="0.2">
      <c r="A12056" t="s">
        <v>1283</v>
      </c>
    </row>
    <row r="12057" spans="1:1" x14ac:dyDescent="0.2">
      <c r="A12057" t="s">
        <v>1284</v>
      </c>
    </row>
    <row r="12058" spans="1:1" x14ac:dyDescent="0.2">
      <c r="A12058" t="s">
        <v>1285</v>
      </c>
    </row>
    <row r="12059" spans="1:1" x14ac:dyDescent="0.2">
      <c r="A12059" t="s">
        <v>1286</v>
      </c>
    </row>
    <row r="12060" spans="1:1" x14ac:dyDescent="0.2">
      <c r="A12060" t="s">
        <v>3055</v>
      </c>
    </row>
    <row r="12061" spans="1:1" x14ac:dyDescent="0.2">
      <c r="A12061" t="s">
        <v>1053</v>
      </c>
    </row>
    <row r="12062" spans="1:1" x14ac:dyDescent="0.2">
      <c r="A12062" t="s">
        <v>3056</v>
      </c>
    </row>
    <row r="12063" spans="1:1" x14ac:dyDescent="0.2">
      <c r="A12063" t="s">
        <v>2768</v>
      </c>
    </row>
    <row r="12064" spans="1:1" x14ac:dyDescent="0.2">
      <c r="A12064" t="s">
        <v>2769</v>
      </c>
    </row>
    <row r="12065" spans="1:1" x14ac:dyDescent="0.2">
      <c r="A12065" t="s">
        <v>1054</v>
      </c>
    </row>
    <row r="12066" spans="1:1" x14ac:dyDescent="0.2">
      <c r="A12066" t="s">
        <v>1055</v>
      </c>
    </row>
    <row r="12067" spans="1:1" x14ac:dyDescent="0.2">
      <c r="A12067" t="s">
        <v>3057</v>
      </c>
    </row>
    <row r="12068" spans="1:1" x14ac:dyDescent="0.2">
      <c r="A12068" t="s">
        <v>1056</v>
      </c>
    </row>
    <row r="12069" spans="1:1" x14ac:dyDescent="0.2">
      <c r="A12069" t="s">
        <v>1057</v>
      </c>
    </row>
    <row r="12070" spans="1:1" x14ac:dyDescent="0.2">
      <c r="A12070" t="s">
        <v>1058</v>
      </c>
    </row>
    <row r="12071" spans="1:1" x14ac:dyDescent="0.2">
      <c r="A12071" t="s">
        <v>1059</v>
      </c>
    </row>
    <row r="12072" spans="1:1" x14ac:dyDescent="0.2">
      <c r="A12072" t="s">
        <v>1060</v>
      </c>
    </row>
    <row r="12073" spans="1:1" x14ac:dyDescent="0.2">
      <c r="A12073" t="s">
        <v>1061</v>
      </c>
    </row>
    <row r="12074" spans="1:1" x14ac:dyDescent="0.2">
      <c r="A12074" t="s">
        <v>1062</v>
      </c>
    </row>
    <row r="12075" spans="1:1" x14ac:dyDescent="0.2">
      <c r="A12075" t="s">
        <v>1063</v>
      </c>
    </row>
    <row r="12076" spans="1:1" x14ac:dyDescent="0.2">
      <c r="A12076" t="s">
        <v>1064</v>
      </c>
    </row>
    <row r="12077" spans="1:1" x14ac:dyDescent="0.2">
      <c r="A12077" t="s">
        <v>1065</v>
      </c>
    </row>
    <row r="12078" spans="1:1" x14ac:dyDescent="0.2">
      <c r="A12078" t="s">
        <v>1066</v>
      </c>
    </row>
    <row r="12079" spans="1:1" x14ac:dyDescent="0.2">
      <c r="A12079" t="s">
        <v>1067</v>
      </c>
    </row>
    <row r="12080" spans="1:1" x14ac:dyDescent="0.2">
      <c r="A12080" t="s">
        <v>1068</v>
      </c>
    </row>
    <row r="12081" spans="1:1" x14ac:dyDescent="0.2">
      <c r="A12081" t="s">
        <v>1069</v>
      </c>
    </row>
    <row r="12082" spans="1:1" x14ac:dyDescent="0.2">
      <c r="A12082" t="s">
        <v>1070</v>
      </c>
    </row>
    <row r="12083" spans="1:1" x14ac:dyDescent="0.2">
      <c r="A12083" t="s">
        <v>1071</v>
      </c>
    </row>
    <row r="12084" spans="1:1" x14ac:dyDescent="0.2">
      <c r="A12084" t="s">
        <v>1072</v>
      </c>
    </row>
    <row r="12085" spans="1:1" x14ac:dyDescent="0.2">
      <c r="A12085" t="s">
        <v>1073</v>
      </c>
    </row>
    <row r="12086" spans="1:1" x14ac:dyDescent="0.2">
      <c r="A12086" t="s">
        <v>1074</v>
      </c>
    </row>
    <row r="12087" spans="1:1" x14ac:dyDescent="0.2">
      <c r="A12087" t="s">
        <v>1075</v>
      </c>
    </row>
    <row r="12088" spans="1:1" x14ac:dyDescent="0.2">
      <c r="A12088" t="s">
        <v>1076</v>
      </c>
    </row>
    <row r="12089" spans="1:1" x14ac:dyDescent="0.2">
      <c r="A12089" t="s">
        <v>1077</v>
      </c>
    </row>
    <row r="12090" spans="1:1" x14ac:dyDescent="0.2">
      <c r="A12090" t="s">
        <v>1078</v>
      </c>
    </row>
    <row r="12091" spans="1:1" x14ac:dyDescent="0.2">
      <c r="A12091" t="s">
        <v>1079</v>
      </c>
    </row>
    <row r="12092" spans="1:1" x14ac:dyDescent="0.2">
      <c r="A12092" t="s">
        <v>1080</v>
      </c>
    </row>
    <row r="12093" spans="1:1" x14ac:dyDescent="0.2">
      <c r="A12093" t="s">
        <v>1081</v>
      </c>
    </row>
    <row r="12094" spans="1:1" x14ac:dyDescent="0.2">
      <c r="A12094" t="s">
        <v>1082</v>
      </c>
    </row>
    <row r="12095" spans="1:1" x14ac:dyDescent="0.2">
      <c r="A12095" t="s">
        <v>1083</v>
      </c>
    </row>
    <row r="12096" spans="1:1" x14ac:dyDescent="0.2">
      <c r="A12096" t="s">
        <v>2771</v>
      </c>
    </row>
    <row r="12097" spans="1:1" x14ac:dyDescent="0.2">
      <c r="A12097" t="s">
        <v>2772</v>
      </c>
    </row>
    <row r="12098" spans="1:1" x14ac:dyDescent="0.2">
      <c r="A12098" t="s">
        <v>2773</v>
      </c>
    </row>
    <row r="12099" spans="1:1" x14ac:dyDescent="0.2">
      <c r="A12099" t="s">
        <v>2774</v>
      </c>
    </row>
    <row r="12100" spans="1:1" x14ac:dyDescent="0.2">
      <c r="A12100" t="s">
        <v>2775</v>
      </c>
    </row>
    <row r="12101" spans="1:1" x14ac:dyDescent="0.2">
      <c r="A12101" t="s">
        <v>2776</v>
      </c>
    </row>
    <row r="12102" spans="1:1" x14ac:dyDescent="0.2">
      <c r="A12102" t="s">
        <v>1084</v>
      </c>
    </row>
    <row r="12103" spans="1:1" x14ac:dyDescent="0.2">
      <c r="A12103" t="s">
        <v>1085</v>
      </c>
    </row>
    <row r="12104" spans="1:1" x14ac:dyDescent="0.2">
      <c r="A12104" t="s">
        <v>1086</v>
      </c>
    </row>
    <row r="12105" spans="1:1" x14ac:dyDescent="0.2">
      <c r="A12105" t="s">
        <v>1087</v>
      </c>
    </row>
    <row r="12106" spans="1:1" x14ac:dyDescent="0.2">
      <c r="A12106" t="s">
        <v>1088</v>
      </c>
    </row>
    <row r="12107" spans="1:1" x14ac:dyDescent="0.2">
      <c r="A12107" t="s">
        <v>1089</v>
      </c>
    </row>
    <row r="12108" spans="1:1" x14ac:dyDescent="0.2">
      <c r="A12108" t="s">
        <v>1090</v>
      </c>
    </row>
    <row r="12109" spans="1:1" x14ac:dyDescent="0.2">
      <c r="A12109" t="s">
        <v>1091</v>
      </c>
    </row>
    <row r="12110" spans="1:1" x14ac:dyDescent="0.2">
      <c r="A12110" t="s">
        <v>1092</v>
      </c>
    </row>
    <row r="12111" spans="1:1" x14ac:dyDescent="0.2">
      <c r="A12111" t="s">
        <v>1093</v>
      </c>
    </row>
    <row r="12112" spans="1:1" x14ac:dyDescent="0.2">
      <c r="A12112" t="s">
        <v>1094</v>
      </c>
    </row>
    <row r="12113" spans="1:1" x14ac:dyDescent="0.2">
      <c r="A12113" t="s">
        <v>1095</v>
      </c>
    </row>
    <row r="12114" spans="1:1" x14ac:dyDescent="0.2">
      <c r="A12114" t="s">
        <v>1096</v>
      </c>
    </row>
    <row r="12115" spans="1:1" x14ac:dyDescent="0.2">
      <c r="A12115" t="s">
        <v>1097</v>
      </c>
    </row>
    <row r="12116" spans="1:1" x14ac:dyDescent="0.2">
      <c r="A12116" t="s">
        <v>1098</v>
      </c>
    </row>
    <row r="12117" spans="1:1" x14ac:dyDescent="0.2">
      <c r="A12117" t="s">
        <v>1099</v>
      </c>
    </row>
    <row r="12118" spans="1:1" x14ac:dyDescent="0.2">
      <c r="A12118" t="s">
        <v>1100</v>
      </c>
    </row>
    <row r="12119" spans="1:1" x14ac:dyDescent="0.2">
      <c r="A12119" t="s">
        <v>1101</v>
      </c>
    </row>
    <row r="12120" spans="1:1" x14ac:dyDescent="0.2">
      <c r="A12120" t="s">
        <v>1102</v>
      </c>
    </row>
    <row r="12121" spans="1:1" x14ac:dyDescent="0.2">
      <c r="A12121" t="s">
        <v>1103</v>
      </c>
    </row>
    <row r="12122" spans="1:1" x14ac:dyDescent="0.2">
      <c r="A12122" t="s">
        <v>1104</v>
      </c>
    </row>
    <row r="12123" spans="1:1" x14ac:dyDescent="0.2">
      <c r="A12123" t="s">
        <v>1105</v>
      </c>
    </row>
    <row r="12124" spans="1:1" x14ac:dyDescent="0.2">
      <c r="A12124" t="s">
        <v>1106</v>
      </c>
    </row>
    <row r="12125" spans="1:1" x14ac:dyDescent="0.2">
      <c r="A12125" t="s">
        <v>1107</v>
      </c>
    </row>
    <row r="12126" spans="1:1" x14ac:dyDescent="0.2">
      <c r="A12126" t="s">
        <v>1108</v>
      </c>
    </row>
    <row r="12127" spans="1:1" x14ac:dyDescent="0.2">
      <c r="A12127" t="s">
        <v>1109</v>
      </c>
    </row>
    <row r="12128" spans="1:1" x14ac:dyDescent="0.2">
      <c r="A12128" t="s">
        <v>1110</v>
      </c>
    </row>
    <row r="12129" spans="1:1" x14ac:dyDescent="0.2">
      <c r="A12129" t="s">
        <v>1111</v>
      </c>
    </row>
    <row r="12130" spans="1:1" x14ac:dyDescent="0.2">
      <c r="A12130" t="s">
        <v>1112</v>
      </c>
    </row>
    <row r="12131" spans="1:1" x14ac:dyDescent="0.2">
      <c r="A12131" t="s">
        <v>1113</v>
      </c>
    </row>
    <row r="12132" spans="1:1" x14ac:dyDescent="0.2">
      <c r="A12132" t="s">
        <v>1114</v>
      </c>
    </row>
    <row r="12133" spans="1:1" x14ac:dyDescent="0.2">
      <c r="A12133" t="s">
        <v>1115</v>
      </c>
    </row>
    <row r="12134" spans="1:1" x14ac:dyDescent="0.2">
      <c r="A12134" t="s">
        <v>1116</v>
      </c>
    </row>
    <row r="12135" spans="1:1" x14ac:dyDescent="0.2">
      <c r="A12135" t="s">
        <v>1117</v>
      </c>
    </row>
    <row r="12136" spans="1:1" x14ac:dyDescent="0.2">
      <c r="A12136" t="s">
        <v>1118</v>
      </c>
    </row>
    <row r="12137" spans="1:1" x14ac:dyDescent="0.2">
      <c r="A12137" t="s">
        <v>1119</v>
      </c>
    </row>
    <row r="12138" spans="1:1" x14ac:dyDescent="0.2">
      <c r="A12138" t="s">
        <v>1120</v>
      </c>
    </row>
    <row r="12139" spans="1:1" x14ac:dyDescent="0.2">
      <c r="A12139" t="s">
        <v>1288</v>
      </c>
    </row>
    <row r="12140" spans="1:1" x14ac:dyDescent="0.2">
      <c r="A12140" t="s">
        <v>3058</v>
      </c>
    </row>
    <row r="12141" spans="1:1" x14ac:dyDescent="0.2">
      <c r="A12141" t="s">
        <v>3059</v>
      </c>
    </row>
    <row r="12142" spans="1:1" x14ac:dyDescent="0.2">
      <c r="A12142" t="s">
        <v>2958</v>
      </c>
    </row>
    <row r="12143" spans="1:1" x14ac:dyDescent="0.2">
      <c r="A12143" t="s">
        <v>2959</v>
      </c>
    </row>
    <row r="12144" spans="1:1" x14ac:dyDescent="0.2">
      <c r="A12144" t="s">
        <v>1289</v>
      </c>
    </row>
    <row r="12145" spans="1:1" x14ac:dyDescent="0.2">
      <c r="A12145" t="s">
        <v>2781</v>
      </c>
    </row>
    <row r="12146" spans="1:1" x14ac:dyDescent="0.2">
      <c r="A12146" t="s">
        <v>3060</v>
      </c>
    </row>
    <row r="12147" spans="1:1" x14ac:dyDescent="0.2">
      <c r="A12147" t="s">
        <v>1122</v>
      </c>
    </row>
    <row r="12148" spans="1:1" x14ac:dyDescent="0.2">
      <c r="A12148" t="s">
        <v>1123</v>
      </c>
    </row>
    <row r="12149" spans="1:1" x14ac:dyDescent="0.2">
      <c r="A12149" t="s">
        <v>1124</v>
      </c>
    </row>
    <row r="12150" spans="1:1" x14ac:dyDescent="0.2">
      <c r="A12150" t="s">
        <v>1125</v>
      </c>
    </row>
    <row r="12151" spans="1:1" x14ac:dyDescent="0.2">
      <c r="A12151" t="s">
        <v>1126</v>
      </c>
    </row>
    <row r="12152" spans="1:1" x14ac:dyDescent="0.2">
      <c r="A12152" t="s">
        <v>1127</v>
      </c>
    </row>
    <row r="12153" spans="1:1" x14ac:dyDescent="0.2">
      <c r="A12153" t="s">
        <v>1128</v>
      </c>
    </row>
    <row r="12154" spans="1:1" x14ac:dyDescent="0.2">
      <c r="A12154" t="s">
        <v>1129</v>
      </c>
    </row>
    <row r="12155" spans="1:1" x14ac:dyDescent="0.2">
      <c r="A12155" t="s">
        <v>1130</v>
      </c>
    </row>
    <row r="12156" spans="1:1" x14ac:dyDescent="0.2">
      <c r="A12156" t="s">
        <v>1131</v>
      </c>
    </row>
    <row r="12157" spans="1:1" x14ac:dyDescent="0.2">
      <c r="A12157" t="s">
        <v>1132</v>
      </c>
    </row>
    <row r="12158" spans="1:1" x14ac:dyDescent="0.2">
      <c r="A12158" t="s">
        <v>1133</v>
      </c>
    </row>
    <row r="12159" spans="1:1" x14ac:dyDescent="0.2">
      <c r="A12159" t="s">
        <v>1134</v>
      </c>
    </row>
    <row r="12160" spans="1:1" x14ac:dyDescent="0.2">
      <c r="A12160" t="s">
        <v>1135</v>
      </c>
    </row>
    <row r="12161" spans="1:1" x14ac:dyDescent="0.2">
      <c r="A12161" t="s">
        <v>1136</v>
      </c>
    </row>
    <row r="12162" spans="1:1" x14ac:dyDescent="0.2">
      <c r="A12162" t="s">
        <v>1137</v>
      </c>
    </row>
    <row r="12163" spans="1:1" x14ac:dyDescent="0.2">
      <c r="A12163" t="s">
        <v>1138</v>
      </c>
    </row>
    <row r="12164" spans="1:1" x14ac:dyDescent="0.2">
      <c r="A12164" t="s">
        <v>1139</v>
      </c>
    </row>
    <row r="12165" spans="1:1" x14ac:dyDescent="0.2">
      <c r="A12165" t="s">
        <v>1140</v>
      </c>
    </row>
    <row r="12166" spans="1:1" x14ac:dyDescent="0.2">
      <c r="A12166" t="s">
        <v>1141</v>
      </c>
    </row>
    <row r="12167" spans="1:1" x14ac:dyDescent="0.2">
      <c r="A12167" t="s">
        <v>1142</v>
      </c>
    </row>
    <row r="12168" spans="1:1" x14ac:dyDescent="0.2">
      <c r="A12168" t="s">
        <v>1143</v>
      </c>
    </row>
    <row r="12169" spans="1:1" x14ac:dyDescent="0.2">
      <c r="A12169" t="s">
        <v>1144</v>
      </c>
    </row>
    <row r="12170" spans="1:1" x14ac:dyDescent="0.2">
      <c r="A12170" t="s">
        <v>1145</v>
      </c>
    </row>
    <row r="12171" spans="1:1" x14ac:dyDescent="0.2">
      <c r="A12171" t="s">
        <v>1146</v>
      </c>
    </row>
    <row r="12172" spans="1:1" x14ac:dyDescent="0.2">
      <c r="A12172" t="s">
        <v>1147</v>
      </c>
    </row>
    <row r="12173" spans="1:1" x14ac:dyDescent="0.2">
      <c r="A12173" t="s">
        <v>1148</v>
      </c>
    </row>
    <row r="12174" spans="1:1" x14ac:dyDescent="0.2">
      <c r="A12174" t="s">
        <v>1149</v>
      </c>
    </row>
    <row r="12175" spans="1:1" x14ac:dyDescent="0.2">
      <c r="A12175" t="s">
        <v>1150</v>
      </c>
    </row>
    <row r="12176" spans="1:1" x14ac:dyDescent="0.2">
      <c r="A12176" t="s">
        <v>1151</v>
      </c>
    </row>
    <row r="12177" spans="1:1" x14ac:dyDescent="0.2">
      <c r="A12177" t="s">
        <v>1152</v>
      </c>
    </row>
    <row r="12178" spans="1:1" x14ac:dyDescent="0.2">
      <c r="A12178" t="s">
        <v>1153</v>
      </c>
    </row>
    <row r="12179" spans="1:1" x14ac:dyDescent="0.2">
      <c r="A12179" t="s">
        <v>1154</v>
      </c>
    </row>
    <row r="12180" spans="1:1" x14ac:dyDescent="0.2">
      <c r="A12180" t="s">
        <v>1155</v>
      </c>
    </row>
    <row r="12181" spans="1:1" x14ac:dyDescent="0.2">
      <c r="A12181" t="s">
        <v>1156</v>
      </c>
    </row>
    <row r="12182" spans="1:1" x14ac:dyDescent="0.2">
      <c r="A12182" t="s">
        <v>1157</v>
      </c>
    </row>
    <row r="12183" spans="1:1" x14ac:dyDescent="0.2">
      <c r="A12183" t="s">
        <v>1158</v>
      </c>
    </row>
    <row r="12184" spans="1:1" x14ac:dyDescent="0.2">
      <c r="A12184" t="s">
        <v>1159</v>
      </c>
    </row>
    <row r="12185" spans="1:1" x14ac:dyDescent="0.2">
      <c r="A12185" t="s">
        <v>1160</v>
      </c>
    </row>
    <row r="12186" spans="1:1" x14ac:dyDescent="0.2">
      <c r="A12186" t="s">
        <v>1161</v>
      </c>
    </row>
    <row r="12187" spans="1:1" x14ac:dyDescent="0.2">
      <c r="A12187" t="s">
        <v>1162</v>
      </c>
    </row>
    <row r="12188" spans="1:1" x14ac:dyDescent="0.2">
      <c r="A12188" t="s">
        <v>1163</v>
      </c>
    </row>
    <row r="12189" spans="1:1" x14ac:dyDescent="0.2">
      <c r="A12189" t="s">
        <v>1164</v>
      </c>
    </row>
    <row r="12190" spans="1:1" x14ac:dyDescent="0.2">
      <c r="A12190" t="s">
        <v>1165</v>
      </c>
    </row>
    <row r="12191" spans="1:1" x14ac:dyDescent="0.2">
      <c r="A12191" t="s">
        <v>1166</v>
      </c>
    </row>
    <row r="12192" spans="1:1" x14ac:dyDescent="0.2">
      <c r="A12192" t="s">
        <v>1167</v>
      </c>
    </row>
    <row r="12193" spans="1:1" x14ac:dyDescent="0.2">
      <c r="A12193" t="s">
        <v>1168</v>
      </c>
    </row>
    <row r="12194" spans="1:1" x14ac:dyDescent="0.2">
      <c r="A12194" t="s">
        <v>1169</v>
      </c>
    </row>
    <row r="12195" spans="1:1" x14ac:dyDescent="0.2">
      <c r="A12195" t="s">
        <v>1170</v>
      </c>
    </row>
    <row r="12196" spans="1:1" x14ac:dyDescent="0.2">
      <c r="A12196" t="s">
        <v>1171</v>
      </c>
    </row>
    <row r="12197" spans="1:1" x14ac:dyDescent="0.2">
      <c r="A12197" t="s">
        <v>1172</v>
      </c>
    </row>
    <row r="12198" spans="1:1" x14ac:dyDescent="0.2">
      <c r="A12198" t="s">
        <v>1173</v>
      </c>
    </row>
    <row r="12199" spans="1:1" x14ac:dyDescent="0.2">
      <c r="A12199" t="s">
        <v>1174</v>
      </c>
    </row>
    <row r="12200" spans="1:1" x14ac:dyDescent="0.2">
      <c r="A12200" t="s">
        <v>1175</v>
      </c>
    </row>
    <row r="12201" spans="1:1" x14ac:dyDescent="0.2">
      <c r="A12201" t="s">
        <v>1176</v>
      </c>
    </row>
    <row r="12202" spans="1:1" x14ac:dyDescent="0.2">
      <c r="A12202" t="s">
        <v>1177</v>
      </c>
    </row>
    <row r="12203" spans="1:1" x14ac:dyDescent="0.2">
      <c r="A12203" t="s">
        <v>1178</v>
      </c>
    </row>
    <row r="12204" spans="1:1" x14ac:dyDescent="0.2">
      <c r="A12204" t="s">
        <v>1179</v>
      </c>
    </row>
    <row r="12205" spans="1:1" x14ac:dyDescent="0.2">
      <c r="A12205" t="s">
        <v>1180</v>
      </c>
    </row>
    <row r="12206" spans="1:1" x14ac:dyDescent="0.2">
      <c r="A12206" t="s">
        <v>1181</v>
      </c>
    </row>
    <row r="12207" spans="1:1" x14ac:dyDescent="0.2">
      <c r="A12207" t="s">
        <v>1182</v>
      </c>
    </row>
    <row r="12208" spans="1:1" x14ac:dyDescent="0.2">
      <c r="A12208" t="s">
        <v>1183</v>
      </c>
    </row>
    <row r="12209" spans="1:1" x14ac:dyDescent="0.2">
      <c r="A12209" t="s">
        <v>1184</v>
      </c>
    </row>
    <row r="12210" spans="1:1" x14ac:dyDescent="0.2">
      <c r="A12210" t="s">
        <v>1185</v>
      </c>
    </row>
    <row r="12211" spans="1:1" x14ac:dyDescent="0.2">
      <c r="A12211" t="s">
        <v>1186</v>
      </c>
    </row>
    <row r="12212" spans="1:1" x14ac:dyDescent="0.2">
      <c r="A12212" t="s">
        <v>1187</v>
      </c>
    </row>
    <row r="12213" spans="1:1" x14ac:dyDescent="0.2">
      <c r="A12213" t="s">
        <v>1188</v>
      </c>
    </row>
    <row r="12214" spans="1:1" x14ac:dyDescent="0.2">
      <c r="A12214" t="s">
        <v>1189</v>
      </c>
    </row>
    <row r="12215" spans="1:1" x14ac:dyDescent="0.2">
      <c r="A12215" t="s">
        <v>1190</v>
      </c>
    </row>
    <row r="12216" spans="1:1" x14ac:dyDescent="0.2">
      <c r="A12216" t="s">
        <v>1191</v>
      </c>
    </row>
    <row r="12217" spans="1:1" x14ac:dyDescent="0.2">
      <c r="A12217" t="s">
        <v>1192</v>
      </c>
    </row>
    <row r="12218" spans="1:1" x14ac:dyDescent="0.2">
      <c r="A12218" t="s">
        <v>1193</v>
      </c>
    </row>
    <row r="12219" spans="1:1" x14ac:dyDescent="0.2">
      <c r="A12219" t="s">
        <v>1194</v>
      </c>
    </row>
    <row r="12220" spans="1:1" x14ac:dyDescent="0.2">
      <c r="A12220" t="s">
        <v>1195</v>
      </c>
    </row>
    <row r="12221" spans="1:1" x14ac:dyDescent="0.2">
      <c r="A12221" t="s">
        <v>1196</v>
      </c>
    </row>
    <row r="12222" spans="1:1" x14ac:dyDescent="0.2">
      <c r="A12222" t="s">
        <v>1197</v>
      </c>
    </row>
    <row r="12223" spans="1:1" x14ac:dyDescent="0.2">
      <c r="A12223" t="s">
        <v>1198</v>
      </c>
    </row>
    <row r="12224" spans="1:1" x14ac:dyDescent="0.2">
      <c r="A12224" t="s">
        <v>1199</v>
      </c>
    </row>
    <row r="12225" spans="1:1" x14ac:dyDescent="0.2">
      <c r="A12225" t="s">
        <v>1200</v>
      </c>
    </row>
    <row r="12226" spans="1:1" x14ac:dyDescent="0.2">
      <c r="A12226" t="s">
        <v>1201</v>
      </c>
    </row>
    <row r="12227" spans="1:1" x14ac:dyDescent="0.2">
      <c r="A12227" t="s">
        <v>1202</v>
      </c>
    </row>
    <row r="12228" spans="1:1" x14ac:dyDescent="0.2">
      <c r="A12228" t="s">
        <v>1203</v>
      </c>
    </row>
    <row r="12229" spans="1:1" x14ac:dyDescent="0.2">
      <c r="A12229" t="s">
        <v>1204</v>
      </c>
    </row>
    <row r="12230" spans="1:1" x14ac:dyDescent="0.2">
      <c r="A12230" t="s">
        <v>1205</v>
      </c>
    </row>
    <row r="12231" spans="1:1" x14ac:dyDescent="0.2">
      <c r="A12231" t="s">
        <v>1206</v>
      </c>
    </row>
    <row r="12232" spans="1:1" x14ac:dyDescent="0.2">
      <c r="A12232" t="s">
        <v>1207</v>
      </c>
    </row>
    <row r="12233" spans="1:1" x14ac:dyDescent="0.2">
      <c r="A12233" t="s">
        <v>1208</v>
      </c>
    </row>
    <row r="12234" spans="1:1" x14ac:dyDescent="0.2">
      <c r="A12234" t="s">
        <v>1209</v>
      </c>
    </row>
    <row r="12235" spans="1:1" x14ac:dyDescent="0.2">
      <c r="A12235" t="s">
        <v>1210</v>
      </c>
    </row>
    <row r="12236" spans="1:1" x14ac:dyDescent="0.2">
      <c r="A12236" t="s">
        <v>1211</v>
      </c>
    </row>
    <row r="12237" spans="1:1" x14ac:dyDescent="0.2">
      <c r="A12237" t="s">
        <v>1212</v>
      </c>
    </row>
    <row r="12238" spans="1:1" x14ac:dyDescent="0.2">
      <c r="A12238" t="s">
        <v>1213</v>
      </c>
    </row>
    <row r="12239" spans="1:1" x14ac:dyDescent="0.2">
      <c r="A12239" t="s">
        <v>1214</v>
      </c>
    </row>
    <row r="12240" spans="1:1" x14ac:dyDescent="0.2">
      <c r="A12240" t="s">
        <v>1215</v>
      </c>
    </row>
    <row r="12241" spans="1:1" x14ac:dyDescent="0.2">
      <c r="A12241" t="s">
        <v>1216</v>
      </c>
    </row>
    <row r="12242" spans="1:1" x14ac:dyDescent="0.2">
      <c r="A12242" t="s">
        <v>1217</v>
      </c>
    </row>
    <row r="12243" spans="1:1" x14ac:dyDescent="0.2">
      <c r="A12243" t="s">
        <v>1218</v>
      </c>
    </row>
    <row r="12244" spans="1:1" x14ac:dyDescent="0.2">
      <c r="A12244" t="s">
        <v>1219</v>
      </c>
    </row>
    <row r="12245" spans="1:1" x14ac:dyDescent="0.2">
      <c r="A12245" t="s">
        <v>1220</v>
      </c>
    </row>
    <row r="12246" spans="1:1" x14ac:dyDescent="0.2">
      <c r="A12246" t="s">
        <v>1221</v>
      </c>
    </row>
    <row r="12247" spans="1:1" x14ac:dyDescent="0.2">
      <c r="A12247" t="s">
        <v>1222</v>
      </c>
    </row>
    <row r="12248" spans="1:1" x14ac:dyDescent="0.2">
      <c r="A12248" t="s">
        <v>1223</v>
      </c>
    </row>
    <row r="12249" spans="1:1" x14ac:dyDescent="0.2">
      <c r="A12249" t="s">
        <v>1224</v>
      </c>
    </row>
    <row r="12250" spans="1:1" x14ac:dyDescent="0.2">
      <c r="A12250" t="s">
        <v>1225</v>
      </c>
    </row>
    <row r="12251" spans="1:1" x14ac:dyDescent="0.2">
      <c r="A12251" t="s">
        <v>1226</v>
      </c>
    </row>
    <row r="12252" spans="1:1" x14ac:dyDescent="0.2">
      <c r="A12252" t="s">
        <v>1227</v>
      </c>
    </row>
    <row r="12253" spans="1:1" x14ac:dyDescent="0.2">
      <c r="A12253" t="s">
        <v>1228</v>
      </c>
    </row>
    <row r="12254" spans="1:1" x14ac:dyDescent="0.2">
      <c r="A12254" t="s">
        <v>1229</v>
      </c>
    </row>
    <row r="12255" spans="1:1" x14ac:dyDescent="0.2">
      <c r="A12255" t="s">
        <v>1230</v>
      </c>
    </row>
    <row r="12256" spans="1:1" x14ac:dyDescent="0.2">
      <c r="A12256" t="s">
        <v>1231</v>
      </c>
    </row>
    <row r="12257" spans="1:1" x14ac:dyDescent="0.2">
      <c r="A12257" t="s">
        <v>1232</v>
      </c>
    </row>
    <row r="12258" spans="1:1" x14ac:dyDescent="0.2">
      <c r="A12258" t="s">
        <v>1233</v>
      </c>
    </row>
    <row r="12259" spans="1:1" x14ac:dyDescent="0.2">
      <c r="A12259" t="s">
        <v>1234</v>
      </c>
    </row>
    <row r="12260" spans="1:1" x14ac:dyDescent="0.2">
      <c r="A12260" t="s">
        <v>1235</v>
      </c>
    </row>
    <row r="12261" spans="1:1" x14ac:dyDescent="0.2">
      <c r="A12261" t="s">
        <v>1236</v>
      </c>
    </row>
    <row r="12262" spans="1:1" x14ac:dyDescent="0.2">
      <c r="A12262" t="s">
        <v>1237</v>
      </c>
    </row>
    <row r="12263" spans="1:1" x14ac:dyDescent="0.2">
      <c r="A12263" t="s">
        <v>1238</v>
      </c>
    </row>
    <row r="12264" spans="1:1" x14ac:dyDescent="0.2">
      <c r="A12264" t="s">
        <v>1239</v>
      </c>
    </row>
    <row r="12265" spans="1:1" x14ac:dyDescent="0.2">
      <c r="A12265" t="s">
        <v>1240</v>
      </c>
    </row>
    <row r="12266" spans="1:1" x14ac:dyDescent="0.2">
      <c r="A12266" t="s">
        <v>1241</v>
      </c>
    </row>
    <row r="12267" spans="1:1" x14ac:dyDescent="0.2">
      <c r="A12267" t="s">
        <v>1242</v>
      </c>
    </row>
    <row r="12268" spans="1:1" x14ac:dyDescent="0.2">
      <c r="A12268" t="s">
        <v>1243</v>
      </c>
    </row>
    <row r="12269" spans="1:1" x14ac:dyDescent="0.2">
      <c r="A12269" t="s">
        <v>1244</v>
      </c>
    </row>
    <row r="12270" spans="1:1" x14ac:dyDescent="0.2">
      <c r="A12270" t="s">
        <v>1245</v>
      </c>
    </row>
    <row r="12271" spans="1:1" x14ac:dyDescent="0.2">
      <c r="A12271" t="s">
        <v>1246</v>
      </c>
    </row>
    <row r="12272" spans="1:1" x14ac:dyDescent="0.2">
      <c r="A12272" t="s">
        <v>1247</v>
      </c>
    </row>
    <row r="12273" spans="1:1" x14ac:dyDescent="0.2">
      <c r="A12273" t="s">
        <v>1248</v>
      </c>
    </row>
    <row r="12274" spans="1:1" x14ac:dyDescent="0.2">
      <c r="A12274" t="s">
        <v>1249</v>
      </c>
    </row>
    <row r="12275" spans="1:1" x14ac:dyDescent="0.2">
      <c r="A12275" t="s">
        <v>1250</v>
      </c>
    </row>
    <row r="12276" spans="1:1" x14ac:dyDescent="0.2">
      <c r="A12276" t="s">
        <v>1251</v>
      </c>
    </row>
    <row r="12277" spans="1:1" x14ac:dyDescent="0.2">
      <c r="A12277" t="s">
        <v>1252</v>
      </c>
    </row>
    <row r="12278" spans="1:1" x14ac:dyDescent="0.2">
      <c r="A12278" t="s">
        <v>1253</v>
      </c>
    </row>
    <row r="12279" spans="1:1" x14ac:dyDescent="0.2">
      <c r="A12279" t="s">
        <v>1254</v>
      </c>
    </row>
    <row r="12280" spans="1:1" x14ac:dyDescent="0.2">
      <c r="A12280" t="s">
        <v>1255</v>
      </c>
    </row>
    <row r="12281" spans="1:1" x14ac:dyDescent="0.2">
      <c r="A12281" t="s">
        <v>1256</v>
      </c>
    </row>
    <row r="12282" spans="1:1" x14ac:dyDescent="0.2">
      <c r="A12282" t="s">
        <v>1257</v>
      </c>
    </row>
    <row r="12283" spans="1:1" x14ac:dyDescent="0.2">
      <c r="A12283" t="s">
        <v>1258</v>
      </c>
    </row>
    <row r="12284" spans="1:1" x14ac:dyDescent="0.2">
      <c r="A12284" t="s">
        <v>1259</v>
      </c>
    </row>
    <row r="12285" spans="1:1" x14ac:dyDescent="0.2">
      <c r="A12285" t="s">
        <v>1260</v>
      </c>
    </row>
    <row r="12286" spans="1:1" x14ac:dyDescent="0.2">
      <c r="A12286" t="s">
        <v>1261</v>
      </c>
    </row>
    <row r="12287" spans="1:1" x14ac:dyDescent="0.2">
      <c r="A12287" t="s">
        <v>1262</v>
      </c>
    </row>
    <row r="12288" spans="1:1" x14ac:dyDescent="0.2">
      <c r="A12288" t="s">
        <v>1263</v>
      </c>
    </row>
    <row r="12289" spans="1:1" x14ac:dyDescent="0.2">
      <c r="A12289" t="s">
        <v>1264</v>
      </c>
    </row>
    <row r="12290" spans="1:1" x14ac:dyDescent="0.2">
      <c r="A12290" t="s">
        <v>1265</v>
      </c>
    </row>
    <row r="12291" spans="1:1" x14ac:dyDescent="0.2">
      <c r="A12291" t="s">
        <v>1266</v>
      </c>
    </row>
    <row r="12292" spans="1:1" x14ac:dyDescent="0.2">
      <c r="A12292" t="s">
        <v>1267</v>
      </c>
    </row>
    <row r="12293" spans="1:1" x14ac:dyDescent="0.2">
      <c r="A12293" t="s">
        <v>1268</v>
      </c>
    </row>
    <row r="12294" spans="1:1" x14ac:dyDescent="0.2">
      <c r="A12294" t="s">
        <v>1269</v>
      </c>
    </row>
    <row r="12295" spans="1:1" x14ac:dyDescent="0.2">
      <c r="A12295" t="s">
        <v>1270</v>
      </c>
    </row>
    <row r="12296" spans="1:1" x14ac:dyDescent="0.2">
      <c r="A12296" t="s">
        <v>1271</v>
      </c>
    </row>
    <row r="12297" spans="1:1" x14ac:dyDescent="0.2">
      <c r="A12297" t="s">
        <v>1272</v>
      </c>
    </row>
    <row r="12298" spans="1:1" x14ac:dyDescent="0.2">
      <c r="A12298" t="s">
        <v>1273</v>
      </c>
    </row>
    <row r="12299" spans="1:1" x14ac:dyDescent="0.2">
      <c r="A12299" t="s">
        <v>1274</v>
      </c>
    </row>
    <row r="12300" spans="1:1" x14ac:dyDescent="0.2">
      <c r="A12300" t="s">
        <v>1275</v>
      </c>
    </row>
    <row r="12301" spans="1:1" x14ac:dyDescent="0.2">
      <c r="A12301" t="s">
        <v>1276</v>
      </c>
    </row>
    <row r="12302" spans="1:1" x14ac:dyDescent="0.2">
      <c r="A12302" t="s">
        <v>1277</v>
      </c>
    </row>
    <row r="12303" spans="1:1" x14ac:dyDescent="0.2">
      <c r="A12303" t="s">
        <v>1278</v>
      </c>
    </row>
    <row r="12304" spans="1:1" x14ac:dyDescent="0.2">
      <c r="A12304" t="s">
        <v>1279</v>
      </c>
    </row>
    <row r="12305" spans="1:1" x14ac:dyDescent="0.2">
      <c r="A12305" t="s">
        <v>1280</v>
      </c>
    </row>
    <row r="12306" spans="1:1" x14ac:dyDescent="0.2">
      <c r="A12306" t="s">
        <v>1281</v>
      </c>
    </row>
    <row r="12307" spans="1:1" x14ac:dyDescent="0.2">
      <c r="A12307" t="s">
        <v>1282</v>
      </c>
    </row>
    <row r="12308" spans="1:1" x14ac:dyDescent="0.2">
      <c r="A12308" t="s">
        <v>1283</v>
      </c>
    </row>
    <row r="12309" spans="1:1" x14ac:dyDescent="0.2">
      <c r="A12309" t="s">
        <v>1284</v>
      </c>
    </row>
    <row r="12310" spans="1:1" x14ac:dyDescent="0.2">
      <c r="A12310" t="s">
        <v>1285</v>
      </c>
    </row>
    <row r="12311" spans="1:1" x14ac:dyDescent="0.2">
      <c r="A12311" t="s">
        <v>1286</v>
      </c>
    </row>
    <row r="12312" spans="1:1" x14ac:dyDescent="0.2">
      <c r="A12312" t="s">
        <v>3061</v>
      </c>
    </row>
    <row r="12313" spans="1:1" x14ac:dyDescent="0.2">
      <c r="A12313" t="s">
        <v>1053</v>
      </c>
    </row>
    <row r="12314" spans="1:1" x14ac:dyDescent="0.2">
      <c r="A12314" t="s">
        <v>3062</v>
      </c>
    </row>
    <row r="12315" spans="1:1" x14ac:dyDescent="0.2">
      <c r="A12315" t="s">
        <v>2768</v>
      </c>
    </row>
    <row r="12316" spans="1:1" x14ac:dyDescent="0.2">
      <c r="A12316" t="s">
        <v>2769</v>
      </c>
    </row>
    <row r="12317" spans="1:1" x14ac:dyDescent="0.2">
      <c r="A12317" t="s">
        <v>1054</v>
      </c>
    </row>
    <row r="12318" spans="1:1" x14ac:dyDescent="0.2">
      <c r="A12318" t="s">
        <v>1055</v>
      </c>
    </row>
    <row r="12319" spans="1:1" x14ac:dyDescent="0.2">
      <c r="A12319" t="s">
        <v>2807</v>
      </c>
    </row>
    <row r="12320" spans="1:1" x14ac:dyDescent="0.2">
      <c r="A12320" t="s">
        <v>1056</v>
      </c>
    </row>
    <row r="12321" spans="1:1" x14ac:dyDescent="0.2">
      <c r="A12321" t="s">
        <v>1057</v>
      </c>
    </row>
    <row r="12322" spans="1:1" x14ac:dyDescent="0.2">
      <c r="A12322" t="s">
        <v>1058</v>
      </c>
    </row>
    <row r="12323" spans="1:1" x14ac:dyDescent="0.2">
      <c r="A12323" t="s">
        <v>1059</v>
      </c>
    </row>
    <row r="12324" spans="1:1" x14ac:dyDescent="0.2">
      <c r="A12324" t="s">
        <v>1060</v>
      </c>
    </row>
    <row r="12325" spans="1:1" x14ac:dyDescent="0.2">
      <c r="A12325" t="s">
        <v>1061</v>
      </c>
    </row>
    <row r="12326" spans="1:1" x14ac:dyDescent="0.2">
      <c r="A12326" t="s">
        <v>1062</v>
      </c>
    </row>
    <row r="12327" spans="1:1" x14ac:dyDescent="0.2">
      <c r="A12327" t="s">
        <v>1063</v>
      </c>
    </row>
    <row r="12328" spans="1:1" x14ac:dyDescent="0.2">
      <c r="A12328" t="s">
        <v>1064</v>
      </c>
    </row>
    <row r="12329" spans="1:1" x14ac:dyDescent="0.2">
      <c r="A12329" t="s">
        <v>1065</v>
      </c>
    </row>
    <row r="12330" spans="1:1" x14ac:dyDescent="0.2">
      <c r="A12330" t="s">
        <v>1066</v>
      </c>
    </row>
    <row r="12331" spans="1:1" x14ac:dyDescent="0.2">
      <c r="A12331" t="s">
        <v>1067</v>
      </c>
    </row>
    <row r="12332" spans="1:1" x14ac:dyDescent="0.2">
      <c r="A12332" t="s">
        <v>1068</v>
      </c>
    </row>
    <row r="12333" spans="1:1" x14ac:dyDescent="0.2">
      <c r="A12333" t="s">
        <v>1069</v>
      </c>
    </row>
    <row r="12334" spans="1:1" x14ac:dyDescent="0.2">
      <c r="A12334" t="s">
        <v>1070</v>
      </c>
    </row>
    <row r="12335" spans="1:1" x14ac:dyDescent="0.2">
      <c r="A12335" t="s">
        <v>1071</v>
      </c>
    </row>
    <row r="12336" spans="1:1" x14ac:dyDescent="0.2">
      <c r="A12336" t="s">
        <v>1072</v>
      </c>
    </row>
    <row r="12337" spans="1:1" x14ac:dyDescent="0.2">
      <c r="A12337" t="s">
        <v>1073</v>
      </c>
    </row>
    <row r="12338" spans="1:1" x14ac:dyDescent="0.2">
      <c r="A12338" t="s">
        <v>1074</v>
      </c>
    </row>
    <row r="12339" spans="1:1" x14ac:dyDescent="0.2">
      <c r="A12339" t="s">
        <v>1075</v>
      </c>
    </row>
    <row r="12340" spans="1:1" x14ac:dyDescent="0.2">
      <c r="A12340" t="s">
        <v>1076</v>
      </c>
    </row>
    <row r="12341" spans="1:1" x14ac:dyDescent="0.2">
      <c r="A12341" t="s">
        <v>1077</v>
      </c>
    </row>
    <row r="12342" spans="1:1" x14ac:dyDescent="0.2">
      <c r="A12342" t="s">
        <v>1078</v>
      </c>
    </row>
    <row r="12343" spans="1:1" x14ac:dyDescent="0.2">
      <c r="A12343" t="s">
        <v>1079</v>
      </c>
    </row>
    <row r="12344" spans="1:1" x14ac:dyDescent="0.2">
      <c r="A12344" t="s">
        <v>1080</v>
      </c>
    </row>
    <row r="12345" spans="1:1" x14ac:dyDescent="0.2">
      <c r="A12345" t="s">
        <v>1081</v>
      </c>
    </row>
    <row r="12346" spans="1:1" x14ac:dyDescent="0.2">
      <c r="A12346" t="s">
        <v>1082</v>
      </c>
    </row>
    <row r="12347" spans="1:1" x14ac:dyDescent="0.2">
      <c r="A12347" t="s">
        <v>1083</v>
      </c>
    </row>
    <row r="12348" spans="1:1" x14ac:dyDescent="0.2">
      <c r="A12348" t="s">
        <v>2771</v>
      </c>
    </row>
    <row r="12349" spans="1:1" x14ac:dyDescent="0.2">
      <c r="A12349" t="s">
        <v>2772</v>
      </c>
    </row>
    <row r="12350" spans="1:1" x14ac:dyDescent="0.2">
      <c r="A12350" t="s">
        <v>2773</v>
      </c>
    </row>
    <row r="12351" spans="1:1" x14ac:dyDescent="0.2">
      <c r="A12351" t="s">
        <v>2774</v>
      </c>
    </row>
    <row r="12352" spans="1:1" x14ac:dyDescent="0.2">
      <c r="A12352" t="s">
        <v>2775</v>
      </c>
    </row>
    <row r="12353" spans="1:1" x14ac:dyDescent="0.2">
      <c r="A12353" t="s">
        <v>2776</v>
      </c>
    </row>
    <row r="12354" spans="1:1" x14ac:dyDescent="0.2">
      <c r="A12354" t="s">
        <v>1084</v>
      </c>
    </row>
    <row r="12355" spans="1:1" x14ac:dyDescent="0.2">
      <c r="A12355" t="s">
        <v>1085</v>
      </c>
    </row>
    <row r="12356" spans="1:1" x14ac:dyDescent="0.2">
      <c r="A12356" t="s">
        <v>1086</v>
      </c>
    </row>
    <row r="12357" spans="1:1" x14ac:dyDescent="0.2">
      <c r="A12357" t="s">
        <v>1087</v>
      </c>
    </row>
    <row r="12358" spans="1:1" x14ac:dyDescent="0.2">
      <c r="A12358" t="s">
        <v>1088</v>
      </c>
    </row>
    <row r="12359" spans="1:1" x14ac:dyDescent="0.2">
      <c r="A12359" t="s">
        <v>1089</v>
      </c>
    </row>
    <row r="12360" spans="1:1" x14ac:dyDescent="0.2">
      <c r="A12360" t="s">
        <v>1090</v>
      </c>
    </row>
    <row r="12361" spans="1:1" x14ac:dyDescent="0.2">
      <c r="A12361" t="s">
        <v>1091</v>
      </c>
    </row>
    <row r="12362" spans="1:1" x14ac:dyDescent="0.2">
      <c r="A12362" t="s">
        <v>1092</v>
      </c>
    </row>
    <row r="12363" spans="1:1" x14ac:dyDescent="0.2">
      <c r="A12363" t="s">
        <v>1093</v>
      </c>
    </row>
    <row r="12364" spans="1:1" x14ac:dyDescent="0.2">
      <c r="A12364" t="s">
        <v>1094</v>
      </c>
    </row>
    <row r="12365" spans="1:1" x14ac:dyDescent="0.2">
      <c r="A12365" t="s">
        <v>1095</v>
      </c>
    </row>
    <row r="12366" spans="1:1" x14ac:dyDescent="0.2">
      <c r="A12366" t="s">
        <v>1096</v>
      </c>
    </row>
    <row r="12367" spans="1:1" x14ac:dyDescent="0.2">
      <c r="A12367" t="s">
        <v>1097</v>
      </c>
    </row>
    <row r="12368" spans="1:1" x14ac:dyDescent="0.2">
      <c r="A12368" t="s">
        <v>1098</v>
      </c>
    </row>
    <row r="12369" spans="1:1" x14ac:dyDescent="0.2">
      <c r="A12369" t="s">
        <v>1099</v>
      </c>
    </row>
    <row r="12370" spans="1:1" x14ac:dyDescent="0.2">
      <c r="A12370" t="s">
        <v>1100</v>
      </c>
    </row>
    <row r="12371" spans="1:1" x14ac:dyDescent="0.2">
      <c r="A12371" t="s">
        <v>1101</v>
      </c>
    </row>
    <row r="12372" spans="1:1" x14ac:dyDescent="0.2">
      <c r="A12372" t="s">
        <v>1102</v>
      </c>
    </row>
    <row r="12373" spans="1:1" x14ac:dyDescent="0.2">
      <c r="A12373" t="s">
        <v>1103</v>
      </c>
    </row>
    <row r="12374" spans="1:1" x14ac:dyDescent="0.2">
      <c r="A12374" t="s">
        <v>1104</v>
      </c>
    </row>
    <row r="12375" spans="1:1" x14ac:dyDescent="0.2">
      <c r="A12375" t="s">
        <v>1105</v>
      </c>
    </row>
    <row r="12376" spans="1:1" x14ac:dyDescent="0.2">
      <c r="A12376" t="s">
        <v>1106</v>
      </c>
    </row>
    <row r="12377" spans="1:1" x14ac:dyDescent="0.2">
      <c r="A12377" t="s">
        <v>1107</v>
      </c>
    </row>
    <row r="12378" spans="1:1" x14ac:dyDescent="0.2">
      <c r="A12378" t="s">
        <v>1108</v>
      </c>
    </row>
    <row r="12379" spans="1:1" x14ac:dyDescent="0.2">
      <c r="A12379" t="s">
        <v>1109</v>
      </c>
    </row>
    <row r="12380" spans="1:1" x14ac:dyDescent="0.2">
      <c r="A12380" t="s">
        <v>1110</v>
      </c>
    </row>
    <row r="12381" spans="1:1" x14ac:dyDescent="0.2">
      <c r="A12381" t="s">
        <v>1111</v>
      </c>
    </row>
    <row r="12382" spans="1:1" x14ac:dyDescent="0.2">
      <c r="A12382" t="s">
        <v>1112</v>
      </c>
    </row>
    <row r="12383" spans="1:1" x14ac:dyDescent="0.2">
      <c r="A12383" t="s">
        <v>1113</v>
      </c>
    </row>
    <row r="12384" spans="1:1" x14ac:dyDescent="0.2">
      <c r="A12384" t="s">
        <v>1114</v>
      </c>
    </row>
    <row r="12385" spans="1:1" x14ac:dyDescent="0.2">
      <c r="A12385" t="s">
        <v>1115</v>
      </c>
    </row>
    <row r="12386" spans="1:1" x14ac:dyDescent="0.2">
      <c r="A12386" t="s">
        <v>1116</v>
      </c>
    </row>
    <row r="12387" spans="1:1" x14ac:dyDescent="0.2">
      <c r="A12387" t="s">
        <v>1117</v>
      </c>
    </row>
    <row r="12388" spans="1:1" x14ac:dyDescent="0.2">
      <c r="A12388" t="s">
        <v>1118</v>
      </c>
    </row>
    <row r="12389" spans="1:1" x14ac:dyDescent="0.2">
      <c r="A12389" t="s">
        <v>1119</v>
      </c>
    </row>
    <row r="12390" spans="1:1" x14ac:dyDescent="0.2">
      <c r="A12390" t="s">
        <v>1120</v>
      </c>
    </row>
    <row r="12391" spans="1:1" x14ac:dyDescent="0.2">
      <c r="A12391" t="s">
        <v>1288</v>
      </c>
    </row>
    <row r="12392" spans="1:1" x14ac:dyDescent="0.2">
      <c r="A12392" t="s">
        <v>3063</v>
      </c>
    </row>
    <row r="12393" spans="1:1" x14ac:dyDescent="0.2">
      <c r="A12393" t="s">
        <v>3064</v>
      </c>
    </row>
    <row r="12394" spans="1:1" x14ac:dyDescent="0.2">
      <c r="A12394" t="s">
        <v>2967</v>
      </c>
    </row>
    <row r="12395" spans="1:1" x14ac:dyDescent="0.2">
      <c r="A12395" t="s">
        <v>2968</v>
      </c>
    </row>
    <row r="12396" spans="1:1" x14ac:dyDescent="0.2">
      <c r="A12396" t="s">
        <v>1289</v>
      </c>
    </row>
    <row r="12397" spans="1:1" x14ac:dyDescent="0.2">
      <c r="A12397" t="s">
        <v>2781</v>
      </c>
    </row>
    <row r="12398" spans="1:1" x14ac:dyDescent="0.2">
      <c r="A12398" t="s">
        <v>3065</v>
      </c>
    </row>
    <row r="12399" spans="1:1" x14ac:dyDescent="0.2">
      <c r="A12399" t="s">
        <v>1122</v>
      </c>
    </row>
    <row r="12400" spans="1:1" x14ac:dyDescent="0.2">
      <c r="A12400" t="s">
        <v>1123</v>
      </c>
    </row>
    <row r="12401" spans="1:1" x14ac:dyDescent="0.2">
      <c r="A12401" t="s">
        <v>1124</v>
      </c>
    </row>
    <row r="12402" spans="1:1" x14ac:dyDescent="0.2">
      <c r="A12402" t="s">
        <v>1125</v>
      </c>
    </row>
    <row r="12403" spans="1:1" x14ac:dyDescent="0.2">
      <c r="A12403" t="s">
        <v>1126</v>
      </c>
    </row>
    <row r="12404" spans="1:1" x14ac:dyDescent="0.2">
      <c r="A12404" t="s">
        <v>1127</v>
      </c>
    </row>
    <row r="12405" spans="1:1" x14ac:dyDescent="0.2">
      <c r="A12405" t="s">
        <v>1128</v>
      </c>
    </row>
    <row r="12406" spans="1:1" x14ac:dyDescent="0.2">
      <c r="A12406" t="s">
        <v>1129</v>
      </c>
    </row>
    <row r="12407" spans="1:1" x14ac:dyDescent="0.2">
      <c r="A12407" t="s">
        <v>1130</v>
      </c>
    </row>
    <row r="12408" spans="1:1" x14ac:dyDescent="0.2">
      <c r="A12408" t="s">
        <v>1131</v>
      </c>
    </row>
    <row r="12409" spans="1:1" x14ac:dyDescent="0.2">
      <c r="A12409" t="s">
        <v>1132</v>
      </c>
    </row>
    <row r="12410" spans="1:1" x14ac:dyDescent="0.2">
      <c r="A12410" t="s">
        <v>1133</v>
      </c>
    </row>
    <row r="12411" spans="1:1" x14ac:dyDescent="0.2">
      <c r="A12411" t="s">
        <v>1134</v>
      </c>
    </row>
    <row r="12412" spans="1:1" x14ac:dyDescent="0.2">
      <c r="A12412" t="s">
        <v>1135</v>
      </c>
    </row>
    <row r="12413" spans="1:1" x14ac:dyDescent="0.2">
      <c r="A12413" t="s">
        <v>1136</v>
      </c>
    </row>
    <row r="12414" spans="1:1" x14ac:dyDescent="0.2">
      <c r="A12414" t="s">
        <v>1137</v>
      </c>
    </row>
    <row r="12415" spans="1:1" x14ac:dyDescent="0.2">
      <c r="A12415" t="s">
        <v>1138</v>
      </c>
    </row>
    <row r="12416" spans="1:1" x14ac:dyDescent="0.2">
      <c r="A12416" t="s">
        <v>1139</v>
      </c>
    </row>
    <row r="12417" spans="1:1" x14ac:dyDescent="0.2">
      <c r="A12417" t="s">
        <v>1140</v>
      </c>
    </row>
    <row r="12418" spans="1:1" x14ac:dyDescent="0.2">
      <c r="A12418" t="s">
        <v>1141</v>
      </c>
    </row>
    <row r="12419" spans="1:1" x14ac:dyDescent="0.2">
      <c r="A12419" t="s">
        <v>1142</v>
      </c>
    </row>
    <row r="12420" spans="1:1" x14ac:dyDescent="0.2">
      <c r="A12420" t="s">
        <v>1143</v>
      </c>
    </row>
    <row r="12421" spans="1:1" x14ac:dyDescent="0.2">
      <c r="A12421" t="s">
        <v>1144</v>
      </c>
    </row>
    <row r="12422" spans="1:1" x14ac:dyDescent="0.2">
      <c r="A12422" t="s">
        <v>1145</v>
      </c>
    </row>
    <row r="12423" spans="1:1" x14ac:dyDescent="0.2">
      <c r="A12423" t="s">
        <v>1146</v>
      </c>
    </row>
    <row r="12424" spans="1:1" x14ac:dyDescent="0.2">
      <c r="A12424" t="s">
        <v>1147</v>
      </c>
    </row>
    <row r="12425" spans="1:1" x14ac:dyDescent="0.2">
      <c r="A12425" t="s">
        <v>1148</v>
      </c>
    </row>
    <row r="12426" spans="1:1" x14ac:dyDescent="0.2">
      <c r="A12426" t="s">
        <v>1149</v>
      </c>
    </row>
    <row r="12427" spans="1:1" x14ac:dyDescent="0.2">
      <c r="A12427" t="s">
        <v>1150</v>
      </c>
    </row>
    <row r="12428" spans="1:1" x14ac:dyDescent="0.2">
      <c r="A12428" t="s">
        <v>1151</v>
      </c>
    </row>
    <row r="12429" spans="1:1" x14ac:dyDescent="0.2">
      <c r="A12429" t="s">
        <v>1152</v>
      </c>
    </row>
    <row r="12430" spans="1:1" x14ac:dyDescent="0.2">
      <c r="A12430" t="s">
        <v>1153</v>
      </c>
    </row>
    <row r="12431" spans="1:1" x14ac:dyDescent="0.2">
      <c r="A12431" t="s">
        <v>1154</v>
      </c>
    </row>
    <row r="12432" spans="1:1" x14ac:dyDescent="0.2">
      <c r="A12432" t="s">
        <v>1155</v>
      </c>
    </row>
    <row r="12433" spans="1:1" x14ac:dyDescent="0.2">
      <c r="A12433" t="s">
        <v>1156</v>
      </c>
    </row>
    <row r="12434" spans="1:1" x14ac:dyDescent="0.2">
      <c r="A12434" t="s">
        <v>1157</v>
      </c>
    </row>
    <row r="12435" spans="1:1" x14ac:dyDescent="0.2">
      <c r="A12435" t="s">
        <v>1158</v>
      </c>
    </row>
    <row r="12436" spans="1:1" x14ac:dyDescent="0.2">
      <c r="A12436" t="s">
        <v>1159</v>
      </c>
    </row>
    <row r="12437" spans="1:1" x14ac:dyDescent="0.2">
      <c r="A12437" t="s">
        <v>1160</v>
      </c>
    </row>
    <row r="12438" spans="1:1" x14ac:dyDescent="0.2">
      <c r="A12438" t="s">
        <v>1161</v>
      </c>
    </row>
    <row r="12439" spans="1:1" x14ac:dyDescent="0.2">
      <c r="A12439" t="s">
        <v>1162</v>
      </c>
    </row>
    <row r="12440" spans="1:1" x14ac:dyDescent="0.2">
      <c r="A12440" t="s">
        <v>1163</v>
      </c>
    </row>
    <row r="12441" spans="1:1" x14ac:dyDescent="0.2">
      <c r="A12441" t="s">
        <v>1164</v>
      </c>
    </row>
    <row r="12442" spans="1:1" x14ac:dyDescent="0.2">
      <c r="A12442" t="s">
        <v>1165</v>
      </c>
    </row>
    <row r="12443" spans="1:1" x14ac:dyDescent="0.2">
      <c r="A12443" t="s">
        <v>1166</v>
      </c>
    </row>
    <row r="12444" spans="1:1" x14ac:dyDescent="0.2">
      <c r="A12444" t="s">
        <v>1167</v>
      </c>
    </row>
    <row r="12445" spans="1:1" x14ac:dyDescent="0.2">
      <c r="A12445" t="s">
        <v>1168</v>
      </c>
    </row>
    <row r="12446" spans="1:1" x14ac:dyDescent="0.2">
      <c r="A12446" t="s">
        <v>1169</v>
      </c>
    </row>
    <row r="12447" spans="1:1" x14ac:dyDescent="0.2">
      <c r="A12447" t="s">
        <v>1170</v>
      </c>
    </row>
    <row r="12448" spans="1:1" x14ac:dyDescent="0.2">
      <c r="A12448" t="s">
        <v>1171</v>
      </c>
    </row>
    <row r="12449" spans="1:1" x14ac:dyDescent="0.2">
      <c r="A12449" t="s">
        <v>1172</v>
      </c>
    </row>
    <row r="12450" spans="1:1" x14ac:dyDescent="0.2">
      <c r="A12450" t="s">
        <v>1173</v>
      </c>
    </row>
    <row r="12451" spans="1:1" x14ac:dyDescent="0.2">
      <c r="A12451" t="s">
        <v>1174</v>
      </c>
    </row>
    <row r="12452" spans="1:1" x14ac:dyDescent="0.2">
      <c r="A12452" t="s">
        <v>1175</v>
      </c>
    </row>
    <row r="12453" spans="1:1" x14ac:dyDescent="0.2">
      <c r="A12453" t="s">
        <v>1176</v>
      </c>
    </row>
    <row r="12454" spans="1:1" x14ac:dyDescent="0.2">
      <c r="A12454" t="s">
        <v>1177</v>
      </c>
    </row>
    <row r="12455" spans="1:1" x14ac:dyDescent="0.2">
      <c r="A12455" t="s">
        <v>1178</v>
      </c>
    </row>
    <row r="12456" spans="1:1" x14ac:dyDescent="0.2">
      <c r="A12456" t="s">
        <v>1179</v>
      </c>
    </row>
    <row r="12457" spans="1:1" x14ac:dyDescent="0.2">
      <c r="A12457" t="s">
        <v>1180</v>
      </c>
    </row>
    <row r="12458" spans="1:1" x14ac:dyDescent="0.2">
      <c r="A12458" t="s">
        <v>1181</v>
      </c>
    </row>
    <row r="12459" spans="1:1" x14ac:dyDescent="0.2">
      <c r="A12459" t="s">
        <v>1182</v>
      </c>
    </row>
    <row r="12460" spans="1:1" x14ac:dyDescent="0.2">
      <c r="A12460" t="s">
        <v>1183</v>
      </c>
    </row>
    <row r="12461" spans="1:1" x14ac:dyDescent="0.2">
      <c r="A12461" t="s">
        <v>1184</v>
      </c>
    </row>
    <row r="12462" spans="1:1" x14ac:dyDescent="0.2">
      <c r="A12462" t="s">
        <v>1185</v>
      </c>
    </row>
    <row r="12463" spans="1:1" x14ac:dyDescent="0.2">
      <c r="A12463" t="s">
        <v>1186</v>
      </c>
    </row>
    <row r="12464" spans="1:1" x14ac:dyDescent="0.2">
      <c r="A12464" t="s">
        <v>1187</v>
      </c>
    </row>
    <row r="12465" spans="1:1" x14ac:dyDescent="0.2">
      <c r="A12465" t="s">
        <v>1188</v>
      </c>
    </row>
    <row r="12466" spans="1:1" x14ac:dyDescent="0.2">
      <c r="A12466" t="s">
        <v>1189</v>
      </c>
    </row>
    <row r="12467" spans="1:1" x14ac:dyDescent="0.2">
      <c r="A12467" t="s">
        <v>1190</v>
      </c>
    </row>
    <row r="12468" spans="1:1" x14ac:dyDescent="0.2">
      <c r="A12468" t="s">
        <v>1191</v>
      </c>
    </row>
    <row r="12469" spans="1:1" x14ac:dyDescent="0.2">
      <c r="A12469" t="s">
        <v>1192</v>
      </c>
    </row>
    <row r="12470" spans="1:1" x14ac:dyDescent="0.2">
      <c r="A12470" t="s">
        <v>1193</v>
      </c>
    </row>
    <row r="12471" spans="1:1" x14ac:dyDescent="0.2">
      <c r="A12471" t="s">
        <v>1194</v>
      </c>
    </row>
    <row r="12472" spans="1:1" x14ac:dyDescent="0.2">
      <c r="A12472" t="s">
        <v>1195</v>
      </c>
    </row>
    <row r="12473" spans="1:1" x14ac:dyDescent="0.2">
      <c r="A12473" t="s">
        <v>1196</v>
      </c>
    </row>
    <row r="12474" spans="1:1" x14ac:dyDescent="0.2">
      <c r="A12474" t="s">
        <v>1197</v>
      </c>
    </row>
    <row r="12475" spans="1:1" x14ac:dyDescent="0.2">
      <c r="A12475" t="s">
        <v>1198</v>
      </c>
    </row>
    <row r="12476" spans="1:1" x14ac:dyDescent="0.2">
      <c r="A12476" t="s">
        <v>1199</v>
      </c>
    </row>
    <row r="12477" spans="1:1" x14ac:dyDescent="0.2">
      <c r="A12477" t="s">
        <v>1200</v>
      </c>
    </row>
    <row r="12478" spans="1:1" x14ac:dyDescent="0.2">
      <c r="A12478" t="s">
        <v>1201</v>
      </c>
    </row>
    <row r="12479" spans="1:1" x14ac:dyDescent="0.2">
      <c r="A12479" t="s">
        <v>1202</v>
      </c>
    </row>
    <row r="12480" spans="1:1" x14ac:dyDescent="0.2">
      <c r="A12480" t="s">
        <v>1203</v>
      </c>
    </row>
    <row r="12481" spans="1:1" x14ac:dyDescent="0.2">
      <c r="A12481" t="s">
        <v>1204</v>
      </c>
    </row>
    <row r="12482" spans="1:1" x14ac:dyDescent="0.2">
      <c r="A12482" t="s">
        <v>1205</v>
      </c>
    </row>
    <row r="12483" spans="1:1" x14ac:dyDescent="0.2">
      <c r="A12483" t="s">
        <v>1206</v>
      </c>
    </row>
    <row r="12484" spans="1:1" x14ac:dyDescent="0.2">
      <c r="A12484" t="s">
        <v>1207</v>
      </c>
    </row>
    <row r="12485" spans="1:1" x14ac:dyDescent="0.2">
      <c r="A12485" t="s">
        <v>1208</v>
      </c>
    </row>
    <row r="12486" spans="1:1" x14ac:dyDescent="0.2">
      <c r="A12486" t="s">
        <v>1209</v>
      </c>
    </row>
    <row r="12487" spans="1:1" x14ac:dyDescent="0.2">
      <c r="A12487" t="s">
        <v>1210</v>
      </c>
    </row>
    <row r="12488" spans="1:1" x14ac:dyDescent="0.2">
      <c r="A12488" t="s">
        <v>1211</v>
      </c>
    </row>
    <row r="12489" spans="1:1" x14ac:dyDescent="0.2">
      <c r="A12489" t="s">
        <v>1212</v>
      </c>
    </row>
    <row r="12490" spans="1:1" x14ac:dyDescent="0.2">
      <c r="A12490" t="s">
        <v>1213</v>
      </c>
    </row>
    <row r="12491" spans="1:1" x14ac:dyDescent="0.2">
      <c r="A12491" t="s">
        <v>1214</v>
      </c>
    </row>
    <row r="12492" spans="1:1" x14ac:dyDescent="0.2">
      <c r="A12492" t="s">
        <v>1215</v>
      </c>
    </row>
    <row r="12493" spans="1:1" x14ac:dyDescent="0.2">
      <c r="A12493" t="s">
        <v>1216</v>
      </c>
    </row>
    <row r="12494" spans="1:1" x14ac:dyDescent="0.2">
      <c r="A12494" t="s">
        <v>1217</v>
      </c>
    </row>
    <row r="12495" spans="1:1" x14ac:dyDescent="0.2">
      <c r="A12495" t="s">
        <v>1218</v>
      </c>
    </row>
    <row r="12496" spans="1:1" x14ac:dyDescent="0.2">
      <c r="A12496" t="s">
        <v>1219</v>
      </c>
    </row>
    <row r="12497" spans="1:1" x14ac:dyDescent="0.2">
      <c r="A12497" t="s">
        <v>1220</v>
      </c>
    </row>
    <row r="12498" spans="1:1" x14ac:dyDescent="0.2">
      <c r="A12498" t="s">
        <v>1221</v>
      </c>
    </row>
    <row r="12499" spans="1:1" x14ac:dyDescent="0.2">
      <c r="A12499" t="s">
        <v>1222</v>
      </c>
    </row>
    <row r="12500" spans="1:1" x14ac:dyDescent="0.2">
      <c r="A12500" t="s">
        <v>1223</v>
      </c>
    </row>
    <row r="12501" spans="1:1" x14ac:dyDescent="0.2">
      <c r="A12501" t="s">
        <v>1224</v>
      </c>
    </row>
    <row r="12502" spans="1:1" x14ac:dyDescent="0.2">
      <c r="A12502" t="s">
        <v>1225</v>
      </c>
    </row>
    <row r="12503" spans="1:1" x14ac:dyDescent="0.2">
      <c r="A12503" t="s">
        <v>1226</v>
      </c>
    </row>
    <row r="12504" spans="1:1" x14ac:dyDescent="0.2">
      <c r="A12504" t="s">
        <v>1227</v>
      </c>
    </row>
    <row r="12505" spans="1:1" x14ac:dyDescent="0.2">
      <c r="A12505" t="s">
        <v>1228</v>
      </c>
    </row>
    <row r="12506" spans="1:1" x14ac:dyDescent="0.2">
      <c r="A12506" t="s">
        <v>1229</v>
      </c>
    </row>
    <row r="12507" spans="1:1" x14ac:dyDescent="0.2">
      <c r="A12507" t="s">
        <v>1230</v>
      </c>
    </row>
    <row r="12508" spans="1:1" x14ac:dyDescent="0.2">
      <c r="A12508" t="s">
        <v>1231</v>
      </c>
    </row>
    <row r="12509" spans="1:1" x14ac:dyDescent="0.2">
      <c r="A12509" t="s">
        <v>1232</v>
      </c>
    </row>
    <row r="12510" spans="1:1" x14ac:dyDescent="0.2">
      <c r="A12510" t="s">
        <v>1233</v>
      </c>
    </row>
    <row r="12511" spans="1:1" x14ac:dyDescent="0.2">
      <c r="A12511" t="s">
        <v>1234</v>
      </c>
    </row>
    <row r="12512" spans="1:1" x14ac:dyDescent="0.2">
      <c r="A12512" t="s">
        <v>1235</v>
      </c>
    </row>
    <row r="12513" spans="1:1" x14ac:dyDescent="0.2">
      <c r="A12513" t="s">
        <v>1236</v>
      </c>
    </row>
    <row r="12514" spans="1:1" x14ac:dyDescent="0.2">
      <c r="A12514" t="s">
        <v>1237</v>
      </c>
    </row>
    <row r="12515" spans="1:1" x14ac:dyDescent="0.2">
      <c r="A12515" t="s">
        <v>1238</v>
      </c>
    </row>
    <row r="12516" spans="1:1" x14ac:dyDescent="0.2">
      <c r="A12516" t="s">
        <v>1239</v>
      </c>
    </row>
    <row r="12517" spans="1:1" x14ac:dyDescent="0.2">
      <c r="A12517" t="s">
        <v>1240</v>
      </c>
    </row>
    <row r="12518" spans="1:1" x14ac:dyDescent="0.2">
      <c r="A12518" t="s">
        <v>1241</v>
      </c>
    </row>
    <row r="12519" spans="1:1" x14ac:dyDescent="0.2">
      <c r="A12519" t="s">
        <v>1242</v>
      </c>
    </row>
    <row r="12520" spans="1:1" x14ac:dyDescent="0.2">
      <c r="A12520" t="s">
        <v>1243</v>
      </c>
    </row>
    <row r="12521" spans="1:1" x14ac:dyDescent="0.2">
      <c r="A12521" t="s">
        <v>1244</v>
      </c>
    </row>
    <row r="12522" spans="1:1" x14ac:dyDescent="0.2">
      <c r="A12522" t="s">
        <v>1245</v>
      </c>
    </row>
    <row r="12523" spans="1:1" x14ac:dyDescent="0.2">
      <c r="A12523" t="s">
        <v>1246</v>
      </c>
    </row>
    <row r="12524" spans="1:1" x14ac:dyDescent="0.2">
      <c r="A12524" t="s">
        <v>1247</v>
      </c>
    </row>
    <row r="12525" spans="1:1" x14ac:dyDescent="0.2">
      <c r="A12525" t="s">
        <v>1248</v>
      </c>
    </row>
    <row r="12526" spans="1:1" x14ac:dyDescent="0.2">
      <c r="A12526" t="s">
        <v>1249</v>
      </c>
    </row>
    <row r="12527" spans="1:1" x14ac:dyDescent="0.2">
      <c r="A12527" t="s">
        <v>1250</v>
      </c>
    </row>
    <row r="12528" spans="1:1" x14ac:dyDescent="0.2">
      <c r="A12528" t="s">
        <v>1251</v>
      </c>
    </row>
    <row r="12529" spans="1:1" x14ac:dyDescent="0.2">
      <c r="A12529" t="s">
        <v>1252</v>
      </c>
    </row>
    <row r="12530" spans="1:1" x14ac:dyDescent="0.2">
      <c r="A12530" t="s">
        <v>1253</v>
      </c>
    </row>
    <row r="12531" spans="1:1" x14ac:dyDescent="0.2">
      <c r="A12531" t="s">
        <v>1254</v>
      </c>
    </row>
    <row r="12532" spans="1:1" x14ac:dyDescent="0.2">
      <c r="A12532" t="s">
        <v>1255</v>
      </c>
    </row>
    <row r="12533" spans="1:1" x14ac:dyDescent="0.2">
      <c r="A12533" t="s">
        <v>1256</v>
      </c>
    </row>
    <row r="12534" spans="1:1" x14ac:dyDescent="0.2">
      <c r="A12534" t="s">
        <v>1257</v>
      </c>
    </row>
    <row r="12535" spans="1:1" x14ac:dyDescent="0.2">
      <c r="A12535" t="s">
        <v>1258</v>
      </c>
    </row>
    <row r="12536" spans="1:1" x14ac:dyDescent="0.2">
      <c r="A12536" t="s">
        <v>1259</v>
      </c>
    </row>
    <row r="12537" spans="1:1" x14ac:dyDescent="0.2">
      <c r="A12537" t="s">
        <v>1260</v>
      </c>
    </row>
    <row r="12538" spans="1:1" x14ac:dyDescent="0.2">
      <c r="A12538" t="s">
        <v>1261</v>
      </c>
    </row>
    <row r="12539" spans="1:1" x14ac:dyDescent="0.2">
      <c r="A12539" t="s">
        <v>1262</v>
      </c>
    </row>
    <row r="12540" spans="1:1" x14ac:dyDescent="0.2">
      <c r="A12540" t="s">
        <v>1263</v>
      </c>
    </row>
    <row r="12541" spans="1:1" x14ac:dyDescent="0.2">
      <c r="A12541" t="s">
        <v>1264</v>
      </c>
    </row>
    <row r="12542" spans="1:1" x14ac:dyDescent="0.2">
      <c r="A12542" t="s">
        <v>1265</v>
      </c>
    </row>
    <row r="12543" spans="1:1" x14ac:dyDescent="0.2">
      <c r="A12543" t="s">
        <v>1266</v>
      </c>
    </row>
    <row r="12544" spans="1:1" x14ac:dyDescent="0.2">
      <c r="A12544" t="s">
        <v>1267</v>
      </c>
    </row>
    <row r="12545" spans="1:1" x14ac:dyDescent="0.2">
      <c r="A12545" t="s">
        <v>1268</v>
      </c>
    </row>
    <row r="12546" spans="1:1" x14ac:dyDescent="0.2">
      <c r="A12546" t="s">
        <v>1269</v>
      </c>
    </row>
    <row r="12547" spans="1:1" x14ac:dyDescent="0.2">
      <c r="A12547" t="s">
        <v>1270</v>
      </c>
    </row>
    <row r="12548" spans="1:1" x14ac:dyDescent="0.2">
      <c r="A12548" t="s">
        <v>1271</v>
      </c>
    </row>
    <row r="12549" spans="1:1" x14ac:dyDescent="0.2">
      <c r="A12549" t="s">
        <v>1272</v>
      </c>
    </row>
    <row r="12550" spans="1:1" x14ac:dyDescent="0.2">
      <c r="A12550" t="s">
        <v>1273</v>
      </c>
    </row>
    <row r="12551" spans="1:1" x14ac:dyDescent="0.2">
      <c r="A12551" t="s">
        <v>1274</v>
      </c>
    </row>
    <row r="12552" spans="1:1" x14ac:dyDescent="0.2">
      <c r="A12552" t="s">
        <v>1275</v>
      </c>
    </row>
    <row r="12553" spans="1:1" x14ac:dyDescent="0.2">
      <c r="A12553" t="s">
        <v>1276</v>
      </c>
    </row>
    <row r="12554" spans="1:1" x14ac:dyDescent="0.2">
      <c r="A12554" t="s">
        <v>1277</v>
      </c>
    </row>
    <row r="12555" spans="1:1" x14ac:dyDescent="0.2">
      <c r="A12555" t="s">
        <v>1278</v>
      </c>
    </row>
    <row r="12556" spans="1:1" x14ac:dyDescent="0.2">
      <c r="A12556" t="s">
        <v>1279</v>
      </c>
    </row>
    <row r="12557" spans="1:1" x14ac:dyDescent="0.2">
      <c r="A12557" t="s">
        <v>1280</v>
      </c>
    </row>
    <row r="12558" spans="1:1" x14ac:dyDescent="0.2">
      <c r="A12558" t="s">
        <v>1281</v>
      </c>
    </row>
    <row r="12559" spans="1:1" x14ac:dyDescent="0.2">
      <c r="A12559" t="s">
        <v>1282</v>
      </c>
    </row>
    <row r="12560" spans="1:1" x14ac:dyDescent="0.2">
      <c r="A12560" t="s">
        <v>1283</v>
      </c>
    </row>
    <row r="12561" spans="1:1" x14ac:dyDescent="0.2">
      <c r="A12561" t="s">
        <v>1284</v>
      </c>
    </row>
    <row r="12562" spans="1:1" x14ac:dyDescent="0.2">
      <c r="A12562" t="s">
        <v>1285</v>
      </c>
    </row>
    <row r="12563" spans="1:1" x14ac:dyDescent="0.2">
      <c r="A12563" t="s">
        <v>1286</v>
      </c>
    </row>
    <row r="12564" spans="1:1" x14ac:dyDescent="0.2">
      <c r="A12564" t="s">
        <v>3066</v>
      </c>
    </row>
    <row r="12565" spans="1:1" x14ac:dyDescent="0.2">
      <c r="A12565" t="s">
        <v>1053</v>
      </c>
    </row>
    <row r="12566" spans="1:1" x14ac:dyDescent="0.2">
      <c r="A12566" t="s">
        <v>3067</v>
      </c>
    </row>
    <row r="12567" spans="1:1" x14ac:dyDescent="0.2">
      <c r="A12567" t="s">
        <v>2768</v>
      </c>
    </row>
    <row r="12568" spans="1:1" x14ac:dyDescent="0.2">
      <c r="A12568" t="s">
        <v>2769</v>
      </c>
    </row>
    <row r="12569" spans="1:1" x14ac:dyDescent="0.2">
      <c r="A12569" t="s">
        <v>1054</v>
      </c>
    </row>
    <row r="12570" spans="1:1" x14ac:dyDescent="0.2">
      <c r="A12570" t="s">
        <v>1055</v>
      </c>
    </row>
    <row r="12571" spans="1:1" x14ac:dyDescent="0.2">
      <c r="A12571" t="s">
        <v>3068</v>
      </c>
    </row>
    <row r="12572" spans="1:1" x14ac:dyDescent="0.2">
      <c r="A12572" t="s">
        <v>1056</v>
      </c>
    </row>
    <row r="12573" spans="1:1" x14ac:dyDescent="0.2">
      <c r="A12573" t="s">
        <v>1057</v>
      </c>
    </row>
    <row r="12574" spans="1:1" x14ac:dyDescent="0.2">
      <c r="A12574" t="s">
        <v>1058</v>
      </c>
    </row>
    <row r="12575" spans="1:1" x14ac:dyDescent="0.2">
      <c r="A12575" t="s">
        <v>1059</v>
      </c>
    </row>
    <row r="12576" spans="1:1" x14ac:dyDescent="0.2">
      <c r="A12576" t="s">
        <v>1060</v>
      </c>
    </row>
    <row r="12577" spans="1:1" x14ac:dyDescent="0.2">
      <c r="A12577" t="s">
        <v>1061</v>
      </c>
    </row>
    <row r="12578" spans="1:1" x14ac:dyDescent="0.2">
      <c r="A12578" t="s">
        <v>1062</v>
      </c>
    </row>
    <row r="12579" spans="1:1" x14ac:dyDescent="0.2">
      <c r="A12579" t="s">
        <v>1063</v>
      </c>
    </row>
    <row r="12580" spans="1:1" x14ac:dyDescent="0.2">
      <c r="A12580" t="s">
        <v>1064</v>
      </c>
    </row>
    <row r="12581" spans="1:1" x14ac:dyDescent="0.2">
      <c r="A12581" t="s">
        <v>1065</v>
      </c>
    </row>
    <row r="12582" spans="1:1" x14ac:dyDescent="0.2">
      <c r="A12582" t="s">
        <v>1066</v>
      </c>
    </row>
    <row r="12583" spans="1:1" x14ac:dyDescent="0.2">
      <c r="A12583" t="s">
        <v>1067</v>
      </c>
    </row>
    <row r="12584" spans="1:1" x14ac:dyDescent="0.2">
      <c r="A12584" t="s">
        <v>1068</v>
      </c>
    </row>
    <row r="12585" spans="1:1" x14ac:dyDescent="0.2">
      <c r="A12585" t="s">
        <v>1069</v>
      </c>
    </row>
    <row r="12586" spans="1:1" x14ac:dyDescent="0.2">
      <c r="A12586" t="s">
        <v>1070</v>
      </c>
    </row>
    <row r="12587" spans="1:1" x14ac:dyDescent="0.2">
      <c r="A12587" t="s">
        <v>1071</v>
      </c>
    </row>
    <row r="12588" spans="1:1" x14ac:dyDescent="0.2">
      <c r="A12588" t="s">
        <v>1072</v>
      </c>
    </row>
    <row r="12589" spans="1:1" x14ac:dyDescent="0.2">
      <c r="A12589" t="s">
        <v>1073</v>
      </c>
    </row>
    <row r="12590" spans="1:1" x14ac:dyDescent="0.2">
      <c r="A12590" t="s">
        <v>1074</v>
      </c>
    </row>
    <row r="12591" spans="1:1" x14ac:dyDescent="0.2">
      <c r="A12591" t="s">
        <v>1075</v>
      </c>
    </row>
    <row r="12592" spans="1:1" x14ac:dyDescent="0.2">
      <c r="A12592" t="s">
        <v>1076</v>
      </c>
    </row>
    <row r="12593" spans="1:1" x14ac:dyDescent="0.2">
      <c r="A12593" t="s">
        <v>1077</v>
      </c>
    </row>
    <row r="12594" spans="1:1" x14ac:dyDescent="0.2">
      <c r="A12594" t="s">
        <v>1078</v>
      </c>
    </row>
    <row r="12595" spans="1:1" x14ac:dyDescent="0.2">
      <c r="A12595" t="s">
        <v>1079</v>
      </c>
    </row>
    <row r="12596" spans="1:1" x14ac:dyDescent="0.2">
      <c r="A12596" t="s">
        <v>1080</v>
      </c>
    </row>
    <row r="12597" spans="1:1" x14ac:dyDescent="0.2">
      <c r="A12597" t="s">
        <v>1081</v>
      </c>
    </row>
    <row r="12598" spans="1:1" x14ac:dyDescent="0.2">
      <c r="A12598" t="s">
        <v>1082</v>
      </c>
    </row>
    <row r="12599" spans="1:1" x14ac:dyDescent="0.2">
      <c r="A12599" t="s">
        <v>1083</v>
      </c>
    </row>
    <row r="12600" spans="1:1" x14ac:dyDescent="0.2">
      <c r="A12600" t="s">
        <v>2771</v>
      </c>
    </row>
    <row r="12601" spans="1:1" x14ac:dyDescent="0.2">
      <c r="A12601" t="s">
        <v>2772</v>
      </c>
    </row>
    <row r="12602" spans="1:1" x14ac:dyDescent="0.2">
      <c r="A12602" t="s">
        <v>2773</v>
      </c>
    </row>
    <row r="12603" spans="1:1" x14ac:dyDescent="0.2">
      <c r="A12603" t="s">
        <v>2774</v>
      </c>
    </row>
    <row r="12604" spans="1:1" x14ac:dyDescent="0.2">
      <c r="A12604" t="s">
        <v>2775</v>
      </c>
    </row>
    <row r="12605" spans="1:1" x14ac:dyDescent="0.2">
      <c r="A12605" t="s">
        <v>2776</v>
      </c>
    </row>
    <row r="12606" spans="1:1" x14ac:dyDescent="0.2">
      <c r="A12606" t="s">
        <v>1084</v>
      </c>
    </row>
    <row r="12607" spans="1:1" x14ac:dyDescent="0.2">
      <c r="A12607" t="s">
        <v>1085</v>
      </c>
    </row>
    <row r="12608" spans="1:1" x14ac:dyDescent="0.2">
      <c r="A12608" t="s">
        <v>1086</v>
      </c>
    </row>
    <row r="12609" spans="1:1" x14ac:dyDescent="0.2">
      <c r="A12609" t="s">
        <v>1087</v>
      </c>
    </row>
    <row r="12610" spans="1:1" x14ac:dyDescent="0.2">
      <c r="A12610" t="s">
        <v>1088</v>
      </c>
    </row>
    <row r="12611" spans="1:1" x14ac:dyDescent="0.2">
      <c r="A12611" t="s">
        <v>1089</v>
      </c>
    </row>
    <row r="12612" spans="1:1" x14ac:dyDescent="0.2">
      <c r="A12612" t="s">
        <v>1090</v>
      </c>
    </row>
    <row r="12613" spans="1:1" x14ac:dyDescent="0.2">
      <c r="A12613" t="s">
        <v>1091</v>
      </c>
    </row>
    <row r="12614" spans="1:1" x14ac:dyDescent="0.2">
      <c r="A12614" t="s">
        <v>1092</v>
      </c>
    </row>
    <row r="12615" spans="1:1" x14ac:dyDescent="0.2">
      <c r="A12615" t="s">
        <v>1093</v>
      </c>
    </row>
    <row r="12616" spans="1:1" x14ac:dyDescent="0.2">
      <c r="A12616" t="s">
        <v>1094</v>
      </c>
    </row>
    <row r="12617" spans="1:1" x14ac:dyDescent="0.2">
      <c r="A12617" t="s">
        <v>1095</v>
      </c>
    </row>
    <row r="12618" spans="1:1" x14ac:dyDescent="0.2">
      <c r="A12618" t="s">
        <v>1096</v>
      </c>
    </row>
    <row r="12619" spans="1:1" x14ac:dyDescent="0.2">
      <c r="A12619" t="s">
        <v>1097</v>
      </c>
    </row>
    <row r="12620" spans="1:1" x14ac:dyDescent="0.2">
      <c r="A12620" t="s">
        <v>1098</v>
      </c>
    </row>
    <row r="12621" spans="1:1" x14ac:dyDescent="0.2">
      <c r="A12621" t="s">
        <v>1099</v>
      </c>
    </row>
    <row r="12622" spans="1:1" x14ac:dyDescent="0.2">
      <c r="A12622" t="s">
        <v>1100</v>
      </c>
    </row>
    <row r="12623" spans="1:1" x14ac:dyDescent="0.2">
      <c r="A12623" t="s">
        <v>1101</v>
      </c>
    </row>
    <row r="12624" spans="1:1" x14ac:dyDescent="0.2">
      <c r="A12624" t="s">
        <v>1102</v>
      </c>
    </row>
    <row r="12625" spans="1:1" x14ac:dyDescent="0.2">
      <c r="A12625" t="s">
        <v>1103</v>
      </c>
    </row>
    <row r="12626" spans="1:1" x14ac:dyDescent="0.2">
      <c r="A12626" t="s">
        <v>1104</v>
      </c>
    </row>
    <row r="12627" spans="1:1" x14ac:dyDescent="0.2">
      <c r="A12627" t="s">
        <v>1105</v>
      </c>
    </row>
    <row r="12628" spans="1:1" x14ac:dyDescent="0.2">
      <c r="A12628" t="s">
        <v>1106</v>
      </c>
    </row>
    <row r="12629" spans="1:1" x14ac:dyDescent="0.2">
      <c r="A12629" t="s">
        <v>1107</v>
      </c>
    </row>
    <row r="12630" spans="1:1" x14ac:dyDescent="0.2">
      <c r="A12630" t="s">
        <v>1108</v>
      </c>
    </row>
    <row r="12631" spans="1:1" x14ac:dyDescent="0.2">
      <c r="A12631" t="s">
        <v>1109</v>
      </c>
    </row>
    <row r="12632" spans="1:1" x14ac:dyDescent="0.2">
      <c r="A12632" t="s">
        <v>1110</v>
      </c>
    </row>
    <row r="12633" spans="1:1" x14ac:dyDescent="0.2">
      <c r="A12633" t="s">
        <v>1111</v>
      </c>
    </row>
    <row r="12634" spans="1:1" x14ac:dyDescent="0.2">
      <c r="A12634" t="s">
        <v>1112</v>
      </c>
    </row>
    <row r="12635" spans="1:1" x14ac:dyDescent="0.2">
      <c r="A12635" t="s">
        <v>1113</v>
      </c>
    </row>
    <row r="12636" spans="1:1" x14ac:dyDescent="0.2">
      <c r="A12636" t="s">
        <v>1114</v>
      </c>
    </row>
    <row r="12637" spans="1:1" x14ac:dyDescent="0.2">
      <c r="A12637" t="s">
        <v>1115</v>
      </c>
    </row>
    <row r="12638" spans="1:1" x14ac:dyDescent="0.2">
      <c r="A12638" t="s">
        <v>1116</v>
      </c>
    </row>
    <row r="12639" spans="1:1" x14ac:dyDescent="0.2">
      <c r="A12639" t="s">
        <v>1117</v>
      </c>
    </row>
    <row r="12640" spans="1:1" x14ac:dyDescent="0.2">
      <c r="A12640" t="s">
        <v>1118</v>
      </c>
    </row>
    <row r="12641" spans="1:1" x14ac:dyDescent="0.2">
      <c r="A12641" t="s">
        <v>1119</v>
      </c>
    </row>
    <row r="12642" spans="1:1" x14ac:dyDescent="0.2">
      <c r="A12642" t="s">
        <v>1120</v>
      </c>
    </row>
    <row r="12643" spans="1:1" x14ac:dyDescent="0.2">
      <c r="A12643" t="s">
        <v>1288</v>
      </c>
    </row>
    <row r="12644" spans="1:1" x14ac:dyDescent="0.2">
      <c r="A12644" t="s">
        <v>3069</v>
      </c>
    </row>
    <row r="12645" spans="1:1" x14ac:dyDescent="0.2">
      <c r="A12645" t="s">
        <v>3070</v>
      </c>
    </row>
    <row r="12646" spans="1:1" x14ac:dyDescent="0.2">
      <c r="A12646" t="s">
        <v>2967</v>
      </c>
    </row>
    <row r="12647" spans="1:1" x14ac:dyDescent="0.2">
      <c r="A12647" t="s">
        <v>2968</v>
      </c>
    </row>
    <row r="12648" spans="1:1" x14ac:dyDescent="0.2">
      <c r="A12648" t="s">
        <v>1289</v>
      </c>
    </row>
    <row r="12649" spans="1:1" x14ac:dyDescent="0.2">
      <c r="A12649" t="s">
        <v>2781</v>
      </c>
    </row>
    <row r="12650" spans="1:1" x14ac:dyDescent="0.2">
      <c r="A12650" t="s">
        <v>3071</v>
      </c>
    </row>
    <row r="12651" spans="1:1" x14ac:dyDescent="0.2">
      <c r="A12651" t="s">
        <v>1122</v>
      </c>
    </row>
    <row r="12652" spans="1:1" x14ac:dyDescent="0.2">
      <c r="A12652" t="s">
        <v>1123</v>
      </c>
    </row>
    <row r="12653" spans="1:1" x14ac:dyDescent="0.2">
      <c r="A12653" t="s">
        <v>1124</v>
      </c>
    </row>
    <row r="12654" spans="1:1" x14ac:dyDescent="0.2">
      <c r="A12654" t="s">
        <v>1125</v>
      </c>
    </row>
    <row r="12655" spans="1:1" x14ac:dyDescent="0.2">
      <c r="A12655" t="s">
        <v>1126</v>
      </c>
    </row>
    <row r="12656" spans="1:1" x14ac:dyDescent="0.2">
      <c r="A12656" t="s">
        <v>1127</v>
      </c>
    </row>
    <row r="12657" spans="1:1" x14ac:dyDescent="0.2">
      <c r="A12657" t="s">
        <v>1128</v>
      </c>
    </row>
    <row r="12658" spans="1:1" x14ac:dyDescent="0.2">
      <c r="A12658" t="s">
        <v>1129</v>
      </c>
    </row>
    <row r="12659" spans="1:1" x14ac:dyDescent="0.2">
      <c r="A12659" t="s">
        <v>1130</v>
      </c>
    </row>
    <row r="12660" spans="1:1" x14ac:dyDescent="0.2">
      <c r="A12660" t="s">
        <v>1131</v>
      </c>
    </row>
    <row r="12661" spans="1:1" x14ac:dyDescent="0.2">
      <c r="A12661" t="s">
        <v>1132</v>
      </c>
    </row>
    <row r="12662" spans="1:1" x14ac:dyDescent="0.2">
      <c r="A12662" t="s">
        <v>1133</v>
      </c>
    </row>
    <row r="12663" spans="1:1" x14ac:dyDescent="0.2">
      <c r="A12663" t="s">
        <v>1134</v>
      </c>
    </row>
    <row r="12664" spans="1:1" x14ac:dyDescent="0.2">
      <c r="A12664" t="s">
        <v>1135</v>
      </c>
    </row>
    <row r="12665" spans="1:1" x14ac:dyDescent="0.2">
      <c r="A12665" t="s">
        <v>1136</v>
      </c>
    </row>
    <row r="12666" spans="1:1" x14ac:dyDescent="0.2">
      <c r="A12666" t="s">
        <v>1137</v>
      </c>
    </row>
    <row r="12667" spans="1:1" x14ac:dyDescent="0.2">
      <c r="A12667" t="s">
        <v>1138</v>
      </c>
    </row>
    <row r="12668" spans="1:1" x14ac:dyDescent="0.2">
      <c r="A12668" t="s">
        <v>1139</v>
      </c>
    </row>
    <row r="12669" spans="1:1" x14ac:dyDescent="0.2">
      <c r="A12669" t="s">
        <v>1140</v>
      </c>
    </row>
    <row r="12670" spans="1:1" x14ac:dyDescent="0.2">
      <c r="A12670" t="s">
        <v>1141</v>
      </c>
    </row>
    <row r="12671" spans="1:1" x14ac:dyDescent="0.2">
      <c r="A12671" t="s">
        <v>1142</v>
      </c>
    </row>
    <row r="12672" spans="1:1" x14ac:dyDescent="0.2">
      <c r="A12672" t="s">
        <v>1143</v>
      </c>
    </row>
    <row r="12673" spans="1:1" x14ac:dyDescent="0.2">
      <c r="A12673" t="s">
        <v>1144</v>
      </c>
    </row>
    <row r="12674" spans="1:1" x14ac:dyDescent="0.2">
      <c r="A12674" t="s">
        <v>1145</v>
      </c>
    </row>
    <row r="12675" spans="1:1" x14ac:dyDescent="0.2">
      <c r="A12675" t="s">
        <v>1146</v>
      </c>
    </row>
    <row r="12676" spans="1:1" x14ac:dyDescent="0.2">
      <c r="A12676" t="s">
        <v>1147</v>
      </c>
    </row>
    <row r="12677" spans="1:1" x14ac:dyDescent="0.2">
      <c r="A12677" t="s">
        <v>1148</v>
      </c>
    </row>
    <row r="12678" spans="1:1" x14ac:dyDescent="0.2">
      <c r="A12678" t="s">
        <v>1149</v>
      </c>
    </row>
    <row r="12679" spans="1:1" x14ac:dyDescent="0.2">
      <c r="A12679" t="s">
        <v>1150</v>
      </c>
    </row>
    <row r="12680" spans="1:1" x14ac:dyDescent="0.2">
      <c r="A12680" t="s">
        <v>1151</v>
      </c>
    </row>
    <row r="12681" spans="1:1" x14ac:dyDescent="0.2">
      <c r="A12681" t="s">
        <v>1152</v>
      </c>
    </row>
    <row r="12682" spans="1:1" x14ac:dyDescent="0.2">
      <c r="A12682" t="s">
        <v>1153</v>
      </c>
    </row>
    <row r="12683" spans="1:1" x14ac:dyDescent="0.2">
      <c r="A12683" t="s">
        <v>1154</v>
      </c>
    </row>
    <row r="12684" spans="1:1" x14ac:dyDescent="0.2">
      <c r="A12684" t="s">
        <v>1155</v>
      </c>
    </row>
    <row r="12685" spans="1:1" x14ac:dyDescent="0.2">
      <c r="A12685" t="s">
        <v>1156</v>
      </c>
    </row>
    <row r="12686" spans="1:1" x14ac:dyDescent="0.2">
      <c r="A12686" t="s">
        <v>1157</v>
      </c>
    </row>
    <row r="12687" spans="1:1" x14ac:dyDescent="0.2">
      <c r="A12687" t="s">
        <v>1158</v>
      </c>
    </row>
    <row r="12688" spans="1:1" x14ac:dyDescent="0.2">
      <c r="A12688" t="s">
        <v>1159</v>
      </c>
    </row>
    <row r="12689" spans="1:1" x14ac:dyDescent="0.2">
      <c r="A12689" t="s">
        <v>1160</v>
      </c>
    </row>
    <row r="12690" spans="1:1" x14ac:dyDescent="0.2">
      <c r="A12690" t="s">
        <v>1161</v>
      </c>
    </row>
    <row r="12691" spans="1:1" x14ac:dyDescent="0.2">
      <c r="A12691" t="s">
        <v>1162</v>
      </c>
    </row>
    <row r="12692" spans="1:1" x14ac:dyDescent="0.2">
      <c r="A12692" t="s">
        <v>1163</v>
      </c>
    </row>
    <row r="12693" spans="1:1" x14ac:dyDescent="0.2">
      <c r="A12693" t="s">
        <v>1164</v>
      </c>
    </row>
    <row r="12694" spans="1:1" x14ac:dyDescent="0.2">
      <c r="A12694" t="s">
        <v>1165</v>
      </c>
    </row>
    <row r="12695" spans="1:1" x14ac:dyDescent="0.2">
      <c r="A12695" t="s">
        <v>1166</v>
      </c>
    </row>
    <row r="12696" spans="1:1" x14ac:dyDescent="0.2">
      <c r="A12696" t="s">
        <v>1167</v>
      </c>
    </row>
    <row r="12697" spans="1:1" x14ac:dyDescent="0.2">
      <c r="A12697" t="s">
        <v>1168</v>
      </c>
    </row>
    <row r="12698" spans="1:1" x14ac:dyDescent="0.2">
      <c r="A12698" t="s">
        <v>1169</v>
      </c>
    </row>
    <row r="12699" spans="1:1" x14ac:dyDescent="0.2">
      <c r="A12699" t="s">
        <v>1170</v>
      </c>
    </row>
    <row r="12700" spans="1:1" x14ac:dyDescent="0.2">
      <c r="A12700" t="s">
        <v>1171</v>
      </c>
    </row>
    <row r="12701" spans="1:1" x14ac:dyDescent="0.2">
      <c r="A12701" t="s">
        <v>1172</v>
      </c>
    </row>
    <row r="12702" spans="1:1" x14ac:dyDescent="0.2">
      <c r="A12702" t="s">
        <v>1173</v>
      </c>
    </row>
    <row r="12703" spans="1:1" x14ac:dyDescent="0.2">
      <c r="A12703" t="s">
        <v>1174</v>
      </c>
    </row>
    <row r="12704" spans="1:1" x14ac:dyDescent="0.2">
      <c r="A12704" t="s">
        <v>1175</v>
      </c>
    </row>
    <row r="12705" spans="1:1" x14ac:dyDescent="0.2">
      <c r="A12705" t="s">
        <v>1176</v>
      </c>
    </row>
    <row r="12706" spans="1:1" x14ac:dyDescent="0.2">
      <c r="A12706" t="s">
        <v>1177</v>
      </c>
    </row>
    <row r="12707" spans="1:1" x14ac:dyDescent="0.2">
      <c r="A12707" t="s">
        <v>1178</v>
      </c>
    </row>
    <row r="12708" spans="1:1" x14ac:dyDescent="0.2">
      <c r="A12708" t="s">
        <v>1179</v>
      </c>
    </row>
    <row r="12709" spans="1:1" x14ac:dyDescent="0.2">
      <c r="A12709" t="s">
        <v>1180</v>
      </c>
    </row>
    <row r="12710" spans="1:1" x14ac:dyDescent="0.2">
      <c r="A12710" t="s">
        <v>1181</v>
      </c>
    </row>
    <row r="12711" spans="1:1" x14ac:dyDescent="0.2">
      <c r="A12711" t="s">
        <v>1182</v>
      </c>
    </row>
    <row r="12712" spans="1:1" x14ac:dyDescent="0.2">
      <c r="A12712" t="s">
        <v>1183</v>
      </c>
    </row>
    <row r="12713" spans="1:1" x14ac:dyDescent="0.2">
      <c r="A12713" t="s">
        <v>1184</v>
      </c>
    </row>
    <row r="12714" spans="1:1" x14ac:dyDescent="0.2">
      <c r="A12714" t="s">
        <v>1185</v>
      </c>
    </row>
    <row r="12715" spans="1:1" x14ac:dyDescent="0.2">
      <c r="A12715" t="s">
        <v>1186</v>
      </c>
    </row>
    <row r="12716" spans="1:1" x14ac:dyDescent="0.2">
      <c r="A12716" t="s">
        <v>1187</v>
      </c>
    </row>
    <row r="12717" spans="1:1" x14ac:dyDescent="0.2">
      <c r="A12717" t="s">
        <v>1188</v>
      </c>
    </row>
    <row r="12718" spans="1:1" x14ac:dyDescent="0.2">
      <c r="A12718" t="s">
        <v>1189</v>
      </c>
    </row>
    <row r="12719" spans="1:1" x14ac:dyDescent="0.2">
      <c r="A12719" t="s">
        <v>1190</v>
      </c>
    </row>
    <row r="12720" spans="1:1" x14ac:dyDescent="0.2">
      <c r="A12720" t="s">
        <v>1191</v>
      </c>
    </row>
    <row r="12721" spans="1:1" x14ac:dyDescent="0.2">
      <c r="A12721" t="s">
        <v>1192</v>
      </c>
    </row>
    <row r="12722" spans="1:1" x14ac:dyDescent="0.2">
      <c r="A12722" t="s">
        <v>1193</v>
      </c>
    </row>
    <row r="12723" spans="1:1" x14ac:dyDescent="0.2">
      <c r="A12723" t="s">
        <v>1194</v>
      </c>
    </row>
    <row r="12724" spans="1:1" x14ac:dyDescent="0.2">
      <c r="A12724" t="s">
        <v>1195</v>
      </c>
    </row>
    <row r="12725" spans="1:1" x14ac:dyDescent="0.2">
      <c r="A12725" t="s">
        <v>1196</v>
      </c>
    </row>
    <row r="12726" spans="1:1" x14ac:dyDescent="0.2">
      <c r="A12726" t="s">
        <v>1197</v>
      </c>
    </row>
    <row r="12727" spans="1:1" x14ac:dyDescent="0.2">
      <c r="A12727" t="s">
        <v>1198</v>
      </c>
    </row>
    <row r="12728" spans="1:1" x14ac:dyDescent="0.2">
      <c r="A12728" t="s">
        <v>1199</v>
      </c>
    </row>
    <row r="12729" spans="1:1" x14ac:dyDescent="0.2">
      <c r="A12729" t="s">
        <v>1200</v>
      </c>
    </row>
    <row r="12730" spans="1:1" x14ac:dyDescent="0.2">
      <c r="A12730" t="s">
        <v>1201</v>
      </c>
    </row>
    <row r="12731" spans="1:1" x14ac:dyDescent="0.2">
      <c r="A12731" t="s">
        <v>1202</v>
      </c>
    </row>
    <row r="12732" spans="1:1" x14ac:dyDescent="0.2">
      <c r="A12732" t="s">
        <v>1203</v>
      </c>
    </row>
    <row r="12733" spans="1:1" x14ac:dyDescent="0.2">
      <c r="A12733" t="s">
        <v>1204</v>
      </c>
    </row>
    <row r="12734" spans="1:1" x14ac:dyDescent="0.2">
      <c r="A12734" t="s">
        <v>1205</v>
      </c>
    </row>
    <row r="12735" spans="1:1" x14ac:dyDescent="0.2">
      <c r="A12735" t="s">
        <v>1206</v>
      </c>
    </row>
    <row r="12736" spans="1:1" x14ac:dyDescent="0.2">
      <c r="A12736" t="s">
        <v>1207</v>
      </c>
    </row>
    <row r="12737" spans="1:1" x14ac:dyDescent="0.2">
      <c r="A12737" t="s">
        <v>1208</v>
      </c>
    </row>
    <row r="12738" spans="1:1" x14ac:dyDescent="0.2">
      <c r="A12738" t="s">
        <v>1209</v>
      </c>
    </row>
    <row r="12739" spans="1:1" x14ac:dyDescent="0.2">
      <c r="A12739" t="s">
        <v>1210</v>
      </c>
    </row>
    <row r="12740" spans="1:1" x14ac:dyDescent="0.2">
      <c r="A12740" t="s">
        <v>1211</v>
      </c>
    </row>
    <row r="12741" spans="1:1" x14ac:dyDescent="0.2">
      <c r="A12741" t="s">
        <v>1212</v>
      </c>
    </row>
    <row r="12742" spans="1:1" x14ac:dyDescent="0.2">
      <c r="A12742" t="s">
        <v>1213</v>
      </c>
    </row>
    <row r="12743" spans="1:1" x14ac:dyDescent="0.2">
      <c r="A12743" t="s">
        <v>1214</v>
      </c>
    </row>
    <row r="12744" spans="1:1" x14ac:dyDescent="0.2">
      <c r="A12744" t="s">
        <v>1215</v>
      </c>
    </row>
    <row r="12745" spans="1:1" x14ac:dyDescent="0.2">
      <c r="A12745" t="s">
        <v>1216</v>
      </c>
    </row>
    <row r="12746" spans="1:1" x14ac:dyDescent="0.2">
      <c r="A12746" t="s">
        <v>1217</v>
      </c>
    </row>
    <row r="12747" spans="1:1" x14ac:dyDescent="0.2">
      <c r="A12747" t="s">
        <v>1218</v>
      </c>
    </row>
    <row r="12748" spans="1:1" x14ac:dyDescent="0.2">
      <c r="A12748" t="s">
        <v>1219</v>
      </c>
    </row>
    <row r="12749" spans="1:1" x14ac:dyDescent="0.2">
      <c r="A12749" t="s">
        <v>1220</v>
      </c>
    </row>
    <row r="12750" spans="1:1" x14ac:dyDescent="0.2">
      <c r="A12750" t="s">
        <v>1221</v>
      </c>
    </row>
    <row r="12751" spans="1:1" x14ac:dyDescent="0.2">
      <c r="A12751" t="s">
        <v>1222</v>
      </c>
    </row>
    <row r="12752" spans="1:1" x14ac:dyDescent="0.2">
      <c r="A12752" t="s">
        <v>1223</v>
      </c>
    </row>
    <row r="12753" spans="1:1" x14ac:dyDescent="0.2">
      <c r="A12753" t="s">
        <v>1224</v>
      </c>
    </row>
    <row r="12754" spans="1:1" x14ac:dyDescent="0.2">
      <c r="A12754" t="s">
        <v>1225</v>
      </c>
    </row>
    <row r="12755" spans="1:1" x14ac:dyDescent="0.2">
      <c r="A12755" t="s">
        <v>1226</v>
      </c>
    </row>
    <row r="12756" spans="1:1" x14ac:dyDescent="0.2">
      <c r="A12756" t="s">
        <v>1227</v>
      </c>
    </row>
    <row r="12757" spans="1:1" x14ac:dyDescent="0.2">
      <c r="A12757" t="s">
        <v>1228</v>
      </c>
    </row>
    <row r="12758" spans="1:1" x14ac:dyDescent="0.2">
      <c r="A12758" t="s">
        <v>1229</v>
      </c>
    </row>
    <row r="12759" spans="1:1" x14ac:dyDescent="0.2">
      <c r="A12759" t="s">
        <v>1230</v>
      </c>
    </row>
    <row r="12760" spans="1:1" x14ac:dyDescent="0.2">
      <c r="A12760" t="s">
        <v>1231</v>
      </c>
    </row>
    <row r="12761" spans="1:1" x14ac:dyDescent="0.2">
      <c r="A12761" t="s">
        <v>1232</v>
      </c>
    </row>
    <row r="12762" spans="1:1" x14ac:dyDescent="0.2">
      <c r="A12762" t="s">
        <v>1233</v>
      </c>
    </row>
    <row r="12763" spans="1:1" x14ac:dyDescent="0.2">
      <c r="A12763" t="s">
        <v>1234</v>
      </c>
    </row>
    <row r="12764" spans="1:1" x14ac:dyDescent="0.2">
      <c r="A12764" t="s">
        <v>1235</v>
      </c>
    </row>
    <row r="12765" spans="1:1" x14ac:dyDescent="0.2">
      <c r="A12765" t="s">
        <v>1236</v>
      </c>
    </row>
    <row r="12766" spans="1:1" x14ac:dyDescent="0.2">
      <c r="A12766" t="s">
        <v>1237</v>
      </c>
    </row>
    <row r="12767" spans="1:1" x14ac:dyDescent="0.2">
      <c r="A12767" t="s">
        <v>1238</v>
      </c>
    </row>
    <row r="12768" spans="1:1" x14ac:dyDescent="0.2">
      <c r="A12768" t="s">
        <v>1239</v>
      </c>
    </row>
    <row r="12769" spans="1:1" x14ac:dyDescent="0.2">
      <c r="A12769" t="s">
        <v>1240</v>
      </c>
    </row>
    <row r="12770" spans="1:1" x14ac:dyDescent="0.2">
      <c r="A12770" t="s">
        <v>1241</v>
      </c>
    </row>
    <row r="12771" spans="1:1" x14ac:dyDescent="0.2">
      <c r="A12771" t="s">
        <v>1242</v>
      </c>
    </row>
    <row r="12772" spans="1:1" x14ac:dyDescent="0.2">
      <c r="A12772" t="s">
        <v>1243</v>
      </c>
    </row>
    <row r="12773" spans="1:1" x14ac:dyDescent="0.2">
      <c r="A12773" t="s">
        <v>1244</v>
      </c>
    </row>
    <row r="12774" spans="1:1" x14ac:dyDescent="0.2">
      <c r="A12774" t="s">
        <v>1245</v>
      </c>
    </row>
    <row r="12775" spans="1:1" x14ac:dyDescent="0.2">
      <c r="A12775" t="s">
        <v>1246</v>
      </c>
    </row>
    <row r="12776" spans="1:1" x14ac:dyDescent="0.2">
      <c r="A12776" t="s">
        <v>1247</v>
      </c>
    </row>
    <row r="12777" spans="1:1" x14ac:dyDescent="0.2">
      <c r="A12777" t="s">
        <v>1248</v>
      </c>
    </row>
    <row r="12778" spans="1:1" x14ac:dyDescent="0.2">
      <c r="A12778" t="s">
        <v>1249</v>
      </c>
    </row>
    <row r="12779" spans="1:1" x14ac:dyDescent="0.2">
      <c r="A12779" t="s">
        <v>1250</v>
      </c>
    </row>
    <row r="12780" spans="1:1" x14ac:dyDescent="0.2">
      <c r="A12780" t="s">
        <v>1251</v>
      </c>
    </row>
    <row r="12781" spans="1:1" x14ac:dyDescent="0.2">
      <c r="A12781" t="s">
        <v>1252</v>
      </c>
    </row>
    <row r="12782" spans="1:1" x14ac:dyDescent="0.2">
      <c r="A12782" t="s">
        <v>1253</v>
      </c>
    </row>
    <row r="12783" spans="1:1" x14ac:dyDescent="0.2">
      <c r="A12783" t="s">
        <v>1254</v>
      </c>
    </row>
    <row r="12784" spans="1:1" x14ac:dyDescent="0.2">
      <c r="A12784" t="s">
        <v>1255</v>
      </c>
    </row>
    <row r="12785" spans="1:1" x14ac:dyDescent="0.2">
      <c r="A12785" t="s">
        <v>1256</v>
      </c>
    </row>
    <row r="12786" spans="1:1" x14ac:dyDescent="0.2">
      <c r="A12786" t="s">
        <v>1257</v>
      </c>
    </row>
    <row r="12787" spans="1:1" x14ac:dyDescent="0.2">
      <c r="A12787" t="s">
        <v>1258</v>
      </c>
    </row>
    <row r="12788" spans="1:1" x14ac:dyDescent="0.2">
      <c r="A12788" t="s">
        <v>1259</v>
      </c>
    </row>
    <row r="12789" spans="1:1" x14ac:dyDescent="0.2">
      <c r="A12789" t="s">
        <v>1260</v>
      </c>
    </row>
    <row r="12790" spans="1:1" x14ac:dyDescent="0.2">
      <c r="A12790" t="s">
        <v>1261</v>
      </c>
    </row>
    <row r="12791" spans="1:1" x14ac:dyDescent="0.2">
      <c r="A12791" t="s">
        <v>1262</v>
      </c>
    </row>
    <row r="12792" spans="1:1" x14ac:dyDescent="0.2">
      <c r="A12792" t="s">
        <v>1263</v>
      </c>
    </row>
    <row r="12793" spans="1:1" x14ac:dyDescent="0.2">
      <c r="A12793" t="s">
        <v>1264</v>
      </c>
    </row>
    <row r="12794" spans="1:1" x14ac:dyDescent="0.2">
      <c r="A12794" t="s">
        <v>1265</v>
      </c>
    </row>
    <row r="12795" spans="1:1" x14ac:dyDescent="0.2">
      <c r="A12795" t="s">
        <v>1266</v>
      </c>
    </row>
    <row r="12796" spans="1:1" x14ac:dyDescent="0.2">
      <c r="A12796" t="s">
        <v>1267</v>
      </c>
    </row>
    <row r="12797" spans="1:1" x14ac:dyDescent="0.2">
      <c r="A12797" t="s">
        <v>1268</v>
      </c>
    </row>
    <row r="12798" spans="1:1" x14ac:dyDescent="0.2">
      <c r="A12798" t="s">
        <v>1269</v>
      </c>
    </row>
    <row r="12799" spans="1:1" x14ac:dyDescent="0.2">
      <c r="A12799" t="s">
        <v>1270</v>
      </c>
    </row>
    <row r="12800" spans="1:1" x14ac:dyDescent="0.2">
      <c r="A12800" t="s">
        <v>1271</v>
      </c>
    </row>
    <row r="12801" spans="1:1" x14ac:dyDescent="0.2">
      <c r="A12801" t="s">
        <v>1272</v>
      </c>
    </row>
    <row r="12802" spans="1:1" x14ac:dyDescent="0.2">
      <c r="A12802" t="s">
        <v>1273</v>
      </c>
    </row>
    <row r="12803" spans="1:1" x14ac:dyDescent="0.2">
      <c r="A12803" t="s">
        <v>1274</v>
      </c>
    </row>
    <row r="12804" spans="1:1" x14ac:dyDescent="0.2">
      <c r="A12804" t="s">
        <v>1275</v>
      </c>
    </row>
    <row r="12805" spans="1:1" x14ac:dyDescent="0.2">
      <c r="A12805" t="s">
        <v>1276</v>
      </c>
    </row>
    <row r="12806" spans="1:1" x14ac:dyDescent="0.2">
      <c r="A12806" t="s">
        <v>1277</v>
      </c>
    </row>
    <row r="12807" spans="1:1" x14ac:dyDescent="0.2">
      <c r="A12807" t="s">
        <v>1278</v>
      </c>
    </row>
    <row r="12808" spans="1:1" x14ac:dyDescent="0.2">
      <c r="A12808" t="s">
        <v>1279</v>
      </c>
    </row>
    <row r="12809" spans="1:1" x14ac:dyDescent="0.2">
      <c r="A12809" t="s">
        <v>1280</v>
      </c>
    </row>
    <row r="12810" spans="1:1" x14ac:dyDescent="0.2">
      <c r="A12810" t="s">
        <v>1281</v>
      </c>
    </row>
    <row r="12811" spans="1:1" x14ac:dyDescent="0.2">
      <c r="A12811" t="s">
        <v>1282</v>
      </c>
    </row>
    <row r="12812" spans="1:1" x14ac:dyDescent="0.2">
      <c r="A12812" t="s">
        <v>1283</v>
      </c>
    </row>
    <row r="12813" spans="1:1" x14ac:dyDescent="0.2">
      <c r="A12813" t="s">
        <v>1284</v>
      </c>
    </row>
    <row r="12814" spans="1:1" x14ac:dyDescent="0.2">
      <c r="A12814" t="s">
        <v>1285</v>
      </c>
    </row>
    <row r="12815" spans="1:1" x14ac:dyDescent="0.2">
      <c r="A12815" t="s">
        <v>1286</v>
      </c>
    </row>
    <row r="12816" spans="1:1" x14ac:dyDescent="0.2">
      <c r="A12816" t="s">
        <v>3072</v>
      </c>
    </row>
    <row r="12817" spans="1:1" x14ac:dyDescent="0.2">
      <c r="A12817" t="s">
        <v>1053</v>
      </c>
    </row>
    <row r="12818" spans="1:1" x14ac:dyDescent="0.2">
      <c r="A12818" t="s">
        <v>3073</v>
      </c>
    </row>
    <row r="12819" spans="1:1" x14ac:dyDescent="0.2">
      <c r="A12819" t="s">
        <v>2768</v>
      </c>
    </row>
    <row r="12820" spans="1:1" x14ac:dyDescent="0.2">
      <c r="A12820" t="s">
        <v>2769</v>
      </c>
    </row>
    <row r="12821" spans="1:1" x14ac:dyDescent="0.2">
      <c r="A12821" t="s">
        <v>1054</v>
      </c>
    </row>
    <row r="12822" spans="1:1" x14ac:dyDescent="0.2">
      <c r="A12822" t="s">
        <v>1055</v>
      </c>
    </row>
    <row r="12823" spans="1:1" x14ac:dyDescent="0.2">
      <c r="A12823" t="s">
        <v>2807</v>
      </c>
    </row>
    <row r="12824" spans="1:1" x14ac:dyDescent="0.2">
      <c r="A12824" t="s">
        <v>1056</v>
      </c>
    </row>
    <row r="12825" spans="1:1" x14ac:dyDescent="0.2">
      <c r="A12825" t="s">
        <v>1057</v>
      </c>
    </row>
    <row r="12826" spans="1:1" x14ac:dyDescent="0.2">
      <c r="A12826" t="s">
        <v>1058</v>
      </c>
    </row>
    <row r="12827" spans="1:1" x14ac:dyDescent="0.2">
      <c r="A12827" t="s">
        <v>1059</v>
      </c>
    </row>
    <row r="12828" spans="1:1" x14ac:dyDescent="0.2">
      <c r="A12828" t="s">
        <v>1060</v>
      </c>
    </row>
    <row r="12829" spans="1:1" x14ac:dyDescent="0.2">
      <c r="A12829" t="s">
        <v>1061</v>
      </c>
    </row>
    <row r="12830" spans="1:1" x14ac:dyDescent="0.2">
      <c r="A12830" t="s">
        <v>1062</v>
      </c>
    </row>
    <row r="12831" spans="1:1" x14ac:dyDescent="0.2">
      <c r="A12831" t="s">
        <v>1063</v>
      </c>
    </row>
    <row r="12832" spans="1:1" x14ac:dyDescent="0.2">
      <c r="A12832" t="s">
        <v>1064</v>
      </c>
    </row>
    <row r="12833" spans="1:1" x14ac:dyDescent="0.2">
      <c r="A12833" t="s">
        <v>1065</v>
      </c>
    </row>
    <row r="12834" spans="1:1" x14ac:dyDescent="0.2">
      <c r="A12834" t="s">
        <v>1066</v>
      </c>
    </row>
    <row r="12835" spans="1:1" x14ac:dyDescent="0.2">
      <c r="A12835" t="s">
        <v>1067</v>
      </c>
    </row>
    <row r="12836" spans="1:1" x14ac:dyDescent="0.2">
      <c r="A12836" t="s">
        <v>1068</v>
      </c>
    </row>
    <row r="12837" spans="1:1" x14ac:dyDescent="0.2">
      <c r="A12837" t="s">
        <v>1069</v>
      </c>
    </row>
    <row r="12838" spans="1:1" x14ac:dyDescent="0.2">
      <c r="A12838" t="s">
        <v>1070</v>
      </c>
    </row>
    <row r="12839" spans="1:1" x14ac:dyDescent="0.2">
      <c r="A12839" t="s">
        <v>1071</v>
      </c>
    </row>
    <row r="12840" spans="1:1" x14ac:dyDescent="0.2">
      <c r="A12840" t="s">
        <v>1072</v>
      </c>
    </row>
    <row r="12841" spans="1:1" x14ac:dyDescent="0.2">
      <c r="A12841" t="s">
        <v>1073</v>
      </c>
    </row>
    <row r="12842" spans="1:1" x14ac:dyDescent="0.2">
      <c r="A12842" t="s">
        <v>1074</v>
      </c>
    </row>
    <row r="12843" spans="1:1" x14ac:dyDescent="0.2">
      <c r="A12843" t="s">
        <v>1075</v>
      </c>
    </row>
    <row r="12844" spans="1:1" x14ac:dyDescent="0.2">
      <c r="A12844" t="s">
        <v>1076</v>
      </c>
    </row>
    <row r="12845" spans="1:1" x14ac:dyDescent="0.2">
      <c r="A12845" t="s">
        <v>1077</v>
      </c>
    </row>
    <row r="12846" spans="1:1" x14ac:dyDescent="0.2">
      <c r="A12846" t="s">
        <v>1078</v>
      </c>
    </row>
    <row r="12847" spans="1:1" x14ac:dyDescent="0.2">
      <c r="A12847" t="s">
        <v>1079</v>
      </c>
    </row>
    <row r="12848" spans="1:1" x14ac:dyDescent="0.2">
      <c r="A12848" t="s">
        <v>1080</v>
      </c>
    </row>
    <row r="12849" spans="1:1" x14ac:dyDescent="0.2">
      <c r="A12849" t="s">
        <v>1081</v>
      </c>
    </row>
    <row r="12850" spans="1:1" x14ac:dyDescent="0.2">
      <c r="A12850" t="s">
        <v>1082</v>
      </c>
    </row>
    <row r="12851" spans="1:1" x14ac:dyDescent="0.2">
      <c r="A12851" t="s">
        <v>1083</v>
      </c>
    </row>
    <row r="12852" spans="1:1" x14ac:dyDescent="0.2">
      <c r="A12852" t="s">
        <v>2771</v>
      </c>
    </row>
    <row r="12853" spans="1:1" x14ac:dyDescent="0.2">
      <c r="A12853" t="s">
        <v>2772</v>
      </c>
    </row>
    <row r="12854" spans="1:1" x14ac:dyDescent="0.2">
      <c r="A12854" t="s">
        <v>2773</v>
      </c>
    </row>
    <row r="12855" spans="1:1" x14ac:dyDescent="0.2">
      <c r="A12855" t="s">
        <v>2774</v>
      </c>
    </row>
    <row r="12856" spans="1:1" x14ac:dyDescent="0.2">
      <c r="A12856" t="s">
        <v>2775</v>
      </c>
    </row>
    <row r="12857" spans="1:1" x14ac:dyDescent="0.2">
      <c r="A12857" t="s">
        <v>2776</v>
      </c>
    </row>
    <row r="12858" spans="1:1" x14ac:dyDescent="0.2">
      <c r="A12858" t="s">
        <v>1084</v>
      </c>
    </row>
    <row r="12859" spans="1:1" x14ac:dyDescent="0.2">
      <c r="A12859" t="s">
        <v>1085</v>
      </c>
    </row>
    <row r="12860" spans="1:1" x14ac:dyDescent="0.2">
      <c r="A12860" t="s">
        <v>1086</v>
      </c>
    </row>
    <row r="12861" spans="1:1" x14ac:dyDescent="0.2">
      <c r="A12861" t="s">
        <v>1087</v>
      </c>
    </row>
    <row r="12862" spans="1:1" x14ac:dyDescent="0.2">
      <c r="A12862" t="s">
        <v>1088</v>
      </c>
    </row>
    <row r="12863" spans="1:1" x14ac:dyDescent="0.2">
      <c r="A12863" t="s">
        <v>1089</v>
      </c>
    </row>
    <row r="12864" spans="1:1" x14ac:dyDescent="0.2">
      <c r="A12864" t="s">
        <v>1090</v>
      </c>
    </row>
    <row r="12865" spans="1:1" x14ac:dyDescent="0.2">
      <c r="A12865" t="s">
        <v>1091</v>
      </c>
    </row>
    <row r="12866" spans="1:1" x14ac:dyDescent="0.2">
      <c r="A12866" t="s">
        <v>1092</v>
      </c>
    </row>
    <row r="12867" spans="1:1" x14ac:dyDescent="0.2">
      <c r="A12867" t="s">
        <v>1093</v>
      </c>
    </row>
    <row r="12868" spans="1:1" x14ac:dyDescent="0.2">
      <c r="A12868" t="s">
        <v>1094</v>
      </c>
    </row>
    <row r="12869" spans="1:1" x14ac:dyDescent="0.2">
      <c r="A12869" t="s">
        <v>1095</v>
      </c>
    </row>
    <row r="12870" spans="1:1" x14ac:dyDescent="0.2">
      <c r="A12870" t="s">
        <v>1096</v>
      </c>
    </row>
    <row r="12871" spans="1:1" x14ac:dyDescent="0.2">
      <c r="A12871" t="s">
        <v>1097</v>
      </c>
    </row>
    <row r="12872" spans="1:1" x14ac:dyDescent="0.2">
      <c r="A12872" t="s">
        <v>1098</v>
      </c>
    </row>
    <row r="12873" spans="1:1" x14ac:dyDescent="0.2">
      <c r="A12873" t="s">
        <v>1099</v>
      </c>
    </row>
    <row r="12874" spans="1:1" x14ac:dyDescent="0.2">
      <c r="A12874" t="s">
        <v>1100</v>
      </c>
    </row>
    <row r="12875" spans="1:1" x14ac:dyDescent="0.2">
      <c r="A12875" t="s">
        <v>1101</v>
      </c>
    </row>
    <row r="12876" spans="1:1" x14ac:dyDescent="0.2">
      <c r="A12876" t="s">
        <v>1102</v>
      </c>
    </row>
    <row r="12877" spans="1:1" x14ac:dyDescent="0.2">
      <c r="A12877" t="s">
        <v>1103</v>
      </c>
    </row>
    <row r="12878" spans="1:1" x14ac:dyDescent="0.2">
      <c r="A12878" t="s">
        <v>1104</v>
      </c>
    </row>
    <row r="12879" spans="1:1" x14ac:dyDescent="0.2">
      <c r="A12879" t="s">
        <v>1105</v>
      </c>
    </row>
    <row r="12880" spans="1:1" x14ac:dyDescent="0.2">
      <c r="A12880" t="s">
        <v>1106</v>
      </c>
    </row>
    <row r="12881" spans="1:1" x14ac:dyDescent="0.2">
      <c r="A12881" t="s">
        <v>1107</v>
      </c>
    </row>
    <row r="12882" spans="1:1" x14ac:dyDescent="0.2">
      <c r="A12882" t="s">
        <v>1108</v>
      </c>
    </row>
    <row r="12883" spans="1:1" x14ac:dyDescent="0.2">
      <c r="A12883" t="s">
        <v>1109</v>
      </c>
    </row>
    <row r="12884" spans="1:1" x14ac:dyDescent="0.2">
      <c r="A12884" t="s">
        <v>1110</v>
      </c>
    </row>
    <row r="12885" spans="1:1" x14ac:dyDescent="0.2">
      <c r="A12885" t="s">
        <v>1111</v>
      </c>
    </row>
    <row r="12886" spans="1:1" x14ac:dyDescent="0.2">
      <c r="A12886" t="s">
        <v>1112</v>
      </c>
    </row>
    <row r="12887" spans="1:1" x14ac:dyDescent="0.2">
      <c r="A12887" t="s">
        <v>1113</v>
      </c>
    </row>
    <row r="12888" spans="1:1" x14ac:dyDescent="0.2">
      <c r="A12888" t="s">
        <v>1114</v>
      </c>
    </row>
    <row r="12889" spans="1:1" x14ac:dyDescent="0.2">
      <c r="A12889" t="s">
        <v>1115</v>
      </c>
    </row>
    <row r="12890" spans="1:1" x14ac:dyDescent="0.2">
      <c r="A12890" t="s">
        <v>1116</v>
      </c>
    </row>
    <row r="12891" spans="1:1" x14ac:dyDescent="0.2">
      <c r="A12891" t="s">
        <v>1117</v>
      </c>
    </row>
    <row r="12892" spans="1:1" x14ac:dyDescent="0.2">
      <c r="A12892" t="s">
        <v>1118</v>
      </c>
    </row>
    <row r="12893" spans="1:1" x14ac:dyDescent="0.2">
      <c r="A12893" t="s">
        <v>1119</v>
      </c>
    </row>
    <row r="12894" spans="1:1" x14ac:dyDescent="0.2">
      <c r="A12894" t="s">
        <v>1120</v>
      </c>
    </row>
    <row r="12895" spans="1:1" x14ac:dyDescent="0.2">
      <c r="A12895" t="s">
        <v>1288</v>
      </c>
    </row>
    <row r="12896" spans="1:1" x14ac:dyDescent="0.2">
      <c r="A12896" t="s">
        <v>3074</v>
      </c>
    </row>
    <row r="12897" spans="1:1" x14ac:dyDescent="0.2">
      <c r="A12897" t="s">
        <v>3075</v>
      </c>
    </row>
    <row r="12898" spans="1:1" x14ac:dyDescent="0.2">
      <c r="A12898" t="s">
        <v>3076</v>
      </c>
    </row>
    <row r="12899" spans="1:1" x14ac:dyDescent="0.2">
      <c r="A12899" t="s">
        <v>3077</v>
      </c>
    </row>
    <row r="12900" spans="1:1" x14ac:dyDescent="0.2">
      <c r="A12900" t="s">
        <v>1289</v>
      </c>
    </row>
    <row r="12901" spans="1:1" x14ac:dyDescent="0.2">
      <c r="A12901" t="s">
        <v>2781</v>
      </c>
    </row>
    <row r="12902" spans="1:1" x14ac:dyDescent="0.2">
      <c r="A12902" t="s">
        <v>3078</v>
      </c>
    </row>
    <row r="12903" spans="1:1" x14ac:dyDescent="0.2">
      <c r="A12903" t="s">
        <v>1122</v>
      </c>
    </row>
    <row r="12904" spans="1:1" x14ac:dyDescent="0.2">
      <c r="A12904" t="s">
        <v>1123</v>
      </c>
    </row>
    <row r="12905" spans="1:1" x14ac:dyDescent="0.2">
      <c r="A12905" t="s">
        <v>1124</v>
      </c>
    </row>
    <row r="12906" spans="1:1" x14ac:dyDescent="0.2">
      <c r="A12906" t="s">
        <v>1125</v>
      </c>
    </row>
    <row r="12907" spans="1:1" x14ac:dyDescent="0.2">
      <c r="A12907" t="s">
        <v>1126</v>
      </c>
    </row>
    <row r="12908" spans="1:1" x14ac:dyDescent="0.2">
      <c r="A12908" t="s">
        <v>1127</v>
      </c>
    </row>
    <row r="12909" spans="1:1" x14ac:dyDescent="0.2">
      <c r="A12909" t="s">
        <v>1128</v>
      </c>
    </row>
    <row r="12910" spans="1:1" x14ac:dyDescent="0.2">
      <c r="A12910" t="s">
        <v>1129</v>
      </c>
    </row>
    <row r="12911" spans="1:1" x14ac:dyDescent="0.2">
      <c r="A12911" t="s">
        <v>1130</v>
      </c>
    </row>
    <row r="12912" spans="1:1" x14ac:dyDescent="0.2">
      <c r="A12912" t="s">
        <v>1131</v>
      </c>
    </row>
    <row r="12913" spans="1:1" x14ac:dyDescent="0.2">
      <c r="A12913" t="s">
        <v>1132</v>
      </c>
    </row>
    <row r="12914" spans="1:1" x14ac:dyDescent="0.2">
      <c r="A12914" t="s">
        <v>1133</v>
      </c>
    </row>
    <row r="12915" spans="1:1" x14ac:dyDescent="0.2">
      <c r="A12915" t="s">
        <v>1134</v>
      </c>
    </row>
    <row r="12916" spans="1:1" x14ac:dyDescent="0.2">
      <c r="A12916" t="s">
        <v>1135</v>
      </c>
    </row>
    <row r="12917" spans="1:1" x14ac:dyDescent="0.2">
      <c r="A12917" t="s">
        <v>1136</v>
      </c>
    </row>
    <row r="12918" spans="1:1" x14ac:dyDescent="0.2">
      <c r="A12918" t="s">
        <v>1137</v>
      </c>
    </row>
    <row r="12919" spans="1:1" x14ac:dyDescent="0.2">
      <c r="A12919" t="s">
        <v>1138</v>
      </c>
    </row>
    <row r="12920" spans="1:1" x14ac:dyDescent="0.2">
      <c r="A12920" t="s">
        <v>1139</v>
      </c>
    </row>
    <row r="12921" spans="1:1" x14ac:dyDescent="0.2">
      <c r="A12921" t="s">
        <v>1140</v>
      </c>
    </row>
    <row r="12922" spans="1:1" x14ac:dyDescent="0.2">
      <c r="A12922" t="s">
        <v>1141</v>
      </c>
    </row>
    <row r="12923" spans="1:1" x14ac:dyDescent="0.2">
      <c r="A12923" t="s">
        <v>1142</v>
      </c>
    </row>
    <row r="12924" spans="1:1" x14ac:dyDescent="0.2">
      <c r="A12924" t="s">
        <v>1143</v>
      </c>
    </row>
    <row r="12925" spans="1:1" x14ac:dyDescent="0.2">
      <c r="A12925" t="s">
        <v>1144</v>
      </c>
    </row>
    <row r="12926" spans="1:1" x14ac:dyDescent="0.2">
      <c r="A12926" t="s">
        <v>1145</v>
      </c>
    </row>
    <row r="12927" spans="1:1" x14ac:dyDescent="0.2">
      <c r="A12927" t="s">
        <v>1146</v>
      </c>
    </row>
    <row r="12928" spans="1:1" x14ac:dyDescent="0.2">
      <c r="A12928" t="s">
        <v>1147</v>
      </c>
    </row>
    <row r="12929" spans="1:1" x14ac:dyDescent="0.2">
      <c r="A12929" t="s">
        <v>1148</v>
      </c>
    </row>
    <row r="12930" spans="1:1" x14ac:dyDescent="0.2">
      <c r="A12930" t="s">
        <v>1149</v>
      </c>
    </row>
    <row r="12931" spans="1:1" x14ac:dyDescent="0.2">
      <c r="A12931" t="s">
        <v>1150</v>
      </c>
    </row>
    <row r="12932" spans="1:1" x14ac:dyDescent="0.2">
      <c r="A12932" t="s">
        <v>1151</v>
      </c>
    </row>
    <row r="12933" spans="1:1" x14ac:dyDescent="0.2">
      <c r="A12933" t="s">
        <v>1152</v>
      </c>
    </row>
    <row r="12934" spans="1:1" x14ac:dyDescent="0.2">
      <c r="A12934" t="s">
        <v>1153</v>
      </c>
    </row>
    <row r="12935" spans="1:1" x14ac:dyDescent="0.2">
      <c r="A12935" t="s">
        <v>1154</v>
      </c>
    </row>
    <row r="12936" spans="1:1" x14ac:dyDescent="0.2">
      <c r="A12936" t="s">
        <v>1155</v>
      </c>
    </row>
    <row r="12937" spans="1:1" x14ac:dyDescent="0.2">
      <c r="A12937" t="s">
        <v>1156</v>
      </c>
    </row>
    <row r="12938" spans="1:1" x14ac:dyDescent="0.2">
      <c r="A12938" t="s">
        <v>1157</v>
      </c>
    </row>
    <row r="12939" spans="1:1" x14ac:dyDescent="0.2">
      <c r="A12939" t="s">
        <v>1158</v>
      </c>
    </row>
    <row r="12940" spans="1:1" x14ac:dyDescent="0.2">
      <c r="A12940" t="s">
        <v>1159</v>
      </c>
    </row>
    <row r="12941" spans="1:1" x14ac:dyDescent="0.2">
      <c r="A12941" t="s">
        <v>1160</v>
      </c>
    </row>
    <row r="12942" spans="1:1" x14ac:dyDescent="0.2">
      <c r="A12942" t="s">
        <v>1161</v>
      </c>
    </row>
    <row r="12943" spans="1:1" x14ac:dyDescent="0.2">
      <c r="A12943" t="s">
        <v>1162</v>
      </c>
    </row>
    <row r="12944" spans="1:1" x14ac:dyDescent="0.2">
      <c r="A12944" t="s">
        <v>1163</v>
      </c>
    </row>
    <row r="12945" spans="1:1" x14ac:dyDescent="0.2">
      <c r="A12945" t="s">
        <v>1164</v>
      </c>
    </row>
    <row r="12946" spans="1:1" x14ac:dyDescent="0.2">
      <c r="A12946" t="s">
        <v>1165</v>
      </c>
    </row>
    <row r="12947" spans="1:1" x14ac:dyDescent="0.2">
      <c r="A12947" t="s">
        <v>1166</v>
      </c>
    </row>
    <row r="12948" spans="1:1" x14ac:dyDescent="0.2">
      <c r="A12948" t="s">
        <v>1167</v>
      </c>
    </row>
    <row r="12949" spans="1:1" x14ac:dyDescent="0.2">
      <c r="A12949" t="s">
        <v>1168</v>
      </c>
    </row>
    <row r="12950" spans="1:1" x14ac:dyDescent="0.2">
      <c r="A12950" t="s">
        <v>1169</v>
      </c>
    </row>
    <row r="12951" spans="1:1" x14ac:dyDescent="0.2">
      <c r="A12951" t="s">
        <v>1170</v>
      </c>
    </row>
    <row r="12952" spans="1:1" x14ac:dyDescent="0.2">
      <c r="A12952" t="s">
        <v>1171</v>
      </c>
    </row>
    <row r="12953" spans="1:1" x14ac:dyDescent="0.2">
      <c r="A12953" t="s">
        <v>1172</v>
      </c>
    </row>
    <row r="12954" spans="1:1" x14ac:dyDescent="0.2">
      <c r="A12954" t="s">
        <v>1173</v>
      </c>
    </row>
    <row r="12955" spans="1:1" x14ac:dyDescent="0.2">
      <c r="A12955" t="s">
        <v>1174</v>
      </c>
    </row>
    <row r="12956" spans="1:1" x14ac:dyDescent="0.2">
      <c r="A12956" t="s">
        <v>1175</v>
      </c>
    </row>
    <row r="12957" spans="1:1" x14ac:dyDescent="0.2">
      <c r="A12957" t="s">
        <v>1176</v>
      </c>
    </row>
    <row r="12958" spans="1:1" x14ac:dyDescent="0.2">
      <c r="A12958" t="s">
        <v>1177</v>
      </c>
    </row>
    <row r="12959" spans="1:1" x14ac:dyDescent="0.2">
      <c r="A12959" t="s">
        <v>1178</v>
      </c>
    </row>
    <row r="12960" spans="1:1" x14ac:dyDescent="0.2">
      <c r="A12960" t="s">
        <v>1179</v>
      </c>
    </row>
    <row r="12961" spans="1:1" x14ac:dyDescent="0.2">
      <c r="A12961" t="s">
        <v>1180</v>
      </c>
    </row>
    <row r="12962" spans="1:1" x14ac:dyDescent="0.2">
      <c r="A12962" t="s">
        <v>1181</v>
      </c>
    </row>
    <row r="12963" spans="1:1" x14ac:dyDescent="0.2">
      <c r="A12963" t="s">
        <v>1182</v>
      </c>
    </row>
    <row r="12964" spans="1:1" x14ac:dyDescent="0.2">
      <c r="A12964" t="s">
        <v>1183</v>
      </c>
    </row>
    <row r="12965" spans="1:1" x14ac:dyDescent="0.2">
      <c r="A12965" t="s">
        <v>1184</v>
      </c>
    </row>
    <row r="12966" spans="1:1" x14ac:dyDescent="0.2">
      <c r="A12966" t="s">
        <v>1185</v>
      </c>
    </row>
    <row r="12967" spans="1:1" x14ac:dyDescent="0.2">
      <c r="A12967" t="s">
        <v>1186</v>
      </c>
    </row>
    <row r="12968" spans="1:1" x14ac:dyDescent="0.2">
      <c r="A12968" t="s">
        <v>1187</v>
      </c>
    </row>
    <row r="12969" spans="1:1" x14ac:dyDescent="0.2">
      <c r="A12969" t="s">
        <v>1188</v>
      </c>
    </row>
    <row r="12970" spans="1:1" x14ac:dyDescent="0.2">
      <c r="A12970" t="s">
        <v>1189</v>
      </c>
    </row>
    <row r="12971" spans="1:1" x14ac:dyDescent="0.2">
      <c r="A12971" t="s">
        <v>1190</v>
      </c>
    </row>
    <row r="12972" spans="1:1" x14ac:dyDescent="0.2">
      <c r="A12972" t="s">
        <v>1191</v>
      </c>
    </row>
    <row r="12973" spans="1:1" x14ac:dyDescent="0.2">
      <c r="A12973" t="s">
        <v>1192</v>
      </c>
    </row>
    <row r="12974" spans="1:1" x14ac:dyDescent="0.2">
      <c r="A12974" t="s">
        <v>1193</v>
      </c>
    </row>
    <row r="12975" spans="1:1" x14ac:dyDescent="0.2">
      <c r="A12975" t="s">
        <v>1194</v>
      </c>
    </row>
    <row r="12976" spans="1:1" x14ac:dyDescent="0.2">
      <c r="A12976" t="s">
        <v>1195</v>
      </c>
    </row>
    <row r="12977" spans="1:1" x14ac:dyDescent="0.2">
      <c r="A12977" t="s">
        <v>1196</v>
      </c>
    </row>
    <row r="12978" spans="1:1" x14ac:dyDescent="0.2">
      <c r="A12978" t="s">
        <v>1197</v>
      </c>
    </row>
    <row r="12979" spans="1:1" x14ac:dyDescent="0.2">
      <c r="A12979" t="s">
        <v>1198</v>
      </c>
    </row>
    <row r="12980" spans="1:1" x14ac:dyDescent="0.2">
      <c r="A12980" t="s">
        <v>1199</v>
      </c>
    </row>
    <row r="12981" spans="1:1" x14ac:dyDescent="0.2">
      <c r="A12981" t="s">
        <v>1200</v>
      </c>
    </row>
    <row r="12982" spans="1:1" x14ac:dyDescent="0.2">
      <c r="A12982" t="s">
        <v>1201</v>
      </c>
    </row>
    <row r="12983" spans="1:1" x14ac:dyDescent="0.2">
      <c r="A12983" t="s">
        <v>1202</v>
      </c>
    </row>
    <row r="12984" spans="1:1" x14ac:dyDescent="0.2">
      <c r="A12984" t="s">
        <v>1203</v>
      </c>
    </row>
    <row r="12985" spans="1:1" x14ac:dyDescent="0.2">
      <c r="A12985" t="s">
        <v>1204</v>
      </c>
    </row>
    <row r="12986" spans="1:1" x14ac:dyDescent="0.2">
      <c r="A12986" t="s">
        <v>1205</v>
      </c>
    </row>
    <row r="12987" spans="1:1" x14ac:dyDescent="0.2">
      <c r="A12987" t="s">
        <v>1206</v>
      </c>
    </row>
    <row r="12988" spans="1:1" x14ac:dyDescent="0.2">
      <c r="A12988" t="s">
        <v>1207</v>
      </c>
    </row>
    <row r="12989" spans="1:1" x14ac:dyDescent="0.2">
      <c r="A12989" t="s">
        <v>1208</v>
      </c>
    </row>
    <row r="12990" spans="1:1" x14ac:dyDescent="0.2">
      <c r="A12990" t="s">
        <v>1209</v>
      </c>
    </row>
    <row r="12991" spans="1:1" x14ac:dyDescent="0.2">
      <c r="A12991" t="s">
        <v>1210</v>
      </c>
    </row>
    <row r="12992" spans="1:1" x14ac:dyDescent="0.2">
      <c r="A12992" t="s">
        <v>1211</v>
      </c>
    </row>
    <row r="12993" spans="1:1" x14ac:dyDescent="0.2">
      <c r="A12993" t="s">
        <v>1212</v>
      </c>
    </row>
    <row r="12994" spans="1:1" x14ac:dyDescent="0.2">
      <c r="A12994" t="s">
        <v>1213</v>
      </c>
    </row>
    <row r="12995" spans="1:1" x14ac:dyDescent="0.2">
      <c r="A12995" t="s">
        <v>1214</v>
      </c>
    </row>
    <row r="12996" spans="1:1" x14ac:dyDescent="0.2">
      <c r="A12996" t="s">
        <v>1215</v>
      </c>
    </row>
    <row r="12997" spans="1:1" x14ac:dyDescent="0.2">
      <c r="A12997" t="s">
        <v>1216</v>
      </c>
    </row>
    <row r="12998" spans="1:1" x14ac:dyDescent="0.2">
      <c r="A12998" t="s">
        <v>1217</v>
      </c>
    </row>
    <row r="12999" spans="1:1" x14ac:dyDescent="0.2">
      <c r="A12999" t="s">
        <v>1218</v>
      </c>
    </row>
    <row r="13000" spans="1:1" x14ac:dyDescent="0.2">
      <c r="A13000" t="s">
        <v>1219</v>
      </c>
    </row>
    <row r="13001" spans="1:1" x14ac:dyDescent="0.2">
      <c r="A13001" t="s">
        <v>1220</v>
      </c>
    </row>
    <row r="13002" spans="1:1" x14ac:dyDescent="0.2">
      <c r="A13002" t="s">
        <v>1221</v>
      </c>
    </row>
    <row r="13003" spans="1:1" x14ac:dyDescent="0.2">
      <c r="A13003" t="s">
        <v>1222</v>
      </c>
    </row>
    <row r="13004" spans="1:1" x14ac:dyDescent="0.2">
      <c r="A13004" t="s">
        <v>1223</v>
      </c>
    </row>
    <row r="13005" spans="1:1" x14ac:dyDescent="0.2">
      <c r="A13005" t="s">
        <v>1224</v>
      </c>
    </row>
    <row r="13006" spans="1:1" x14ac:dyDescent="0.2">
      <c r="A13006" t="s">
        <v>1225</v>
      </c>
    </row>
    <row r="13007" spans="1:1" x14ac:dyDescent="0.2">
      <c r="A13007" t="s">
        <v>1226</v>
      </c>
    </row>
    <row r="13008" spans="1:1" x14ac:dyDescent="0.2">
      <c r="A13008" t="s">
        <v>1227</v>
      </c>
    </row>
    <row r="13009" spans="1:1" x14ac:dyDescent="0.2">
      <c r="A13009" t="s">
        <v>1228</v>
      </c>
    </row>
    <row r="13010" spans="1:1" x14ac:dyDescent="0.2">
      <c r="A13010" t="s">
        <v>1229</v>
      </c>
    </row>
    <row r="13011" spans="1:1" x14ac:dyDescent="0.2">
      <c r="A13011" t="s">
        <v>1230</v>
      </c>
    </row>
    <row r="13012" spans="1:1" x14ac:dyDescent="0.2">
      <c r="A13012" t="s">
        <v>1231</v>
      </c>
    </row>
    <row r="13013" spans="1:1" x14ac:dyDescent="0.2">
      <c r="A13013" t="s">
        <v>1232</v>
      </c>
    </row>
    <row r="13014" spans="1:1" x14ac:dyDescent="0.2">
      <c r="A13014" t="s">
        <v>1233</v>
      </c>
    </row>
    <row r="13015" spans="1:1" x14ac:dyDescent="0.2">
      <c r="A13015" t="s">
        <v>1234</v>
      </c>
    </row>
    <row r="13016" spans="1:1" x14ac:dyDescent="0.2">
      <c r="A13016" t="s">
        <v>1235</v>
      </c>
    </row>
    <row r="13017" spans="1:1" x14ac:dyDescent="0.2">
      <c r="A13017" t="s">
        <v>1236</v>
      </c>
    </row>
    <row r="13018" spans="1:1" x14ac:dyDescent="0.2">
      <c r="A13018" t="s">
        <v>1237</v>
      </c>
    </row>
    <row r="13019" spans="1:1" x14ac:dyDescent="0.2">
      <c r="A13019" t="s">
        <v>1238</v>
      </c>
    </row>
    <row r="13020" spans="1:1" x14ac:dyDescent="0.2">
      <c r="A13020" t="s">
        <v>1239</v>
      </c>
    </row>
    <row r="13021" spans="1:1" x14ac:dyDescent="0.2">
      <c r="A13021" t="s">
        <v>1240</v>
      </c>
    </row>
    <row r="13022" spans="1:1" x14ac:dyDescent="0.2">
      <c r="A13022" t="s">
        <v>1241</v>
      </c>
    </row>
    <row r="13023" spans="1:1" x14ac:dyDescent="0.2">
      <c r="A13023" t="s">
        <v>1242</v>
      </c>
    </row>
    <row r="13024" spans="1:1" x14ac:dyDescent="0.2">
      <c r="A13024" t="s">
        <v>1243</v>
      </c>
    </row>
    <row r="13025" spans="1:1" x14ac:dyDescent="0.2">
      <c r="A13025" t="s">
        <v>1244</v>
      </c>
    </row>
    <row r="13026" spans="1:1" x14ac:dyDescent="0.2">
      <c r="A13026" t="s">
        <v>1245</v>
      </c>
    </row>
    <row r="13027" spans="1:1" x14ac:dyDescent="0.2">
      <c r="A13027" t="s">
        <v>1246</v>
      </c>
    </row>
    <row r="13028" spans="1:1" x14ac:dyDescent="0.2">
      <c r="A13028" t="s">
        <v>1247</v>
      </c>
    </row>
    <row r="13029" spans="1:1" x14ac:dyDescent="0.2">
      <c r="A13029" t="s">
        <v>1248</v>
      </c>
    </row>
    <row r="13030" spans="1:1" x14ac:dyDescent="0.2">
      <c r="A13030" t="s">
        <v>1249</v>
      </c>
    </row>
    <row r="13031" spans="1:1" x14ac:dyDescent="0.2">
      <c r="A13031" t="s">
        <v>1250</v>
      </c>
    </row>
    <row r="13032" spans="1:1" x14ac:dyDescent="0.2">
      <c r="A13032" t="s">
        <v>1251</v>
      </c>
    </row>
    <row r="13033" spans="1:1" x14ac:dyDescent="0.2">
      <c r="A13033" t="s">
        <v>1252</v>
      </c>
    </row>
    <row r="13034" spans="1:1" x14ac:dyDescent="0.2">
      <c r="A13034" t="s">
        <v>1253</v>
      </c>
    </row>
    <row r="13035" spans="1:1" x14ac:dyDescent="0.2">
      <c r="A13035" t="s">
        <v>1254</v>
      </c>
    </row>
    <row r="13036" spans="1:1" x14ac:dyDescent="0.2">
      <c r="A13036" t="s">
        <v>1255</v>
      </c>
    </row>
    <row r="13037" spans="1:1" x14ac:dyDescent="0.2">
      <c r="A13037" t="s">
        <v>1256</v>
      </c>
    </row>
    <row r="13038" spans="1:1" x14ac:dyDescent="0.2">
      <c r="A13038" t="s">
        <v>1257</v>
      </c>
    </row>
    <row r="13039" spans="1:1" x14ac:dyDescent="0.2">
      <c r="A13039" t="s">
        <v>1258</v>
      </c>
    </row>
    <row r="13040" spans="1:1" x14ac:dyDescent="0.2">
      <c r="A13040" t="s">
        <v>1259</v>
      </c>
    </row>
    <row r="13041" spans="1:1" x14ac:dyDescent="0.2">
      <c r="A13041" t="s">
        <v>1260</v>
      </c>
    </row>
    <row r="13042" spans="1:1" x14ac:dyDescent="0.2">
      <c r="A13042" t="s">
        <v>1261</v>
      </c>
    </row>
    <row r="13043" spans="1:1" x14ac:dyDescent="0.2">
      <c r="A13043" t="s">
        <v>1262</v>
      </c>
    </row>
    <row r="13044" spans="1:1" x14ac:dyDescent="0.2">
      <c r="A13044" t="s">
        <v>1263</v>
      </c>
    </row>
    <row r="13045" spans="1:1" x14ac:dyDescent="0.2">
      <c r="A13045" t="s">
        <v>1264</v>
      </c>
    </row>
    <row r="13046" spans="1:1" x14ac:dyDescent="0.2">
      <c r="A13046" t="s">
        <v>1265</v>
      </c>
    </row>
    <row r="13047" spans="1:1" x14ac:dyDescent="0.2">
      <c r="A13047" t="s">
        <v>1266</v>
      </c>
    </row>
    <row r="13048" spans="1:1" x14ac:dyDescent="0.2">
      <c r="A13048" t="s">
        <v>1267</v>
      </c>
    </row>
    <row r="13049" spans="1:1" x14ac:dyDescent="0.2">
      <c r="A13049" t="s">
        <v>1268</v>
      </c>
    </row>
    <row r="13050" spans="1:1" x14ac:dyDescent="0.2">
      <c r="A13050" t="s">
        <v>1269</v>
      </c>
    </row>
    <row r="13051" spans="1:1" x14ac:dyDescent="0.2">
      <c r="A13051" t="s">
        <v>1270</v>
      </c>
    </row>
    <row r="13052" spans="1:1" x14ac:dyDescent="0.2">
      <c r="A13052" t="s">
        <v>1271</v>
      </c>
    </row>
    <row r="13053" spans="1:1" x14ac:dyDescent="0.2">
      <c r="A13053" t="s">
        <v>1272</v>
      </c>
    </row>
    <row r="13054" spans="1:1" x14ac:dyDescent="0.2">
      <c r="A13054" t="s">
        <v>1273</v>
      </c>
    </row>
    <row r="13055" spans="1:1" x14ac:dyDescent="0.2">
      <c r="A13055" t="s">
        <v>1274</v>
      </c>
    </row>
    <row r="13056" spans="1:1" x14ac:dyDescent="0.2">
      <c r="A13056" t="s">
        <v>1275</v>
      </c>
    </row>
    <row r="13057" spans="1:1" x14ac:dyDescent="0.2">
      <c r="A13057" t="s">
        <v>1276</v>
      </c>
    </row>
    <row r="13058" spans="1:1" x14ac:dyDescent="0.2">
      <c r="A13058" t="s">
        <v>1277</v>
      </c>
    </row>
    <row r="13059" spans="1:1" x14ac:dyDescent="0.2">
      <c r="A13059" t="s">
        <v>1278</v>
      </c>
    </row>
    <row r="13060" spans="1:1" x14ac:dyDescent="0.2">
      <c r="A13060" t="s">
        <v>1279</v>
      </c>
    </row>
    <row r="13061" spans="1:1" x14ac:dyDescent="0.2">
      <c r="A13061" t="s">
        <v>1280</v>
      </c>
    </row>
    <row r="13062" spans="1:1" x14ac:dyDescent="0.2">
      <c r="A13062" t="s">
        <v>1281</v>
      </c>
    </row>
    <row r="13063" spans="1:1" x14ac:dyDescent="0.2">
      <c r="A13063" t="s">
        <v>1282</v>
      </c>
    </row>
    <row r="13064" spans="1:1" x14ac:dyDescent="0.2">
      <c r="A13064" t="s">
        <v>1283</v>
      </c>
    </row>
    <row r="13065" spans="1:1" x14ac:dyDescent="0.2">
      <c r="A13065" t="s">
        <v>1284</v>
      </c>
    </row>
    <row r="13066" spans="1:1" x14ac:dyDescent="0.2">
      <c r="A13066" t="s">
        <v>1285</v>
      </c>
    </row>
    <row r="13067" spans="1:1" x14ac:dyDescent="0.2">
      <c r="A13067" t="s">
        <v>1286</v>
      </c>
    </row>
    <row r="13068" spans="1:1" x14ac:dyDescent="0.2">
      <c r="A13068" t="s">
        <v>3079</v>
      </c>
    </row>
    <row r="13069" spans="1:1" x14ac:dyDescent="0.2">
      <c r="A13069" t="s">
        <v>1053</v>
      </c>
    </row>
    <row r="13070" spans="1:1" x14ac:dyDescent="0.2">
      <c r="A13070" t="s">
        <v>3080</v>
      </c>
    </row>
    <row r="13071" spans="1:1" x14ac:dyDescent="0.2">
      <c r="A13071" t="s">
        <v>2768</v>
      </c>
    </row>
    <row r="13072" spans="1:1" x14ac:dyDescent="0.2">
      <c r="A13072" t="s">
        <v>2769</v>
      </c>
    </row>
    <row r="13073" spans="1:1" x14ac:dyDescent="0.2">
      <c r="A13073" t="s">
        <v>1054</v>
      </c>
    </row>
    <row r="13074" spans="1:1" x14ac:dyDescent="0.2">
      <c r="A13074" t="s">
        <v>1055</v>
      </c>
    </row>
    <row r="13075" spans="1:1" x14ac:dyDescent="0.2">
      <c r="A13075" t="s">
        <v>3081</v>
      </c>
    </row>
    <row r="13076" spans="1:1" x14ac:dyDescent="0.2">
      <c r="A13076" t="s">
        <v>1056</v>
      </c>
    </row>
    <row r="13077" spans="1:1" x14ac:dyDescent="0.2">
      <c r="A13077" t="s">
        <v>1057</v>
      </c>
    </row>
    <row r="13078" spans="1:1" x14ac:dyDescent="0.2">
      <c r="A13078" t="s">
        <v>1058</v>
      </c>
    </row>
    <row r="13079" spans="1:1" x14ac:dyDescent="0.2">
      <c r="A13079" t="s">
        <v>1059</v>
      </c>
    </row>
    <row r="13080" spans="1:1" x14ac:dyDescent="0.2">
      <c r="A13080" t="s">
        <v>1060</v>
      </c>
    </row>
    <row r="13081" spans="1:1" x14ac:dyDescent="0.2">
      <c r="A13081" t="s">
        <v>1061</v>
      </c>
    </row>
    <row r="13082" spans="1:1" x14ac:dyDescent="0.2">
      <c r="A13082" t="s">
        <v>1062</v>
      </c>
    </row>
    <row r="13083" spans="1:1" x14ac:dyDescent="0.2">
      <c r="A13083" t="s">
        <v>1063</v>
      </c>
    </row>
    <row r="13084" spans="1:1" x14ac:dyDescent="0.2">
      <c r="A13084" t="s">
        <v>1064</v>
      </c>
    </row>
    <row r="13085" spans="1:1" x14ac:dyDescent="0.2">
      <c r="A13085" t="s">
        <v>1065</v>
      </c>
    </row>
    <row r="13086" spans="1:1" x14ac:dyDescent="0.2">
      <c r="A13086" t="s">
        <v>1066</v>
      </c>
    </row>
    <row r="13087" spans="1:1" x14ac:dyDescent="0.2">
      <c r="A13087" t="s">
        <v>1067</v>
      </c>
    </row>
    <row r="13088" spans="1:1" x14ac:dyDescent="0.2">
      <c r="A13088" t="s">
        <v>1068</v>
      </c>
    </row>
    <row r="13089" spans="1:1" x14ac:dyDescent="0.2">
      <c r="A13089" t="s">
        <v>1069</v>
      </c>
    </row>
    <row r="13090" spans="1:1" x14ac:dyDescent="0.2">
      <c r="A13090" t="s">
        <v>1070</v>
      </c>
    </row>
    <row r="13091" spans="1:1" x14ac:dyDescent="0.2">
      <c r="A13091" t="s">
        <v>1071</v>
      </c>
    </row>
    <row r="13092" spans="1:1" x14ac:dyDescent="0.2">
      <c r="A13092" t="s">
        <v>1072</v>
      </c>
    </row>
    <row r="13093" spans="1:1" x14ac:dyDescent="0.2">
      <c r="A13093" t="s">
        <v>1073</v>
      </c>
    </row>
    <row r="13094" spans="1:1" x14ac:dyDescent="0.2">
      <c r="A13094" t="s">
        <v>1074</v>
      </c>
    </row>
    <row r="13095" spans="1:1" x14ac:dyDescent="0.2">
      <c r="A13095" t="s">
        <v>1075</v>
      </c>
    </row>
    <row r="13096" spans="1:1" x14ac:dyDescent="0.2">
      <c r="A13096" t="s">
        <v>1076</v>
      </c>
    </row>
    <row r="13097" spans="1:1" x14ac:dyDescent="0.2">
      <c r="A13097" t="s">
        <v>1077</v>
      </c>
    </row>
    <row r="13098" spans="1:1" x14ac:dyDescent="0.2">
      <c r="A13098" t="s">
        <v>1078</v>
      </c>
    </row>
    <row r="13099" spans="1:1" x14ac:dyDescent="0.2">
      <c r="A13099" t="s">
        <v>1079</v>
      </c>
    </row>
    <row r="13100" spans="1:1" x14ac:dyDescent="0.2">
      <c r="A13100" t="s">
        <v>1080</v>
      </c>
    </row>
    <row r="13101" spans="1:1" x14ac:dyDescent="0.2">
      <c r="A13101" t="s">
        <v>1081</v>
      </c>
    </row>
    <row r="13102" spans="1:1" x14ac:dyDescent="0.2">
      <c r="A13102" t="s">
        <v>1082</v>
      </c>
    </row>
    <row r="13103" spans="1:1" x14ac:dyDescent="0.2">
      <c r="A13103" t="s">
        <v>1083</v>
      </c>
    </row>
    <row r="13104" spans="1:1" x14ac:dyDescent="0.2">
      <c r="A13104" t="s">
        <v>2771</v>
      </c>
    </row>
    <row r="13105" spans="1:1" x14ac:dyDescent="0.2">
      <c r="A13105" t="s">
        <v>2772</v>
      </c>
    </row>
    <row r="13106" spans="1:1" x14ac:dyDescent="0.2">
      <c r="A13106" t="s">
        <v>2773</v>
      </c>
    </row>
    <row r="13107" spans="1:1" x14ac:dyDescent="0.2">
      <c r="A13107" t="s">
        <v>2774</v>
      </c>
    </row>
    <row r="13108" spans="1:1" x14ac:dyDescent="0.2">
      <c r="A13108" t="s">
        <v>2775</v>
      </c>
    </row>
    <row r="13109" spans="1:1" x14ac:dyDescent="0.2">
      <c r="A13109" t="s">
        <v>2776</v>
      </c>
    </row>
    <row r="13110" spans="1:1" x14ac:dyDescent="0.2">
      <c r="A13110" t="s">
        <v>1084</v>
      </c>
    </row>
    <row r="13111" spans="1:1" x14ac:dyDescent="0.2">
      <c r="A13111" t="s">
        <v>1085</v>
      </c>
    </row>
    <row r="13112" spans="1:1" x14ac:dyDescent="0.2">
      <c r="A13112" t="s">
        <v>1086</v>
      </c>
    </row>
    <row r="13113" spans="1:1" x14ac:dyDescent="0.2">
      <c r="A13113" t="s">
        <v>1087</v>
      </c>
    </row>
    <row r="13114" spans="1:1" x14ac:dyDescent="0.2">
      <c r="A13114" t="s">
        <v>1088</v>
      </c>
    </row>
    <row r="13115" spans="1:1" x14ac:dyDescent="0.2">
      <c r="A13115" t="s">
        <v>1089</v>
      </c>
    </row>
    <row r="13116" spans="1:1" x14ac:dyDescent="0.2">
      <c r="A13116" t="s">
        <v>1090</v>
      </c>
    </row>
    <row r="13117" spans="1:1" x14ac:dyDescent="0.2">
      <c r="A13117" t="s">
        <v>1091</v>
      </c>
    </row>
    <row r="13118" spans="1:1" x14ac:dyDescent="0.2">
      <c r="A13118" t="s">
        <v>1092</v>
      </c>
    </row>
    <row r="13119" spans="1:1" x14ac:dyDescent="0.2">
      <c r="A13119" t="s">
        <v>1093</v>
      </c>
    </row>
    <row r="13120" spans="1:1" x14ac:dyDescent="0.2">
      <c r="A13120" t="s">
        <v>1094</v>
      </c>
    </row>
    <row r="13121" spans="1:1" x14ac:dyDescent="0.2">
      <c r="A13121" t="s">
        <v>1095</v>
      </c>
    </row>
    <row r="13122" spans="1:1" x14ac:dyDescent="0.2">
      <c r="A13122" t="s">
        <v>1096</v>
      </c>
    </row>
    <row r="13123" spans="1:1" x14ac:dyDescent="0.2">
      <c r="A13123" t="s">
        <v>1097</v>
      </c>
    </row>
    <row r="13124" spans="1:1" x14ac:dyDescent="0.2">
      <c r="A13124" t="s">
        <v>1098</v>
      </c>
    </row>
    <row r="13125" spans="1:1" x14ac:dyDescent="0.2">
      <c r="A13125" t="s">
        <v>1099</v>
      </c>
    </row>
    <row r="13126" spans="1:1" x14ac:dyDescent="0.2">
      <c r="A13126" t="s">
        <v>1100</v>
      </c>
    </row>
    <row r="13127" spans="1:1" x14ac:dyDescent="0.2">
      <c r="A13127" t="s">
        <v>1101</v>
      </c>
    </row>
    <row r="13128" spans="1:1" x14ac:dyDescent="0.2">
      <c r="A13128" t="s">
        <v>1102</v>
      </c>
    </row>
    <row r="13129" spans="1:1" x14ac:dyDescent="0.2">
      <c r="A13129" t="s">
        <v>1103</v>
      </c>
    </row>
    <row r="13130" spans="1:1" x14ac:dyDescent="0.2">
      <c r="A13130" t="s">
        <v>1104</v>
      </c>
    </row>
    <row r="13131" spans="1:1" x14ac:dyDescent="0.2">
      <c r="A13131" t="s">
        <v>1105</v>
      </c>
    </row>
    <row r="13132" spans="1:1" x14ac:dyDescent="0.2">
      <c r="A13132" t="s">
        <v>1106</v>
      </c>
    </row>
    <row r="13133" spans="1:1" x14ac:dyDescent="0.2">
      <c r="A13133" t="s">
        <v>1107</v>
      </c>
    </row>
    <row r="13134" spans="1:1" x14ac:dyDescent="0.2">
      <c r="A13134" t="s">
        <v>1108</v>
      </c>
    </row>
    <row r="13135" spans="1:1" x14ac:dyDescent="0.2">
      <c r="A13135" t="s">
        <v>1109</v>
      </c>
    </row>
    <row r="13136" spans="1:1" x14ac:dyDescent="0.2">
      <c r="A13136" t="s">
        <v>1110</v>
      </c>
    </row>
    <row r="13137" spans="1:1" x14ac:dyDescent="0.2">
      <c r="A13137" t="s">
        <v>1111</v>
      </c>
    </row>
    <row r="13138" spans="1:1" x14ac:dyDescent="0.2">
      <c r="A13138" t="s">
        <v>1112</v>
      </c>
    </row>
    <row r="13139" spans="1:1" x14ac:dyDescent="0.2">
      <c r="A13139" t="s">
        <v>1113</v>
      </c>
    </row>
    <row r="13140" spans="1:1" x14ac:dyDescent="0.2">
      <c r="A13140" t="s">
        <v>1114</v>
      </c>
    </row>
    <row r="13141" spans="1:1" x14ac:dyDescent="0.2">
      <c r="A13141" t="s">
        <v>1115</v>
      </c>
    </row>
    <row r="13142" spans="1:1" x14ac:dyDescent="0.2">
      <c r="A13142" t="s">
        <v>1116</v>
      </c>
    </row>
    <row r="13143" spans="1:1" x14ac:dyDescent="0.2">
      <c r="A13143" t="s">
        <v>1117</v>
      </c>
    </row>
    <row r="13144" spans="1:1" x14ac:dyDescent="0.2">
      <c r="A13144" t="s">
        <v>1118</v>
      </c>
    </row>
    <row r="13145" spans="1:1" x14ac:dyDescent="0.2">
      <c r="A13145" t="s">
        <v>1119</v>
      </c>
    </row>
    <row r="13146" spans="1:1" x14ac:dyDescent="0.2">
      <c r="A13146" t="s">
        <v>1120</v>
      </c>
    </row>
    <row r="13147" spans="1:1" x14ac:dyDescent="0.2">
      <c r="A13147" t="s">
        <v>1288</v>
      </c>
    </row>
    <row r="13148" spans="1:1" x14ac:dyDescent="0.2">
      <c r="A13148" t="s">
        <v>3082</v>
      </c>
    </row>
    <row r="13149" spans="1:1" x14ac:dyDescent="0.2">
      <c r="A13149" t="s">
        <v>3083</v>
      </c>
    </row>
    <row r="13150" spans="1:1" x14ac:dyDescent="0.2">
      <c r="A13150" t="s">
        <v>3076</v>
      </c>
    </row>
    <row r="13151" spans="1:1" x14ac:dyDescent="0.2">
      <c r="A13151" t="s">
        <v>3077</v>
      </c>
    </row>
    <row r="13152" spans="1:1" x14ac:dyDescent="0.2">
      <c r="A13152" t="s">
        <v>1289</v>
      </c>
    </row>
    <row r="13153" spans="1:1" x14ac:dyDescent="0.2">
      <c r="A13153" t="s">
        <v>2781</v>
      </c>
    </row>
    <row r="13154" spans="1:1" x14ac:dyDescent="0.2">
      <c r="A13154" t="s">
        <v>3084</v>
      </c>
    </row>
    <row r="13155" spans="1:1" x14ac:dyDescent="0.2">
      <c r="A13155" t="s">
        <v>1122</v>
      </c>
    </row>
    <row r="13156" spans="1:1" x14ac:dyDescent="0.2">
      <c r="A13156" t="s">
        <v>1123</v>
      </c>
    </row>
    <row r="13157" spans="1:1" x14ac:dyDescent="0.2">
      <c r="A13157" t="s">
        <v>1124</v>
      </c>
    </row>
    <row r="13158" spans="1:1" x14ac:dyDescent="0.2">
      <c r="A13158" t="s">
        <v>1125</v>
      </c>
    </row>
    <row r="13159" spans="1:1" x14ac:dyDescent="0.2">
      <c r="A13159" t="s">
        <v>1126</v>
      </c>
    </row>
    <row r="13160" spans="1:1" x14ac:dyDescent="0.2">
      <c r="A13160" t="s">
        <v>1127</v>
      </c>
    </row>
    <row r="13161" spans="1:1" x14ac:dyDescent="0.2">
      <c r="A13161" t="s">
        <v>1128</v>
      </c>
    </row>
    <row r="13162" spans="1:1" x14ac:dyDescent="0.2">
      <c r="A13162" t="s">
        <v>1129</v>
      </c>
    </row>
    <row r="13163" spans="1:1" x14ac:dyDescent="0.2">
      <c r="A13163" t="s">
        <v>1130</v>
      </c>
    </row>
    <row r="13164" spans="1:1" x14ac:dyDescent="0.2">
      <c r="A13164" t="s">
        <v>1131</v>
      </c>
    </row>
    <row r="13165" spans="1:1" x14ac:dyDescent="0.2">
      <c r="A13165" t="s">
        <v>1132</v>
      </c>
    </row>
    <row r="13166" spans="1:1" x14ac:dyDescent="0.2">
      <c r="A13166" t="s">
        <v>1133</v>
      </c>
    </row>
    <row r="13167" spans="1:1" x14ac:dyDescent="0.2">
      <c r="A13167" t="s">
        <v>1134</v>
      </c>
    </row>
    <row r="13168" spans="1:1" x14ac:dyDescent="0.2">
      <c r="A13168" t="s">
        <v>1135</v>
      </c>
    </row>
    <row r="13169" spans="1:1" x14ac:dyDescent="0.2">
      <c r="A13169" t="s">
        <v>1136</v>
      </c>
    </row>
    <row r="13170" spans="1:1" x14ac:dyDescent="0.2">
      <c r="A13170" t="s">
        <v>1137</v>
      </c>
    </row>
    <row r="13171" spans="1:1" x14ac:dyDescent="0.2">
      <c r="A13171" t="s">
        <v>1138</v>
      </c>
    </row>
    <row r="13172" spans="1:1" x14ac:dyDescent="0.2">
      <c r="A13172" t="s">
        <v>1139</v>
      </c>
    </row>
    <row r="13173" spans="1:1" x14ac:dyDescent="0.2">
      <c r="A13173" t="s">
        <v>1140</v>
      </c>
    </row>
    <row r="13174" spans="1:1" x14ac:dyDescent="0.2">
      <c r="A13174" t="s">
        <v>1141</v>
      </c>
    </row>
    <row r="13175" spans="1:1" x14ac:dyDescent="0.2">
      <c r="A13175" t="s">
        <v>1142</v>
      </c>
    </row>
    <row r="13176" spans="1:1" x14ac:dyDescent="0.2">
      <c r="A13176" t="s">
        <v>1143</v>
      </c>
    </row>
    <row r="13177" spans="1:1" x14ac:dyDescent="0.2">
      <c r="A13177" t="s">
        <v>1144</v>
      </c>
    </row>
    <row r="13178" spans="1:1" x14ac:dyDescent="0.2">
      <c r="A13178" t="s">
        <v>1145</v>
      </c>
    </row>
    <row r="13179" spans="1:1" x14ac:dyDescent="0.2">
      <c r="A13179" t="s">
        <v>1146</v>
      </c>
    </row>
    <row r="13180" spans="1:1" x14ac:dyDescent="0.2">
      <c r="A13180" t="s">
        <v>1147</v>
      </c>
    </row>
    <row r="13181" spans="1:1" x14ac:dyDescent="0.2">
      <c r="A13181" t="s">
        <v>1148</v>
      </c>
    </row>
    <row r="13182" spans="1:1" x14ac:dyDescent="0.2">
      <c r="A13182" t="s">
        <v>1149</v>
      </c>
    </row>
    <row r="13183" spans="1:1" x14ac:dyDescent="0.2">
      <c r="A13183" t="s">
        <v>1150</v>
      </c>
    </row>
    <row r="13184" spans="1:1" x14ac:dyDescent="0.2">
      <c r="A13184" t="s">
        <v>1151</v>
      </c>
    </row>
    <row r="13185" spans="1:1" x14ac:dyDescent="0.2">
      <c r="A13185" t="s">
        <v>1152</v>
      </c>
    </row>
    <row r="13186" spans="1:1" x14ac:dyDescent="0.2">
      <c r="A13186" t="s">
        <v>1153</v>
      </c>
    </row>
    <row r="13187" spans="1:1" x14ac:dyDescent="0.2">
      <c r="A13187" t="s">
        <v>1154</v>
      </c>
    </row>
    <row r="13188" spans="1:1" x14ac:dyDescent="0.2">
      <c r="A13188" t="s">
        <v>1155</v>
      </c>
    </row>
    <row r="13189" spans="1:1" x14ac:dyDescent="0.2">
      <c r="A13189" t="s">
        <v>1156</v>
      </c>
    </row>
    <row r="13190" spans="1:1" x14ac:dyDescent="0.2">
      <c r="A13190" t="s">
        <v>1157</v>
      </c>
    </row>
    <row r="13191" spans="1:1" x14ac:dyDescent="0.2">
      <c r="A13191" t="s">
        <v>1158</v>
      </c>
    </row>
    <row r="13192" spans="1:1" x14ac:dyDescent="0.2">
      <c r="A13192" t="s">
        <v>1159</v>
      </c>
    </row>
    <row r="13193" spans="1:1" x14ac:dyDescent="0.2">
      <c r="A13193" t="s">
        <v>1160</v>
      </c>
    </row>
    <row r="13194" spans="1:1" x14ac:dyDescent="0.2">
      <c r="A13194" t="s">
        <v>1161</v>
      </c>
    </row>
    <row r="13195" spans="1:1" x14ac:dyDescent="0.2">
      <c r="A13195" t="s">
        <v>1162</v>
      </c>
    </row>
    <row r="13196" spans="1:1" x14ac:dyDescent="0.2">
      <c r="A13196" t="s">
        <v>1163</v>
      </c>
    </row>
    <row r="13197" spans="1:1" x14ac:dyDescent="0.2">
      <c r="A13197" t="s">
        <v>1164</v>
      </c>
    </row>
    <row r="13198" spans="1:1" x14ac:dyDescent="0.2">
      <c r="A13198" t="s">
        <v>1165</v>
      </c>
    </row>
    <row r="13199" spans="1:1" x14ac:dyDescent="0.2">
      <c r="A13199" t="s">
        <v>1166</v>
      </c>
    </row>
    <row r="13200" spans="1:1" x14ac:dyDescent="0.2">
      <c r="A13200" t="s">
        <v>1167</v>
      </c>
    </row>
    <row r="13201" spans="1:1" x14ac:dyDescent="0.2">
      <c r="A13201" t="s">
        <v>1168</v>
      </c>
    </row>
    <row r="13202" spans="1:1" x14ac:dyDescent="0.2">
      <c r="A13202" t="s">
        <v>1169</v>
      </c>
    </row>
    <row r="13203" spans="1:1" x14ac:dyDescent="0.2">
      <c r="A13203" t="s">
        <v>1170</v>
      </c>
    </row>
    <row r="13204" spans="1:1" x14ac:dyDescent="0.2">
      <c r="A13204" t="s">
        <v>1171</v>
      </c>
    </row>
    <row r="13205" spans="1:1" x14ac:dyDescent="0.2">
      <c r="A13205" t="s">
        <v>1172</v>
      </c>
    </row>
    <row r="13206" spans="1:1" x14ac:dyDescent="0.2">
      <c r="A13206" t="s">
        <v>1173</v>
      </c>
    </row>
    <row r="13207" spans="1:1" x14ac:dyDescent="0.2">
      <c r="A13207" t="s">
        <v>1174</v>
      </c>
    </row>
    <row r="13208" spans="1:1" x14ac:dyDescent="0.2">
      <c r="A13208" t="s">
        <v>1175</v>
      </c>
    </row>
    <row r="13209" spans="1:1" x14ac:dyDescent="0.2">
      <c r="A13209" t="s">
        <v>1176</v>
      </c>
    </row>
    <row r="13210" spans="1:1" x14ac:dyDescent="0.2">
      <c r="A13210" t="s">
        <v>1177</v>
      </c>
    </row>
    <row r="13211" spans="1:1" x14ac:dyDescent="0.2">
      <c r="A13211" t="s">
        <v>1178</v>
      </c>
    </row>
    <row r="13212" spans="1:1" x14ac:dyDescent="0.2">
      <c r="A13212" t="s">
        <v>1179</v>
      </c>
    </row>
    <row r="13213" spans="1:1" x14ac:dyDescent="0.2">
      <c r="A13213" t="s">
        <v>1180</v>
      </c>
    </row>
    <row r="13214" spans="1:1" x14ac:dyDescent="0.2">
      <c r="A13214" t="s">
        <v>1181</v>
      </c>
    </row>
    <row r="13215" spans="1:1" x14ac:dyDescent="0.2">
      <c r="A13215" t="s">
        <v>1182</v>
      </c>
    </row>
    <row r="13216" spans="1:1" x14ac:dyDescent="0.2">
      <c r="A13216" t="s">
        <v>1183</v>
      </c>
    </row>
    <row r="13217" spans="1:1" x14ac:dyDescent="0.2">
      <c r="A13217" t="s">
        <v>1184</v>
      </c>
    </row>
    <row r="13218" spans="1:1" x14ac:dyDescent="0.2">
      <c r="A13218" t="s">
        <v>1185</v>
      </c>
    </row>
    <row r="13219" spans="1:1" x14ac:dyDescent="0.2">
      <c r="A13219" t="s">
        <v>1186</v>
      </c>
    </row>
    <row r="13220" spans="1:1" x14ac:dyDescent="0.2">
      <c r="A13220" t="s">
        <v>1187</v>
      </c>
    </row>
    <row r="13221" spans="1:1" x14ac:dyDescent="0.2">
      <c r="A13221" t="s">
        <v>1188</v>
      </c>
    </row>
    <row r="13222" spans="1:1" x14ac:dyDescent="0.2">
      <c r="A13222" t="s">
        <v>1189</v>
      </c>
    </row>
    <row r="13223" spans="1:1" x14ac:dyDescent="0.2">
      <c r="A13223" t="s">
        <v>1190</v>
      </c>
    </row>
    <row r="13224" spans="1:1" x14ac:dyDescent="0.2">
      <c r="A13224" t="s">
        <v>1191</v>
      </c>
    </row>
    <row r="13225" spans="1:1" x14ac:dyDescent="0.2">
      <c r="A13225" t="s">
        <v>1192</v>
      </c>
    </row>
    <row r="13226" spans="1:1" x14ac:dyDescent="0.2">
      <c r="A13226" t="s">
        <v>1193</v>
      </c>
    </row>
    <row r="13227" spans="1:1" x14ac:dyDescent="0.2">
      <c r="A13227" t="s">
        <v>1194</v>
      </c>
    </row>
    <row r="13228" spans="1:1" x14ac:dyDescent="0.2">
      <c r="A13228" t="s">
        <v>1195</v>
      </c>
    </row>
    <row r="13229" spans="1:1" x14ac:dyDescent="0.2">
      <c r="A13229" t="s">
        <v>1196</v>
      </c>
    </row>
    <row r="13230" spans="1:1" x14ac:dyDescent="0.2">
      <c r="A13230" t="s">
        <v>1197</v>
      </c>
    </row>
    <row r="13231" spans="1:1" x14ac:dyDescent="0.2">
      <c r="A13231" t="s">
        <v>1198</v>
      </c>
    </row>
    <row r="13232" spans="1:1" x14ac:dyDescent="0.2">
      <c r="A13232" t="s">
        <v>1199</v>
      </c>
    </row>
    <row r="13233" spans="1:1" x14ac:dyDescent="0.2">
      <c r="A13233" t="s">
        <v>1200</v>
      </c>
    </row>
    <row r="13234" spans="1:1" x14ac:dyDescent="0.2">
      <c r="A13234" t="s">
        <v>1201</v>
      </c>
    </row>
    <row r="13235" spans="1:1" x14ac:dyDescent="0.2">
      <c r="A13235" t="s">
        <v>1202</v>
      </c>
    </row>
    <row r="13236" spans="1:1" x14ac:dyDescent="0.2">
      <c r="A13236" t="s">
        <v>1203</v>
      </c>
    </row>
    <row r="13237" spans="1:1" x14ac:dyDescent="0.2">
      <c r="A13237" t="s">
        <v>1204</v>
      </c>
    </row>
    <row r="13238" spans="1:1" x14ac:dyDescent="0.2">
      <c r="A13238" t="s">
        <v>1205</v>
      </c>
    </row>
    <row r="13239" spans="1:1" x14ac:dyDescent="0.2">
      <c r="A13239" t="s">
        <v>1206</v>
      </c>
    </row>
    <row r="13240" spans="1:1" x14ac:dyDescent="0.2">
      <c r="A13240" t="s">
        <v>1207</v>
      </c>
    </row>
    <row r="13241" spans="1:1" x14ac:dyDescent="0.2">
      <c r="A13241" t="s">
        <v>1208</v>
      </c>
    </row>
    <row r="13242" spans="1:1" x14ac:dyDescent="0.2">
      <c r="A13242" t="s">
        <v>1209</v>
      </c>
    </row>
    <row r="13243" spans="1:1" x14ac:dyDescent="0.2">
      <c r="A13243" t="s">
        <v>1210</v>
      </c>
    </row>
    <row r="13244" spans="1:1" x14ac:dyDescent="0.2">
      <c r="A13244" t="s">
        <v>1211</v>
      </c>
    </row>
    <row r="13245" spans="1:1" x14ac:dyDescent="0.2">
      <c r="A13245" t="s">
        <v>1212</v>
      </c>
    </row>
    <row r="13246" spans="1:1" x14ac:dyDescent="0.2">
      <c r="A13246" t="s">
        <v>1213</v>
      </c>
    </row>
    <row r="13247" spans="1:1" x14ac:dyDescent="0.2">
      <c r="A13247" t="s">
        <v>1214</v>
      </c>
    </row>
    <row r="13248" spans="1:1" x14ac:dyDescent="0.2">
      <c r="A13248" t="s">
        <v>1215</v>
      </c>
    </row>
    <row r="13249" spans="1:1" x14ac:dyDescent="0.2">
      <c r="A13249" t="s">
        <v>1216</v>
      </c>
    </row>
    <row r="13250" spans="1:1" x14ac:dyDescent="0.2">
      <c r="A13250" t="s">
        <v>1217</v>
      </c>
    </row>
    <row r="13251" spans="1:1" x14ac:dyDescent="0.2">
      <c r="A13251" t="s">
        <v>1218</v>
      </c>
    </row>
    <row r="13252" spans="1:1" x14ac:dyDescent="0.2">
      <c r="A13252" t="s">
        <v>1219</v>
      </c>
    </row>
    <row r="13253" spans="1:1" x14ac:dyDescent="0.2">
      <c r="A13253" t="s">
        <v>1220</v>
      </c>
    </row>
    <row r="13254" spans="1:1" x14ac:dyDescent="0.2">
      <c r="A13254" t="s">
        <v>1221</v>
      </c>
    </row>
    <row r="13255" spans="1:1" x14ac:dyDescent="0.2">
      <c r="A13255" t="s">
        <v>1222</v>
      </c>
    </row>
    <row r="13256" spans="1:1" x14ac:dyDescent="0.2">
      <c r="A13256" t="s">
        <v>1223</v>
      </c>
    </row>
    <row r="13257" spans="1:1" x14ac:dyDescent="0.2">
      <c r="A13257" t="s">
        <v>1224</v>
      </c>
    </row>
    <row r="13258" spans="1:1" x14ac:dyDescent="0.2">
      <c r="A13258" t="s">
        <v>1225</v>
      </c>
    </row>
    <row r="13259" spans="1:1" x14ac:dyDescent="0.2">
      <c r="A13259" t="s">
        <v>1226</v>
      </c>
    </row>
    <row r="13260" spans="1:1" x14ac:dyDescent="0.2">
      <c r="A13260" t="s">
        <v>1227</v>
      </c>
    </row>
    <row r="13261" spans="1:1" x14ac:dyDescent="0.2">
      <c r="A13261" t="s">
        <v>1228</v>
      </c>
    </row>
    <row r="13262" spans="1:1" x14ac:dyDescent="0.2">
      <c r="A13262" t="s">
        <v>1229</v>
      </c>
    </row>
    <row r="13263" spans="1:1" x14ac:dyDescent="0.2">
      <c r="A13263" t="s">
        <v>1230</v>
      </c>
    </row>
    <row r="13264" spans="1:1" x14ac:dyDescent="0.2">
      <c r="A13264" t="s">
        <v>1231</v>
      </c>
    </row>
    <row r="13265" spans="1:1" x14ac:dyDescent="0.2">
      <c r="A13265" t="s">
        <v>1232</v>
      </c>
    </row>
    <row r="13266" spans="1:1" x14ac:dyDescent="0.2">
      <c r="A13266" t="s">
        <v>1233</v>
      </c>
    </row>
    <row r="13267" spans="1:1" x14ac:dyDescent="0.2">
      <c r="A13267" t="s">
        <v>1234</v>
      </c>
    </row>
    <row r="13268" spans="1:1" x14ac:dyDescent="0.2">
      <c r="A13268" t="s">
        <v>1235</v>
      </c>
    </row>
    <row r="13269" spans="1:1" x14ac:dyDescent="0.2">
      <c r="A13269" t="s">
        <v>1236</v>
      </c>
    </row>
    <row r="13270" spans="1:1" x14ac:dyDescent="0.2">
      <c r="A13270" t="s">
        <v>1237</v>
      </c>
    </row>
    <row r="13271" spans="1:1" x14ac:dyDescent="0.2">
      <c r="A13271" t="s">
        <v>1238</v>
      </c>
    </row>
    <row r="13272" spans="1:1" x14ac:dyDescent="0.2">
      <c r="A13272" t="s">
        <v>1239</v>
      </c>
    </row>
    <row r="13273" spans="1:1" x14ac:dyDescent="0.2">
      <c r="A13273" t="s">
        <v>1240</v>
      </c>
    </row>
    <row r="13274" spans="1:1" x14ac:dyDescent="0.2">
      <c r="A13274" t="s">
        <v>1241</v>
      </c>
    </row>
    <row r="13275" spans="1:1" x14ac:dyDescent="0.2">
      <c r="A13275" t="s">
        <v>1242</v>
      </c>
    </row>
    <row r="13276" spans="1:1" x14ac:dyDescent="0.2">
      <c r="A13276" t="s">
        <v>1243</v>
      </c>
    </row>
    <row r="13277" spans="1:1" x14ac:dyDescent="0.2">
      <c r="A13277" t="s">
        <v>1244</v>
      </c>
    </row>
    <row r="13278" spans="1:1" x14ac:dyDescent="0.2">
      <c r="A13278" t="s">
        <v>1245</v>
      </c>
    </row>
    <row r="13279" spans="1:1" x14ac:dyDescent="0.2">
      <c r="A13279" t="s">
        <v>1246</v>
      </c>
    </row>
    <row r="13280" spans="1:1" x14ac:dyDescent="0.2">
      <c r="A13280" t="s">
        <v>1247</v>
      </c>
    </row>
    <row r="13281" spans="1:1" x14ac:dyDescent="0.2">
      <c r="A13281" t="s">
        <v>1248</v>
      </c>
    </row>
    <row r="13282" spans="1:1" x14ac:dyDescent="0.2">
      <c r="A13282" t="s">
        <v>1249</v>
      </c>
    </row>
    <row r="13283" spans="1:1" x14ac:dyDescent="0.2">
      <c r="A13283" t="s">
        <v>1250</v>
      </c>
    </row>
    <row r="13284" spans="1:1" x14ac:dyDescent="0.2">
      <c r="A13284" t="s">
        <v>1251</v>
      </c>
    </row>
    <row r="13285" spans="1:1" x14ac:dyDescent="0.2">
      <c r="A13285" t="s">
        <v>1252</v>
      </c>
    </row>
    <row r="13286" spans="1:1" x14ac:dyDescent="0.2">
      <c r="A13286" t="s">
        <v>1253</v>
      </c>
    </row>
    <row r="13287" spans="1:1" x14ac:dyDescent="0.2">
      <c r="A13287" t="s">
        <v>1254</v>
      </c>
    </row>
    <row r="13288" spans="1:1" x14ac:dyDescent="0.2">
      <c r="A13288" t="s">
        <v>1255</v>
      </c>
    </row>
    <row r="13289" spans="1:1" x14ac:dyDescent="0.2">
      <c r="A13289" t="s">
        <v>1256</v>
      </c>
    </row>
    <row r="13290" spans="1:1" x14ac:dyDescent="0.2">
      <c r="A13290" t="s">
        <v>1257</v>
      </c>
    </row>
    <row r="13291" spans="1:1" x14ac:dyDescent="0.2">
      <c r="A13291" t="s">
        <v>1258</v>
      </c>
    </row>
    <row r="13292" spans="1:1" x14ac:dyDescent="0.2">
      <c r="A13292" t="s">
        <v>1259</v>
      </c>
    </row>
    <row r="13293" spans="1:1" x14ac:dyDescent="0.2">
      <c r="A13293" t="s">
        <v>1260</v>
      </c>
    </row>
    <row r="13294" spans="1:1" x14ac:dyDescent="0.2">
      <c r="A13294" t="s">
        <v>1261</v>
      </c>
    </row>
    <row r="13295" spans="1:1" x14ac:dyDescent="0.2">
      <c r="A13295" t="s">
        <v>1262</v>
      </c>
    </row>
    <row r="13296" spans="1:1" x14ac:dyDescent="0.2">
      <c r="A13296" t="s">
        <v>1263</v>
      </c>
    </row>
    <row r="13297" spans="1:1" x14ac:dyDescent="0.2">
      <c r="A13297" t="s">
        <v>1264</v>
      </c>
    </row>
    <row r="13298" spans="1:1" x14ac:dyDescent="0.2">
      <c r="A13298" t="s">
        <v>1265</v>
      </c>
    </row>
    <row r="13299" spans="1:1" x14ac:dyDescent="0.2">
      <c r="A13299" t="s">
        <v>1266</v>
      </c>
    </row>
    <row r="13300" spans="1:1" x14ac:dyDescent="0.2">
      <c r="A13300" t="s">
        <v>1267</v>
      </c>
    </row>
    <row r="13301" spans="1:1" x14ac:dyDescent="0.2">
      <c r="A13301" t="s">
        <v>1268</v>
      </c>
    </row>
    <row r="13302" spans="1:1" x14ac:dyDescent="0.2">
      <c r="A13302" t="s">
        <v>1269</v>
      </c>
    </row>
    <row r="13303" spans="1:1" x14ac:dyDescent="0.2">
      <c r="A13303" t="s">
        <v>1270</v>
      </c>
    </row>
    <row r="13304" spans="1:1" x14ac:dyDescent="0.2">
      <c r="A13304" t="s">
        <v>1271</v>
      </c>
    </row>
    <row r="13305" spans="1:1" x14ac:dyDescent="0.2">
      <c r="A13305" t="s">
        <v>1272</v>
      </c>
    </row>
    <row r="13306" spans="1:1" x14ac:dyDescent="0.2">
      <c r="A13306" t="s">
        <v>1273</v>
      </c>
    </row>
    <row r="13307" spans="1:1" x14ac:dyDescent="0.2">
      <c r="A13307" t="s">
        <v>1274</v>
      </c>
    </row>
    <row r="13308" spans="1:1" x14ac:dyDescent="0.2">
      <c r="A13308" t="s">
        <v>1275</v>
      </c>
    </row>
    <row r="13309" spans="1:1" x14ac:dyDescent="0.2">
      <c r="A13309" t="s">
        <v>1276</v>
      </c>
    </row>
    <row r="13310" spans="1:1" x14ac:dyDescent="0.2">
      <c r="A13310" t="s">
        <v>1277</v>
      </c>
    </row>
    <row r="13311" spans="1:1" x14ac:dyDescent="0.2">
      <c r="A13311" t="s">
        <v>1278</v>
      </c>
    </row>
    <row r="13312" spans="1:1" x14ac:dyDescent="0.2">
      <c r="A13312" t="s">
        <v>1279</v>
      </c>
    </row>
    <row r="13313" spans="1:1" x14ac:dyDescent="0.2">
      <c r="A13313" t="s">
        <v>1280</v>
      </c>
    </row>
    <row r="13314" spans="1:1" x14ac:dyDescent="0.2">
      <c r="A13314" t="s">
        <v>1281</v>
      </c>
    </row>
    <row r="13315" spans="1:1" x14ac:dyDescent="0.2">
      <c r="A13315" t="s">
        <v>1282</v>
      </c>
    </row>
    <row r="13316" spans="1:1" x14ac:dyDescent="0.2">
      <c r="A13316" t="s">
        <v>1283</v>
      </c>
    </row>
    <row r="13317" spans="1:1" x14ac:dyDescent="0.2">
      <c r="A13317" t="s">
        <v>1284</v>
      </c>
    </row>
    <row r="13318" spans="1:1" x14ac:dyDescent="0.2">
      <c r="A13318" t="s">
        <v>1285</v>
      </c>
    </row>
    <row r="13319" spans="1:1" x14ac:dyDescent="0.2">
      <c r="A13319" t="s">
        <v>1286</v>
      </c>
    </row>
    <row r="13320" spans="1:1" x14ac:dyDescent="0.2">
      <c r="A13320" t="s">
        <v>1291</v>
      </c>
    </row>
    <row r="13321" spans="1:1" x14ac:dyDescent="0.2">
      <c r="A13321" t="s">
        <v>1292</v>
      </c>
    </row>
    <row r="13322" spans="1:1" x14ac:dyDescent="0.2">
      <c r="A13322" t="s">
        <v>1293</v>
      </c>
    </row>
    <row r="13323" spans="1:1" x14ac:dyDescent="0.2">
      <c r="A13323" t="s">
        <v>1294</v>
      </c>
    </row>
    <row r="13324" spans="1:1" x14ac:dyDescent="0.2">
      <c r="A13324" t="s">
        <v>1295</v>
      </c>
    </row>
    <row r="13325" spans="1:1" x14ac:dyDescent="0.2">
      <c r="A13325" t="s">
        <v>1296</v>
      </c>
    </row>
    <row r="13326" spans="1:1" x14ac:dyDescent="0.2">
      <c r="A13326" t="s">
        <v>1297</v>
      </c>
    </row>
    <row r="13327" spans="1:1" x14ac:dyDescent="0.2">
      <c r="A13327" t="s">
        <v>1298</v>
      </c>
    </row>
    <row r="13328" spans="1:1" x14ac:dyDescent="0.2">
      <c r="A13328" t="s">
        <v>1299</v>
      </c>
    </row>
    <row r="13329" spans="1:1" x14ac:dyDescent="0.2">
      <c r="A13329" t="s">
        <v>1300</v>
      </c>
    </row>
    <row r="13330" spans="1:1" x14ac:dyDescent="0.2">
      <c r="A13330" t="s">
        <v>1301</v>
      </c>
    </row>
    <row r="13331" spans="1:1" x14ac:dyDescent="0.2">
      <c r="A13331" t="s">
        <v>1302</v>
      </c>
    </row>
    <row r="13332" spans="1:1" x14ac:dyDescent="0.2">
      <c r="A13332" t="s">
        <v>1303</v>
      </c>
    </row>
    <row r="13333" spans="1:1" x14ac:dyDescent="0.2">
      <c r="A13333" t="s">
        <v>1304</v>
      </c>
    </row>
    <row r="13334" spans="1:1" x14ac:dyDescent="0.2">
      <c r="A13334" t="s">
        <v>1305</v>
      </c>
    </row>
    <row r="13335" spans="1:1" x14ac:dyDescent="0.2">
      <c r="A13335" t="s">
        <v>1306</v>
      </c>
    </row>
    <row r="13336" spans="1:1" x14ac:dyDescent="0.2">
      <c r="A13336" t="s">
        <v>1307</v>
      </c>
    </row>
    <row r="13337" spans="1:1" x14ac:dyDescent="0.2">
      <c r="A13337" t="s">
        <v>1308</v>
      </c>
    </row>
    <row r="13338" spans="1:1" x14ac:dyDescent="0.2">
      <c r="A13338" t="s">
        <v>1309</v>
      </c>
    </row>
    <row r="13339" spans="1:1" x14ac:dyDescent="0.2">
      <c r="A13339" t="s">
        <v>1310</v>
      </c>
    </row>
    <row r="13340" spans="1:1" x14ac:dyDescent="0.2">
      <c r="A13340" t="s">
        <v>1311</v>
      </c>
    </row>
    <row r="13341" spans="1:1" x14ac:dyDescent="0.2">
      <c r="A13341" t="s">
        <v>1312</v>
      </c>
    </row>
    <row r="13342" spans="1:1" x14ac:dyDescent="0.2">
      <c r="A13342" t="s">
        <v>1313</v>
      </c>
    </row>
    <row r="13343" spans="1:1" x14ac:dyDescent="0.2">
      <c r="A13343" t="s">
        <v>1314</v>
      </c>
    </row>
    <row r="13344" spans="1:1" x14ac:dyDescent="0.2">
      <c r="A13344" t="s">
        <v>1315</v>
      </c>
    </row>
    <row r="13345" spans="1:1" x14ac:dyDescent="0.2">
      <c r="A13345" t="s">
        <v>1316</v>
      </c>
    </row>
    <row r="13346" spans="1:1" x14ac:dyDescent="0.2">
      <c r="A13346" t="s">
        <v>1317</v>
      </c>
    </row>
    <row r="13347" spans="1:1" x14ac:dyDescent="0.2">
      <c r="A13347" t="s">
        <v>1318</v>
      </c>
    </row>
    <row r="13348" spans="1:1" x14ac:dyDescent="0.2">
      <c r="A13348" t="s">
        <v>1319</v>
      </c>
    </row>
    <row r="13349" spans="1:1" x14ac:dyDescent="0.2">
      <c r="A13349" t="s">
        <v>1320</v>
      </c>
    </row>
    <row r="13350" spans="1:1" x14ac:dyDescent="0.2">
      <c r="A13350" t="s">
        <v>1321</v>
      </c>
    </row>
    <row r="13351" spans="1:1" x14ac:dyDescent="0.2">
      <c r="A13351" t="s">
        <v>1322</v>
      </c>
    </row>
    <row r="13352" spans="1:1" x14ac:dyDescent="0.2">
      <c r="A13352" t="s">
        <v>1323</v>
      </c>
    </row>
    <row r="13353" spans="1:1" x14ac:dyDescent="0.2">
      <c r="A13353" t="s">
        <v>1324</v>
      </c>
    </row>
    <row r="13354" spans="1:1" x14ac:dyDescent="0.2">
      <c r="A13354" t="s">
        <v>1325</v>
      </c>
    </row>
    <row r="13355" spans="1:1" x14ac:dyDescent="0.2">
      <c r="A13355" t="s">
        <v>1326</v>
      </c>
    </row>
    <row r="13356" spans="1:1" x14ac:dyDescent="0.2">
      <c r="A13356" t="s">
        <v>1327</v>
      </c>
    </row>
    <row r="13357" spans="1:1" x14ac:dyDescent="0.2">
      <c r="A13357" t="s">
        <v>1328</v>
      </c>
    </row>
    <row r="13358" spans="1:1" x14ac:dyDescent="0.2">
      <c r="A13358" t="s">
        <v>1329</v>
      </c>
    </row>
    <row r="13359" spans="1:1" x14ac:dyDescent="0.2">
      <c r="A13359" t="s">
        <v>1330</v>
      </c>
    </row>
    <row r="13360" spans="1:1" x14ac:dyDescent="0.2">
      <c r="A13360" t="s">
        <v>1331</v>
      </c>
    </row>
    <row r="13361" spans="1:1" x14ac:dyDescent="0.2">
      <c r="A13361" t="s">
        <v>3085</v>
      </c>
    </row>
    <row r="13362" spans="1:1" x14ac:dyDescent="0.2">
      <c r="A13362" t="s">
        <v>1332</v>
      </c>
    </row>
    <row r="13363" spans="1:1" x14ac:dyDescent="0.2">
      <c r="A13363" t="s">
        <v>1333</v>
      </c>
    </row>
    <row r="13364" spans="1:1" x14ac:dyDescent="0.2">
      <c r="A13364" t="s">
        <v>1334</v>
      </c>
    </row>
    <row r="13365" spans="1:1" x14ac:dyDescent="0.2">
      <c r="A13365" t="s">
        <v>3086</v>
      </c>
    </row>
    <row r="13366" spans="1:1" x14ac:dyDescent="0.2">
      <c r="A13366" t="s">
        <v>3087</v>
      </c>
    </row>
    <row r="13367" spans="1:1" x14ac:dyDescent="0.2">
      <c r="A13367" t="s">
        <v>1335</v>
      </c>
    </row>
    <row r="13368" spans="1:1" x14ac:dyDescent="0.2">
      <c r="A13368" t="s">
        <v>1336</v>
      </c>
    </row>
    <row r="13369" spans="1:1" x14ac:dyDescent="0.2">
      <c r="A13369" t="s">
        <v>1337</v>
      </c>
    </row>
    <row r="13370" spans="1:1" x14ac:dyDescent="0.2">
      <c r="A13370" t="s">
        <v>1338</v>
      </c>
    </row>
    <row r="13371" spans="1:1" x14ac:dyDescent="0.2">
      <c r="A13371" t="s">
        <v>1339</v>
      </c>
    </row>
    <row r="13372" spans="1:1" x14ac:dyDescent="0.2">
      <c r="A13372" t="s">
        <v>1340</v>
      </c>
    </row>
    <row r="13373" spans="1:1" x14ac:dyDescent="0.2">
      <c r="A13373" t="s">
        <v>1341</v>
      </c>
    </row>
    <row r="13374" spans="1:1" x14ac:dyDescent="0.2">
      <c r="A13374" t="s">
        <v>3088</v>
      </c>
    </row>
    <row r="13375" spans="1:1" x14ac:dyDescent="0.2">
      <c r="A13375" t="s">
        <v>1342</v>
      </c>
    </row>
    <row r="13376" spans="1:1" x14ac:dyDescent="0.2">
      <c r="A13376" t="s">
        <v>1343</v>
      </c>
    </row>
    <row r="13377" spans="1:1" x14ac:dyDescent="0.2">
      <c r="A13377" t="s">
        <v>1344</v>
      </c>
    </row>
    <row r="13378" spans="1:1" x14ac:dyDescent="0.2">
      <c r="A13378" t="s">
        <v>1345</v>
      </c>
    </row>
    <row r="13379" spans="1:1" x14ac:dyDescent="0.2">
      <c r="A13379" t="s">
        <v>3089</v>
      </c>
    </row>
    <row r="13380" spans="1:1" x14ac:dyDescent="0.2">
      <c r="A13380" t="s">
        <v>3090</v>
      </c>
    </row>
    <row r="13381" spans="1:1" x14ac:dyDescent="0.2">
      <c r="A13381" t="s">
        <v>1346</v>
      </c>
    </row>
    <row r="13382" spans="1:1" x14ac:dyDescent="0.2">
      <c r="A13382" t="s">
        <v>1347</v>
      </c>
    </row>
    <row r="13383" spans="1:1" x14ac:dyDescent="0.2">
      <c r="A13383" t="s">
        <v>1348</v>
      </c>
    </row>
    <row r="13384" spans="1:1" x14ac:dyDescent="0.2">
      <c r="A13384" t="s">
        <v>1349</v>
      </c>
    </row>
    <row r="13385" spans="1:1" x14ac:dyDescent="0.2">
      <c r="A13385" t="s">
        <v>1350</v>
      </c>
    </row>
    <row r="13386" spans="1:1" x14ac:dyDescent="0.2">
      <c r="A13386" t="s">
        <v>1351</v>
      </c>
    </row>
    <row r="13387" spans="1:1" x14ac:dyDescent="0.2">
      <c r="A13387" t="s">
        <v>1352</v>
      </c>
    </row>
    <row r="13388" spans="1:1" x14ac:dyDescent="0.2">
      <c r="A13388" t="s">
        <v>1353</v>
      </c>
    </row>
    <row r="13389" spans="1:1" x14ac:dyDescent="0.2">
      <c r="A13389" t="s">
        <v>1354</v>
      </c>
    </row>
    <row r="13390" spans="1:1" x14ac:dyDescent="0.2">
      <c r="A13390" t="s">
        <v>1355</v>
      </c>
    </row>
    <row r="13391" spans="1:1" x14ac:dyDescent="0.2">
      <c r="A13391" t="s">
        <v>1356</v>
      </c>
    </row>
    <row r="13392" spans="1:1" x14ac:dyDescent="0.2">
      <c r="A13392" t="s">
        <v>1357</v>
      </c>
    </row>
    <row r="13393" spans="1:1" x14ac:dyDescent="0.2">
      <c r="A13393" t="s">
        <v>1358</v>
      </c>
    </row>
    <row r="13394" spans="1:1" x14ac:dyDescent="0.2">
      <c r="A13394" t="s">
        <v>1359</v>
      </c>
    </row>
    <row r="13395" spans="1:1" x14ac:dyDescent="0.2">
      <c r="A13395" t="s">
        <v>1360</v>
      </c>
    </row>
    <row r="13396" spans="1:1" x14ac:dyDescent="0.2">
      <c r="A13396" t="s">
        <v>1361</v>
      </c>
    </row>
    <row r="13397" spans="1:1" x14ac:dyDescent="0.2">
      <c r="A13397" t="s">
        <v>1362</v>
      </c>
    </row>
    <row r="13398" spans="1:1" x14ac:dyDescent="0.2">
      <c r="A13398" t="s">
        <v>1363</v>
      </c>
    </row>
    <row r="13399" spans="1:1" x14ac:dyDescent="0.2">
      <c r="A13399" t="s">
        <v>1364</v>
      </c>
    </row>
    <row r="13400" spans="1:1" x14ac:dyDescent="0.2">
      <c r="A13400" t="s">
        <v>1365</v>
      </c>
    </row>
    <row r="13401" spans="1:1" x14ac:dyDescent="0.2">
      <c r="A13401" t="s">
        <v>1366</v>
      </c>
    </row>
    <row r="13402" spans="1:1" x14ac:dyDescent="0.2">
      <c r="A13402" t="s">
        <v>1367</v>
      </c>
    </row>
    <row r="13403" spans="1:1" x14ac:dyDescent="0.2">
      <c r="A13403" t="s">
        <v>1368</v>
      </c>
    </row>
    <row r="13404" spans="1:1" x14ac:dyDescent="0.2">
      <c r="A13404" t="s">
        <v>1369</v>
      </c>
    </row>
    <row r="13405" spans="1:1" x14ac:dyDescent="0.2">
      <c r="A13405" t="s">
        <v>1370</v>
      </c>
    </row>
    <row r="13406" spans="1:1" x14ac:dyDescent="0.2">
      <c r="A13406" t="s">
        <v>1371</v>
      </c>
    </row>
    <row r="13407" spans="1:1" x14ac:dyDescent="0.2">
      <c r="A13407" t="s">
        <v>1372</v>
      </c>
    </row>
    <row r="13408" spans="1:1" x14ac:dyDescent="0.2">
      <c r="A13408" t="s">
        <v>1373</v>
      </c>
    </row>
    <row r="13409" spans="1:1" x14ac:dyDescent="0.2">
      <c r="A13409" t="s">
        <v>1374</v>
      </c>
    </row>
    <row r="13410" spans="1:1" x14ac:dyDescent="0.2">
      <c r="A13410" t="s">
        <v>1375</v>
      </c>
    </row>
    <row r="13411" spans="1:1" x14ac:dyDescent="0.2">
      <c r="A13411" t="s">
        <v>1376</v>
      </c>
    </row>
    <row r="13412" spans="1:1" x14ac:dyDescent="0.2">
      <c r="A13412" t="s">
        <v>1377</v>
      </c>
    </row>
    <row r="13413" spans="1:1" x14ac:dyDescent="0.2">
      <c r="A13413" t="s">
        <v>1378</v>
      </c>
    </row>
    <row r="13414" spans="1:1" x14ac:dyDescent="0.2">
      <c r="A13414" t="s">
        <v>1379</v>
      </c>
    </row>
    <row r="13415" spans="1:1" x14ac:dyDescent="0.2">
      <c r="A13415" t="s">
        <v>1380</v>
      </c>
    </row>
    <row r="13416" spans="1:1" x14ac:dyDescent="0.2">
      <c r="A13416" t="s">
        <v>1381</v>
      </c>
    </row>
    <row r="13417" spans="1:1" x14ac:dyDescent="0.2">
      <c r="A13417" t="s">
        <v>1382</v>
      </c>
    </row>
    <row r="13418" spans="1:1" x14ac:dyDescent="0.2">
      <c r="A13418" t="s">
        <v>1383</v>
      </c>
    </row>
    <row r="13419" spans="1:1" x14ac:dyDescent="0.2">
      <c r="A13419" t="s">
        <v>1384</v>
      </c>
    </row>
    <row r="13420" spans="1:1" x14ac:dyDescent="0.2">
      <c r="A13420" t="s">
        <v>1385</v>
      </c>
    </row>
    <row r="13421" spans="1:1" x14ac:dyDescent="0.2">
      <c r="A13421" t="s">
        <v>1386</v>
      </c>
    </row>
    <row r="13422" spans="1:1" x14ac:dyDescent="0.2">
      <c r="A13422" t="s">
        <v>1387</v>
      </c>
    </row>
    <row r="13423" spans="1:1" x14ac:dyDescent="0.2">
      <c r="A13423" t="s">
        <v>1388</v>
      </c>
    </row>
    <row r="13424" spans="1:1" x14ac:dyDescent="0.2">
      <c r="A13424" t="s">
        <v>1389</v>
      </c>
    </row>
    <row r="13425" spans="1:1" x14ac:dyDescent="0.2">
      <c r="A13425" t="s">
        <v>1390</v>
      </c>
    </row>
    <row r="13426" spans="1:1" x14ac:dyDescent="0.2">
      <c r="A13426" t="s">
        <v>1391</v>
      </c>
    </row>
    <row r="13427" spans="1:1" x14ac:dyDescent="0.2">
      <c r="A13427" t="s">
        <v>1392</v>
      </c>
    </row>
    <row r="13428" spans="1:1" x14ac:dyDescent="0.2">
      <c r="A13428" t="s">
        <v>1393</v>
      </c>
    </row>
    <row r="13429" spans="1:1" x14ac:dyDescent="0.2">
      <c r="A13429" t="s">
        <v>1394</v>
      </c>
    </row>
    <row r="13430" spans="1:1" x14ac:dyDescent="0.2">
      <c r="A13430" t="s">
        <v>1395</v>
      </c>
    </row>
    <row r="13431" spans="1:1" x14ac:dyDescent="0.2">
      <c r="A13431" t="s">
        <v>1396</v>
      </c>
    </row>
    <row r="13432" spans="1:1" x14ac:dyDescent="0.2">
      <c r="A13432" t="s">
        <v>1397</v>
      </c>
    </row>
    <row r="13433" spans="1:1" x14ac:dyDescent="0.2">
      <c r="A13433" t="s">
        <v>1398</v>
      </c>
    </row>
    <row r="13434" spans="1:1" x14ac:dyDescent="0.2">
      <c r="A13434" t="s">
        <v>1399</v>
      </c>
    </row>
    <row r="13435" spans="1:1" x14ac:dyDescent="0.2">
      <c r="A13435" t="s">
        <v>1400</v>
      </c>
    </row>
    <row r="13436" spans="1:1" x14ac:dyDescent="0.2">
      <c r="A13436" t="s">
        <v>1401</v>
      </c>
    </row>
    <row r="13437" spans="1:1" x14ac:dyDescent="0.2">
      <c r="A13437" t="s">
        <v>1402</v>
      </c>
    </row>
    <row r="13438" spans="1:1" x14ac:dyDescent="0.2">
      <c r="A13438" t="s">
        <v>1403</v>
      </c>
    </row>
    <row r="13439" spans="1:1" x14ac:dyDescent="0.2">
      <c r="A13439" t="s">
        <v>1404</v>
      </c>
    </row>
    <row r="13440" spans="1:1" x14ac:dyDescent="0.2">
      <c r="A13440" t="s">
        <v>1405</v>
      </c>
    </row>
    <row r="13441" spans="1:1" x14ac:dyDescent="0.2">
      <c r="A13441" t="s">
        <v>1406</v>
      </c>
    </row>
    <row r="13442" spans="1:1" x14ac:dyDescent="0.2">
      <c r="A13442" t="s">
        <v>1407</v>
      </c>
    </row>
    <row r="13443" spans="1:1" x14ac:dyDescent="0.2">
      <c r="A13443" t="s">
        <v>1408</v>
      </c>
    </row>
    <row r="13444" spans="1:1" x14ac:dyDescent="0.2">
      <c r="A13444" t="s">
        <v>1409</v>
      </c>
    </row>
    <row r="13445" spans="1:1" x14ac:dyDescent="0.2">
      <c r="A13445" t="s">
        <v>1410</v>
      </c>
    </row>
    <row r="13446" spans="1:1" x14ac:dyDescent="0.2">
      <c r="A13446" t="s">
        <v>1411</v>
      </c>
    </row>
    <row r="13447" spans="1:1" x14ac:dyDescent="0.2">
      <c r="A13447" t="s">
        <v>1412</v>
      </c>
    </row>
    <row r="13448" spans="1:1" x14ac:dyDescent="0.2">
      <c r="A13448" t="s">
        <v>1413</v>
      </c>
    </row>
    <row r="13449" spans="1:1" x14ac:dyDescent="0.2">
      <c r="A13449" t="s">
        <v>1414</v>
      </c>
    </row>
    <row r="13450" spans="1:1" x14ac:dyDescent="0.2">
      <c r="A13450" t="s">
        <v>1415</v>
      </c>
    </row>
    <row r="13451" spans="1:1" x14ac:dyDescent="0.2">
      <c r="A13451" t="s">
        <v>1416</v>
      </c>
    </row>
    <row r="13452" spans="1:1" x14ac:dyDescent="0.2">
      <c r="A13452" t="s">
        <v>1417</v>
      </c>
    </row>
    <row r="13453" spans="1:1" x14ac:dyDescent="0.2">
      <c r="A13453" t="s">
        <v>1418</v>
      </c>
    </row>
    <row r="13454" spans="1:1" x14ac:dyDescent="0.2">
      <c r="A13454" t="s">
        <v>1419</v>
      </c>
    </row>
    <row r="13455" spans="1:1" x14ac:dyDescent="0.2">
      <c r="A13455" t="s">
        <v>1420</v>
      </c>
    </row>
    <row r="13456" spans="1:1" x14ac:dyDescent="0.2">
      <c r="A13456" t="s">
        <v>1421</v>
      </c>
    </row>
    <row r="13457" spans="1:1" x14ac:dyDescent="0.2">
      <c r="A13457" t="s">
        <v>1422</v>
      </c>
    </row>
    <row r="13458" spans="1:1" x14ac:dyDescent="0.2">
      <c r="A13458" t="s">
        <v>1423</v>
      </c>
    </row>
    <row r="13459" spans="1:1" x14ac:dyDescent="0.2">
      <c r="A13459" t="s">
        <v>1424</v>
      </c>
    </row>
    <row r="13460" spans="1:1" x14ac:dyDescent="0.2">
      <c r="A13460" t="s">
        <v>1425</v>
      </c>
    </row>
    <row r="13461" spans="1:1" x14ac:dyDescent="0.2">
      <c r="A13461" t="s">
        <v>1426</v>
      </c>
    </row>
    <row r="13462" spans="1:1" x14ac:dyDescent="0.2">
      <c r="A13462" t="s">
        <v>1427</v>
      </c>
    </row>
    <row r="13463" spans="1:1" x14ac:dyDescent="0.2">
      <c r="A13463" t="s">
        <v>1428</v>
      </c>
    </row>
    <row r="13464" spans="1:1" x14ac:dyDescent="0.2">
      <c r="A13464" t="s">
        <v>1429</v>
      </c>
    </row>
    <row r="13465" spans="1:1" x14ac:dyDescent="0.2">
      <c r="A13465" t="s">
        <v>1430</v>
      </c>
    </row>
    <row r="13466" spans="1:1" x14ac:dyDescent="0.2">
      <c r="A13466" t="s">
        <v>1431</v>
      </c>
    </row>
    <row r="13467" spans="1:1" x14ac:dyDescent="0.2">
      <c r="A13467" t="s">
        <v>1432</v>
      </c>
    </row>
    <row r="13468" spans="1:1" x14ac:dyDescent="0.2">
      <c r="A13468" t="s">
        <v>1433</v>
      </c>
    </row>
    <row r="13469" spans="1:1" x14ac:dyDescent="0.2">
      <c r="A13469" t="s">
        <v>1434</v>
      </c>
    </row>
    <row r="13470" spans="1:1" x14ac:dyDescent="0.2">
      <c r="A13470" t="s">
        <v>1435</v>
      </c>
    </row>
    <row r="13471" spans="1:1" x14ac:dyDescent="0.2">
      <c r="A13471" t="s">
        <v>1436</v>
      </c>
    </row>
    <row r="13472" spans="1:1" x14ac:dyDescent="0.2">
      <c r="A13472" t="s">
        <v>1437</v>
      </c>
    </row>
    <row r="13473" spans="1:1" x14ac:dyDescent="0.2">
      <c r="A13473" t="s">
        <v>1438</v>
      </c>
    </row>
    <row r="13474" spans="1:1" x14ac:dyDescent="0.2">
      <c r="A13474" t="s">
        <v>1439</v>
      </c>
    </row>
    <row r="13475" spans="1:1" x14ac:dyDescent="0.2">
      <c r="A13475" t="s">
        <v>1440</v>
      </c>
    </row>
    <row r="13476" spans="1:1" x14ac:dyDescent="0.2">
      <c r="A13476" t="s">
        <v>1441</v>
      </c>
    </row>
    <row r="13477" spans="1:1" x14ac:dyDescent="0.2">
      <c r="A13477" t="s">
        <v>1442</v>
      </c>
    </row>
    <row r="13478" spans="1:1" x14ac:dyDescent="0.2">
      <c r="A13478" t="s">
        <v>1443</v>
      </c>
    </row>
    <row r="13479" spans="1:1" x14ac:dyDescent="0.2">
      <c r="A13479" t="s">
        <v>1444</v>
      </c>
    </row>
    <row r="13480" spans="1:1" x14ac:dyDescent="0.2">
      <c r="A13480" t="s">
        <v>1445</v>
      </c>
    </row>
    <row r="13481" spans="1:1" x14ac:dyDescent="0.2">
      <c r="A13481" t="s">
        <v>1446</v>
      </c>
    </row>
    <row r="13482" spans="1:1" x14ac:dyDescent="0.2">
      <c r="A13482" t="s">
        <v>1447</v>
      </c>
    </row>
    <row r="13483" spans="1:1" x14ac:dyDescent="0.2">
      <c r="A13483" t="s">
        <v>1448</v>
      </c>
    </row>
    <row r="13484" spans="1:1" x14ac:dyDescent="0.2">
      <c r="A13484" t="s">
        <v>1449</v>
      </c>
    </row>
    <row r="13485" spans="1:1" x14ac:dyDescent="0.2">
      <c r="A13485" t="s">
        <v>1450</v>
      </c>
    </row>
    <row r="13486" spans="1:1" x14ac:dyDescent="0.2">
      <c r="A13486" t="s">
        <v>1451</v>
      </c>
    </row>
    <row r="13487" spans="1:1" x14ac:dyDescent="0.2">
      <c r="A13487" t="s">
        <v>1452</v>
      </c>
    </row>
    <row r="13488" spans="1:1" x14ac:dyDescent="0.2">
      <c r="A13488" t="s">
        <v>1453</v>
      </c>
    </row>
    <row r="13489" spans="1:1" x14ac:dyDescent="0.2">
      <c r="A13489" t="s">
        <v>1454</v>
      </c>
    </row>
    <row r="13490" spans="1:1" x14ac:dyDescent="0.2">
      <c r="A13490" t="s">
        <v>1455</v>
      </c>
    </row>
    <row r="13491" spans="1:1" x14ac:dyDescent="0.2">
      <c r="A13491" t="s">
        <v>1456</v>
      </c>
    </row>
    <row r="13492" spans="1:1" x14ac:dyDescent="0.2">
      <c r="A13492" t="s">
        <v>1457</v>
      </c>
    </row>
    <row r="13493" spans="1:1" x14ac:dyDescent="0.2">
      <c r="A13493" t="s">
        <v>1458</v>
      </c>
    </row>
    <row r="13494" spans="1:1" x14ac:dyDescent="0.2">
      <c r="A13494" t="s">
        <v>1459</v>
      </c>
    </row>
    <row r="13495" spans="1:1" x14ac:dyDescent="0.2">
      <c r="A13495" t="s">
        <v>1460</v>
      </c>
    </row>
    <row r="13496" spans="1:1" x14ac:dyDescent="0.2">
      <c r="A13496" t="s">
        <v>1461</v>
      </c>
    </row>
    <row r="13497" spans="1:1" x14ac:dyDescent="0.2">
      <c r="A13497" t="s">
        <v>1462</v>
      </c>
    </row>
    <row r="13498" spans="1:1" x14ac:dyDescent="0.2">
      <c r="A13498" t="s">
        <v>1463</v>
      </c>
    </row>
    <row r="13499" spans="1:1" x14ac:dyDescent="0.2">
      <c r="A13499" t="s">
        <v>1464</v>
      </c>
    </row>
    <row r="13500" spans="1:1" x14ac:dyDescent="0.2">
      <c r="A13500" t="s">
        <v>1465</v>
      </c>
    </row>
    <row r="13501" spans="1:1" x14ac:dyDescent="0.2">
      <c r="A13501" t="s">
        <v>1466</v>
      </c>
    </row>
    <row r="13502" spans="1:1" x14ac:dyDescent="0.2">
      <c r="A13502" t="s">
        <v>1467</v>
      </c>
    </row>
    <row r="13503" spans="1:1" x14ac:dyDescent="0.2">
      <c r="A13503" t="s">
        <v>1468</v>
      </c>
    </row>
    <row r="13504" spans="1:1" x14ac:dyDescent="0.2">
      <c r="A13504" t="s">
        <v>1469</v>
      </c>
    </row>
    <row r="13505" spans="1:1" x14ac:dyDescent="0.2">
      <c r="A13505" t="s">
        <v>1470</v>
      </c>
    </row>
    <row r="13506" spans="1:1" x14ac:dyDescent="0.2">
      <c r="A13506" t="s">
        <v>1471</v>
      </c>
    </row>
    <row r="13507" spans="1:1" x14ac:dyDescent="0.2">
      <c r="A13507" t="s">
        <v>1472</v>
      </c>
    </row>
    <row r="13508" spans="1:1" x14ac:dyDescent="0.2">
      <c r="A13508" t="s">
        <v>1473</v>
      </c>
    </row>
    <row r="13509" spans="1:1" x14ac:dyDescent="0.2">
      <c r="A13509" t="s">
        <v>1474</v>
      </c>
    </row>
    <row r="13510" spans="1:1" x14ac:dyDescent="0.2">
      <c r="A13510" t="s">
        <v>1475</v>
      </c>
    </row>
    <row r="13511" spans="1:1" x14ac:dyDescent="0.2">
      <c r="A13511" t="s">
        <v>1476</v>
      </c>
    </row>
    <row r="13512" spans="1:1" x14ac:dyDescent="0.2">
      <c r="A13512" t="s">
        <v>1477</v>
      </c>
    </row>
    <row r="13513" spans="1:1" x14ac:dyDescent="0.2">
      <c r="A13513" t="s">
        <v>1478</v>
      </c>
    </row>
    <row r="13514" spans="1:1" x14ac:dyDescent="0.2">
      <c r="A13514" t="s">
        <v>1479</v>
      </c>
    </row>
    <row r="13515" spans="1:1" x14ac:dyDescent="0.2">
      <c r="A13515" t="s">
        <v>1480</v>
      </c>
    </row>
    <row r="13516" spans="1:1" x14ac:dyDescent="0.2">
      <c r="A13516" t="s">
        <v>1481</v>
      </c>
    </row>
    <row r="13517" spans="1:1" x14ac:dyDescent="0.2">
      <c r="A13517" t="s">
        <v>1482</v>
      </c>
    </row>
    <row r="13518" spans="1:1" x14ac:dyDescent="0.2">
      <c r="A13518" t="s">
        <v>1483</v>
      </c>
    </row>
    <row r="13519" spans="1:1" x14ac:dyDescent="0.2">
      <c r="A13519" t="s">
        <v>1484</v>
      </c>
    </row>
    <row r="13520" spans="1:1" x14ac:dyDescent="0.2">
      <c r="A13520" t="s">
        <v>1485</v>
      </c>
    </row>
    <row r="13521" spans="1:1" x14ac:dyDescent="0.2">
      <c r="A13521" t="s">
        <v>1486</v>
      </c>
    </row>
    <row r="13522" spans="1:1" x14ac:dyDescent="0.2">
      <c r="A13522" t="s">
        <v>1487</v>
      </c>
    </row>
    <row r="13523" spans="1:1" x14ac:dyDescent="0.2">
      <c r="A13523" t="s">
        <v>1488</v>
      </c>
    </row>
    <row r="13524" spans="1:1" x14ac:dyDescent="0.2">
      <c r="A13524" t="s">
        <v>1489</v>
      </c>
    </row>
    <row r="13525" spans="1:1" x14ac:dyDescent="0.2">
      <c r="A13525" t="s">
        <v>1490</v>
      </c>
    </row>
    <row r="13526" spans="1:1" x14ac:dyDescent="0.2">
      <c r="A13526" t="s">
        <v>1491</v>
      </c>
    </row>
    <row r="13527" spans="1:1" x14ac:dyDescent="0.2">
      <c r="A13527" t="s">
        <v>1492</v>
      </c>
    </row>
    <row r="13528" spans="1:1" x14ac:dyDescent="0.2">
      <c r="A13528" t="s">
        <v>1493</v>
      </c>
    </row>
    <row r="13529" spans="1:1" x14ac:dyDescent="0.2">
      <c r="A13529" t="s">
        <v>1494</v>
      </c>
    </row>
    <row r="13530" spans="1:1" x14ac:dyDescent="0.2">
      <c r="A13530" t="s">
        <v>1495</v>
      </c>
    </row>
    <row r="13531" spans="1:1" x14ac:dyDescent="0.2">
      <c r="A13531" t="s">
        <v>3091</v>
      </c>
    </row>
    <row r="13532" spans="1:1" x14ac:dyDescent="0.2">
      <c r="A13532" t="s">
        <v>1496</v>
      </c>
    </row>
    <row r="13533" spans="1:1" x14ac:dyDescent="0.2">
      <c r="A13533" t="s">
        <v>1497</v>
      </c>
    </row>
    <row r="13534" spans="1:1" x14ac:dyDescent="0.2">
      <c r="A13534" t="s">
        <v>1498</v>
      </c>
    </row>
    <row r="13535" spans="1:1" x14ac:dyDescent="0.2">
      <c r="A13535" t="s">
        <v>3092</v>
      </c>
    </row>
    <row r="13536" spans="1:1" x14ac:dyDescent="0.2">
      <c r="A13536" t="s">
        <v>1500</v>
      </c>
    </row>
    <row r="13537" spans="1:1" x14ac:dyDescent="0.2">
      <c r="A13537" t="s">
        <v>1501</v>
      </c>
    </row>
    <row r="13538" spans="1:1" x14ac:dyDescent="0.2">
      <c r="A13538" t="s">
        <v>1502</v>
      </c>
    </row>
    <row r="13539" spans="1:1" x14ac:dyDescent="0.2">
      <c r="A13539" t="s">
        <v>1503</v>
      </c>
    </row>
    <row r="13540" spans="1:1" x14ac:dyDescent="0.2">
      <c r="A13540" t="s">
        <v>1504</v>
      </c>
    </row>
    <row r="13541" spans="1:1" x14ac:dyDescent="0.2">
      <c r="A13541" t="s">
        <v>1505</v>
      </c>
    </row>
    <row r="13542" spans="1:1" x14ac:dyDescent="0.2">
      <c r="A13542" t="s">
        <v>1506</v>
      </c>
    </row>
    <row r="13543" spans="1:1" x14ac:dyDescent="0.2">
      <c r="A13543" t="s">
        <v>3093</v>
      </c>
    </row>
    <row r="13544" spans="1:1" x14ac:dyDescent="0.2">
      <c r="A13544" t="s">
        <v>1507</v>
      </c>
    </row>
    <row r="13545" spans="1:1" x14ac:dyDescent="0.2">
      <c r="A13545" t="s">
        <v>1508</v>
      </c>
    </row>
    <row r="13546" spans="1:1" x14ac:dyDescent="0.2">
      <c r="A13546" t="s">
        <v>1509</v>
      </c>
    </row>
    <row r="13547" spans="1:1" x14ac:dyDescent="0.2">
      <c r="A13547" t="s">
        <v>1510</v>
      </c>
    </row>
    <row r="13548" spans="1:1" x14ac:dyDescent="0.2">
      <c r="A13548" t="s">
        <v>1511</v>
      </c>
    </row>
    <row r="13549" spans="1:1" x14ac:dyDescent="0.2">
      <c r="A13549" t="s">
        <v>1512</v>
      </c>
    </row>
    <row r="13550" spans="1:1" x14ac:dyDescent="0.2">
      <c r="A13550" t="s">
        <v>1513</v>
      </c>
    </row>
    <row r="13551" spans="1:1" x14ac:dyDescent="0.2">
      <c r="A13551" t="s">
        <v>1514</v>
      </c>
    </row>
    <row r="13552" spans="1:1" x14ac:dyDescent="0.2">
      <c r="A13552" t="s">
        <v>1515</v>
      </c>
    </row>
    <row r="13553" spans="1:1" x14ac:dyDescent="0.2">
      <c r="A13553" t="s">
        <v>1516</v>
      </c>
    </row>
    <row r="13554" spans="1:1" x14ac:dyDescent="0.2">
      <c r="A13554" t="s">
        <v>1517</v>
      </c>
    </row>
    <row r="13555" spans="1:1" x14ac:dyDescent="0.2">
      <c r="A13555" t="s">
        <v>1518</v>
      </c>
    </row>
    <row r="13556" spans="1:1" x14ac:dyDescent="0.2">
      <c r="A13556" t="s">
        <v>1519</v>
      </c>
    </row>
    <row r="13557" spans="1:1" x14ac:dyDescent="0.2">
      <c r="A13557" t="s">
        <v>1520</v>
      </c>
    </row>
    <row r="13558" spans="1:1" x14ac:dyDescent="0.2">
      <c r="A13558" t="s">
        <v>1521</v>
      </c>
    </row>
    <row r="13559" spans="1:1" x14ac:dyDescent="0.2">
      <c r="A13559" t="s">
        <v>1522</v>
      </c>
    </row>
    <row r="13560" spans="1:1" x14ac:dyDescent="0.2">
      <c r="A13560" t="s">
        <v>1523</v>
      </c>
    </row>
    <row r="13561" spans="1:1" x14ac:dyDescent="0.2">
      <c r="A13561" t="s">
        <v>1524</v>
      </c>
    </row>
    <row r="13562" spans="1:1" x14ac:dyDescent="0.2">
      <c r="A13562" t="s">
        <v>1525</v>
      </c>
    </row>
    <row r="13563" spans="1:1" x14ac:dyDescent="0.2">
      <c r="A13563" t="s">
        <v>1526</v>
      </c>
    </row>
    <row r="13564" spans="1:1" x14ac:dyDescent="0.2">
      <c r="A13564" t="s">
        <v>1527</v>
      </c>
    </row>
    <row r="13565" spans="1:1" x14ac:dyDescent="0.2">
      <c r="A13565" t="s">
        <v>1528</v>
      </c>
    </row>
    <row r="13566" spans="1:1" x14ac:dyDescent="0.2">
      <c r="A13566" t="s">
        <v>1529</v>
      </c>
    </row>
    <row r="13567" spans="1:1" x14ac:dyDescent="0.2">
      <c r="A13567" t="s">
        <v>1530</v>
      </c>
    </row>
    <row r="13568" spans="1:1" x14ac:dyDescent="0.2">
      <c r="A13568" t="s">
        <v>1531</v>
      </c>
    </row>
    <row r="13569" spans="1:1" x14ac:dyDescent="0.2">
      <c r="A13569" t="s">
        <v>1532</v>
      </c>
    </row>
    <row r="13570" spans="1:1" x14ac:dyDescent="0.2">
      <c r="A13570" t="s">
        <v>1533</v>
      </c>
    </row>
    <row r="13571" spans="1:1" x14ac:dyDescent="0.2">
      <c r="A13571" t="s">
        <v>1534</v>
      </c>
    </row>
    <row r="13572" spans="1:1" x14ac:dyDescent="0.2">
      <c r="A13572" t="s">
        <v>1497</v>
      </c>
    </row>
    <row r="13573" spans="1:1" x14ac:dyDescent="0.2">
      <c r="A13573" t="s">
        <v>1550</v>
      </c>
    </row>
    <row r="13574" spans="1:1" x14ac:dyDescent="0.2">
      <c r="A13574" t="s">
        <v>3094</v>
      </c>
    </row>
    <row r="13575" spans="1:1" x14ac:dyDescent="0.2">
      <c r="A13575" t="s">
        <v>1500</v>
      </c>
    </row>
    <row r="13576" spans="1:1" x14ac:dyDescent="0.2">
      <c r="A13576" t="s">
        <v>1501</v>
      </c>
    </row>
    <row r="13577" spans="1:1" x14ac:dyDescent="0.2">
      <c r="A13577" t="s">
        <v>1502</v>
      </c>
    </row>
    <row r="13578" spans="1:1" x14ac:dyDescent="0.2">
      <c r="A13578" t="s">
        <v>1503</v>
      </c>
    </row>
    <row r="13579" spans="1:1" x14ac:dyDescent="0.2">
      <c r="A13579" t="s">
        <v>1504</v>
      </c>
    </row>
    <row r="13580" spans="1:1" x14ac:dyDescent="0.2">
      <c r="A13580" t="s">
        <v>1505</v>
      </c>
    </row>
    <row r="13581" spans="1:1" x14ac:dyDescent="0.2">
      <c r="A13581" t="s">
        <v>1506</v>
      </c>
    </row>
    <row r="13582" spans="1:1" x14ac:dyDescent="0.2">
      <c r="A13582" t="s">
        <v>3095</v>
      </c>
    </row>
    <row r="13583" spans="1:1" x14ac:dyDescent="0.2">
      <c r="A13583" t="s">
        <v>1538</v>
      </c>
    </row>
    <row r="13584" spans="1:1" x14ac:dyDescent="0.2">
      <c r="A13584" t="s">
        <v>1508</v>
      </c>
    </row>
    <row r="13585" spans="1:1" x14ac:dyDescent="0.2">
      <c r="A13585" t="s">
        <v>3096</v>
      </c>
    </row>
    <row r="13586" spans="1:1" x14ac:dyDescent="0.2">
      <c r="A13586" t="s">
        <v>3097</v>
      </c>
    </row>
    <row r="13587" spans="1:1" x14ac:dyDescent="0.2">
      <c r="A13587" t="s">
        <v>1511</v>
      </c>
    </row>
    <row r="13588" spans="1:1" x14ac:dyDescent="0.2">
      <c r="A13588" t="s">
        <v>1512</v>
      </c>
    </row>
    <row r="13589" spans="1:1" x14ac:dyDescent="0.2">
      <c r="A13589" t="s">
        <v>1513</v>
      </c>
    </row>
    <row r="13590" spans="1:1" x14ac:dyDescent="0.2">
      <c r="A13590" t="s">
        <v>1514</v>
      </c>
    </row>
    <row r="13591" spans="1:1" x14ac:dyDescent="0.2">
      <c r="A13591" t="s">
        <v>1515</v>
      </c>
    </row>
    <row r="13592" spans="1:1" x14ac:dyDescent="0.2">
      <c r="A13592" t="s">
        <v>3098</v>
      </c>
    </row>
    <row r="13593" spans="1:1" x14ac:dyDescent="0.2">
      <c r="A13593" t="s">
        <v>3099</v>
      </c>
    </row>
    <row r="13594" spans="1:1" x14ac:dyDescent="0.2">
      <c r="A13594" t="s">
        <v>3100</v>
      </c>
    </row>
    <row r="13595" spans="1:1" x14ac:dyDescent="0.2">
      <c r="A13595" t="s">
        <v>3101</v>
      </c>
    </row>
    <row r="13596" spans="1:1" x14ac:dyDescent="0.2">
      <c r="A13596" t="s">
        <v>3102</v>
      </c>
    </row>
    <row r="13597" spans="1:1" x14ac:dyDescent="0.2">
      <c r="A13597" t="s">
        <v>3103</v>
      </c>
    </row>
    <row r="13598" spans="1:1" x14ac:dyDescent="0.2">
      <c r="A13598" t="s">
        <v>3104</v>
      </c>
    </row>
    <row r="13599" spans="1:1" x14ac:dyDescent="0.2">
      <c r="A13599" t="s">
        <v>3105</v>
      </c>
    </row>
    <row r="13600" spans="1:1" x14ac:dyDescent="0.2">
      <c r="A13600" t="s">
        <v>3106</v>
      </c>
    </row>
    <row r="13601" spans="1:1" x14ac:dyDescent="0.2">
      <c r="A13601" t="s">
        <v>3107</v>
      </c>
    </row>
    <row r="13602" spans="1:1" x14ac:dyDescent="0.2">
      <c r="A13602" t="s">
        <v>1526</v>
      </c>
    </row>
    <row r="13603" spans="1:1" x14ac:dyDescent="0.2">
      <c r="A13603" t="s">
        <v>1527</v>
      </c>
    </row>
    <row r="13604" spans="1:1" x14ac:dyDescent="0.2">
      <c r="A13604" t="s">
        <v>3108</v>
      </c>
    </row>
    <row r="13605" spans="1:1" x14ac:dyDescent="0.2">
      <c r="A13605" t="s">
        <v>3109</v>
      </c>
    </row>
    <row r="13606" spans="1:1" x14ac:dyDescent="0.2">
      <c r="A13606" t="s">
        <v>1530</v>
      </c>
    </row>
    <row r="13607" spans="1:1" x14ac:dyDescent="0.2">
      <c r="A13607" t="s">
        <v>3110</v>
      </c>
    </row>
    <row r="13608" spans="1:1" x14ac:dyDescent="0.2">
      <c r="A13608" t="s">
        <v>1532</v>
      </c>
    </row>
    <row r="13609" spans="1:1" x14ac:dyDescent="0.2">
      <c r="A13609" t="s">
        <v>1533</v>
      </c>
    </row>
    <row r="13610" spans="1:1" x14ac:dyDescent="0.2">
      <c r="A13610" t="s">
        <v>1535</v>
      </c>
    </row>
    <row r="13611" spans="1:1" x14ac:dyDescent="0.2">
      <c r="A13611" t="s">
        <v>1497</v>
      </c>
    </row>
    <row r="13612" spans="1:1" x14ac:dyDescent="0.2">
      <c r="A13612" t="s">
        <v>1498</v>
      </c>
    </row>
    <row r="13613" spans="1:1" x14ac:dyDescent="0.2">
      <c r="A13613" t="s">
        <v>3111</v>
      </c>
    </row>
    <row r="13614" spans="1:1" x14ac:dyDescent="0.2">
      <c r="A13614" t="s">
        <v>1500</v>
      </c>
    </row>
    <row r="13615" spans="1:1" x14ac:dyDescent="0.2">
      <c r="A13615" t="s">
        <v>1501</v>
      </c>
    </row>
    <row r="13616" spans="1:1" x14ac:dyDescent="0.2">
      <c r="A13616" t="s">
        <v>1502</v>
      </c>
    </row>
    <row r="13617" spans="1:1" x14ac:dyDescent="0.2">
      <c r="A13617" t="s">
        <v>1503</v>
      </c>
    </row>
    <row r="13618" spans="1:1" x14ac:dyDescent="0.2">
      <c r="A13618" t="s">
        <v>1504</v>
      </c>
    </row>
    <row r="13619" spans="1:1" x14ac:dyDescent="0.2">
      <c r="A13619" t="s">
        <v>1505</v>
      </c>
    </row>
    <row r="13620" spans="1:1" x14ac:dyDescent="0.2">
      <c r="A13620" t="s">
        <v>1506</v>
      </c>
    </row>
    <row r="13621" spans="1:1" x14ac:dyDescent="0.2">
      <c r="A13621" t="s">
        <v>3093</v>
      </c>
    </row>
    <row r="13622" spans="1:1" x14ac:dyDescent="0.2">
      <c r="A13622" t="s">
        <v>1507</v>
      </c>
    </row>
    <row r="13623" spans="1:1" x14ac:dyDescent="0.2">
      <c r="A13623" t="s">
        <v>1508</v>
      </c>
    </row>
    <row r="13624" spans="1:1" x14ac:dyDescent="0.2">
      <c r="A13624" t="s">
        <v>1509</v>
      </c>
    </row>
    <row r="13625" spans="1:1" x14ac:dyDescent="0.2">
      <c r="A13625" t="s">
        <v>1510</v>
      </c>
    </row>
    <row r="13626" spans="1:1" x14ac:dyDescent="0.2">
      <c r="A13626" t="s">
        <v>1511</v>
      </c>
    </row>
    <row r="13627" spans="1:1" x14ac:dyDescent="0.2">
      <c r="A13627" t="s">
        <v>1512</v>
      </c>
    </row>
    <row r="13628" spans="1:1" x14ac:dyDescent="0.2">
      <c r="A13628" t="s">
        <v>1513</v>
      </c>
    </row>
    <row r="13629" spans="1:1" x14ac:dyDescent="0.2">
      <c r="A13629" t="s">
        <v>1514</v>
      </c>
    </row>
    <row r="13630" spans="1:1" x14ac:dyDescent="0.2">
      <c r="A13630" t="s">
        <v>1515</v>
      </c>
    </row>
    <row r="13631" spans="1:1" x14ac:dyDescent="0.2">
      <c r="A13631" t="s">
        <v>1516</v>
      </c>
    </row>
    <row r="13632" spans="1:1" x14ac:dyDescent="0.2">
      <c r="A13632" t="s">
        <v>1517</v>
      </c>
    </row>
    <row r="13633" spans="1:1" x14ac:dyDescent="0.2">
      <c r="A13633" t="s">
        <v>1518</v>
      </c>
    </row>
    <row r="13634" spans="1:1" x14ac:dyDescent="0.2">
      <c r="A13634" t="s">
        <v>1519</v>
      </c>
    </row>
    <row r="13635" spans="1:1" x14ac:dyDescent="0.2">
      <c r="A13635" t="s">
        <v>1520</v>
      </c>
    </row>
    <row r="13636" spans="1:1" x14ac:dyDescent="0.2">
      <c r="A13636" t="s">
        <v>1521</v>
      </c>
    </row>
    <row r="13637" spans="1:1" x14ac:dyDescent="0.2">
      <c r="A13637" t="s">
        <v>1522</v>
      </c>
    </row>
    <row r="13638" spans="1:1" x14ac:dyDescent="0.2">
      <c r="A13638" t="s">
        <v>1523</v>
      </c>
    </row>
    <row r="13639" spans="1:1" x14ac:dyDescent="0.2">
      <c r="A13639" t="s">
        <v>1524</v>
      </c>
    </row>
    <row r="13640" spans="1:1" x14ac:dyDescent="0.2">
      <c r="A13640" t="s">
        <v>1525</v>
      </c>
    </row>
    <row r="13641" spans="1:1" x14ac:dyDescent="0.2">
      <c r="A13641" t="s">
        <v>1526</v>
      </c>
    </row>
    <row r="13642" spans="1:1" x14ac:dyDescent="0.2">
      <c r="A13642" t="s">
        <v>1527</v>
      </c>
    </row>
    <row r="13643" spans="1:1" x14ac:dyDescent="0.2">
      <c r="A13643" t="s">
        <v>1528</v>
      </c>
    </row>
    <row r="13644" spans="1:1" x14ac:dyDescent="0.2">
      <c r="A13644" t="s">
        <v>1529</v>
      </c>
    </row>
    <row r="13645" spans="1:1" x14ac:dyDescent="0.2">
      <c r="A13645" t="s">
        <v>1530</v>
      </c>
    </row>
    <row r="13646" spans="1:1" x14ac:dyDescent="0.2">
      <c r="A13646" t="s">
        <v>1531</v>
      </c>
    </row>
    <row r="13647" spans="1:1" x14ac:dyDescent="0.2">
      <c r="A13647" t="s">
        <v>1532</v>
      </c>
    </row>
    <row r="13648" spans="1:1" x14ac:dyDescent="0.2">
      <c r="A13648" t="s">
        <v>1533</v>
      </c>
    </row>
    <row r="13649" spans="1:1" x14ac:dyDescent="0.2">
      <c r="A13649" t="s">
        <v>1544</v>
      </c>
    </row>
    <row r="13650" spans="1:1" x14ac:dyDescent="0.2">
      <c r="A13650" t="s">
        <v>1497</v>
      </c>
    </row>
    <row r="13651" spans="1:1" x14ac:dyDescent="0.2">
      <c r="A13651" t="s">
        <v>3112</v>
      </c>
    </row>
    <row r="13652" spans="1:1" x14ac:dyDescent="0.2">
      <c r="A13652" t="s">
        <v>3113</v>
      </c>
    </row>
    <row r="13653" spans="1:1" x14ac:dyDescent="0.2">
      <c r="A13653" t="s">
        <v>3114</v>
      </c>
    </row>
    <row r="13654" spans="1:1" x14ac:dyDescent="0.2">
      <c r="A13654" t="s">
        <v>3115</v>
      </c>
    </row>
    <row r="13655" spans="1:1" x14ac:dyDescent="0.2">
      <c r="A13655" t="s">
        <v>1557</v>
      </c>
    </row>
    <row r="13656" spans="1:1" x14ac:dyDescent="0.2">
      <c r="A13656" t="s">
        <v>1503</v>
      </c>
    </row>
    <row r="13657" spans="1:1" x14ac:dyDescent="0.2">
      <c r="A13657" t="s">
        <v>1504</v>
      </c>
    </row>
    <row r="13658" spans="1:1" x14ac:dyDescent="0.2">
      <c r="A13658" t="s">
        <v>1558</v>
      </c>
    </row>
    <row r="13659" spans="1:1" x14ac:dyDescent="0.2">
      <c r="A13659" t="s">
        <v>1536</v>
      </c>
    </row>
    <row r="13660" spans="1:1" x14ac:dyDescent="0.2">
      <c r="A13660" t="s">
        <v>1559</v>
      </c>
    </row>
    <row r="13661" spans="1:1" x14ac:dyDescent="0.2">
      <c r="A13661" t="s">
        <v>1507</v>
      </c>
    </row>
    <row r="13662" spans="1:1" x14ac:dyDescent="0.2">
      <c r="A13662" t="s">
        <v>1508</v>
      </c>
    </row>
    <row r="13663" spans="1:1" x14ac:dyDescent="0.2">
      <c r="A13663" t="s">
        <v>3116</v>
      </c>
    </row>
    <row r="13664" spans="1:1" x14ac:dyDescent="0.2">
      <c r="A13664" t="s">
        <v>3117</v>
      </c>
    </row>
    <row r="13665" spans="1:1" x14ac:dyDescent="0.2">
      <c r="A13665" t="s">
        <v>1511</v>
      </c>
    </row>
    <row r="13666" spans="1:1" x14ac:dyDescent="0.2">
      <c r="A13666" t="s">
        <v>1512</v>
      </c>
    </row>
    <row r="13667" spans="1:1" x14ac:dyDescent="0.2">
      <c r="A13667" t="s">
        <v>1513</v>
      </c>
    </row>
    <row r="13668" spans="1:1" x14ac:dyDescent="0.2">
      <c r="A13668" t="s">
        <v>1514</v>
      </c>
    </row>
    <row r="13669" spans="1:1" x14ac:dyDescent="0.2">
      <c r="A13669" t="s">
        <v>1515</v>
      </c>
    </row>
    <row r="13670" spans="1:1" x14ac:dyDescent="0.2">
      <c r="A13670" t="s">
        <v>1516</v>
      </c>
    </row>
    <row r="13671" spans="1:1" x14ac:dyDescent="0.2">
      <c r="A13671" t="s">
        <v>1517</v>
      </c>
    </row>
    <row r="13672" spans="1:1" x14ac:dyDescent="0.2">
      <c r="A13672" t="s">
        <v>1518</v>
      </c>
    </row>
    <row r="13673" spans="1:1" x14ac:dyDescent="0.2">
      <c r="A13673" t="s">
        <v>1519</v>
      </c>
    </row>
    <row r="13674" spans="1:1" x14ac:dyDescent="0.2">
      <c r="A13674" t="s">
        <v>1520</v>
      </c>
    </row>
    <row r="13675" spans="1:1" x14ac:dyDescent="0.2">
      <c r="A13675" t="s">
        <v>3118</v>
      </c>
    </row>
    <row r="13676" spans="1:1" x14ac:dyDescent="0.2">
      <c r="A13676" t="s">
        <v>3119</v>
      </c>
    </row>
    <row r="13677" spans="1:1" x14ac:dyDescent="0.2">
      <c r="A13677" t="s">
        <v>3120</v>
      </c>
    </row>
    <row r="13678" spans="1:1" x14ac:dyDescent="0.2">
      <c r="A13678" t="s">
        <v>3121</v>
      </c>
    </row>
    <row r="13679" spans="1:1" x14ac:dyDescent="0.2">
      <c r="A13679" t="s">
        <v>3122</v>
      </c>
    </row>
    <row r="13680" spans="1:1" x14ac:dyDescent="0.2">
      <c r="A13680" t="s">
        <v>1526</v>
      </c>
    </row>
    <row r="13681" spans="1:1" x14ac:dyDescent="0.2">
      <c r="A13681" t="s">
        <v>1527</v>
      </c>
    </row>
    <row r="13682" spans="1:1" x14ac:dyDescent="0.2">
      <c r="A13682" t="s">
        <v>1528</v>
      </c>
    </row>
    <row r="13683" spans="1:1" x14ac:dyDescent="0.2">
      <c r="A13683" t="s">
        <v>1529</v>
      </c>
    </row>
    <row r="13684" spans="1:1" x14ac:dyDescent="0.2">
      <c r="A13684" t="s">
        <v>1530</v>
      </c>
    </row>
    <row r="13685" spans="1:1" x14ac:dyDescent="0.2">
      <c r="A13685" t="s">
        <v>3110</v>
      </c>
    </row>
    <row r="13686" spans="1:1" x14ac:dyDescent="0.2">
      <c r="A13686" t="s">
        <v>1532</v>
      </c>
    </row>
    <row r="13687" spans="1:1" x14ac:dyDescent="0.2">
      <c r="A13687" t="s">
        <v>1533</v>
      </c>
    </row>
    <row r="13688" spans="1:1" x14ac:dyDescent="0.2">
      <c r="A13688" t="s">
        <v>1546</v>
      </c>
    </row>
    <row r="13689" spans="1:1" x14ac:dyDescent="0.2">
      <c r="A13689" t="s">
        <v>1549</v>
      </c>
    </row>
    <row r="13690" spans="1:1" x14ac:dyDescent="0.2">
      <c r="A13690" t="s">
        <v>3112</v>
      </c>
    </row>
    <row r="13691" spans="1:1" x14ac:dyDescent="0.2">
      <c r="A13691" t="s">
        <v>3123</v>
      </c>
    </row>
    <row r="13692" spans="1:1" x14ac:dyDescent="0.2">
      <c r="A13692" t="s">
        <v>1563</v>
      </c>
    </row>
    <row r="13693" spans="1:1" x14ac:dyDescent="0.2">
      <c r="A13693" t="s">
        <v>3124</v>
      </c>
    </row>
    <row r="13694" spans="1:1" x14ac:dyDescent="0.2">
      <c r="A13694" t="s">
        <v>3125</v>
      </c>
    </row>
    <row r="13695" spans="1:1" x14ac:dyDescent="0.2">
      <c r="A13695" t="s">
        <v>1503</v>
      </c>
    </row>
    <row r="13696" spans="1:1" x14ac:dyDescent="0.2">
      <c r="A13696" t="s">
        <v>1504</v>
      </c>
    </row>
    <row r="13697" spans="1:1" x14ac:dyDescent="0.2">
      <c r="A13697" t="s">
        <v>1505</v>
      </c>
    </row>
    <row r="13698" spans="1:1" x14ac:dyDescent="0.2">
      <c r="A13698" t="s">
        <v>1506</v>
      </c>
    </row>
    <row r="13699" spans="1:1" x14ac:dyDescent="0.2">
      <c r="A13699" t="s">
        <v>1559</v>
      </c>
    </row>
    <row r="13700" spans="1:1" x14ac:dyDescent="0.2">
      <c r="A13700" t="s">
        <v>1507</v>
      </c>
    </row>
    <row r="13701" spans="1:1" x14ac:dyDescent="0.2">
      <c r="A13701" t="s">
        <v>1508</v>
      </c>
    </row>
    <row r="13702" spans="1:1" x14ac:dyDescent="0.2">
      <c r="A13702" t="s">
        <v>1509</v>
      </c>
    </row>
    <row r="13703" spans="1:1" x14ac:dyDescent="0.2">
      <c r="A13703" t="s">
        <v>1510</v>
      </c>
    </row>
    <row r="13704" spans="1:1" x14ac:dyDescent="0.2">
      <c r="A13704" t="s">
        <v>1511</v>
      </c>
    </row>
    <row r="13705" spans="1:1" x14ac:dyDescent="0.2">
      <c r="A13705" t="s">
        <v>1512</v>
      </c>
    </row>
    <row r="13706" spans="1:1" x14ac:dyDescent="0.2">
      <c r="A13706" t="s">
        <v>1513</v>
      </c>
    </row>
    <row r="13707" spans="1:1" x14ac:dyDescent="0.2">
      <c r="A13707" t="s">
        <v>1514</v>
      </c>
    </row>
    <row r="13708" spans="1:1" x14ac:dyDescent="0.2">
      <c r="A13708" t="s">
        <v>1515</v>
      </c>
    </row>
    <row r="13709" spans="1:1" x14ac:dyDescent="0.2">
      <c r="A13709" t="s">
        <v>1516</v>
      </c>
    </row>
    <row r="13710" spans="1:1" x14ac:dyDescent="0.2">
      <c r="A13710" t="s">
        <v>1517</v>
      </c>
    </row>
    <row r="13711" spans="1:1" x14ac:dyDescent="0.2">
      <c r="A13711" t="s">
        <v>1518</v>
      </c>
    </row>
    <row r="13712" spans="1:1" x14ac:dyDescent="0.2">
      <c r="A13712" t="s">
        <v>1519</v>
      </c>
    </row>
    <row r="13713" spans="1:1" x14ac:dyDescent="0.2">
      <c r="A13713" t="s">
        <v>1520</v>
      </c>
    </row>
    <row r="13714" spans="1:1" x14ac:dyDescent="0.2">
      <c r="A13714" t="s">
        <v>3126</v>
      </c>
    </row>
    <row r="13715" spans="1:1" x14ac:dyDescent="0.2">
      <c r="A13715" t="s">
        <v>3127</v>
      </c>
    </row>
    <row r="13716" spans="1:1" x14ac:dyDescent="0.2">
      <c r="A13716" t="s">
        <v>3128</v>
      </c>
    </row>
    <row r="13717" spans="1:1" x14ac:dyDescent="0.2">
      <c r="A13717" t="s">
        <v>3129</v>
      </c>
    </row>
    <row r="13718" spans="1:1" x14ac:dyDescent="0.2">
      <c r="A13718" t="s">
        <v>3130</v>
      </c>
    </row>
    <row r="13719" spans="1:1" x14ac:dyDescent="0.2">
      <c r="A13719" t="s">
        <v>1526</v>
      </c>
    </row>
    <row r="13720" spans="1:1" x14ac:dyDescent="0.2">
      <c r="A13720" t="s">
        <v>1527</v>
      </c>
    </row>
    <row r="13721" spans="1:1" x14ac:dyDescent="0.2">
      <c r="A13721" t="s">
        <v>1528</v>
      </c>
    </row>
    <row r="13722" spans="1:1" x14ac:dyDescent="0.2">
      <c r="A13722" t="s">
        <v>1529</v>
      </c>
    </row>
    <row r="13723" spans="1:1" x14ac:dyDescent="0.2">
      <c r="A13723" t="s">
        <v>1530</v>
      </c>
    </row>
    <row r="13724" spans="1:1" x14ac:dyDescent="0.2">
      <c r="A13724" t="s">
        <v>3110</v>
      </c>
    </row>
    <row r="13725" spans="1:1" x14ac:dyDescent="0.2">
      <c r="A13725" t="s">
        <v>1532</v>
      </c>
    </row>
    <row r="13726" spans="1:1" x14ac:dyDescent="0.2">
      <c r="A13726" t="s">
        <v>1533</v>
      </c>
    </row>
    <row r="13727" spans="1:1" x14ac:dyDescent="0.2">
      <c r="A13727" t="s">
        <v>1547</v>
      </c>
    </row>
    <row r="13728" spans="1:1" x14ac:dyDescent="0.2">
      <c r="A13728" t="s">
        <v>1497</v>
      </c>
    </row>
    <row r="13729" spans="1:1" x14ac:dyDescent="0.2">
      <c r="A13729" t="s">
        <v>1498</v>
      </c>
    </row>
    <row r="13730" spans="1:1" x14ac:dyDescent="0.2">
      <c r="A13730" t="s">
        <v>3131</v>
      </c>
    </row>
    <row r="13731" spans="1:1" x14ac:dyDescent="0.2">
      <c r="A13731" t="s">
        <v>1500</v>
      </c>
    </row>
    <row r="13732" spans="1:1" x14ac:dyDescent="0.2">
      <c r="A13732" t="s">
        <v>1501</v>
      </c>
    </row>
    <row r="13733" spans="1:1" x14ac:dyDescent="0.2">
      <c r="A13733" t="s">
        <v>1502</v>
      </c>
    </row>
    <row r="13734" spans="1:1" x14ac:dyDescent="0.2">
      <c r="A13734" t="s">
        <v>1503</v>
      </c>
    </row>
    <row r="13735" spans="1:1" x14ac:dyDescent="0.2">
      <c r="A13735" t="s">
        <v>1504</v>
      </c>
    </row>
    <row r="13736" spans="1:1" x14ac:dyDescent="0.2">
      <c r="A13736" t="s">
        <v>1505</v>
      </c>
    </row>
    <row r="13737" spans="1:1" x14ac:dyDescent="0.2">
      <c r="A13737" t="s">
        <v>1506</v>
      </c>
    </row>
    <row r="13738" spans="1:1" x14ac:dyDescent="0.2">
      <c r="A13738" t="s">
        <v>3093</v>
      </c>
    </row>
    <row r="13739" spans="1:1" x14ac:dyDescent="0.2">
      <c r="A13739" t="s">
        <v>1507</v>
      </c>
    </row>
    <row r="13740" spans="1:1" x14ac:dyDescent="0.2">
      <c r="A13740" t="s">
        <v>1508</v>
      </c>
    </row>
    <row r="13741" spans="1:1" x14ac:dyDescent="0.2">
      <c r="A13741" t="s">
        <v>1509</v>
      </c>
    </row>
    <row r="13742" spans="1:1" x14ac:dyDescent="0.2">
      <c r="A13742" t="s">
        <v>1510</v>
      </c>
    </row>
    <row r="13743" spans="1:1" x14ac:dyDescent="0.2">
      <c r="A13743" t="s">
        <v>1511</v>
      </c>
    </row>
    <row r="13744" spans="1:1" x14ac:dyDescent="0.2">
      <c r="A13744" t="s">
        <v>1512</v>
      </c>
    </row>
    <row r="13745" spans="1:1" x14ac:dyDescent="0.2">
      <c r="A13745" t="s">
        <v>1513</v>
      </c>
    </row>
    <row r="13746" spans="1:1" x14ac:dyDescent="0.2">
      <c r="A13746" t="s">
        <v>1514</v>
      </c>
    </row>
    <row r="13747" spans="1:1" x14ac:dyDescent="0.2">
      <c r="A13747" t="s">
        <v>1515</v>
      </c>
    </row>
    <row r="13748" spans="1:1" x14ac:dyDescent="0.2">
      <c r="A13748" t="s">
        <v>1516</v>
      </c>
    </row>
    <row r="13749" spans="1:1" x14ac:dyDescent="0.2">
      <c r="A13749" t="s">
        <v>1517</v>
      </c>
    </row>
    <row r="13750" spans="1:1" x14ac:dyDescent="0.2">
      <c r="A13750" t="s">
        <v>1518</v>
      </c>
    </row>
    <row r="13751" spans="1:1" x14ac:dyDescent="0.2">
      <c r="A13751" t="s">
        <v>1519</v>
      </c>
    </row>
    <row r="13752" spans="1:1" x14ac:dyDescent="0.2">
      <c r="A13752" t="s">
        <v>1520</v>
      </c>
    </row>
    <row r="13753" spans="1:1" x14ac:dyDescent="0.2">
      <c r="A13753" t="s">
        <v>1521</v>
      </c>
    </row>
    <row r="13754" spans="1:1" x14ac:dyDescent="0.2">
      <c r="A13754" t="s">
        <v>1522</v>
      </c>
    </row>
    <row r="13755" spans="1:1" x14ac:dyDescent="0.2">
      <c r="A13755" t="s">
        <v>1523</v>
      </c>
    </row>
    <row r="13756" spans="1:1" x14ac:dyDescent="0.2">
      <c r="A13756" t="s">
        <v>1524</v>
      </c>
    </row>
    <row r="13757" spans="1:1" x14ac:dyDescent="0.2">
      <c r="A13757" t="s">
        <v>1525</v>
      </c>
    </row>
    <row r="13758" spans="1:1" x14ac:dyDescent="0.2">
      <c r="A13758" t="s">
        <v>1526</v>
      </c>
    </row>
    <row r="13759" spans="1:1" x14ac:dyDescent="0.2">
      <c r="A13759" t="s">
        <v>1527</v>
      </c>
    </row>
    <row r="13760" spans="1:1" x14ac:dyDescent="0.2">
      <c r="A13760" t="s">
        <v>1528</v>
      </c>
    </row>
    <row r="13761" spans="1:1" x14ac:dyDescent="0.2">
      <c r="A13761" t="s">
        <v>1529</v>
      </c>
    </row>
    <row r="13762" spans="1:1" x14ac:dyDescent="0.2">
      <c r="A13762" t="s">
        <v>1530</v>
      </c>
    </row>
    <row r="13763" spans="1:1" x14ac:dyDescent="0.2">
      <c r="A13763" t="s">
        <v>1531</v>
      </c>
    </row>
    <row r="13764" spans="1:1" x14ac:dyDescent="0.2">
      <c r="A13764" t="s">
        <v>1532</v>
      </c>
    </row>
    <row r="13765" spans="1:1" x14ac:dyDescent="0.2">
      <c r="A13765" t="s">
        <v>1533</v>
      </c>
    </row>
    <row r="13766" spans="1:1" x14ac:dyDescent="0.2">
      <c r="A13766" t="s">
        <v>1548</v>
      </c>
    </row>
    <row r="13767" spans="1:1" x14ac:dyDescent="0.2">
      <c r="A13767" t="s">
        <v>1497</v>
      </c>
    </row>
    <row r="13768" spans="1:1" x14ac:dyDescent="0.2">
      <c r="A13768" t="s">
        <v>1562</v>
      </c>
    </row>
    <row r="13769" spans="1:1" x14ac:dyDescent="0.2">
      <c r="A13769" t="s">
        <v>3132</v>
      </c>
    </row>
    <row r="13770" spans="1:1" x14ac:dyDescent="0.2">
      <c r="A13770" t="s">
        <v>1563</v>
      </c>
    </row>
    <row r="13771" spans="1:1" x14ac:dyDescent="0.2">
      <c r="A13771" t="s">
        <v>3115</v>
      </c>
    </row>
    <row r="13772" spans="1:1" x14ac:dyDescent="0.2">
      <c r="A13772" t="s">
        <v>1564</v>
      </c>
    </row>
    <row r="13773" spans="1:1" x14ac:dyDescent="0.2">
      <c r="A13773" t="s">
        <v>1503</v>
      </c>
    </row>
    <row r="13774" spans="1:1" x14ac:dyDescent="0.2">
      <c r="A13774" t="s">
        <v>1504</v>
      </c>
    </row>
    <row r="13775" spans="1:1" x14ac:dyDescent="0.2">
      <c r="A13775" t="s">
        <v>1505</v>
      </c>
    </row>
    <row r="13776" spans="1:1" x14ac:dyDescent="0.2">
      <c r="A13776" t="s">
        <v>1545</v>
      </c>
    </row>
    <row r="13777" spans="1:1" x14ac:dyDescent="0.2">
      <c r="A13777" t="s">
        <v>1559</v>
      </c>
    </row>
    <row r="13778" spans="1:1" x14ac:dyDescent="0.2">
      <c r="A13778" t="s">
        <v>1507</v>
      </c>
    </row>
    <row r="13779" spans="1:1" x14ac:dyDescent="0.2">
      <c r="A13779" t="s">
        <v>1508</v>
      </c>
    </row>
    <row r="13780" spans="1:1" x14ac:dyDescent="0.2">
      <c r="A13780" t="s">
        <v>3133</v>
      </c>
    </row>
    <row r="13781" spans="1:1" x14ac:dyDescent="0.2">
      <c r="A13781" t="s">
        <v>3134</v>
      </c>
    </row>
    <row r="13782" spans="1:1" x14ac:dyDescent="0.2">
      <c r="A13782" t="s">
        <v>1511</v>
      </c>
    </row>
    <row r="13783" spans="1:1" x14ac:dyDescent="0.2">
      <c r="A13783" t="s">
        <v>1512</v>
      </c>
    </row>
    <row r="13784" spans="1:1" x14ac:dyDescent="0.2">
      <c r="A13784" t="s">
        <v>1513</v>
      </c>
    </row>
    <row r="13785" spans="1:1" x14ac:dyDescent="0.2">
      <c r="A13785" t="s">
        <v>1514</v>
      </c>
    </row>
    <row r="13786" spans="1:1" x14ac:dyDescent="0.2">
      <c r="A13786" t="s">
        <v>1515</v>
      </c>
    </row>
    <row r="13787" spans="1:1" x14ac:dyDescent="0.2">
      <c r="A13787" t="s">
        <v>1516</v>
      </c>
    </row>
    <row r="13788" spans="1:1" x14ac:dyDescent="0.2">
      <c r="A13788" t="s">
        <v>1517</v>
      </c>
    </row>
    <row r="13789" spans="1:1" x14ac:dyDescent="0.2">
      <c r="A13789" t="s">
        <v>1518</v>
      </c>
    </row>
    <row r="13790" spans="1:1" x14ac:dyDescent="0.2">
      <c r="A13790" t="s">
        <v>1519</v>
      </c>
    </row>
    <row r="13791" spans="1:1" x14ac:dyDescent="0.2">
      <c r="A13791" t="s">
        <v>1520</v>
      </c>
    </row>
    <row r="13792" spans="1:1" x14ac:dyDescent="0.2">
      <c r="A13792" t="s">
        <v>3135</v>
      </c>
    </row>
    <row r="13793" spans="1:1" x14ac:dyDescent="0.2">
      <c r="A13793" t="s">
        <v>3136</v>
      </c>
    </row>
    <row r="13794" spans="1:1" x14ac:dyDescent="0.2">
      <c r="A13794" t="s">
        <v>3137</v>
      </c>
    </row>
    <row r="13795" spans="1:1" x14ac:dyDescent="0.2">
      <c r="A13795" t="s">
        <v>3138</v>
      </c>
    </row>
    <row r="13796" spans="1:1" x14ac:dyDescent="0.2">
      <c r="A13796" t="s">
        <v>3139</v>
      </c>
    </row>
    <row r="13797" spans="1:1" x14ac:dyDescent="0.2">
      <c r="A13797" t="s">
        <v>1526</v>
      </c>
    </row>
    <row r="13798" spans="1:1" x14ac:dyDescent="0.2">
      <c r="A13798" t="s">
        <v>1527</v>
      </c>
    </row>
    <row r="13799" spans="1:1" x14ac:dyDescent="0.2">
      <c r="A13799" t="s">
        <v>1528</v>
      </c>
    </row>
    <row r="13800" spans="1:1" x14ac:dyDescent="0.2">
      <c r="A13800" t="s">
        <v>1529</v>
      </c>
    </row>
    <row r="13801" spans="1:1" x14ac:dyDescent="0.2">
      <c r="A13801" t="s">
        <v>1530</v>
      </c>
    </row>
    <row r="13802" spans="1:1" x14ac:dyDescent="0.2">
      <c r="A13802" t="s">
        <v>3140</v>
      </c>
    </row>
    <row r="13803" spans="1:1" x14ac:dyDescent="0.2">
      <c r="A13803" t="s">
        <v>1532</v>
      </c>
    </row>
    <row r="13804" spans="1:1" x14ac:dyDescent="0.2">
      <c r="A13804" t="s">
        <v>1533</v>
      </c>
    </row>
    <row r="13805" spans="1:1" x14ac:dyDescent="0.2">
      <c r="A13805" t="s">
        <v>1551</v>
      </c>
    </row>
    <row r="13806" spans="1:1" x14ac:dyDescent="0.2">
      <c r="A13806" t="s">
        <v>1497</v>
      </c>
    </row>
    <row r="13807" spans="1:1" x14ac:dyDescent="0.2">
      <c r="A13807" t="s">
        <v>3141</v>
      </c>
    </row>
    <row r="13808" spans="1:1" x14ac:dyDescent="0.2">
      <c r="A13808" t="s">
        <v>3142</v>
      </c>
    </row>
    <row r="13809" spans="1:1" x14ac:dyDescent="0.2">
      <c r="A13809" t="s">
        <v>1563</v>
      </c>
    </row>
    <row r="13810" spans="1:1" x14ac:dyDescent="0.2">
      <c r="A13810" t="s">
        <v>3143</v>
      </c>
    </row>
    <row r="13811" spans="1:1" x14ac:dyDescent="0.2">
      <c r="A13811" t="s">
        <v>3144</v>
      </c>
    </row>
    <row r="13812" spans="1:1" x14ac:dyDescent="0.2">
      <c r="A13812" t="s">
        <v>1503</v>
      </c>
    </row>
    <row r="13813" spans="1:1" x14ac:dyDescent="0.2">
      <c r="A13813" t="s">
        <v>1504</v>
      </c>
    </row>
    <row r="13814" spans="1:1" x14ac:dyDescent="0.2">
      <c r="A13814" t="s">
        <v>1505</v>
      </c>
    </row>
    <row r="13815" spans="1:1" x14ac:dyDescent="0.2">
      <c r="A13815" t="s">
        <v>1545</v>
      </c>
    </row>
    <row r="13816" spans="1:1" x14ac:dyDescent="0.2">
      <c r="A13816" t="s">
        <v>1559</v>
      </c>
    </row>
    <row r="13817" spans="1:1" x14ac:dyDescent="0.2">
      <c r="A13817" t="s">
        <v>1507</v>
      </c>
    </row>
    <row r="13818" spans="1:1" x14ac:dyDescent="0.2">
      <c r="A13818" t="s">
        <v>1508</v>
      </c>
    </row>
    <row r="13819" spans="1:1" x14ac:dyDescent="0.2">
      <c r="A13819" t="s">
        <v>3145</v>
      </c>
    </row>
    <row r="13820" spans="1:1" x14ac:dyDescent="0.2">
      <c r="A13820" t="s">
        <v>3146</v>
      </c>
    </row>
    <row r="13821" spans="1:1" x14ac:dyDescent="0.2">
      <c r="A13821" t="s">
        <v>1511</v>
      </c>
    </row>
    <row r="13822" spans="1:1" x14ac:dyDescent="0.2">
      <c r="A13822" t="s">
        <v>1512</v>
      </c>
    </row>
    <row r="13823" spans="1:1" x14ac:dyDescent="0.2">
      <c r="A13823" t="s">
        <v>1513</v>
      </c>
    </row>
    <row r="13824" spans="1:1" x14ac:dyDescent="0.2">
      <c r="A13824" t="s">
        <v>1514</v>
      </c>
    </row>
    <row r="13825" spans="1:1" x14ac:dyDescent="0.2">
      <c r="A13825" t="s">
        <v>1515</v>
      </c>
    </row>
    <row r="13826" spans="1:1" x14ac:dyDescent="0.2">
      <c r="A13826" t="s">
        <v>1516</v>
      </c>
    </row>
    <row r="13827" spans="1:1" x14ac:dyDescent="0.2">
      <c r="A13827" t="s">
        <v>1517</v>
      </c>
    </row>
    <row r="13828" spans="1:1" x14ac:dyDescent="0.2">
      <c r="A13828" t="s">
        <v>1518</v>
      </c>
    </row>
    <row r="13829" spans="1:1" x14ac:dyDescent="0.2">
      <c r="A13829" t="s">
        <v>1519</v>
      </c>
    </row>
    <row r="13830" spans="1:1" x14ac:dyDescent="0.2">
      <c r="A13830" t="s">
        <v>1520</v>
      </c>
    </row>
    <row r="13831" spans="1:1" x14ac:dyDescent="0.2">
      <c r="A13831" t="s">
        <v>3147</v>
      </c>
    </row>
    <row r="13832" spans="1:1" x14ac:dyDescent="0.2">
      <c r="A13832" t="s">
        <v>3148</v>
      </c>
    </row>
    <row r="13833" spans="1:1" x14ac:dyDescent="0.2">
      <c r="A13833" t="s">
        <v>3149</v>
      </c>
    </row>
    <row r="13834" spans="1:1" x14ac:dyDescent="0.2">
      <c r="A13834" t="s">
        <v>3150</v>
      </c>
    </row>
    <row r="13835" spans="1:1" x14ac:dyDescent="0.2">
      <c r="A13835" t="s">
        <v>3151</v>
      </c>
    </row>
    <row r="13836" spans="1:1" x14ac:dyDescent="0.2">
      <c r="A13836" t="s">
        <v>1526</v>
      </c>
    </row>
    <row r="13837" spans="1:1" x14ac:dyDescent="0.2">
      <c r="A13837" t="s">
        <v>1527</v>
      </c>
    </row>
    <row r="13838" spans="1:1" x14ac:dyDescent="0.2">
      <c r="A13838" t="s">
        <v>1528</v>
      </c>
    </row>
    <row r="13839" spans="1:1" x14ac:dyDescent="0.2">
      <c r="A13839" t="s">
        <v>1529</v>
      </c>
    </row>
    <row r="13840" spans="1:1" x14ac:dyDescent="0.2">
      <c r="A13840" t="s">
        <v>1530</v>
      </c>
    </row>
    <row r="13841" spans="1:1" x14ac:dyDescent="0.2">
      <c r="A13841" t="s">
        <v>3140</v>
      </c>
    </row>
    <row r="13842" spans="1:1" x14ac:dyDescent="0.2">
      <c r="A13842" t="s">
        <v>1532</v>
      </c>
    </row>
    <row r="13843" spans="1:1" x14ac:dyDescent="0.2">
      <c r="A13843" t="s">
        <v>1533</v>
      </c>
    </row>
    <row r="13844" spans="1:1" x14ac:dyDescent="0.2">
      <c r="A13844" t="s">
        <v>1552</v>
      </c>
    </row>
    <row r="13845" spans="1:1" x14ac:dyDescent="0.2">
      <c r="A13845" t="s">
        <v>1497</v>
      </c>
    </row>
    <row r="13846" spans="1:1" x14ac:dyDescent="0.2">
      <c r="A13846" t="s">
        <v>1566</v>
      </c>
    </row>
    <row r="13847" spans="1:1" x14ac:dyDescent="0.2">
      <c r="A13847" t="s">
        <v>3152</v>
      </c>
    </row>
    <row r="13848" spans="1:1" x14ac:dyDescent="0.2">
      <c r="A13848" t="s">
        <v>1556</v>
      </c>
    </row>
    <row r="13849" spans="1:1" x14ac:dyDescent="0.2">
      <c r="A13849" t="s">
        <v>3153</v>
      </c>
    </row>
    <row r="13850" spans="1:1" x14ac:dyDescent="0.2">
      <c r="A13850" t="s">
        <v>3154</v>
      </c>
    </row>
    <row r="13851" spans="1:1" x14ac:dyDescent="0.2">
      <c r="A13851" t="s">
        <v>1503</v>
      </c>
    </row>
    <row r="13852" spans="1:1" x14ac:dyDescent="0.2">
      <c r="A13852" t="s">
        <v>1504</v>
      </c>
    </row>
    <row r="13853" spans="1:1" x14ac:dyDescent="0.2">
      <c r="A13853" t="s">
        <v>3155</v>
      </c>
    </row>
    <row r="13854" spans="1:1" x14ac:dyDescent="0.2">
      <c r="A13854" t="s">
        <v>1545</v>
      </c>
    </row>
    <row r="13855" spans="1:1" x14ac:dyDescent="0.2">
      <c r="A13855" t="s">
        <v>1559</v>
      </c>
    </row>
    <row r="13856" spans="1:1" x14ac:dyDescent="0.2">
      <c r="A13856" t="s">
        <v>1507</v>
      </c>
    </row>
    <row r="13857" spans="1:1" x14ac:dyDescent="0.2">
      <c r="A13857" t="s">
        <v>1508</v>
      </c>
    </row>
    <row r="13858" spans="1:1" x14ac:dyDescent="0.2">
      <c r="A13858" t="s">
        <v>3156</v>
      </c>
    </row>
    <row r="13859" spans="1:1" x14ac:dyDescent="0.2">
      <c r="A13859" t="s">
        <v>3157</v>
      </c>
    </row>
    <row r="13860" spans="1:1" x14ac:dyDescent="0.2">
      <c r="A13860" t="s">
        <v>1511</v>
      </c>
    </row>
    <row r="13861" spans="1:1" x14ac:dyDescent="0.2">
      <c r="A13861" t="s">
        <v>1512</v>
      </c>
    </row>
    <row r="13862" spans="1:1" x14ac:dyDescent="0.2">
      <c r="A13862" t="s">
        <v>1513</v>
      </c>
    </row>
    <row r="13863" spans="1:1" x14ac:dyDescent="0.2">
      <c r="A13863" t="s">
        <v>1514</v>
      </c>
    </row>
    <row r="13864" spans="1:1" x14ac:dyDescent="0.2">
      <c r="A13864" t="s">
        <v>1515</v>
      </c>
    </row>
    <row r="13865" spans="1:1" x14ac:dyDescent="0.2">
      <c r="A13865" t="s">
        <v>1516</v>
      </c>
    </row>
    <row r="13866" spans="1:1" x14ac:dyDescent="0.2">
      <c r="A13866" t="s">
        <v>1517</v>
      </c>
    </row>
    <row r="13867" spans="1:1" x14ac:dyDescent="0.2">
      <c r="A13867" t="s">
        <v>1518</v>
      </c>
    </row>
    <row r="13868" spans="1:1" x14ac:dyDescent="0.2">
      <c r="A13868" t="s">
        <v>1519</v>
      </c>
    </row>
    <row r="13869" spans="1:1" x14ac:dyDescent="0.2">
      <c r="A13869" t="s">
        <v>1520</v>
      </c>
    </row>
    <row r="13870" spans="1:1" x14ac:dyDescent="0.2">
      <c r="A13870" t="s">
        <v>3158</v>
      </c>
    </row>
    <row r="13871" spans="1:1" x14ac:dyDescent="0.2">
      <c r="A13871" t="s">
        <v>3159</v>
      </c>
    </row>
    <row r="13872" spans="1:1" x14ac:dyDescent="0.2">
      <c r="A13872" t="s">
        <v>3160</v>
      </c>
    </row>
    <row r="13873" spans="1:1" x14ac:dyDescent="0.2">
      <c r="A13873" t="s">
        <v>3161</v>
      </c>
    </row>
    <row r="13874" spans="1:1" x14ac:dyDescent="0.2">
      <c r="A13874" t="s">
        <v>3162</v>
      </c>
    </row>
    <row r="13875" spans="1:1" x14ac:dyDescent="0.2">
      <c r="A13875" t="s">
        <v>1526</v>
      </c>
    </row>
    <row r="13876" spans="1:1" x14ac:dyDescent="0.2">
      <c r="A13876" t="s">
        <v>1527</v>
      </c>
    </row>
    <row r="13877" spans="1:1" x14ac:dyDescent="0.2">
      <c r="A13877" t="s">
        <v>1528</v>
      </c>
    </row>
    <row r="13878" spans="1:1" x14ac:dyDescent="0.2">
      <c r="A13878" t="s">
        <v>1529</v>
      </c>
    </row>
    <row r="13879" spans="1:1" x14ac:dyDescent="0.2">
      <c r="A13879" t="s">
        <v>1530</v>
      </c>
    </row>
    <row r="13880" spans="1:1" x14ac:dyDescent="0.2">
      <c r="A13880" t="s">
        <v>3140</v>
      </c>
    </row>
    <row r="13881" spans="1:1" x14ac:dyDescent="0.2">
      <c r="A13881" t="s">
        <v>3163</v>
      </c>
    </row>
    <row r="13882" spans="1:1" x14ac:dyDescent="0.2">
      <c r="A13882" t="s">
        <v>3164</v>
      </c>
    </row>
    <row r="13883" spans="1:1" x14ac:dyDescent="0.2">
      <c r="A13883" t="s">
        <v>1553</v>
      </c>
    </row>
    <row r="13884" spans="1:1" x14ac:dyDescent="0.2">
      <c r="A13884" t="s">
        <v>1549</v>
      </c>
    </row>
    <row r="13885" spans="1:1" x14ac:dyDescent="0.2">
      <c r="A13885" t="s">
        <v>3141</v>
      </c>
    </row>
    <row r="13886" spans="1:1" x14ac:dyDescent="0.2">
      <c r="A13886" t="s">
        <v>3165</v>
      </c>
    </row>
    <row r="13887" spans="1:1" x14ac:dyDescent="0.2">
      <c r="A13887" t="s">
        <v>1563</v>
      </c>
    </row>
    <row r="13888" spans="1:1" x14ac:dyDescent="0.2">
      <c r="A13888" t="s">
        <v>3166</v>
      </c>
    </row>
    <row r="13889" spans="1:1" x14ac:dyDescent="0.2">
      <c r="A13889" t="s">
        <v>1502</v>
      </c>
    </row>
    <row r="13890" spans="1:1" x14ac:dyDescent="0.2">
      <c r="A13890" t="s">
        <v>1503</v>
      </c>
    </row>
    <row r="13891" spans="1:1" x14ac:dyDescent="0.2">
      <c r="A13891" t="s">
        <v>1504</v>
      </c>
    </row>
    <row r="13892" spans="1:1" x14ac:dyDescent="0.2">
      <c r="A13892" t="s">
        <v>1505</v>
      </c>
    </row>
    <row r="13893" spans="1:1" x14ac:dyDescent="0.2">
      <c r="A13893" t="s">
        <v>1506</v>
      </c>
    </row>
    <row r="13894" spans="1:1" x14ac:dyDescent="0.2">
      <c r="A13894" t="s">
        <v>1559</v>
      </c>
    </row>
    <row r="13895" spans="1:1" x14ac:dyDescent="0.2">
      <c r="A13895" t="s">
        <v>1507</v>
      </c>
    </row>
    <row r="13896" spans="1:1" x14ac:dyDescent="0.2">
      <c r="A13896" t="s">
        <v>1508</v>
      </c>
    </row>
    <row r="13897" spans="1:1" x14ac:dyDescent="0.2">
      <c r="A13897" t="s">
        <v>1509</v>
      </c>
    </row>
    <row r="13898" spans="1:1" x14ac:dyDescent="0.2">
      <c r="A13898" t="s">
        <v>1510</v>
      </c>
    </row>
    <row r="13899" spans="1:1" x14ac:dyDescent="0.2">
      <c r="A13899" t="s">
        <v>1511</v>
      </c>
    </row>
    <row r="13900" spans="1:1" x14ac:dyDescent="0.2">
      <c r="A13900" t="s">
        <v>1512</v>
      </c>
    </row>
    <row r="13901" spans="1:1" x14ac:dyDescent="0.2">
      <c r="A13901" t="s">
        <v>1513</v>
      </c>
    </row>
    <row r="13902" spans="1:1" x14ac:dyDescent="0.2">
      <c r="A13902" t="s">
        <v>1514</v>
      </c>
    </row>
    <row r="13903" spans="1:1" x14ac:dyDescent="0.2">
      <c r="A13903" t="s">
        <v>1515</v>
      </c>
    </row>
    <row r="13904" spans="1:1" x14ac:dyDescent="0.2">
      <c r="A13904" t="s">
        <v>1516</v>
      </c>
    </row>
    <row r="13905" spans="1:1" x14ac:dyDescent="0.2">
      <c r="A13905" t="s">
        <v>1517</v>
      </c>
    </row>
    <row r="13906" spans="1:1" x14ac:dyDescent="0.2">
      <c r="A13906" t="s">
        <v>1518</v>
      </c>
    </row>
    <row r="13907" spans="1:1" x14ac:dyDescent="0.2">
      <c r="A13907" t="s">
        <v>1519</v>
      </c>
    </row>
    <row r="13908" spans="1:1" x14ac:dyDescent="0.2">
      <c r="A13908" t="s">
        <v>1520</v>
      </c>
    </row>
    <row r="13909" spans="1:1" x14ac:dyDescent="0.2">
      <c r="A13909" t="s">
        <v>3167</v>
      </c>
    </row>
    <row r="13910" spans="1:1" x14ac:dyDescent="0.2">
      <c r="A13910" t="s">
        <v>3168</v>
      </c>
    </row>
    <row r="13911" spans="1:1" x14ac:dyDescent="0.2">
      <c r="A13911" t="s">
        <v>3169</v>
      </c>
    </row>
    <row r="13912" spans="1:1" x14ac:dyDescent="0.2">
      <c r="A13912" t="s">
        <v>3170</v>
      </c>
    </row>
    <row r="13913" spans="1:1" x14ac:dyDescent="0.2">
      <c r="A13913" t="s">
        <v>3171</v>
      </c>
    </row>
    <row r="13914" spans="1:1" x14ac:dyDescent="0.2">
      <c r="A13914" t="s">
        <v>1526</v>
      </c>
    </row>
    <row r="13915" spans="1:1" x14ac:dyDescent="0.2">
      <c r="A13915" t="s">
        <v>1527</v>
      </c>
    </row>
    <row r="13916" spans="1:1" x14ac:dyDescent="0.2">
      <c r="A13916" t="s">
        <v>1528</v>
      </c>
    </row>
    <row r="13917" spans="1:1" x14ac:dyDescent="0.2">
      <c r="A13917" t="s">
        <v>1529</v>
      </c>
    </row>
    <row r="13918" spans="1:1" x14ac:dyDescent="0.2">
      <c r="A13918" t="s">
        <v>1530</v>
      </c>
    </row>
    <row r="13919" spans="1:1" x14ac:dyDescent="0.2">
      <c r="A13919" t="s">
        <v>3140</v>
      </c>
    </row>
    <row r="13920" spans="1:1" x14ac:dyDescent="0.2">
      <c r="A13920" t="s">
        <v>1532</v>
      </c>
    </row>
    <row r="13921" spans="1:1" x14ac:dyDescent="0.2">
      <c r="A13921" t="s">
        <v>1533</v>
      </c>
    </row>
    <row r="13922" spans="1:1" x14ac:dyDescent="0.2">
      <c r="A13922" t="s">
        <v>1554</v>
      </c>
    </row>
    <row r="13923" spans="1:1" x14ac:dyDescent="0.2">
      <c r="A13923" t="s">
        <v>1549</v>
      </c>
    </row>
    <row r="13924" spans="1:1" x14ac:dyDescent="0.2">
      <c r="A13924" t="s">
        <v>3141</v>
      </c>
    </row>
    <row r="13925" spans="1:1" x14ac:dyDescent="0.2">
      <c r="A13925" t="s">
        <v>3172</v>
      </c>
    </row>
    <row r="13926" spans="1:1" x14ac:dyDescent="0.2">
      <c r="A13926" t="s">
        <v>1563</v>
      </c>
    </row>
    <row r="13927" spans="1:1" x14ac:dyDescent="0.2">
      <c r="A13927" t="s">
        <v>3166</v>
      </c>
    </row>
    <row r="13928" spans="1:1" x14ac:dyDescent="0.2">
      <c r="A13928" t="s">
        <v>3154</v>
      </c>
    </row>
    <row r="13929" spans="1:1" x14ac:dyDescent="0.2">
      <c r="A13929" t="s">
        <v>1503</v>
      </c>
    </row>
    <row r="13930" spans="1:1" x14ac:dyDescent="0.2">
      <c r="A13930" t="s">
        <v>1504</v>
      </c>
    </row>
    <row r="13931" spans="1:1" x14ac:dyDescent="0.2">
      <c r="A13931" t="s">
        <v>1505</v>
      </c>
    </row>
    <row r="13932" spans="1:1" x14ac:dyDescent="0.2">
      <c r="A13932" t="s">
        <v>1506</v>
      </c>
    </row>
    <row r="13933" spans="1:1" x14ac:dyDescent="0.2">
      <c r="A13933" t="s">
        <v>1559</v>
      </c>
    </row>
    <row r="13934" spans="1:1" x14ac:dyDescent="0.2">
      <c r="A13934" t="s">
        <v>1507</v>
      </c>
    </row>
    <row r="13935" spans="1:1" x14ac:dyDescent="0.2">
      <c r="A13935" t="s">
        <v>1508</v>
      </c>
    </row>
    <row r="13936" spans="1:1" x14ac:dyDescent="0.2">
      <c r="A13936" t="s">
        <v>3173</v>
      </c>
    </row>
    <row r="13937" spans="1:1" x14ac:dyDescent="0.2">
      <c r="A13937" t="s">
        <v>3174</v>
      </c>
    </row>
    <row r="13938" spans="1:1" x14ac:dyDescent="0.2">
      <c r="A13938" t="s">
        <v>1511</v>
      </c>
    </row>
    <row r="13939" spans="1:1" x14ac:dyDescent="0.2">
      <c r="A13939" t="s">
        <v>1512</v>
      </c>
    </row>
    <row r="13940" spans="1:1" x14ac:dyDescent="0.2">
      <c r="A13940" t="s">
        <v>1513</v>
      </c>
    </row>
    <row r="13941" spans="1:1" x14ac:dyDescent="0.2">
      <c r="A13941" t="s">
        <v>1514</v>
      </c>
    </row>
    <row r="13942" spans="1:1" x14ac:dyDescent="0.2">
      <c r="A13942" t="s">
        <v>1515</v>
      </c>
    </row>
    <row r="13943" spans="1:1" x14ac:dyDescent="0.2">
      <c r="A13943" t="s">
        <v>1516</v>
      </c>
    </row>
    <row r="13944" spans="1:1" x14ac:dyDescent="0.2">
      <c r="A13944" t="s">
        <v>1517</v>
      </c>
    </row>
    <row r="13945" spans="1:1" x14ac:dyDescent="0.2">
      <c r="A13945" t="s">
        <v>1518</v>
      </c>
    </row>
    <row r="13946" spans="1:1" x14ac:dyDescent="0.2">
      <c r="A13946" t="s">
        <v>1519</v>
      </c>
    </row>
    <row r="13947" spans="1:1" x14ac:dyDescent="0.2">
      <c r="A13947" t="s">
        <v>1520</v>
      </c>
    </row>
    <row r="13948" spans="1:1" x14ac:dyDescent="0.2">
      <c r="A13948" t="s">
        <v>3175</v>
      </c>
    </row>
    <row r="13949" spans="1:1" x14ac:dyDescent="0.2">
      <c r="A13949" t="s">
        <v>3176</v>
      </c>
    </row>
    <row r="13950" spans="1:1" x14ac:dyDescent="0.2">
      <c r="A13950" t="s">
        <v>3177</v>
      </c>
    </row>
    <row r="13951" spans="1:1" x14ac:dyDescent="0.2">
      <c r="A13951" t="s">
        <v>3178</v>
      </c>
    </row>
    <row r="13952" spans="1:1" x14ac:dyDescent="0.2">
      <c r="A13952" t="s">
        <v>3179</v>
      </c>
    </row>
    <row r="13953" spans="1:1" x14ac:dyDescent="0.2">
      <c r="A13953" t="s">
        <v>1526</v>
      </c>
    </row>
    <row r="13954" spans="1:1" x14ac:dyDescent="0.2">
      <c r="A13954" t="s">
        <v>1527</v>
      </c>
    </row>
    <row r="13955" spans="1:1" x14ac:dyDescent="0.2">
      <c r="A13955" t="s">
        <v>1528</v>
      </c>
    </row>
    <row r="13956" spans="1:1" x14ac:dyDescent="0.2">
      <c r="A13956" t="s">
        <v>1529</v>
      </c>
    </row>
    <row r="13957" spans="1:1" x14ac:dyDescent="0.2">
      <c r="A13957" t="s">
        <v>1530</v>
      </c>
    </row>
    <row r="13958" spans="1:1" x14ac:dyDescent="0.2">
      <c r="A13958" t="s">
        <v>3140</v>
      </c>
    </row>
    <row r="13959" spans="1:1" x14ac:dyDescent="0.2">
      <c r="A13959" t="s">
        <v>1532</v>
      </c>
    </row>
    <row r="13960" spans="1:1" x14ac:dyDescent="0.2">
      <c r="A13960" t="s">
        <v>1533</v>
      </c>
    </row>
    <row r="13961" spans="1:1" x14ac:dyDescent="0.2">
      <c r="A13961" t="s">
        <v>1555</v>
      </c>
    </row>
    <row r="13962" spans="1:1" x14ac:dyDescent="0.2">
      <c r="A13962" t="s">
        <v>1497</v>
      </c>
    </row>
    <row r="13963" spans="1:1" x14ac:dyDescent="0.2">
      <c r="A13963" t="s">
        <v>1550</v>
      </c>
    </row>
    <row r="13964" spans="1:1" x14ac:dyDescent="0.2">
      <c r="A13964" t="s">
        <v>3180</v>
      </c>
    </row>
    <row r="13965" spans="1:1" x14ac:dyDescent="0.2">
      <c r="A13965" t="s">
        <v>1500</v>
      </c>
    </row>
    <row r="13966" spans="1:1" x14ac:dyDescent="0.2">
      <c r="A13966" t="s">
        <v>3166</v>
      </c>
    </row>
    <row r="13967" spans="1:1" x14ac:dyDescent="0.2">
      <c r="A13967" t="s">
        <v>3144</v>
      </c>
    </row>
    <row r="13968" spans="1:1" x14ac:dyDescent="0.2">
      <c r="A13968" t="s">
        <v>1503</v>
      </c>
    </row>
    <row r="13969" spans="1:1" x14ac:dyDescent="0.2">
      <c r="A13969" t="s">
        <v>1504</v>
      </c>
    </row>
    <row r="13970" spans="1:1" x14ac:dyDescent="0.2">
      <c r="A13970" t="s">
        <v>3181</v>
      </c>
    </row>
    <row r="13971" spans="1:1" x14ac:dyDescent="0.2">
      <c r="A13971" t="s">
        <v>1545</v>
      </c>
    </row>
    <row r="13972" spans="1:1" x14ac:dyDescent="0.2">
      <c r="A13972" t="s">
        <v>1559</v>
      </c>
    </row>
    <row r="13973" spans="1:1" x14ac:dyDescent="0.2">
      <c r="A13973" t="s">
        <v>1507</v>
      </c>
    </row>
    <row r="13974" spans="1:1" x14ac:dyDescent="0.2">
      <c r="A13974" t="s">
        <v>1508</v>
      </c>
    </row>
    <row r="13975" spans="1:1" x14ac:dyDescent="0.2">
      <c r="A13975" t="s">
        <v>3182</v>
      </c>
    </row>
    <row r="13976" spans="1:1" x14ac:dyDescent="0.2">
      <c r="A13976" t="s">
        <v>3183</v>
      </c>
    </row>
    <row r="13977" spans="1:1" x14ac:dyDescent="0.2">
      <c r="A13977" t="s">
        <v>1511</v>
      </c>
    </row>
    <row r="13978" spans="1:1" x14ac:dyDescent="0.2">
      <c r="A13978" t="s">
        <v>1512</v>
      </c>
    </row>
    <row r="13979" spans="1:1" x14ac:dyDescent="0.2">
      <c r="A13979" t="s">
        <v>1513</v>
      </c>
    </row>
    <row r="13980" spans="1:1" x14ac:dyDescent="0.2">
      <c r="A13980" t="s">
        <v>1514</v>
      </c>
    </row>
    <row r="13981" spans="1:1" x14ac:dyDescent="0.2">
      <c r="A13981" t="s">
        <v>1515</v>
      </c>
    </row>
    <row r="13982" spans="1:1" x14ac:dyDescent="0.2">
      <c r="A13982" t="s">
        <v>1516</v>
      </c>
    </row>
    <row r="13983" spans="1:1" x14ac:dyDescent="0.2">
      <c r="A13983" t="s">
        <v>1517</v>
      </c>
    </row>
    <row r="13984" spans="1:1" x14ac:dyDescent="0.2">
      <c r="A13984" t="s">
        <v>1518</v>
      </c>
    </row>
    <row r="13985" spans="1:1" x14ac:dyDescent="0.2">
      <c r="A13985" t="s">
        <v>1519</v>
      </c>
    </row>
    <row r="13986" spans="1:1" x14ac:dyDescent="0.2">
      <c r="A13986" t="s">
        <v>1520</v>
      </c>
    </row>
    <row r="13987" spans="1:1" x14ac:dyDescent="0.2">
      <c r="A13987" t="s">
        <v>3184</v>
      </c>
    </row>
    <row r="13988" spans="1:1" x14ac:dyDescent="0.2">
      <c r="A13988" t="s">
        <v>3185</v>
      </c>
    </row>
    <row r="13989" spans="1:1" x14ac:dyDescent="0.2">
      <c r="A13989" t="s">
        <v>3186</v>
      </c>
    </row>
    <row r="13990" spans="1:1" x14ac:dyDescent="0.2">
      <c r="A13990" t="s">
        <v>3187</v>
      </c>
    </row>
    <row r="13991" spans="1:1" x14ac:dyDescent="0.2">
      <c r="A13991" t="s">
        <v>3188</v>
      </c>
    </row>
    <row r="13992" spans="1:1" x14ac:dyDescent="0.2">
      <c r="A13992" t="s">
        <v>1526</v>
      </c>
    </row>
    <row r="13993" spans="1:1" x14ac:dyDescent="0.2">
      <c r="A13993" t="s">
        <v>1527</v>
      </c>
    </row>
    <row r="13994" spans="1:1" x14ac:dyDescent="0.2">
      <c r="A13994" t="s">
        <v>1528</v>
      </c>
    </row>
    <row r="13995" spans="1:1" x14ac:dyDescent="0.2">
      <c r="A13995" t="s">
        <v>1529</v>
      </c>
    </row>
    <row r="13996" spans="1:1" x14ac:dyDescent="0.2">
      <c r="A13996" t="s">
        <v>1530</v>
      </c>
    </row>
    <row r="13997" spans="1:1" x14ac:dyDescent="0.2">
      <c r="A13997" t="s">
        <v>3140</v>
      </c>
    </row>
    <row r="13998" spans="1:1" x14ac:dyDescent="0.2">
      <c r="A13998" t="s">
        <v>1532</v>
      </c>
    </row>
    <row r="13999" spans="1:1" x14ac:dyDescent="0.2">
      <c r="A13999" t="s">
        <v>1533</v>
      </c>
    </row>
    <row r="14000" spans="1:1" x14ac:dyDescent="0.2">
      <c r="A14000" t="s">
        <v>1560</v>
      </c>
    </row>
    <row r="14001" spans="1:1" x14ac:dyDescent="0.2">
      <c r="A14001" t="s">
        <v>1497</v>
      </c>
    </row>
    <row r="14002" spans="1:1" x14ac:dyDescent="0.2">
      <c r="A14002" t="s">
        <v>1498</v>
      </c>
    </row>
    <row r="14003" spans="1:1" x14ac:dyDescent="0.2">
      <c r="A14003" t="s">
        <v>3189</v>
      </c>
    </row>
    <row r="14004" spans="1:1" x14ac:dyDescent="0.2">
      <c r="A14004" t="s">
        <v>1500</v>
      </c>
    </row>
    <row r="14005" spans="1:1" x14ac:dyDescent="0.2">
      <c r="A14005" t="s">
        <v>1501</v>
      </c>
    </row>
    <row r="14006" spans="1:1" x14ac:dyDescent="0.2">
      <c r="A14006" t="s">
        <v>1502</v>
      </c>
    </row>
    <row r="14007" spans="1:1" x14ac:dyDescent="0.2">
      <c r="A14007" t="s">
        <v>1503</v>
      </c>
    </row>
    <row r="14008" spans="1:1" x14ac:dyDescent="0.2">
      <c r="A14008" t="s">
        <v>1504</v>
      </c>
    </row>
    <row r="14009" spans="1:1" x14ac:dyDescent="0.2">
      <c r="A14009" t="s">
        <v>1505</v>
      </c>
    </row>
    <row r="14010" spans="1:1" x14ac:dyDescent="0.2">
      <c r="A14010" t="s">
        <v>1506</v>
      </c>
    </row>
    <row r="14011" spans="1:1" x14ac:dyDescent="0.2">
      <c r="A14011" t="s">
        <v>3093</v>
      </c>
    </row>
    <row r="14012" spans="1:1" x14ac:dyDescent="0.2">
      <c r="A14012" t="s">
        <v>1507</v>
      </c>
    </row>
    <row r="14013" spans="1:1" x14ac:dyDescent="0.2">
      <c r="A14013" t="s">
        <v>1508</v>
      </c>
    </row>
    <row r="14014" spans="1:1" x14ac:dyDescent="0.2">
      <c r="A14014" t="s">
        <v>1509</v>
      </c>
    </row>
    <row r="14015" spans="1:1" x14ac:dyDescent="0.2">
      <c r="A14015" t="s">
        <v>1510</v>
      </c>
    </row>
    <row r="14016" spans="1:1" x14ac:dyDescent="0.2">
      <c r="A14016" t="s">
        <v>1511</v>
      </c>
    </row>
    <row r="14017" spans="1:1" x14ac:dyDescent="0.2">
      <c r="A14017" t="s">
        <v>1512</v>
      </c>
    </row>
    <row r="14018" spans="1:1" x14ac:dyDescent="0.2">
      <c r="A14018" t="s">
        <v>1513</v>
      </c>
    </row>
    <row r="14019" spans="1:1" x14ac:dyDescent="0.2">
      <c r="A14019" t="s">
        <v>1514</v>
      </c>
    </row>
    <row r="14020" spans="1:1" x14ac:dyDescent="0.2">
      <c r="A14020" t="s">
        <v>1515</v>
      </c>
    </row>
    <row r="14021" spans="1:1" x14ac:dyDescent="0.2">
      <c r="A14021" t="s">
        <v>1516</v>
      </c>
    </row>
    <row r="14022" spans="1:1" x14ac:dyDescent="0.2">
      <c r="A14022" t="s">
        <v>1517</v>
      </c>
    </row>
    <row r="14023" spans="1:1" x14ac:dyDescent="0.2">
      <c r="A14023" t="s">
        <v>1518</v>
      </c>
    </row>
    <row r="14024" spans="1:1" x14ac:dyDescent="0.2">
      <c r="A14024" t="s">
        <v>1519</v>
      </c>
    </row>
    <row r="14025" spans="1:1" x14ac:dyDescent="0.2">
      <c r="A14025" t="s">
        <v>1520</v>
      </c>
    </row>
    <row r="14026" spans="1:1" x14ac:dyDescent="0.2">
      <c r="A14026" t="s">
        <v>1521</v>
      </c>
    </row>
    <row r="14027" spans="1:1" x14ac:dyDescent="0.2">
      <c r="A14027" t="s">
        <v>1522</v>
      </c>
    </row>
    <row r="14028" spans="1:1" x14ac:dyDescent="0.2">
      <c r="A14028" t="s">
        <v>1523</v>
      </c>
    </row>
    <row r="14029" spans="1:1" x14ac:dyDescent="0.2">
      <c r="A14029" t="s">
        <v>1524</v>
      </c>
    </row>
    <row r="14030" spans="1:1" x14ac:dyDescent="0.2">
      <c r="A14030" t="s">
        <v>1525</v>
      </c>
    </row>
    <row r="14031" spans="1:1" x14ac:dyDescent="0.2">
      <c r="A14031" t="s">
        <v>1526</v>
      </c>
    </row>
    <row r="14032" spans="1:1" x14ac:dyDescent="0.2">
      <c r="A14032" t="s">
        <v>1527</v>
      </c>
    </row>
    <row r="14033" spans="1:1" x14ac:dyDescent="0.2">
      <c r="A14033" t="s">
        <v>1528</v>
      </c>
    </row>
    <row r="14034" spans="1:1" x14ac:dyDescent="0.2">
      <c r="A14034" t="s">
        <v>1529</v>
      </c>
    </row>
    <row r="14035" spans="1:1" x14ac:dyDescent="0.2">
      <c r="A14035" t="s">
        <v>1530</v>
      </c>
    </row>
    <row r="14036" spans="1:1" x14ac:dyDescent="0.2">
      <c r="A14036" t="s">
        <v>1531</v>
      </c>
    </row>
    <row r="14037" spans="1:1" x14ac:dyDescent="0.2">
      <c r="A14037" t="s">
        <v>1532</v>
      </c>
    </row>
    <row r="14038" spans="1:1" x14ac:dyDescent="0.2">
      <c r="A14038" t="s">
        <v>1533</v>
      </c>
    </row>
    <row r="14039" spans="1:1" x14ac:dyDescent="0.2">
      <c r="A14039" t="s">
        <v>1561</v>
      </c>
    </row>
    <row r="14040" spans="1:1" x14ac:dyDescent="0.2">
      <c r="A14040" t="s">
        <v>1549</v>
      </c>
    </row>
    <row r="14041" spans="1:1" x14ac:dyDescent="0.2">
      <c r="A14041" t="s">
        <v>3112</v>
      </c>
    </row>
    <row r="14042" spans="1:1" x14ac:dyDescent="0.2">
      <c r="A14042" t="s">
        <v>3190</v>
      </c>
    </row>
    <row r="14043" spans="1:1" x14ac:dyDescent="0.2">
      <c r="A14043" t="s">
        <v>1563</v>
      </c>
    </row>
    <row r="14044" spans="1:1" x14ac:dyDescent="0.2">
      <c r="A14044" t="s">
        <v>3124</v>
      </c>
    </row>
    <row r="14045" spans="1:1" x14ac:dyDescent="0.2">
      <c r="A14045" t="s">
        <v>3144</v>
      </c>
    </row>
    <row r="14046" spans="1:1" x14ac:dyDescent="0.2">
      <c r="A14046" t="s">
        <v>1503</v>
      </c>
    </row>
    <row r="14047" spans="1:1" x14ac:dyDescent="0.2">
      <c r="A14047" t="s">
        <v>1504</v>
      </c>
    </row>
    <row r="14048" spans="1:1" x14ac:dyDescent="0.2">
      <c r="A14048" t="s">
        <v>1505</v>
      </c>
    </row>
    <row r="14049" spans="1:1" x14ac:dyDescent="0.2">
      <c r="A14049" t="s">
        <v>1506</v>
      </c>
    </row>
    <row r="14050" spans="1:1" x14ac:dyDescent="0.2">
      <c r="A14050" t="s">
        <v>1559</v>
      </c>
    </row>
    <row r="14051" spans="1:1" x14ac:dyDescent="0.2">
      <c r="A14051" t="s">
        <v>1507</v>
      </c>
    </row>
    <row r="14052" spans="1:1" x14ac:dyDescent="0.2">
      <c r="A14052" t="s">
        <v>1508</v>
      </c>
    </row>
    <row r="14053" spans="1:1" x14ac:dyDescent="0.2">
      <c r="A14053" t="s">
        <v>1509</v>
      </c>
    </row>
    <row r="14054" spans="1:1" x14ac:dyDescent="0.2">
      <c r="A14054" t="s">
        <v>1510</v>
      </c>
    </row>
    <row r="14055" spans="1:1" x14ac:dyDescent="0.2">
      <c r="A14055" t="s">
        <v>1511</v>
      </c>
    </row>
    <row r="14056" spans="1:1" x14ac:dyDescent="0.2">
      <c r="A14056" t="s">
        <v>1512</v>
      </c>
    </row>
    <row r="14057" spans="1:1" x14ac:dyDescent="0.2">
      <c r="A14057" t="s">
        <v>1513</v>
      </c>
    </row>
    <row r="14058" spans="1:1" x14ac:dyDescent="0.2">
      <c r="A14058" t="s">
        <v>1514</v>
      </c>
    </row>
    <row r="14059" spans="1:1" x14ac:dyDescent="0.2">
      <c r="A14059" t="s">
        <v>1515</v>
      </c>
    </row>
    <row r="14060" spans="1:1" x14ac:dyDescent="0.2">
      <c r="A14060" t="s">
        <v>1516</v>
      </c>
    </row>
    <row r="14061" spans="1:1" x14ac:dyDescent="0.2">
      <c r="A14061" t="s">
        <v>1517</v>
      </c>
    </row>
    <row r="14062" spans="1:1" x14ac:dyDescent="0.2">
      <c r="A14062" t="s">
        <v>1518</v>
      </c>
    </row>
    <row r="14063" spans="1:1" x14ac:dyDescent="0.2">
      <c r="A14063" t="s">
        <v>1519</v>
      </c>
    </row>
    <row r="14064" spans="1:1" x14ac:dyDescent="0.2">
      <c r="A14064" t="s">
        <v>1520</v>
      </c>
    </row>
    <row r="14065" spans="1:1" x14ac:dyDescent="0.2">
      <c r="A14065" t="s">
        <v>3191</v>
      </c>
    </row>
    <row r="14066" spans="1:1" x14ac:dyDescent="0.2">
      <c r="A14066" t="s">
        <v>3192</v>
      </c>
    </row>
    <row r="14067" spans="1:1" x14ac:dyDescent="0.2">
      <c r="A14067" t="s">
        <v>3193</v>
      </c>
    </row>
    <row r="14068" spans="1:1" x14ac:dyDescent="0.2">
      <c r="A14068" t="s">
        <v>3194</v>
      </c>
    </row>
    <row r="14069" spans="1:1" x14ac:dyDescent="0.2">
      <c r="A14069" t="s">
        <v>3195</v>
      </c>
    </row>
    <row r="14070" spans="1:1" x14ac:dyDescent="0.2">
      <c r="A14070" t="s">
        <v>1526</v>
      </c>
    </row>
    <row r="14071" spans="1:1" x14ac:dyDescent="0.2">
      <c r="A14071" t="s">
        <v>1527</v>
      </c>
    </row>
    <row r="14072" spans="1:1" x14ac:dyDescent="0.2">
      <c r="A14072" t="s">
        <v>1528</v>
      </c>
    </row>
    <row r="14073" spans="1:1" x14ac:dyDescent="0.2">
      <c r="A14073" t="s">
        <v>1529</v>
      </c>
    </row>
    <row r="14074" spans="1:1" x14ac:dyDescent="0.2">
      <c r="A14074" t="s">
        <v>1530</v>
      </c>
    </row>
    <row r="14075" spans="1:1" x14ac:dyDescent="0.2">
      <c r="A14075" t="s">
        <v>3196</v>
      </c>
    </row>
    <row r="14076" spans="1:1" x14ac:dyDescent="0.2">
      <c r="A14076" t="s">
        <v>1532</v>
      </c>
    </row>
    <row r="14077" spans="1:1" x14ac:dyDescent="0.2">
      <c r="A14077" t="s">
        <v>1533</v>
      </c>
    </row>
    <row r="14078" spans="1:1" x14ac:dyDescent="0.2">
      <c r="A14078" t="s">
        <v>1565</v>
      </c>
    </row>
    <row r="14079" spans="1:1" x14ac:dyDescent="0.2">
      <c r="A14079" t="s">
        <v>1549</v>
      </c>
    </row>
    <row r="14080" spans="1:1" x14ac:dyDescent="0.2">
      <c r="A14080" t="s">
        <v>3112</v>
      </c>
    </row>
    <row r="14081" spans="1:1" x14ac:dyDescent="0.2">
      <c r="A14081" t="s">
        <v>3197</v>
      </c>
    </row>
    <row r="14082" spans="1:1" x14ac:dyDescent="0.2">
      <c r="A14082" t="s">
        <v>1563</v>
      </c>
    </row>
    <row r="14083" spans="1:1" x14ac:dyDescent="0.2">
      <c r="A14083" t="s">
        <v>3124</v>
      </c>
    </row>
    <row r="14084" spans="1:1" x14ac:dyDescent="0.2">
      <c r="A14084" t="s">
        <v>3198</v>
      </c>
    </row>
    <row r="14085" spans="1:1" x14ac:dyDescent="0.2">
      <c r="A14085" t="s">
        <v>1503</v>
      </c>
    </row>
    <row r="14086" spans="1:1" x14ac:dyDescent="0.2">
      <c r="A14086" t="s">
        <v>1504</v>
      </c>
    </row>
    <row r="14087" spans="1:1" x14ac:dyDescent="0.2">
      <c r="A14087" t="s">
        <v>1505</v>
      </c>
    </row>
    <row r="14088" spans="1:1" x14ac:dyDescent="0.2">
      <c r="A14088" t="s">
        <v>1506</v>
      </c>
    </row>
    <row r="14089" spans="1:1" x14ac:dyDescent="0.2">
      <c r="A14089" t="s">
        <v>1559</v>
      </c>
    </row>
    <row r="14090" spans="1:1" x14ac:dyDescent="0.2">
      <c r="A14090" t="s">
        <v>1507</v>
      </c>
    </row>
    <row r="14091" spans="1:1" x14ac:dyDescent="0.2">
      <c r="A14091" t="s">
        <v>1508</v>
      </c>
    </row>
    <row r="14092" spans="1:1" x14ac:dyDescent="0.2">
      <c r="A14092" t="s">
        <v>1509</v>
      </c>
    </row>
    <row r="14093" spans="1:1" x14ac:dyDescent="0.2">
      <c r="A14093" t="s">
        <v>1510</v>
      </c>
    </row>
    <row r="14094" spans="1:1" x14ac:dyDescent="0.2">
      <c r="A14094" t="s">
        <v>1511</v>
      </c>
    </row>
    <row r="14095" spans="1:1" x14ac:dyDescent="0.2">
      <c r="A14095" t="s">
        <v>1512</v>
      </c>
    </row>
    <row r="14096" spans="1:1" x14ac:dyDescent="0.2">
      <c r="A14096" t="s">
        <v>1513</v>
      </c>
    </row>
    <row r="14097" spans="1:1" x14ac:dyDescent="0.2">
      <c r="A14097" t="s">
        <v>1514</v>
      </c>
    </row>
    <row r="14098" spans="1:1" x14ac:dyDescent="0.2">
      <c r="A14098" t="s">
        <v>1515</v>
      </c>
    </row>
    <row r="14099" spans="1:1" x14ac:dyDescent="0.2">
      <c r="A14099" t="s">
        <v>1516</v>
      </c>
    </row>
    <row r="14100" spans="1:1" x14ac:dyDescent="0.2">
      <c r="A14100" t="s">
        <v>1517</v>
      </c>
    </row>
    <row r="14101" spans="1:1" x14ac:dyDescent="0.2">
      <c r="A14101" t="s">
        <v>1518</v>
      </c>
    </row>
    <row r="14102" spans="1:1" x14ac:dyDescent="0.2">
      <c r="A14102" t="s">
        <v>1519</v>
      </c>
    </row>
    <row r="14103" spans="1:1" x14ac:dyDescent="0.2">
      <c r="A14103" t="s">
        <v>1520</v>
      </c>
    </row>
    <row r="14104" spans="1:1" x14ac:dyDescent="0.2">
      <c r="A14104" t="s">
        <v>3199</v>
      </c>
    </row>
    <row r="14105" spans="1:1" x14ac:dyDescent="0.2">
      <c r="A14105" t="s">
        <v>3200</v>
      </c>
    </row>
    <row r="14106" spans="1:1" x14ac:dyDescent="0.2">
      <c r="A14106" t="s">
        <v>3201</v>
      </c>
    </row>
    <row r="14107" spans="1:1" x14ac:dyDescent="0.2">
      <c r="A14107" t="s">
        <v>3202</v>
      </c>
    </row>
    <row r="14108" spans="1:1" x14ac:dyDescent="0.2">
      <c r="A14108" t="s">
        <v>3203</v>
      </c>
    </row>
    <row r="14109" spans="1:1" x14ac:dyDescent="0.2">
      <c r="A14109" t="s">
        <v>1526</v>
      </c>
    </row>
    <row r="14110" spans="1:1" x14ac:dyDescent="0.2">
      <c r="A14110" t="s">
        <v>1527</v>
      </c>
    </row>
    <row r="14111" spans="1:1" x14ac:dyDescent="0.2">
      <c r="A14111" t="s">
        <v>1528</v>
      </c>
    </row>
    <row r="14112" spans="1:1" x14ac:dyDescent="0.2">
      <c r="A14112" t="s">
        <v>1529</v>
      </c>
    </row>
    <row r="14113" spans="1:1" x14ac:dyDescent="0.2">
      <c r="A14113" t="s">
        <v>1530</v>
      </c>
    </row>
    <row r="14114" spans="1:1" x14ac:dyDescent="0.2">
      <c r="A14114" t="s">
        <v>3196</v>
      </c>
    </row>
    <row r="14115" spans="1:1" x14ac:dyDescent="0.2">
      <c r="A14115" t="s">
        <v>1532</v>
      </c>
    </row>
    <row r="14116" spans="1:1" x14ac:dyDescent="0.2">
      <c r="A14116" t="s">
        <v>1533</v>
      </c>
    </row>
    <row r="14117" spans="1:1" x14ac:dyDescent="0.2">
      <c r="A14117" t="s">
        <v>1567</v>
      </c>
    </row>
    <row r="14118" spans="1:1" x14ac:dyDescent="0.2">
      <c r="A14118" t="s">
        <v>1497</v>
      </c>
    </row>
    <row r="14119" spans="1:1" x14ac:dyDescent="0.2">
      <c r="A14119" t="s">
        <v>1498</v>
      </c>
    </row>
    <row r="14120" spans="1:1" x14ac:dyDescent="0.2">
      <c r="A14120" t="s">
        <v>3204</v>
      </c>
    </row>
    <row r="14121" spans="1:1" x14ac:dyDescent="0.2">
      <c r="A14121" t="s">
        <v>1500</v>
      </c>
    </row>
    <row r="14122" spans="1:1" x14ac:dyDescent="0.2">
      <c r="A14122" t="s">
        <v>1501</v>
      </c>
    </row>
    <row r="14123" spans="1:1" x14ac:dyDescent="0.2">
      <c r="A14123" t="s">
        <v>1502</v>
      </c>
    </row>
    <row r="14124" spans="1:1" x14ac:dyDescent="0.2">
      <c r="A14124" t="s">
        <v>1503</v>
      </c>
    </row>
    <row r="14125" spans="1:1" x14ac:dyDescent="0.2">
      <c r="A14125" t="s">
        <v>1504</v>
      </c>
    </row>
    <row r="14126" spans="1:1" x14ac:dyDescent="0.2">
      <c r="A14126" t="s">
        <v>1505</v>
      </c>
    </row>
    <row r="14127" spans="1:1" x14ac:dyDescent="0.2">
      <c r="A14127" t="s">
        <v>1506</v>
      </c>
    </row>
    <row r="14128" spans="1:1" x14ac:dyDescent="0.2">
      <c r="A14128" t="s">
        <v>3093</v>
      </c>
    </row>
    <row r="14129" spans="1:1" x14ac:dyDescent="0.2">
      <c r="A14129" t="s">
        <v>1507</v>
      </c>
    </row>
    <row r="14130" spans="1:1" x14ac:dyDescent="0.2">
      <c r="A14130" t="s">
        <v>1508</v>
      </c>
    </row>
    <row r="14131" spans="1:1" x14ac:dyDescent="0.2">
      <c r="A14131" t="s">
        <v>1509</v>
      </c>
    </row>
    <row r="14132" spans="1:1" x14ac:dyDescent="0.2">
      <c r="A14132" t="s">
        <v>1510</v>
      </c>
    </row>
    <row r="14133" spans="1:1" x14ac:dyDescent="0.2">
      <c r="A14133" t="s">
        <v>1511</v>
      </c>
    </row>
    <row r="14134" spans="1:1" x14ac:dyDescent="0.2">
      <c r="A14134" t="s">
        <v>1512</v>
      </c>
    </row>
    <row r="14135" spans="1:1" x14ac:dyDescent="0.2">
      <c r="A14135" t="s">
        <v>1513</v>
      </c>
    </row>
    <row r="14136" spans="1:1" x14ac:dyDescent="0.2">
      <c r="A14136" t="s">
        <v>1514</v>
      </c>
    </row>
    <row r="14137" spans="1:1" x14ac:dyDescent="0.2">
      <c r="A14137" t="s">
        <v>1515</v>
      </c>
    </row>
    <row r="14138" spans="1:1" x14ac:dyDescent="0.2">
      <c r="A14138" t="s">
        <v>1516</v>
      </c>
    </row>
    <row r="14139" spans="1:1" x14ac:dyDescent="0.2">
      <c r="A14139" t="s">
        <v>1517</v>
      </c>
    </row>
    <row r="14140" spans="1:1" x14ac:dyDescent="0.2">
      <c r="A14140" t="s">
        <v>1518</v>
      </c>
    </row>
    <row r="14141" spans="1:1" x14ac:dyDescent="0.2">
      <c r="A14141" t="s">
        <v>1519</v>
      </c>
    </row>
    <row r="14142" spans="1:1" x14ac:dyDescent="0.2">
      <c r="A14142" t="s">
        <v>1520</v>
      </c>
    </row>
    <row r="14143" spans="1:1" x14ac:dyDescent="0.2">
      <c r="A14143" t="s">
        <v>1521</v>
      </c>
    </row>
    <row r="14144" spans="1:1" x14ac:dyDescent="0.2">
      <c r="A14144" t="s">
        <v>1522</v>
      </c>
    </row>
    <row r="14145" spans="1:1" x14ac:dyDescent="0.2">
      <c r="A14145" t="s">
        <v>1523</v>
      </c>
    </row>
    <row r="14146" spans="1:1" x14ac:dyDescent="0.2">
      <c r="A14146" t="s">
        <v>1524</v>
      </c>
    </row>
    <row r="14147" spans="1:1" x14ac:dyDescent="0.2">
      <c r="A14147" t="s">
        <v>1525</v>
      </c>
    </row>
    <row r="14148" spans="1:1" x14ac:dyDescent="0.2">
      <c r="A14148" t="s">
        <v>1526</v>
      </c>
    </row>
    <row r="14149" spans="1:1" x14ac:dyDescent="0.2">
      <c r="A14149" t="s">
        <v>1527</v>
      </c>
    </row>
    <row r="14150" spans="1:1" x14ac:dyDescent="0.2">
      <c r="A14150" t="s">
        <v>1528</v>
      </c>
    </row>
    <row r="14151" spans="1:1" x14ac:dyDescent="0.2">
      <c r="A14151" t="s">
        <v>1529</v>
      </c>
    </row>
    <row r="14152" spans="1:1" x14ac:dyDescent="0.2">
      <c r="A14152" t="s">
        <v>1530</v>
      </c>
    </row>
    <row r="14153" spans="1:1" x14ac:dyDescent="0.2">
      <c r="A14153" t="s">
        <v>1531</v>
      </c>
    </row>
    <row r="14154" spans="1:1" x14ac:dyDescent="0.2">
      <c r="A14154" t="s">
        <v>1532</v>
      </c>
    </row>
    <row r="14155" spans="1:1" x14ac:dyDescent="0.2">
      <c r="A14155" t="s">
        <v>1533</v>
      </c>
    </row>
    <row r="14156" spans="1:1" x14ac:dyDescent="0.2">
      <c r="A14156" t="s">
        <v>1568</v>
      </c>
    </row>
    <row r="14157" spans="1:1" x14ac:dyDescent="0.2">
      <c r="A14157" t="s">
        <v>1497</v>
      </c>
    </row>
    <row r="14158" spans="1:1" x14ac:dyDescent="0.2">
      <c r="A14158" t="s">
        <v>3112</v>
      </c>
    </row>
    <row r="14159" spans="1:1" x14ac:dyDescent="0.2">
      <c r="A14159" t="s">
        <v>3205</v>
      </c>
    </row>
    <row r="14160" spans="1:1" x14ac:dyDescent="0.2">
      <c r="A14160" t="s">
        <v>1563</v>
      </c>
    </row>
    <row r="14161" spans="1:1" x14ac:dyDescent="0.2">
      <c r="A14161" t="s">
        <v>3115</v>
      </c>
    </row>
    <row r="14162" spans="1:1" x14ac:dyDescent="0.2">
      <c r="A14162" t="s">
        <v>3144</v>
      </c>
    </row>
    <row r="14163" spans="1:1" x14ac:dyDescent="0.2">
      <c r="A14163" t="s">
        <v>1503</v>
      </c>
    </row>
    <row r="14164" spans="1:1" x14ac:dyDescent="0.2">
      <c r="A14164" t="s">
        <v>1504</v>
      </c>
    </row>
    <row r="14165" spans="1:1" x14ac:dyDescent="0.2">
      <c r="A14165" t="s">
        <v>3181</v>
      </c>
    </row>
    <row r="14166" spans="1:1" x14ac:dyDescent="0.2">
      <c r="A14166" t="s">
        <v>1536</v>
      </c>
    </row>
    <row r="14167" spans="1:1" x14ac:dyDescent="0.2">
      <c r="A14167" t="s">
        <v>3095</v>
      </c>
    </row>
    <row r="14168" spans="1:1" x14ac:dyDescent="0.2">
      <c r="A14168" t="s">
        <v>1538</v>
      </c>
    </row>
    <row r="14169" spans="1:1" x14ac:dyDescent="0.2">
      <c r="A14169" t="s">
        <v>1508</v>
      </c>
    </row>
    <row r="14170" spans="1:1" x14ac:dyDescent="0.2">
      <c r="A14170" t="s">
        <v>3133</v>
      </c>
    </row>
    <row r="14171" spans="1:1" x14ac:dyDescent="0.2">
      <c r="A14171" t="s">
        <v>3134</v>
      </c>
    </row>
    <row r="14172" spans="1:1" x14ac:dyDescent="0.2">
      <c r="A14172" t="s">
        <v>1511</v>
      </c>
    </row>
    <row r="14173" spans="1:1" x14ac:dyDescent="0.2">
      <c r="A14173" t="s">
        <v>1512</v>
      </c>
    </row>
    <row r="14174" spans="1:1" x14ac:dyDescent="0.2">
      <c r="A14174" t="s">
        <v>1513</v>
      </c>
    </row>
    <row r="14175" spans="1:1" x14ac:dyDescent="0.2">
      <c r="A14175" t="s">
        <v>1514</v>
      </c>
    </row>
    <row r="14176" spans="1:1" x14ac:dyDescent="0.2">
      <c r="A14176" t="s">
        <v>1515</v>
      </c>
    </row>
    <row r="14177" spans="1:1" x14ac:dyDescent="0.2">
      <c r="A14177" t="s">
        <v>3206</v>
      </c>
    </row>
    <row r="14178" spans="1:1" x14ac:dyDescent="0.2">
      <c r="A14178" t="s">
        <v>3207</v>
      </c>
    </row>
    <row r="14179" spans="1:1" x14ac:dyDescent="0.2">
      <c r="A14179" t="s">
        <v>3208</v>
      </c>
    </row>
    <row r="14180" spans="1:1" x14ac:dyDescent="0.2">
      <c r="A14180" t="s">
        <v>3209</v>
      </c>
    </row>
    <row r="14181" spans="1:1" x14ac:dyDescent="0.2">
      <c r="A14181" t="s">
        <v>3210</v>
      </c>
    </row>
    <row r="14182" spans="1:1" x14ac:dyDescent="0.2">
      <c r="A14182" t="s">
        <v>3211</v>
      </c>
    </row>
    <row r="14183" spans="1:1" x14ac:dyDescent="0.2">
      <c r="A14183" t="s">
        <v>3212</v>
      </c>
    </row>
    <row r="14184" spans="1:1" x14ac:dyDescent="0.2">
      <c r="A14184" t="s">
        <v>3213</v>
      </c>
    </row>
    <row r="14185" spans="1:1" x14ac:dyDescent="0.2">
      <c r="A14185" t="s">
        <v>3214</v>
      </c>
    </row>
    <row r="14186" spans="1:1" x14ac:dyDescent="0.2">
      <c r="A14186" t="s">
        <v>3215</v>
      </c>
    </row>
    <row r="14187" spans="1:1" x14ac:dyDescent="0.2">
      <c r="A14187" t="s">
        <v>1526</v>
      </c>
    </row>
    <row r="14188" spans="1:1" x14ac:dyDescent="0.2">
      <c r="A14188" t="s">
        <v>1527</v>
      </c>
    </row>
    <row r="14189" spans="1:1" x14ac:dyDescent="0.2">
      <c r="A14189" t="s">
        <v>3216</v>
      </c>
    </row>
    <row r="14190" spans="1:1" x14ac:dyDescent="0.2">
      <c r="A14190" t="s">
        <v>3217</v>
      </c>
    </row>
    <row r="14191" spans="1:1" x14ac:dyDescent="0.2">
      <c r="A14191" t="s">
        <v>1530</v>
      </c>
    </row>
    <row r="14192" spans="1:1" x14ac:dyDescent="0.2">
      <c r="A14192" t="s">
        <v>3218</v>
      </c>
    </row>
    <row r="14193" spans="1:1" x14ac:dyDescent="0.2">
      <c r="A14193" t="s">
        <v>1532</v>
      </c>
    </row>
    <row r="14194" spans="1:1" x14ac:dyDescent="0.2">
      <c r="A14194" t="s">
        <v>1533</v>
      </c>
    </row>
    <row r="14195" spans="1:1" x14ac:dyDescent="0.2">
      <c r="A14195" t="s">
        <v>1569</v>
      </c>
    </row>
    <row r="14196" spans="1:1" x14ac:dyDescent="0.2">
      <c r="A14196" t="s">
        <v>1497</v>
      </c>
    </row>
    <row r="14197" spans="1:1" x14ac:dyDescent="0.2">
      <c r="A14197" t="s">
        <v>1498</v>
      </c>
    </row>
    <row r="14198" spans="1:1" x14ac:dyDescent="0.2">
      <c r="A14198" t="s">
        <v>3219</v>
      </c>
    </row>
    <row r="14199" spans="1:1" x14ac:dyDescent="0.2">
      <c r="A14199" t="s">
        <v>1500</v>
      </c>
    </row>
    <row r="14200" spans="1:1" x14ac:dyDescent="0.2">
      <c r="A14200" t="s">
        <v>1501</v>
      </c>
    </row>
    <row r="14201" spans="1:1" x14ac:dyDescent="0.2">
      <c r="A14201" t="s">
        <v>1502</v>
      </c>
    </row>
    <row r="14202" spans="1:1" x14ac:dyDescent="0.2">
      <c r="A14202" t="s">
        <v>1503</v>
      </c>
    </row>
    <row r="14203" spans="1:1" x14ac:dyDescent="0.2">
      <c r="A14203" t="s">
        <v>1504</v>
      </c>
    </row>
    <row r="14204" spans="1:1" x14ac:dyDescent="0.2">
      <c r="A14204" t="s">
        <v>1505</v>
      </c>
    </row>
    <row r="14205" spans="1:1" x14ac:dyDescent="0.2">
      <c r="A14205" t="s">
        <v>1506</v>
      </c>
    </row>
    <row r="14206" spans="1:1" x14ac:dyDescent="0.2">
      <c r="A14206" t="s">
        <v>3093</v>
      </c>
    </row>
    <row r="14207" spans="1:1" x14ac:dyDescent="0.2">
      <c r="A14207" t="s">
        <v>1507</v>
      </c>
    </row>
    <row r="14208" spans="1:1" x14ac:dyDescent="0.2">
      <c r="A14208" t="s">
        <v>1508</v>
      </c>
    </row>
    <row r="14209" spans="1:1" x14ac:dyDescent="0.2">
      <c r="A14209" t="s">
        <v>1509</v>
      </c>
    </row>
    <row r="14210" spans="1:1" x14ac:dyDescent="0.2">
      <c r="A14210" t="s">
        <v>1510</v>
      </c>
    </row>
    <row r="14211" spans="1:1" x14ac:dyDescent="0.2">
      <c r="A14211" t="s">
        <v>1511</v>
      </c>
    </row>
    <row r="14212" spans="1:1" x14ac:dyDescent="0.2">
      <c r="A14212" t="s">
        <v>1512</v>
      </c>
    </row>
    <row r="14213" spans="1:1" x14ac:dyDescent="0.2">
      <c r="A14213" t="s">
        <v>1513</v>
      </c>
    </row>
    <row r="14214" spans="1:1" x14ac:dyDescent="0.2">
      <c r="A14214" t="s">
        <v>1514</v>
      </c>
    </row>
    <row r="14215" spans="1:1" x14ac:dyDescent="0.2">
      <c r="A14215" t="s">
        <v>1515</v>
      </c>
    </row>
    <row r="14216" spans="1:1" x14ac:dyDescent="0.2">
      <c r="A14216" t="s">
        <v>1516</v>
      </c>
    </row>
    <row r="14217" spans="1:1" x14ac:dyDescent="0.2">
      <c r="A14217" t="s">
        <v>1517</v>
      </c>
    </row>
    <row r="14218" spans="1:1" x14ac:dyDescent="0.2">
      <c r="A14218" t="s">
        <v>1518</v>
      </c>
    </row>
    <row r="14219" spans="1:1" x14ac:dyDescent="0.2">
      <c r="A14219" t="s">
        <v>1519</v>
      </c>
    </row>
    <row r="14220" spans="1:1" x14ac:dyDescent="0.2">
      <c r="A14220" t="s">
        <v>1520</v>
      </c>
    </row>
    <row r="14221" spans="1:1" x14ac:dyDescent="0.2">
      <c r="A14221" t="s">
        <v>1521</v>
      </c>
    </row>
    <row r="14222" spans="1:1" x14ac:dyDescent="0.2">
      <c r="A14222" t="s">
        <v>1522</v>
      </c>
    </row>
    <row r="14223" spans="1:1" x14ac:dyDescent="0.2">
      <c r="A14223" t="s">
        <v>1523</v>
      </c>
    </row>
    <row r="14224" spans="1:1" x14ac:dyDescent="0.2">
      <c r="A14224" t="s">
        <v>1524</v>
      </c>
    </row>
    <row r="14225" spans="1:1" x14ac:dyDescent="0.2">
      <c r="A14225" t="s">
        <v>1525</v>
      </c>
    </row>
    <row r="14226" spans="1:1" x14ac:dyDescent="0.2">
      <c r="A14226" t="s">
        <v>1526</v>
      </c>
    </row>
    <row r="14227" spans="1:1" x14ac:dyDescent="0.2">
      <c r="A14227" t="s">
        <v>1527</v>
      </c>
    </row>
    <row r="14228" spans="1:1" x14ac:dyDescent="0.2">
      <c r="A14228" t="s">
        <v>1528</v>
      </c>
    </row>
    <row r="14229" spans="1:1" x14ac:dyDescent="0.2">
      <c r="A14229" t="s">
        <v>1529</v>
      </c>
    </row>
    <row r="14230" spans="1:1" x14ac:dyDescent="0.2">
      <c r="A14230" t="s">
        <v>1530</v>
      </c>
    </row>
    <row r="14231" spans="1:1" x14ac:dyDescent="0.2">
      <c r="A14231" t="s">
        <v>1531</v>
      </c>
    </row>
    <row r="14232" spans="1:1" x14ac:dyDescent="0.2">
      <c r="A14232" t="s">
        <v>1532</v>
      </c>
    </row>
    <row r="14233" spans="1:1" x14ac:dyDescent="0.2">
      <c r="A14233" t="s">
        <v>1533</v>
      </c>
    </row>
    <row r="14234" spans="1:1" x14ac:dyDescent="0.2">
      <c r="A14234" t="s">
        <v>1570</v>
      </c>
    </row>
    <row r="14235" spans="1:1" x14ac:dyDescent="0.2">
      <c r="A14235" t="s">
        <v>1497</v>
      </c>
    </row>
    <row r="14236" spans="1:1" x14ac:dyDescent="0.2">
      <c r="A14236" t="s">
        <v>3220</v>
      </c>
    </row>
    <row r="14237" spans="1:1" x14ac:dyDescent="0.2">
      <c r="A14237" t="s">
        <v>3221</v>
      </c>
    </row>
    <row r="14238" spans="1:1" x14ac:dyDescent="0.2">
      <c r="A14238" t="s">
        <v>3114</v>
      </c>
    </row>
    <row r="14239" spans="1:1" x14ac:dyDescent="0.2">
      <c r="A14239" t="s">
        <v>3222</v>
      </c>
    </row>
    <row r="14240" spans="1:1" x14ac:dyDescent="0.2">
      <c r="A14240" t="s">
        <v>1502</v>
      </c>
    </row>
    <row r="14241" spans="1:1" x14ac:dyDescent="0.2">
      <c r="A14241" t="s">
        <v>1503</v>
      </c>
    </row>
    <row r="14242" spans="1:1" x14ac:dyDescent="0.2">
      <c r="A14242" t="s">
        <v>1504</v>
      </c>
    </row>
    <row r="14243" spans="1:1" x14ac:dyDescent="0.2">
      <c r="A14243" t="s">
        <v>1505</v>
      </c>
    </row>
    <row r="14244" spans="1:1" x14ac:dyDescent="0.2">
      <c r="A14244" t="s">
        <v>1536</v>
      </c>
    </row>
    <row r="14245" spans="1:1" x14ac:dyDescent="0.2">
      <c r="A14245" t="s">
        <v>3095</v>
      </c>
    </row>
    <row r="14246" spans="1:1" x14ac:dyDescent="0.2">
      <c r="A14246" t="s">
        <v>1538</v>
      </c>
    </row>
    <row r="14247" spans="1:1" x14ac:dyDescent="0.2">
      <c r="A14247" t="s">
        <v>1508</v>
      </c>
    </row>
    <row r="14248" spans="1:1" x14ac:dyDescent="0.2">
      <c r="A14248" t="s">
        <v>3223</v>
      </c>
    </row>
    <row r="14249" spans="1:1" x14ac:dyDescent="0.2">
      <c r="A14249" t="s">
        <v>3224</v>
      </c>
    </row>
    <row r="14250" spans="1:1" x14ac:dyDescent="0.2">
      <c r="A14250" t="s">
        <v>1511</v>
      </c>
    </row>
    <row r="14251" spans="1:1" x14ac:dyDescent="0.2">
      <c r="A14251" t="s">
        <v>1512</v>
      </c>
    </row>
    <row r="14252" spans="1:1" x14ac:dyDescent="0.2">
      <c r="A14252" t="s">
        <v>1513</v>
      </c>
    </row>
    <row r="14253" spans="1:1" x14ac:dyDescent="0.2">
      <c r="A14253" t="s">
        <v>1514</v>
      </c>
    </row>
    <row r="14254" spans="1:1" x14ac:dyDescent="0.2">
      <c r="A14254" t="s">
        <v>1515</v>
      </c>
    </row>
    <row r="14255" spans="1:1" x14ac:dyDescent="0.2">
      <c r="A14255" t="s">
        <v>3225</v>
      </c>
    </row>
    <row r="14256" spans="1:1" x14ac:dyDescent="0.2">
      <c r="A14256" t="s">
        <v>3226</v>
      </c>
    </row>
    <row r="14257" spans="1:1" x14ac:dyDescent="0.2">
      <c r="A14257" t="s">
        <v>3227</v>
      </c>
    </row>
    <row r="14258" spans="1:1" x14ac:dyDescent="0.2">
      <c r="A14258" t="s">
        <v>3228</v>
      </c>
    </row>
    <row r="14259" spans="1:1" x14ac:dyDescent="0.2">
      <c r="A14259" t="s">
        <v>3229</v>
      </c>
    </row>
    <row r="14260" spans="1:1" x14ac:dyDescent="0.2">
      <c r="A14260" t="s">
        <v>3230</v>
      </c>
    </row>
    <row r="14261" spans="1:1" x14ac:dyDescent="0.2">
      <c r="A14261" t="s">
        <v>3231</v>
      </c>
    </row>
    <row r="14262" spans="1:1" x14ac:dyDescent="0.2">
      <c r="A14262" t="s">
        <v>3232</v>
      </c>
    </row>
    <row r="14263" spans="1:1" x14ac:dyDescent="0.2">
      <c r="A14263" t="s">
        <v>3233</v>
      </c>
    </row>
    <row r="14264" spans="1:1" x14ac:dyDescent="0.2">
      <c r="A14264" t="s">
        <v>3234</v>
      </c>
    </row>
    <row r="14265" spans="1:1" x14ac:dyDescent="0.2">
      <c r="A14265" t="s">
        <v>1526</v>
      </c>
    </row>
    <row r="14266" spans="1:1" x14ac:dyDescent="0.2">
      <c r="A14266" t="s">
        <v>1527</v>
      </c>
    </row>
    <row r="14267" spans="1:1" x14ac:dyDescent="0.2">
      <c r="A14267" t="s">
        <v>3108</v>
      </c>
    </row>
    <row r="14268" spans="1:1" x14ac:dyDescent="0.2">
      <c r="A14268" t="s">
        <v>3109</v>
      </c>
    </row>
    <row r="14269" spans="1:1" x14ac:dyDescent="0.2">
      <c r="A14269" t="s">
        <v>1530</v>
      </c>
    </row>
    <row r="14270" spans="1:1" x14ac:dyDescent="0.2">
      <c r="A14270" t="s">
        <v>3235</v>
      </c>
    </row>
    <row r="14271" spans="1:1" x14ac:dyDescent="0.2">
      <c r="A14271" t="s">
        <v>1532</v>
      </c>
    </row>
    <row r="14272" spans="1:1" x14ac:dyDescent="0.2">
      <c r="A14272" t="s">
        <v>1533</v>
      </c>
    </row>
    <row r="14273" spans="1:1" x14ac:dyDescent="0.2">
      <c r="A14273" t="s">
        <v>1571</v>
      </c>
    </row>
    <row r="14274" spans="1:1" x14ac:dyDescent="0.2">
      <c r="A14274" t="s">
        <v>1497</v>
      </c>
    </row>
    <row r="14275" spans="1:1" x14ac:dyDescent="0.2">
      <c r="A14275" t="s">
        <v>1498</v>
      </c>
    </row>
    <row r="14276" spans="1:1" x14ac:dyDescent="0.2">
      <c r="A14276" t="s">
        <v>3236</v>
      </c>
    </row>
    <row r="14277" spans="1:1" x14ac:dyDescent="0.2">
      <c r="A14277" t="s">
        <v>1500</v>
      </c>
    </row>
    <row r="14278" spans="1:1" x14ac:dyDescent="0.2">
      <c r="A14278" t="s">
        <v>1501</v>
      </c>
    </row>
    <row r="14279" spans="1:1" x14ac:dyDescent="0.2">
      <c r="A14279" t="s">
        <v>1502</v>
      </c>
    </row>
    <row r="14280" spans="1:1" x14ac:dyDescent="0.2">
      <c r="A14280" t="s">
        <v>1503</v>
      </c>
    </row>
    <row r="14281" spans="1:1" x14ac:dyDescent="0.2">
      <c r="A14281" t="s">
        <v>1504</v>
      </c>
    </row>
    <row r="14282" spans="1:1" x14ac:dyDescent="0.2">
      <c r="A14282" t="s">
        <v>1505</v>
      </c>
    </row>
    <row r="14283" spans="1:1" x14ac:dyDescent="0.2">
      <c r="A14283" t="s">
        <v>1506</v>
      </c>
    </row>
    <row r="14284" spans="1:1" x14ac:dyDescent="0.2">
      <c r="A14284" t="s">
        <v>3093</v>
      </c>
    </row>
    <row r="14285" spans="1:1" x14ac:dyDescent="0.2">
      <c r="A14285" t="s">
        <v>1507</v>
      </c>
    </row>
    <row r="14286" spans="1:1" x14ac:dyDescent="0.2">
      <c r="A14286" t="s">
        <v>1508</v>
      </c>
    </row>
    <row r="14287" spans="1:1" x14ac:dyDescent="0.2">
      <c r="A14287" t="s">
        <v>1509</v>
      </c>
    </row>
    <row r="14288" spans="1:1" x14ac:dyDescent="0.2">
      <c r="A14288" t="s">
        <v>1510</v>
      </c>
    </row>
    <row r="14289" spans="1:1" x14ac:dyDescent="0.2">
      <c r="A14289" t="s">
        <v>1511</v>
      </c>
    </row>
    <row r="14290" spans="1:1" x14ac:dyDescent="0.2">
      <c r="A14290" t="s">
        <v>1512</v>
      </c>
    </row>
    <row r="14291" spans="1:1" x14ac:dyDescent="0.2">
      <c r="A14291" t="s">
        <v>1513</v>
      </c>
    </row>
    <row r="14292" spans="1:1" x14ac:dyDescent="0.2">
      <c r="A14292" t="s">
        <v>1514</v>
      </c>
    </row>
    <row r="14293" spans="1:1" x14ac:dyDescent="0.2">
      <c r="A14293" t="s">
        <v>1515</v>
      </c>
    </row>
    <row r="14294" spans="1:1" x14ac:dyDescent="0.2">
      <c r="A14294" t="s">
        <v>1516</v>
      </c>
    </row>
    <row r="14295" spans="1:1" x14ac:dyDescent="0.2">
      <c r="A14295" t="s">
        <v>1517</v>
      </c>
    </row>
    <row r="14296" spans="1:1" x14ac:dyDescent="0.2">
      <c r="A14296" t="s">
        <v>1518</v>
      </c>
    </row>
    <row r="14297" spans="1:1" x14ac:dyDescent="0.2">
      <c r="A14297" t="s">
        <v>1519</v>
      </c>
    </row>
    <row r="14298" spans="1:1" x14ac:dyDescent="0.2">
      <c r="A14298" t="s">
        <v>1520</v>
      </c>
    </row>
    <row r="14299" spans="1:1" x14ac:dyDescent="0.2">
      <c r="A14299" t="s">
        <v>1521</v>
      </c>
    </row>
    <row r="14300" spans="1:1" x14ac:dyDescent="0.2">
      <c r="A14300" t="s">
        <v>1522</v>
      </c>
    </row>
    <row r="14301" spans="1:1" x14ac:dyDescent="0.2">
      <c r="A14301" t="s">
        <v>1523</v>
      </c>
    </row>
    <row r="14302" spans="1:1" x14ac:dyDescent="0.2">
      <c r="A14302" t="s">
        <v>1524</v>
      </c>
    </row>
    <row r="14303" spans="1:1" x14ac:dyDescent="0.2">
      <c r="A14303" t="s">
        <v>1525</v>
      </c>
    </row>
    <row r="14304" spans="1:1" x14ac:dyDescent="0.2">
      <c r="A14304" t="s">
        <v>1526</v>
      </c>
    </row>
    <row r="14305" spans="1:1" x14ac:dyDescent="0.2">
      <c r="A14305" t="s">
        <v>1527</v>
      </c>
    </row>
    <row r="14306" spans="1:1" x14ac:dyDescent="0.2">
      <c r="A14306" t="s">
        <v>1528</v>
      </c>
    </row>
    <row r="14307" spans="1:1" x14ac:dyDescent="0.2">
      <c r="A14307" t="s">
        <v>1529</v>
      </c>
    </row>
    <row r="14308" spans="1:1" x14ac:dyDescent="0.2">
      <c r="A14308" t="s">
        <v>1530</v>
      </c>
    </row>
    <row r="14309" spans="1:1" x14ac:dyDescent="0.2">
      <c r="A14309" t="s">
        <v>1531</v>
      </c>
    </row>
    <row r="14310" spans="1:1" x14ac:dyDescent="0.2">
      <c r="A14310" t="s">
        <v>1532</v>
      </c>
    </row>
    <row r="14311" spans="1:1" x14ac:dyDescent="0.2">
      <c r="A14311" t="s">
        <v>1533</v>
      </c>
    </row>
    <row r="14312" spans="1:1" x14ac:dyDescent="0.2">
      <c r="A14312" t="s">
        <v>1572</v>
      </c>
    </row>
    <row r="14313" spans="1:1" x14ac:dyDescent="0.2">
      <c r="A14313" t="s">
        <v>1497</v>
      </c>
    </row>
    <row r="14314" spans="1:1" x14ac:dyDescent="0.2">
      <c r="A14314" t="s">
        <v>1562</v>
      </c>
    </row>
    <row r="14315" spans="1:1" x14ac:dyDescent="0.2">
      <c r="A14315" t="s">
        <v>3237</v>
      </c>
    </row>
    <row r="14316" spans="1:1" x14ac:dyDescent="0.2">
      <c r="A14316" t="s">
        <v>1563</v>
      </c>
    </row>
    <row r="14317" spans="1:1" x14ac:dyDescent="0.2">
      <c r="A14317" t="s">
        <v>3238</v>
      </c>
    </row>
    <row r="14318" spans="1:1" x14ac:dyDescent="0.2">
      <c r="A14318" t="s">
        <v>1502</v>
      </c>
    </row>
    <row r="14319" spans="1:1" x14ac:dyDescent="0.2">
      <c r="A14319" t="s">
        <v>1503</v>
      </c>
    </row>
    <row r="14320" spans="1:1" x14ac:dyDescent="0.2">
      <c r="A14320" t="s">
        <v>1504</v>
      </c>
    </row>
    <row r="14321" spans="1:1" x14ac:dyDescent="0.2">
      <c r="A14321" t="s">
        <v>1505</v>
      </c>
    </row>
    <row r="14322" spans="1:1" x14ac:dyDescent="0.2">
      <c r="A14322" t="s">
        <v>1536</v>
      </c>
    </row>
    <row r="14323" spans="1:1" x14ac:dyDescent="0.2">
      <c r="A14323" t="s">
        <v>1559</v>
      </c>
    </row>
    <row r="14324" spans="1:1" x14ac:dyDescent="0.2">
      <c r="A14324" t="s">
        <v>1507</v>
      </c>
    </row>
    <row r="14325" spans="1:1" x14ac:dyDescent="0.2">
      <c r="A14325" t="s">
        <v>1508</v>
      </c>
    </row>
    <row r="14326" spans="1:1" x14ac:dyDescent="0.2">
      <c r="A14326" t="s">
        <v>3239</v>
      </c>
    </row>
    <row r="14327" spans="1:1" x14ac:dyDescent="0.2">
      <c r="A14327" t="s">
        <v>3240</v>
      </c>
    </row>
    <row r="14328" spans="1:1" x14ac:dyDescent="0.2">
      <c r="A14328" t="s">
        <v>1511</v>
      </c>
    </row>
    <row r="14329" spans="1:1" x14ac:dyDescent="0.2">
      <c r="A14329" t="s">
        <v>1512</v>
      </c>
    </row>
    <row r="14330" spans="1:1" x14ac:dyDescent="0.2">
      <c r="A14330" t="s">
        <v>1513</v>
      </c>
    </row>
    <row r="14331" spans="1:1" x14ac:dyDescent="0.2">
      <c r="A14331" t="s">
        <v>1514</v>
      </c>
    </row>
    <row r="14332" spans="1:1" x14ac:dyDescent="0.2">
      <c r="A14332" t="s">
        <v>1515</v>
      </c>
    </row>
    <row r="14333" spans="1:1" x14ac:dyDescent="0.2">
      <c r="A14333" t="s">
        <v>1516</v>
      </c>
    </row>
    <row r="14334" spans="1:1" x14ac:dyDescent="0.2">
      <c r="A14334" t="s">
        <v>1517</v>
      </c>
    </row>
    <row r="14335" spans="1:1" x14ac:dyDescent="0.2">
      <c r="A14335" t="s">
        <v>1518</v>
      </c>
    </row>
    <row r="14336" spans="1:1" x14ac:dyDescent="0.2">
      <c r="A14336" t="s">
        <v>1519</v>
      </c>
    </row>
    <row r="14337" spans="1:1" x14ac:dyDescent="0.2">
      <c r="A14337" t="s">
        <v>1520</v>
      </c>
    </row>
    <row r="14338" spans="1:1" x14ac:dyDescent="0.2">
      <c r="A14338" t="s">
        <v>3241</v>
      </c>
    </row>
    <row r="14339" spans="1:1" x14ac:dyDescent="0.2">
      <c r="A14339" t="s">
        <v>3242</v>
      </c>
    </row>
    <row r="14340" spans="1:1" x14ac:dyDescent="0.2">
      <c r="A14340" t="s">
        <v>3243</v>
      </c>
    </row>
    <row r="14341" spans="1:1" x14ac:dyDescent="0.2">
      <c r="A14341" t="s">
        <v>3244</v>
      </c>
    </row>
    <row r="14342" spans="1:1" x14ac:dyDescent="0.2">
      <c r="A14342" t="s">
        <v>3245</v>
      </c>
    </row>
    <row r="14343" spans="1:1" x14ac:dyDescent="0.2">
      <c r="A14343" t="s">
        <v>1526</v>
      </c>
    </row>
    <row r="14344" spans="1:1" x14ac:dyDescent="0.2">
      <c r="A14344" t="s">
        <v>1527</v>
      </c>
    </row>
    <row r="14345" spans="1:1" x14ac:dyDescent="0.2">
      <c r="A14345" t="s">
        <v>1528</v>
      </c>
    </row>
    <row r="14346" spans="1:1" x14ac:dyDescent="0.2">
      <c r="A14346" t="s">
        <v>1529</v>
      </c>
    </row>
    <row r="14347" spans="1:1" x14ac:dyDescent="0.2">
      <c r="A14347" t="s">
        <v>1530</v>
      </c>
    </row>
    <row r="14348" spans="1:1" x14ac:dyDescent="0.2">
      <c r="A14348" t="s">
        <v>3246</v>
      </c>
    </row>
    <row r="14349" spans="1:1" x14ac:dyDescent="0.2">
      <c r="A14349" t="s">
        <v>1532</v>
      </c>
    </row>
    <row r="14350" spans="1:1" x14ac:dyDescent="0.2">
      <c r="A14350" t="s">
        <v>1533</v>
      </c>
    </row>
    <row r="14351" spans="1:1" x14ac:dyDescent="0.2">
      <c r="A14351" t="s">
        <v>1573</v>
      </c>
    </row>
    <row r="14352" spans="1:1" x14ac:dyDescent="0.2">
      <c r="A14352" t="s">
        <v>1497</v>
      </c>
    </row>
    <row r="14353" spans="1:1" x14ac:dyDescent="0.2">
      <c r="A14353" t="s">
        <v>1498</v>
      </c>
    </row>
    <row r="14354" spans="1:1" x14ac:dyDescent="0.2">
      <c r="A14354" t="s">
        <v>1499</v>
      </c>
    </row>
    <row r="14355" spans="1:1" x14ac:dyDescent="0.2">
      <c r="A14355" t="s">
        <v>1500</v>
      </c>
    </row>
    <row r="14356" spans="1:1" x14ac:dyDescent="0.2">
      <c r="A14356" t="s">
        <v>1501</v>
      </c>
    </row>
    <row r="14357" spans="1:1" x14ac:dyDescent="0.2">
      <c r="A14357" t="s">
        <v>1502</v>
      </c>
    </row>
    <row r="14358" spans="1:1" x14ac:dyDescent="0.2">
      <c r="A14358" t="s">
        <v>1503</v>
      </c>
    </row>
    <row r="14359" spans="1:1" x14ac:dyDescent="0.2">
      <c r="A14359" t="s">
        <v>1504</v>
      </c>
    </row>
    <row r="14360" spans="1:1" x14ac:dyDescent="0.2">
      <c r="A14360" t="s">
        <v>1505</v>
      </c>
    </row>
    <row r="14361" spans="1:1" x14ac:dyDescent="0.2">
      <c r="A14361" t="s">
        <v>1506</v>
      </c>
    </row>
    <row r="14362" spans="1:1" x14ac:dyDescent="0.2">
      <c r="A14362" t="s">
        <v>3093</v>
      </c>
    </row>
    <row r="14363" spans="1:1" x14ac:dyDescent="0.2">
      <c r="A14363" t="s">
        <v>1507</v>
      </c>
    </row>
    <row r="14364" spans="1:1" x14ac:dyDescent="0.2">
      <c r="A14364" t="s">
        <v>1508</v>
      </c>
    </row>
    <row r="14365" spans="1:1" x14ac:dyDescent="0.2">
      <c r="A14365" t="s">
        <v>1509</v>
      </c>
    </row>
    <row r="14366" spans="1:1" x14ac:dyDescent="0.2">
      <c r="A14366" t="s">
        <v>1510</v>
      </c>
    </row>
    <row r="14367" spans="1:1" x14ac:dyDescent="0.2">
      <c r="A14367" t="s">
        <v>1511</v>
      </c>
    </row>
    <row r="14368" spans="1:1" x14ac:dyDescent="0.2">
      <c r="A14368" t="s">
        <v>1512</v>
      </c>
    </row>
    <row r="14369" spans="1:1" x14ac:dyDescent="0.2">
      <c r="A14369" t="s">
        <v>1513</v>
      </c>
    </row>
    <row r="14370" spans="1:1" x14ac:dyDescent="0.2">
      <c r="A14370" t="s">
        <v>1514</v>
      </c>
    </row>
    <row r="14371" spans="1:1" x14ac:dyDescent="0.2">
      <c r="A14371" t="s">
        <v>1515</v>
      </c>
    </row>
    <row r="14372" spans="1:1" x14ac:dyDescent="0.2">
      <c r="A14372" t="s">
        <v>1516</v>
      </c>
    </row>
    <row r="14373" spans="1:1" x14ac:dyDescent="0.2">
      <c r="A14373" t="s">
        <v>1517</v>
      </c>
    </row>
    <row r="14374" spans="1:1" x14ac:dyDescent="0.2">
      <c r="A14374" t="s">
        <v>1518</v>
      </c>
    </row>
    <row r="14375" spans="1:1" x14ac:dyDescent="0.2">
      <c r="A14375" t="s">
        <v>1519</v>
      </c>
    </row>
    <row r="14376" spans="1:1" x14ac:dyDescent="0.2">
      <c r="A14376" t="s">
        <v>1520</v>
      </c>
    </row>
    <row r="14377" spans="1:1" x14ac:dyDescent="0.2">
      <c r="A14377" t="s">
        <v>1521</v>
      </c>
    </row>
    <row r="14378" spans="1:1" x14ac:dyDescent="0.2">
      <c r="A14378" t="s">
        <v>1522</v>
      </c>
    </row>
    <row r="14379" spans="1:1" x14ac:dyDescent="0.2">
      <c r="A14379" t="s">
        <v>1523</v>
      </c>
    </row>
    <row r="14380" spans="1:1" x14ac:dyDescent="0.2">
      <c r="A14380" t="s">
        <v>1524</v>
      </c>
    </row>
    <row r="14381" spans="1:1" x14ac:dyDescent="0.2">
      <c r="A14381" t="s">
        <v>1525</v>
      </c>
    </row>
    <row r="14382" spans="1:1" x14ac:dyDescent="0.2">
      <c r="A14382" t="s">
        <v>1526</v>
      </c>
    </row>
    <row r="14383" spans="1:1" x14ac:dyDescent="0.2">
      <c r="A14383" t="s">
        <v>1527</v>
      </c>
    </row>
    <row r="14384" spans="1:1" x14ac:dyDescent="0.2">
      <c r="A14384" t="s">
        <v>1528</v>
      </c>
    </row>
    <row r="14385" spans="1:1" x14ac:dyDescent="0.2">
      <c r="A14385" t="s">
        <v>1529</v>
      </c>
    </row>
    <row r="14386" spans="1:1" x14ac:dyDescent="0.2">
      <c r="A14386" t="s">
        <v>1530</v>
      </c>
    </row>
    <row r="14387" spans="1:1" x14ac:dyDescent="0.2">
      <c r="A14387" t="s">
        <v>1531</v>
      </c>
    </row>
    <row r="14388" spans="1:1" x14ac:dyDescent="0.2">
      <c r="A14388" t="s">
        <v>1532</v>
      </c>
    </row>
    <row r="14389" spans="1:1" x14ac:dyDescent="0.2">
      <c r="A14389" t="s">
        <v>1533</v>
      </c>
    </row>
    <row r="14390" spans="1:1" x14ac:dyDescent="0.2">
      <c r="A14390" t="s">
        <v>1574</v>
      </c>
    </row>
    <row r="14391" spans="1:1" x14ac:dyDescent="0.2">
      <c r="A14391" t="s">
        <v>1497</v>
      </c>
    </row>
    <row r="14392" spans="1:1" x14ac:dyDescent="0.2">
      <c r="A14392" t="s">
        <v>1498</v>
      </c>
    </row>
    <row r="14393" spans="1:1" x14ac:dyDescent="0.2">
      <c r="A14393" t="s">
        <v>3247</v>
      </c>
    </row>
    <row r="14394" spans="1:1" x14ac:dyDescent="0.2">
      <c r="A14394" t="s">
        <v>1500</v>
      </c>
    </row>
    <row r="14395" spans="1:1" x14ac:dyDescent="0.2">
      <c r="A14395" t="s">
        <v>1501</v>
      </c>
    </row>
    <row r="14396" spans="1:1" x14ac:dyDescent="0.2">
      <c r="A14396" t="s">
        <v>1502</v>
      </c>
    </row>
    <row r="14397" spans="1:1" x14ac:dyDescent="0.2">
      <c r="A14397" t="s">
        <v>1503</v>
      </c>
    </row>
    <row r="14398" spans="1:1" x14ac:dyDescent="0.2">
      <c r="A14398" t="s">
        <v>1504</v>
      </c>
    </row>
    <row r="14399" spans="1:1" x14ac:dyDescent="0.2">
      <c r="A14399" t="s">
        <v>1505</v>
      </c>
    </row>
    <row r="14400" spans="1:1" x14ac:dyDescent="0.2">
      <c r="A14400" t="s">
        <v>1506</v>
      </c>
    </row>
    <row r="14401" spans="1:1" x14ac:dyDescent="0.2">
      <c r="A14401" t="s">
        <v>3093</v>
      </c>
    </row>
    <row r="14402" spans="1:1" x14ac:dyDescent="0.2">
      <c r="A14402" t="s">
        <v>1507</v>
      </c>
    </row>
    <row r="14403" spans="1:1" x14ac:dyDescent="0.2">
      <c r="A14403" t="s">
        <v>1508</v>
      </c>
    </row>
    <row r="14404" spans="1:1" x14ac:dyDescent="0.2">
      <c r="A14404" t="s">
        <v>1509</v>
      </c>
    </row>
    <row r="14405" spans="1:1" x14ac:dyDescent="0.2">
      <c r="A14405" t="s">
        <v>1510</v>
      </c>
    </row>
    <row r="14406" spans="1:1" x14ac:dyDescent="0.2">
      <c r="A14406" t="s">
        <v>1511</v>
      </c>
    </row>
    <row r="14407" spans="1:1" x14ac:dyDescent="0.2">
      <c r="A14407" t="s">
        <v>1512</v>
      </c>
    </row>
    <row r="14408" spans="1:1" x14ac:dyDescent="0.2">
      <c r="A14408" t="s">
        <v>1513</v>
      </c>
    </row>
    <row r="14409" spans="1:1" x14ac:dyDescent="0.2">
      <c r="A14409" t="s">
        <v>1514</v>
      </c>
    </row>
    <row r="14410" spans="1:1" x14ac:dyDescent="0.2">
      <c r="A14410" t="s">
        <v>1515</v>
      </c>
    </row>
    <row r="14411" spans="1:1" x14ac:dyDescent="0.2">
      <c r="A14411" t="s">
        <v>1516</v>
      </c>
    </row>
    <row r="14412" spans="1:1" x14ac:dyDescent="0.2">
      <c r="A14412" t="s">
        <v>1517</v>
      </c>
    </row>
    <row r="14413" spans="1:1" x14ac:dyDescent="0.2">
      <c r="A14413" t="s">
        <v>1518</v>
      </c>
    </row>
    <row r="14414" spans="1:1" x14ac:dyDescent="0.2">
      <c r="A14414" t="s">
        <v>1519</v>
      </c>
    </row>
    <row r="14415" spans="1:1" x14ac:dyDescent="0.2">
      <c r="A14415" t="s">
        <v>1520</v>
      </c>
    </row>
    <row r="14416" spans="1:1" x14ac:dyDescent="0.2">
      <c r="A14416" t="s">
        <v>1521</v>
      </c>
    </row>
    <row r="14417" spans="1:1" x14ac:dyDescent="0.2">
      <c r="A14417" t="s">
        <v>1522</v>
      </c>
    </row>
    <row r="14418" spans="1:1" x14ac:dyDescent="0.2">
      <c r="A14418" t="s">
        <v>1523</v>
      </c>
    </row>
    <row r="14419" spans="1:1" x14ac:dyDescent="0.2">
      <c r="A14419" t="s">
        <v>1524</v>
      </c>
    </row>
    <row r="14420" spans="1:1" x14ac:dyDescent="0.2">
      <c r="A14420" t="s">
        <v>1525</v>
      </c>
    </row>
    <row r="14421" spans="1:1" x14ac:dyDescent="0.2">
      <c r="A14421" t="s">
        <v>1526</v>
      </c>
    </row>
    <row r="14422" spans="1:1" x14ac:dyDescent="0.2">
      <c r="A14422" t="s">
        <v>1527</v>
      </c>
    </row>
    <row r="14423" spans="1:1" x14ac:dyDescent="0.2">
      <c r="A14423" t="s">
        <v>1528</v>
      </c>
    </row>
    <row r="14424" spans="1:1" x14ac:dyDescent="0.2">
      <c r="A14424" t="s">
        <v>1529</v>
      </c>
    </row>
    <row r="14425" spans="1:1" x14ac:dyDescent="0.2">
      <c r="A14425" t="s">
        <v>1530</v>
      </c>
    </row>
    <row r="14426" spans="1:1" x14ac:dyDescent="0.2">
      <c r="A14426" t="s">
        <v>1531</v>
      </c>
    </row>
    <row r="14427" spans="1:1" x14ac:dyDescent="0.2">
      <c r="A14427" t="s">
        <v>1532</v>
      </c>
    </row>
    <row r="14428" spans="1:1" x14ac:dyDescent="0.2">
      <c r="A14428" t="s">
        <v>1533</v>
      </c>
    </row>
    <row r="14429" spans="1:1" x14ac:dyDescent="0.2">
      <c r="A14429" t="s">
        <v>1575</v>
      </c>
    </row>
    <row r="14430" spans="1:1" x14ac:dyDescent="0.2">
      <c r="A14430" t="s">
        <v>1497</v>
      </c>
    </row>
    <row r="14431" spans="1:1" x14ac:dyDescent="0.2">
      <c r="A14431" t="s">
        <v>1498</v>
      </c>
    </row>
    <row r="14432" spans="1:1" x14ac:dyDescent="0.2">
      <c r="A14432" t="s">
        <v>3248</v>
      </c>
    </row>
    <row r="14433" spans="1:1" x14ac:dyDescent="0.2">
      <c r="A14433" t="s">
        <v>1500</v>
      </c>
    </row>
    <row r="14434" spans="1:1" x14ac:dyDescent="0.2">
      <c r="A14434" t="s">
        <v>3249</v>
      </c>
    </row>
    <row r="14435" spans="1:1" x14ac:dyDescent="0.2">
      <c r="A14435" t="s">
        <v>1502</v>
      </c>
    </row>
    <row r="14436" spans="1:1" x14ac:dyDescent="0.2">
      <c r="A14436" t="s">
        <v>1503</v>
      </c>
    </row>
    <row r="14437" spans="1:1" x14ac:dyDescent="0.2">
      <c r="A14437" t="s">
        <v>1504</v>
      </c>
    </row>
    <row r="14438" spans="1:1" x14ac:dyDescent="0.2">
      <c r="A14438" t="s">
        <v>1505</v>
      </c>
    </row>
    <row r="14439" spans="1:1" x14ac:dyDescent="0.2">
      <c r="A14439" t="s">
        <v>1506</v>
      </c>
    </row>
    <row r="14440" spans="1:1" x14ac:dyDescent="0.2">
      <c r="A14440" t="s">
        <v>1537</v>
      </c>
    </row>
    <row r="14441" spans="1:1" x14ac:dyDescent="0.2">
      <c r="A14441" t="s">
        <v>1538</v>
      </c>
    </row>
    <row r="14442" spans="1:1" x14ac:dyDescent="0.2">
      <c r="A14442" t="s">
        <v>1508</v>
      </c>
    </row>
    <row r="14443" spans="1:1" x14ac:dyDescent="0.2">
      <c r="A14443" t="s">
        <v>3250</v>
      </c>
    </row>
    <row r="14444" spans="1:1" x14ac:dyDescent="0.2">
      <c r="A14444" t="s">
        <v>3251</v>
      </c>
    </row>
    <row r="14445" spans="1:1" x14ac:dyDescent="0.2">
      <c r="A14445" t="s">
        <v>1511</v>
      </c>
    </row>
    <row r="14446" spans="1:1" x14ac:dyDescent="0.2">
      <c r="A14446" t="s">
        <v>1541</v>
      </c>
    </row>
    <row r="14447" spans="1:1" x14ac:dyDescent="0.2">
      <c r="A14447" t="s">
        <v>1513</v>
      </c>
    </row>
    <row r="14448" spans="1:1" x14ac:dyDescent="0.2">
      <c r="A14448" t="s">
        <v>1514</v>
      </c>
    </row>
    <row r="14449" spans="1:1" x14ac:dyDescent="0.2">
      <c r="A14449" t="s">
        <v>1515</v>
      </c>
    </row>
    <row r="14450" spans="1:1" x14ac:dyDescent="0.2">
      <c r="A14450" t="s">
        <v>1516</v>
      </c>
    </row>
    <row r="14451" spans="1:1" x14ac:dyDescent="0.2">
      <c r="A14451" t="s">
        <v>1517</v>
      </c>
    </row>
    <row r="14452" spans="1:1" x14ac:dyDescent="0.2">
      <c r="A14452" t="s">
        <v>1518</v>
      </c>
    </row>
    <row r="14453" spans="1:1" x14ac:dyDescent="0.2">
      <c r="A14453" t="s">
        <v>1519</v>
      </c>
    </row>
    <row r="14454" spans="1:1" x14ac:dyDescent="0.2">
      <c r="A14454" t="s">
        <v>1520</v>
      </c>
    </row>
    <row r="14455" spans="1:1" x14ac:dyDescent="0.2">
      <c r="A14455" t="s">
        <v>1521</v>
      </c>
    </row>
    <row r="14456" spans="1:1" x14ac:dyDescent="0.2">
      <c r="A14456" t="s">
        <v>1522</v>
      </c>
    </row>
    <row r="14457" spans="1:1" x14ac:dyDescent="0.2">
      <c r="A14457" t="s">
        <v>1523</v>
      </c>
    </row>
    <row r="14458" spans="1:1" x14ac:dyDescent="0.2">
      <c r="A14458" t="s">
        <v>1524</v>
      </c>
    </row>
    <row r="14459" spans="1:1" x14ac:dyDescent="0.2">
      <c r="A14459" t="s">
        <v>1525</v>
      </c>
    </row>
    <row r="14460" spans="1:1" x14ac:dyDescent="0.2">
      <c r="A14460" t="s">
        <v>1526</v>
      </c>
    </row>
    <row r="14461" spans="1:1" x14ac:dyDescent="0.2">
      <c r="A14461" t="s">
        <v>1527</v>
      </c>
    </row>
    <row r="14462" spans="1:1" x14ac:dyDescent="0.2">
      <c r="A14462" t="s">
        <v>3252</v>
      </c>
    </row>
    <row r="14463" spans="1:1" x14ac:dyDescent="0.2">
      <c r="A14463" t="s">
        <v>3253</v>
      </c>
    </row>
    <row r="14464" spans="1:1" x14ac:dyDescent="0.2">
      <c r="A14464" t="s">
        <v>1530</v>
      </c>
    </row>
    <row r="14465" spans="1:1" x14ac:dyDescent="0.2">
      <c r="A14465" t="s">
        <v>3254</v>
      </c>
    </row>
    <row r="14466" spans="1:1" x14ac:dyDescent="0.2">
      <c r="A14466" t="s">
        <v>1532</v>
      </c>
    </row>
    <row r="14467" spans="1:1" x14ac:dyDescent="0.2">
      <c r="A14467" t="s">
        <v>1533</v>
      </c>
    </row>
    <row r="14468" spans="1:1" x14ac:dyDescent="0.2">
      <c r="A14468" t="s">
        <v>1576</v>
      </c>
    </row>
    <row r="14469" spans="1:1" x14ac:dyDescent="0.2">
      <c r="A14469" t="s">
        <v>1497</v>
      </c>
    </row>
    <row r="14470" spans="1:1" x14ac:dyDescent="0.2">
      <c r="A14470" t="s">
        <v>1498</v>
      </c>
    </row>
    <row r="14471" spans="1:1" x14ac:dyDescent="0.2">
      <c r="A14471" t="s">
        <v>3248</v>
      </c>
    </row>
    <row r="14472" spans="1:1" x14ac:dyDescent="0.2">
      <c r="A14472" t="s">
        <v>1500</v>
      </c>
    </row>
    <row r="14473" spans="1:1" x14ac:dyDescent="0.2">
      <c r="A14473" t="s">
        <v>3255</v>
      </c>
    </row>
    <row r="14474" spans="1:1" x14ac:dyDescent="0.2">
      <c r="A14474" t="s">
        <v>1502</v>
      </c>
    </row>
    <row r="14475" spans="1:1" x14ac:dyDescent="0.2">
      <c r="A14475" t="s">
        <v>1503</v>
      </c>
    </row>
    <row r="14476" spans="1:1" x14ac:dyDescent="0.2">
      <c r="A14476" t="s">
        <v>1504</v>
      </c>
    </row>
    <row r="14477" spans="1:1" x14ac:dyDescent="0.2">
      <c r="A14477" t="s">
        <v>1505</v>
      </c>
    </row>
    <row r="14478" spans="1:1" x14ac:dyDescent="0.2">
      <c r="A14478" t="s">
        <v>1506</v>
      </c>
    </row>
    <row r="14479" spans="1:1" x14ac:dyDescent="0.2">
      <c r="A14479" t="s">
        <v>1537</v>
      </c>
    </row>
    <row r="14480" spans="1:1" x14ac:dyDescent="0.2">
      <c r="A14480" t="s">
        <v>1538</v>
      </c>
    </row>
    <row r="14481" spans="1:1" x14ac:dyDescent="0.2">
      <c r="A14481" t="s">
        <v>1508</v>
      </c>
    </row>
    <row r="14482" spans="1:1" x14ac:dyDescent="0.2">
      <c r="A14482" t="s">
        <v>3250</v>
      </c>
    </row>
    <row r="14483" spans="1:1" x14ac:dyDescent="0.2">
      <c r="A14483" t="s">
        <v>3251</v>
      </c>
    </row>
    <row r="14484" spans="1:1" x14ac:dyDescent="0.2">
      <c r="A14484" t="s">
        <v>1511</v>
      </c>
    </row>
    <row r="14485" spans="1:1" x14ac:dyDescent="0.2">
      <c r="A14485" t="s">
        <v>1541</v>
      </c>
    </row>
    <row r="14486" spans="1:1" x14ac:dyDescent="0.2">
      <c r="A14486" t="s">
        <v>1513</v>
      </c>
    </row>
    <row r="14487" spans="1:1" x14ac:dyDescent="0.2">
      <c r="A14487" t="s">
        <v>1514</v>
      </c>
    </row>
    <row r="14488" spans="1:1" x14ac:dyDescent="0.2">
      <c r="A14488" t="s">
        <v>1515</v>
      </c>
    </row>
    <row r="14489" spans="1:1" x14ac:dyDescent="0.2">
      <c r="A14489" t="s">
        <v>1516</v>
      </c>
    </row>
    <row r="14490" spans="1:1" x14ac:dyDescent="0.2">
      <c r="A14490" t="s">
        <v>1517</v>
      </c>
    </row>
    <row r="14491" spans="1:1" x14ac:dyDescent="0.2">
      <c r="A14491" t="s">
        <v>1518</v>
      </c>
    </row>
    <row r="14492" spans="1:1" x14ac:dyDescent="0.2">
      <c r="A14492" t="s">
        <v>1519</v>
      </c>
    </row>
    <row r="14493" spans="1:1" x14ac:dyDescent="0.2">
      <c r="A14493" t="s">
        <v>1520</v>
      </c>
    </row>
    <row r="14494" spans="1:1" x14ac:dyDescent="0.2">
      <c r="A14494" t="s">
        <v>1521</v>
      </c>
    </row>
    <row r="14495" spans="1:1" x14ac:dyDescent="0.2">
      <c r="A14495" t="s">
        <v>1522</v>
      </c>
    </row>
    <row r="14496" spans="1:1" x14ac:dyDescent="0.2">
      <c r="A14496" t="s">
        <v>1523</v>
      </c>
    </row>
    <row r="14497" spans="1:1" x14ac:dyDescent="0.2">
      <c r="A14497" t="s">
        <v>1524</v>
      </c>
    </row>
    <row r="14498" spans="1:1" x14ac:dyDescent="0.2">
      <c r="A14498" t="s">
        <v>1525</v>
      </c>
    </row>
    <row r="14499" spans="1:1" x14ac:dyDescent="0.2">
      <c r="A14499" t="s">
        <v>1526</v>
      </c>
    </row>
    <row r="14500" spans="1:1" x14ac:dyDescent="0.2">
      <c r="A14500" t="s">
        <v>1527</v>
      </c>
    </row>
    <row r="14501" spans="1:1" x14ac:dyDescent="0.2">
      <c r="A14501" t="s">
        <v>1542</v>
      </c>
    </row>
    <row r="14502" spans="1:1" x14ac:dyDescent="0.2">
      <c r="A14502" t="s">
        <v>1543</v>
      </c>
    </row>
    <row r="14503" spans="1:1" x14ac:dyDescent="0.2">
      <c r="A14503" t="s">
        <v>1530</v>
      </c>
    </row>
    <row r="14504" spans="1:1" x14ac:dyDescent="0.2">
      <c r="A14504" t="s">
        <v>3254</v>
      </c>
    </row>
    <row r="14505" spans="1:1" x14ac:dyDescent="0.2">
      <c r="A14505" t="s">
        <v>1532</v>
      </c>
    </row>
    <row r="14506" spans="1:1" x14ac:dyDescent="0.2">
      <c r="A14506" t="s">
        <v>1533</v>
      </c>
    </row>
    <row r="14507" spans="1:1" x14ac:dyDescent="0.2">
      <c r="A14507" t="s">
        <v>1577</v>
      </c>
    </row>
    <row r="14508" spans="1:1" x14ac:dyDescent="0.2">
      <c r="A14508" t="s">
        <v>1497</v>
      </c>
    </row>
    <row r="14509" spans="1:1" x14ac:dyDescent="0.2">
      <c r="A14509" t="s">
        <v>1498</v>
      </c>
    </row>
    <row r="14510" spans="1:1" x14ac:dyDescent="0.2">
      <c r="A14510" t="s">
        <v>1499</v>
      </c>
    </row>
    <row r="14511" spans="1:1" x14ac:dyDescent="0.2">
      <c r="A14511" t="s">
        <v>1500</v>
      </c>
    </row>
    <row r="14512" spans="1:1" x14ac:dyDescent="0.2">
      <c r="A14512" t="s">
        <v>1501</v>
      </c>
    </row>
    <row r="14513" spans="1:1" x14ac:dyDescent="0.2">
      <c r="A14513" t="s">
        <v>1502</v>
      </c>
    </row>
    <row r="14514" spans="1:1" x14ac:dyDescent="0.2">
      <c r="A14514" t="s">
        <v>1503</v>
      </c>
    </row>
    <row r="14515" spans="1:1" x14ac:dyDescent="0.2">
      <c r="A14515" t="s">
        <v>1504</v>
      </c>
    </row>
    <row r="14516" spans="1:1" x14ac:dyDescent="0.2">
      <c r="A14516" t="s">
        <v>1505</v>
      </c>
    </row>
    <row r="14517" spans="1:1" x14ac:dyDescent="0.2">
      <c r="A14517" t="s">
        <v>1506</v>
      </c>
    </row>
    <row r="14518" spans="1:1" x14ac:dyDescent="0.2">
      <c r="A14518" t="s">
        <v>3093</v>
      </c>
    </row>
    <row r="14519" spans="1:1" x14ac:dyDescent="0.2">
      <c r="A14519" t="s">
        <v>1507</v>
      </c>
    </row>
    <row r="14520" spans="1:1" x14ac:dyDescent="0.2">
      <c r="A14520" t="s">
        <v>1508</v>
      </c>
    </row>
    <row r="14521" spans="1:1" x14ac:dyDescent="0.2">
      <c r="A14521" t="s">
        <v>1509</v>
      </c>
    </row>
    <row r="14522" spans="1:1" x14ac:dyDescent="0.2">
      <c r="A14522" t="s">
        <v>1510</v>
      </c>
    </row>
    <row r="14523" spans="1:1" x14ac:dyDescent="0.2">
      <c r="A14523" t="s">
        <v>1511</v>
      </c>
    </row>
    <row r="14524" spans="1:1" x14ac:dyDescent="0.2">
      <c r="A14524" t="s">
        <v>1512</v>
      </c>
    </row>
    <row r="14525" spans="1:1" x14ac:dyDescent="0.2">
      <c r="A14525" t="s">
        <v>1513</v>
      </c>
    </row>
    <row r="14526" spans="1:1" x14ac:dyDescent="0.2">
      <c r="A14526" t="s">
        <v>1514</v>
      </c>
    </row>
    <row r="14527" spans="1:1" x14ac:dyDescent="0.2">
      <c r="A14527" t="s">
        <v>1515</v>
      </c>
    </row>
    <row r="14528" spans="1:1" x14ac:dyDescent="0.2">
      <c r="A14528" t="s">
        <v>1516</v>
      </c>
    </row>
    <row r="14529" spans="1:1" x14ac:dyDescent="0.2">
      <c r="A14529" t="s">
        <v>1517</v>
      </c>
    </row>
    <row r="14530" spans="1:1" x14ac:dyDescent="0.2">
      <c r="A14530" t="s">
        <v>1518</v>
      </c>
    </row>
    <row r="14531" spans="1:1" x14ac:dyDescent="0.2">
      <c r="A14531" t="s">
        <v>1519</v>
      </c>
    </row>
    <row r="14532" spans="1:1" x14ac:dyDescent="0.2">
      <c r="A14532" t="s">
        <v>1520</v>
      </c>
    </row>
    <row r="14533" spans="1:1" x14ac:dyDescent="0.2">
      <c r="A14533" t="s">
        <v>1521</v>
      </c>
    </row>
    <row r="14534" spans="1:1" x14ac:dyDescent="0.2">
      <c r="A14534" t="s">
        <v>1522</v>
      </c>
    </row>
    <row r="14535" spans="1:1" x14ac:dyDescent="0.2">
      <c r="A14535" t="s">
        <v>1523</v>
      </c>
    </row>
    <row r="14536" spans="1:1" x14ac:dyDescent="0.2">
      <c r="A14536" t="s">
        <v>1524</v>
      </c>
    </row>
    <row r="14537" spans="1:1" x14ac:dyDescent="0.2">
      <c r="A14537" t="s">
        <v>1525</v>
      </c>
    </row>
    <row r="14538" spans="1:1" x14ac:dyDescent="0.2">
      <c r="A14538" t="s">
        <v>1526</v>
      </c>
    </row>
    <row r="14539" spans="1:1" x14ac:dyDescent="0.2">
      <c r="A14539" t="s">
        <v>1527</v>
      </c>
    </row>
    <row r="14540" spans="1:1" x14ac:dyDescent="0.2">
      <c r="A14540" t="s">
        <v>1528</v>
      </c>
    </row>
    <row r="14541" spans="1:1" x14ac:dyDescent="0.2">
      <c r="A14541" t="s">
        <v>1529</v>
      </c>
    </row>
    <row r="14542" spans="1:1" x14ac:dyDescent="0.2">
      <c r="A14542" t="s">
        <v>1530</v>
      </c>
    </row>
    <row r="14543" spans="1:1" x14ac:dyDescent="0.2">
      <c r="A14543" t="s">
        <v>1531</v>
      </c>
    </row>
    <row r="14544" spans="1:1" x14ac:dyDescent="0.2">
      <c r="A14544" t="s">
        <v>1532</v>
      </c>
    </row>
    <row r="14545" spans="1:1" x14ac:dyDescent="0.2">
      <c r="A14545" t="s">
        <v>1533</v>
      </c>
    </row>
    <row r="14546" spans="1:1" x14ac:dyDescent="0.2">
      <c r="A14546" t="s">
        <v>1578</v>
      </c>
    </row>
    <row r="14547" spans="1:1" x14ac:dyDescent="0.2">
      <c r="A14547" t="s">
        <v>1497</v>
      </c>
    </row>
    <row r="14548" spans="1:1" x14ac:dyDescent="0.2">
      <c r="A14548" t="s">
        <v>1498</v>
      </c>
    </row>
    <row r="14549" spans="1:1" x14ac:dyDescent="0.2">
      <c r="A14549" t="s">
        <v>3256</v>
      </c>
    </row>
    <row r="14550" spans="1:1" x14ac:dyDescent="0.2">
      <c r="A14550" t="s">
        <v>1500</v>
      </c>
    </row>
    <row r="14551" spans="1:1" x14ac:dyDescent="0.2">
      <c r="A14551" t="s">
        <v>3257</v>
      </c>
    </row>
    <row r="14552" spans="1:1" x14ac:dyDescent="0.2">
      <c r="A14552" t="s">
        <v>1502</v>
      </c>
    </row>
    <row r="14553" spans="1:1" x14ac:dyDescent="0.2">
      <c r="A14553" t="s">
        <v>1503</v>
      </c>
    </row>
    <row r="14554" spans="1:1" x14ac:dyDescent="0.2">
      <c r="A14554" t="s">
        <v>1504</v>
      </c>
    </row>
    <row r="14555" spans="1:1" x14ac:dyDescent="0.2">
      <c r="A14555" t="s">
        <v>1505</v>
      </c>
    </row>
    <row r="14556" spans="1:1" x14ac:dyDescent="0.2">
      <c r="A14556" t="s">
        <v>1545</v>
      </c>
    </row>
    <row r="14557" spans="1:1" x14ac:dyDescent="0.2">
      <c r="A14557" t="s">
        <v>1537</v>
      </c>
    </row>
    <row r="14558" spans="1:1" x14ac:dyDescent="0.2">
      <c r="A14558" t="s">
        <v>1538</v>
      </c>
    </row>
    <row r="14559" spans="1:1" x14ac:dyDescent="0.2">
      <c r="A14559" t="s">
        <v>1508</v>
      </c>
    </row>
    <row r="14560" spans="1:1" x14ac:dyDescent="0.2">
      <c r="A14560" t="s">
        <v>3258</v>
      </c>
    </row>
    <row r="14561" spans="1:1" x14ac:dyDescent="0.2">
      <c r="A14561" t="s">
        <v>3259</v>
      </c>
    </row>
    <row r="14562" spans="1:1" x14ac:dyDescent="0.2">
      <c r="A14562" t="s">
        <v>1511</v>
      </c>
    </row>
    <row r="14563" spans="1:1" x14ac:dyDescent="0.2">
      <c r="A14563" t="s">
        <v>1541</v>
      </c>
    </row>
    <row r="14564" spans="1:1" x14ac:dyDescent="0.2">
      <c r="A14564" t="s">
        <v>1513</v>
      </c>
    </row>
    <row r="14565" spans="1:1" x14ac:dyDescent="0.2">
      <c r="A14565" t="s">
        <v>1514</v>
      </c>
    </row>
    <row r="14566" spans="1:1" x14ac:dyDescent="0.2">
      <c r="A14566" t="s">
        <v>1515</v>
      </c>
    </row>
    <row r="14567" spans="1:1" x14ac:dyDescent="0.2">
      <c r="A14567" t="s">
        <v>1516</v>
      </c>
    </row>
    <row r="14568" spans="1:1" x14ac:dyDescent="0.2">
      <c r="A14568" t="s">
        <v>1517</v>
      </c>
    </row>
    <row r="14569" spans="1:1" x14ac:dyDescent="0.2">
      <c r="A14569" t="s">
        <v>1518</v>
      </c>
    </row>
    <row r="14570" spans="1:1" x14ac:dyDescent="0.2">
      <c r="A14570" t="s">
        <v>1519</v>
      </c>
    </row>
    <row r="14571" spans="1:1" x14ac:dyDescent="0.2">
      <c r="A14571" t="s">
        <v>1520</v>
      </c>
    </row>
    <row r="14572" spans="1:1" x14ac:dyDescent="0.2">
      <c r="A14572" t="s">
        <v>1521</v>
      </c>
    </row>
    <row r="14573" spans="1:1" x14ac:dyDescent="0.2">
      <c r="A14573" t="s">
        <v>1522</v>
      </c>
    </row>
    <row r="14574" spans="1:1" x14ac:dyDescent="0.2">
      <c r="A14574" t="s">
        <v>1523</v>
      </c>
    </row>
    <row r="14575" spans="1:1" x14ac:dyDescent="0.2">
      <c r="A14575" t="s">
        <v>1524</v>
      </c>
    </row>
    <row r="14576" spans="1:1" x14ac:dyDescent="0.2">
      <c r="A14576" t="s">
        <v>1525</v>
      </c>
    </row>
    <row r="14577" spans="1:1" x14ac:dyDescent="0.2">
      <c r="A14577" t="s">
        <v>1526</v>
      </c>
    </row>
    <row r="14578" spans="1:1" x14ac:dyDescent="0.2">
      <c r="A14578" t="s">
        <v>1527</v>
      </c>
    </row>
    <row r="14579" spans="1:1" x14ac:dyDescent="0.2">
      <c r="A14579" t="s">
        <v>1528</v>
      </c>
    </row>
    <row r="14580" spans="1:1" x14ac:dyDescent="0.2">
      <c r="A14580" t="s">
        <v>1529</v>
      </c>
    </row>
    <row r="14581" spans="1:1" x14ac:dyDescent="0.2">
      <c r="A14581" t="s">
        <v>1530</v>
      </c>
    </row>
    <row r="14582" spans="1:1" x14ac:dyDescent="0.2">
      <c r="A14582" t="s">
        <v>3260</v>
      </c>
    </row>
    <row r="14583" spans="1:1" x14ac:dyDescent="0.2">
      <c r="A14583" t="s">
        <v>1532</v>
      </c>
    </row>
    <row r="14584" spans="1:1" x14ac:dyDescent="0.2">
      <c r="A14584" t="s">
        <v>1533</v>
      </c>
    </row>
    <row r="14585" spans="1:1" x14ac:dyDescent="0.2">
      <c r="A14585" t="s">
        <v>1579</v>
      </c>
    </row>
    <row r="14586" spans="1:1" x14ac:dyDescent="0.2">
      <c r="A14586" t="s">
        <v>1497</v>
      </c>
    </row>
    <row r="14587" spans="1:1" x14ac:dyDescent="0.2">
      <c r="A14587" t="s">
        <v>1498</v>
      </c>
    </row>
    <row r="14588" spans="1:1" x14ac:dyDescent="0.2">
      <c r="A14588" t="s">
        <v>3256</v>
      </c>
    </row>
    <row r="14589" spans="1:1" x14ac:dyDescent="0.2">
      <c r="A14589" t="s">
        <v>1500</v>
      </c>
    </row>
    <row r="14590" spans="1:1" x14ac:dyDescent="0.2">
      <c r="A14590" t="s">
        <v>3261</v>
      </c>
    </row>
    <row r="14591" spans="1:1" x14ac:dyDescent="0.2">
      <c r="A14591" t="s">
        <v>1502</v>
      </c>
    </row>
    <row r="14592" spans="1:1" x14ac:dyDescent="0.2">
      <c r="A14592" t="s">
        <v>1503</v>
      </c>
    </row>
    <row r="14593" spans="1:1" x14ac:dyDescent="0.2">
      <c r="A14593" t="s">
        <v>1504</v>
      </c>
    </row>
    <row r="14594" spans="1:1" x14ac:dyDescent="0.2">
      <c r="A14594" t="s">
        <v>1505</v>
      </c>
    </row>
    <row r="14595" spans="1:1" x14ac:dyDescent="0.2">
      <c r="A14595" t="s">
        <v>1536</v>
      </c>
    </row>
    <row r="14596" spans="1:1" x14ac:dyDescent="0.2">
      <c r="A14596" t="s">
        <v>1537</v>
      </c>
    </row>
    <row r="14597" spans="1:1" x14ac:dyDescent="0.2">
      <c r="A14597" t="s">
        <v>1538</v>
      </c>
    </row>
    <row r="14598" spans="1:1" x14ac:dyDescent="0.2">
      <c r="A14598" t="s">
        <v>1508</v>
      </c>
    </row>
    <row r="14599" spans="1:1" x14ac:dyDescent="0.2">
      <c r="A14599" t="s">
        <v>3258</v>
      </c>
    </row>
    <row r="14600" spans="1:1" x14ac:dyDescent="0.2">
      <c r="A14600" t="s">
        <v>3259</v>
      </c>
    </row>
    <row r="14601" spans="1:1" x14ac:dyDescent="0.2">
      <c r="A14601" t="s">
        <v>1511</v>
      </c>
    </row>
    <row r="14602" spans="1:1" x14ac:dyDescent="0.2">
      <c r="A14602" t="s">
        <v>1541</v>
      </c>
    </row>
    <row r="14603" spans="1:1" x14ac:dyDescent="0.2">
      <c r="A14603" t="s">
        <v>1513</v>
      </c>
    </row>
    <row r="14604" spans="1:1" x14ac:dyDescent="0.2">
      <c r="A14604" t="s">
        <v>1514</v>
      </c>
    </row>
    <row r="14605" spans="1:1" x14ac:dyDescent="0.2">
      <c r="A14605" t="s">
        <v>1515</v>
      </c>
    </row>
    <row r="14606" spans="1:1" x14ac:dyDescent="0.2">
      <c r="A14606" t="s">
        <v>1516</v>
      </c>
    </row>
    <row r="14607" spans="1:1" x14ac:dyDescent="0.2">
      <c r="A14607" t="s">
        <v>1517</v>
      </c>
    </row>
    <row r="14608" spans="1:1" x14ac:dyDescent="0.2">
      <c r="A14608" t="s">
        <v>1518</v>
      </c>
    </row>
    <row r="14609" spans="1:1" x14ac:dyDescent="0.2">
      <c r="A14609" t="s">
        <v>1519</v>
      </c>
    </row>
    <row r="14610" spans="1:1" x14ac:dyDescent="0.2">
      <c r="A14610" t="s">
        <v>1520</v>
      </c>
    </row>
    <row r="14611" spans="1:1" x14ac:dyDescent="0.2">
      <c r="A14611" t="s">
        <v>1521</v>
      </c>
    </row>
    <row r="14612" spans="1:1" x14ac:dyDescent="0.2">
      <c r="A14612" t="s">
        <v>1522</v>
      </c>
    </row>
    <row r="14613" spans="1:1" x14ac:dyDescent="0.2">
      <c r="A14613" t="s">
        <v>1523</v>
      </c>
    </row>
    <row r="14614" spans="1:1" x14ac:dyDescent="0.2">
      <c r="A14614" t="s">
        <v>1524</v>
      </c>
    </row>
    <row r="14615" spans="1:1" x14ac:dyDescent="0.2">
      <c r="A14615" t="s">
        <v>1525</v>
      </c>
    </row>
    <row r="14616" spans="1:1" x14ac:dyDescent="0.2">
      <c r="A14616" t="s">
        <v>1526</v>
      </c>
    </row>
    <row r="14617" spans="1:1" x14ac:dyDescent="0.2">
      <c r="A14617" t="s">
        <v>1527</v>
      </c>
    </row>
    <row r="14618" spans="1:1" x14ac:dyDescent="0.2">
      <c r="A14618" t="s">
        <v>1528</v>
      </c>
    </row>
    <row r="14619" spans="1:1" x14ac:dyDescent="0.2">
      <c r="A14619" t="s">
        <v>1529</v>
      </c>
    </row>
    <row r="14620" spans="1:1" x14ac:dyDescent="0.2">
      <c r="A14620" t="s">
        <v>1530</v>
      </c>
    </row>
    <row r="14621" spans="1:1" x14ac:dyDescent="0.2">
      <c r="A14621" t="s">
        <v>3260</v>
      </c>
    </row>
    <row r="14622" spans="1:1" x14ac:dyDescent="0.2">
      <c r="A14622" t="s">
        <v>1532</v>
      </c>
    </row>
    <row r="14623" spans="1:1" x14ac:dyDescent="0.2">
      <c r="A14623" t="s">
        <v>1533</v>
      </c>
    </row>
    <row r="14624" spans="1:1" x14ac:dyDescent="0.2">
      <c r="A14624" t="s">
        <v>3262</v>
      </c>
    </row>
    <row r="14625" spans="1:1" x14ac:dyDescent="0.2">
      <c r="A14625" t="s">
        <v>1497</v>
      </c>
    </row>
    <row r="14626" spans="1:1" x14ac:dyDescent="0.2">
      <c r="A14626" t="s">
        <v>1498</v>
      </c>
    </row>
    <row r="14627" spans="1:1" x14ac:dyDescent="0.2">
      <c r="A14627" t="s">
        <v>1499</v>
      </c>
    </row>
    <row r="14628" spans="1:1" x14ac:dyDescent="0.2">
      <c r="A14628" t="s">
        <v>1500</v>
      </c>
    </row>
    <row r="14629" spans="1:1" x14ac:dyDescent="0.2">
      <c r="A14629" t="s">
        <v>1501</v>
      </c>
    </row>
    <row r="14630" spans="1:1" x14ac:dyDescent="0.2">
      <c r="A14630" t="s">
        <v>1502</v>
      </c>
    </row>
    <row r="14631" spans="1:1" x14ac:dyDescent="0.2">
      <c r="A14631" t="s">
        <v>1503</v>
      </c>
    </row>
    <row r="14632" spans="1:1" x14ac:dyDescent="0.2">
      <c r="A14632" t="s">
        <v>1504</v>
      </c>
    </row>
    <row r="14633" spans="1:1" x14ac:dyDescent="0.2">
      <c r="A14633" t="s">
        <v>1505</v>
      </c>
    </row>
    <row r="14634" spans="1:1" x14ac:dyDescent="0.2">
      <c r="A14634" t="s">
        <v>1506</v>
      </c>
    </row>
    <row r="14635" spans="1:1" x14ac:dyDescent="0.2">
      <c r="A14635" t="s">
        <v>3093</v>
      </c>
    </row>
    <row r="14636" spans="1:1" x14ac:dyDescent="0.2">
      <c r="A14636" t="s">
        <v>1507</v>
      </c>
    </row>
    <row r="14637" spans="1:1" x14ac:dyDescent="0.2">
      <c r="A14637" t="s">
        <v>1508</v>
      </c>
    </row>
    <row r="14638" spans="1:1" x14ac:dyDescent="0.2">
      <c r="A14638" t="s">
        <v>1509</v>
      </c>
    </row>
    <row r="14639" spans="1:1" x14ac:dyDescent="0.2">
      <c r="A14639" t="s">
        <v>1510</v>
      </c>
    </row>
    <row r="14640" spans="1:1" x14ac:dyDescent="0.2">
      <c r="A14640" t="s">
        <v>1511</v>
      </c>
    </row>
    <row r="14641" spans="1:1" x14ac:dyDescent="0.2">
      <c r="A14641" t="s">
        <v>1512</v>
      </c>
    </row>
    <row r="14642" spans="1:1" x14ac:dyDescent="0.2">
      <c r="A14642" t="s">
        <v>1513</v>
      </c>
    </row>
    <row r="14643" spans="1:1" x14ac:dyDescent="0.2">
      <c r="A14643" t="s">
        <v>1514</v>
      </c>
    </row>
    <row r="14644" spans="1:1" x14ac:dyDescent="0.2">
      <c r="A14644" t="s">
        <v>1515</v>
      </c>
    </row>
    <row r="14645" spans="1:1" x14ac:dyDescent="0.2">
      <c r="A14645" t="s">
        <v>1516</v>
      </c>
    </row>
    <row r="14646" spans="1:1" x14ac:dyDescent="0.2">
      <c r="A14646" t="s">
        <v>1517</v>
      </c>
    </row>
    <row r="14647" spans="1:1" x14ac:dyDescent="0.2">
      <c r="A14647" t="s">
        <v>1518</v>
      </c>
    </row>
    <row r="14648" spans="1:1" x14ac:dyDescent="0.2">
      <c r="A14648" t="s">
        <v>1519</v>
      </c>
    </row>
    <row r="14649" spans="1:1" x14ac:dyDescent="0.2">
      <c r="A14649" t="s">
        <v>1520</v>
      </c>
    </row>
    <row r="14650" spans="1:1" x14ac:dyDescent="0.2">
      <c r="A14650" t="s">
        <v>1521</v>
      </c>
    </row>
    <row r="14651" spans="1:1" x14ac:dyDescent="0.2">
      <c r="A14651" t="s">
        <v>1522</v>
      </c>
    </row>
    <row r="14652" spans="1:1" x14ac:dyDescent="0.2">
      <c r="A14652" t="s">
        <v>1523</v>
      </c>
    </row>
    <row r="14653" spans="1:1" x14ac:dyDescent="0.2">
      <c r="A14653" t="s">
        <v>1524</v>
      </c>
    </row>
    <row r="14654" spans="1:1" x14ac:dyDescent="0.2">
      <c r="A14654" t="s">
        <v>1525</v>
      </c>
    </row>
    <row r="14655" spans="1:1" x14ac:dyDescent="0.2">
      <c r="A14655" t="s">
        <v>1526</v>
      </c>
    </row>
    <row r="14656" spans="1:1" x14ac:dyDescent="0.2">
      <c r="A14656" t="s">
        <v>1527</v>
      </c>
    </row>
    <row r="14657" spans="1:1" x14ac:dyDescent="0.2">
      <c r="A14657" t="s">
        <v>1528</v>
      </c>
    </row>
    <row r="14658" spans="1:1" x14ac:dyDescent="0.2">
      <c r="A14658" t="s">
        <v>1529</v>
      </c>
    </row>
    <row r="14659" spans="1:1" x14ac:dyDescent="0.2">
      <c r="A14659" t="s">
        <v>1530</v>
      </c>
    </row>
    <row r="14660" spans="1:1" x14ac:dyDescent="0.2">
      <c r="A14660" t="s">
        <v>1531</v>
      </c>
    </row>
    <row r="14661" spans="1:1" x14ac:dyDescent="0.2">
      <c r="A14661" t="s">
        <v>1532</v>
      </c>
    </row>
    <row r="14662" spans="1:1" x14ac:dyDescent="0.2">
      <c r="A14662" t="s">
        <v>1533</v>
      </c>
    </row>
    <row r="14663" spans="1:1" x14ac:dyDescent="0.2">
      <c r="A14663" t="s">
        <v>3263</v>
      </c>
    </row>
    <row r="14664" spans="1:1" x14ac:dyDescent="0.2">
      <c r="A14664" t="s">
        <v>1497</v>
      </c>
    </row>
    <row r="14665" spans="1:1" x14ac:dyDescent="0.2">
      <c r="A14665" t="s">
        <v>1498</v>
      </c>
    </row>
    <row r="14666" spans="1:1" x14ac:dyDescent="0.2">
      <c r="A14666" t="s">
        <v>3256</v>
      </c>
    </row>
    <row r="14667" spans="1:1" x14ac:dyDescent="0.2">
      <c r="A14667" t="s">
        <v>1500</v>
      </c>
    </row>
    <row r="14668" spans="1:1" x14ac:dyDescent="0.2">
      <c r="A14668" t="s">
        <v>3264</v>
      </c>
    </row>
    <row r="14669" spans="1:1" x14ac:dyDescent="0.2">
      <c r="A14669" t="s">
        <v>1502</v>
      </c>
    </row>
    <row r="14670" spans="1:1" x14ac:dyDescent="0.2">
      <c r="A14670" t="s">
        <v>1503</v>
      </c>
    </row>
    <row r="14671" spans="1:1" x14ac:dyDescent="0.2">
      <c r="A14671" t="s">
        <v>1504</v>
      </c>
    </row>
    <row r="14672" spans="1:1" x14ac:dyDescent="0.2">
      <c r="A14672" t="s">
        <v>1505</v>
      </c>
    </row>
    <row r="14673" spans="1:1" x14ac:dyDescent="0.2">
      <c r="A14673" t="s">
        <v>1506</v>
      </c>
    </row>
    <row r="14674" spans="1:1" x14ac:dyDescent="0.2">
      <c r="A14674" t="s">
        <v>1537</v>
      </c>
    </row>
    <row r="14675" spans="1:1" x14ac:dyDescent="0.2">
      <c r="A14675" t="s">
        <v>1538</v>
      </c>
    </row>
    <row r="14676" spans="1:1" x14ac:dyDescent="0.2">
      <c r="A14676" t="s">
        <v>1508</v>
      </c>
    </row>
    <row r="14677" spans="1:1" x14ac:dyDescent="0.2">
      <c r="A14677" t="s">
        <v>3258</v>
      </c>
    </row>
    <row r="14678" spans="1:1" x14ac:dyDescent="0.2">
      <c r="A14678" t="s">
        <v>3259</v>
      </c>
    </row>
    <row r="14679" spans="1:1" x14ac:dyDescent="0.2">
      <c r="A14679" t="s">
        <v>1511</v>
      </c>
    </row>
    <row r="14680" spans="1:1" x14ac:dyDescent="0.2">
      <c r="A14680" t="s">
        <v>1541</v>
      </c>
    </row>
    <row r="14681" spans="1:1" x14ac:dyDescent="0.2">
      <c r="A14681" t="s">
        <v>1513</v>
      </c>
    </row>
    <row r="14682" spans="1:1" x14ac:dyDescent="0.2">
      <c r="A14682" t="s">
        <v>1514</v>
      </c>
    </row>
    <row r="14683" spans="1:1" x14ac:dyDescent="0.2">
      <c r="A14683" t="s">
        <v>1515</v>
      </c>
    </row>
    <row r="14684" spans="1:1" x14ac:dyDescent="0.2">
      <c r="A14684" t="s">
        <v>1516</v>
      </c>
    </row>
    <row r="14685" spans="1:1" x14ac:dyDescent="0.2">
      <c r="A14685" t="s">
        <v>1517</v>
      </c>
    </row>
    <row r="14686" spans="1:1" x14ac:dyDescent="0.2">
      <c r="A14686" t="s">
        <v>1518</v>
      </c>
    </row>
    <row r="14687" spans="1:1" x14ac:dyDescent="0.2">
      <c r="A14687" t="s">
        <v>1519</v>
      </c>
    </row>
    <row r="14688" spans="1:1" x14ac:dyDescent="0.2">
      <c r="A14688" t="s">
        <v>1520</v>
      </c>
    </row>
    <row r="14689" spans="1:1" x14ac:dyDescent="0.2">
      <c r="A14689" t="s">
        <v>1521</v>
      </c>
    </row>
    <row r="14690" spans="1:1" x14ac:dyDescent="0.2">
      <c r="A14690" t="s">
        <v>1522</v>
      </c>
    </row>
    <row r="14691" spans="1:1" x14ac:dyDescent="0.2">
      <c r="A14691" t="s">
        <v>1523</v>
      </c>
    </row>
    <row r="14692" spans="1:1" x14ac:dyDescent="0.2">
      <c r="A14692" t="s">
        <v>1524</v>
      </c>
    </row>
    <row r="14693" spans="1:1" x14ac:dyDescent="0.2">
      <c r="A14693" t="s">
        <v>1525</v>
      </c>
    </row>
    <row r="14694" spans="1:1" x14ac:dyDescent="0.2">
      <c r="A14694" t="s">
        <v>1526</v>
      </c>
    </row>
    <row r="14695" spans="1:1" x14ac:dyDescent="0.2">
      <c r="A14695" t="s">
        <v>1527</v>
      </c>
    </row>
    <row r="14696" spans="1:1" x14ac:dyDescent="0.2">
      <c r="A14696" t="s">
        <v>1528</v>
      </c>
    </row>
    <row r="14697" spans="1:1" x14ac:dyDescent="0.2">
      <c r="A14697" t="s">
        <v>1529</v>
      </c>
    </row>
    <row r="14698" spans="1:1" x14ac:dyDescent="0.2">
      <c r="A14698" t="s">
        <v>3265</v>
      </c>
    </row>
    <row r="14699" spans="1:1" x14ac:dyDescent="0.2">
      <c r="A14699" t="s">
        <v>3260</v>
      </c>
    </row>
    <row r="14700" spans="1:1" x14ac:dyDescent="0.2">
      <c r="A14700" t="s">
        <v>1532</v>
      </c>
    </row>
    <row r="14701" spans="1:1" x14ac:dyDescent="0.2">
      <c r="A14701" t="s">
        <v>1533</v>
      </c>
    </row>
    <row r="14702" spans="1:1" x14ac:dyDescent="0.2">
      <c r="A14702" t="s">
        <v>3266</v>
      </c>
    </row>
    <row r="14703" spans="1:1" x14ac:dyDescent="0.2">
      <c r="A14703" t="s">
        <v>1497</v>
      </c>
    </row>
    <row r="14704" spans="1:1" x14ac:dyDescent="0.2">
      <c r="A14704" t="s">
        <v>1498</v>
      </c>
    </row>
    <row r="14705" spans="1:1" x14ac:dyDescent="0.2">
      <c r="A14705" t="s">
        <v>1499</v>
      </c>
    </row>
    <row r="14706" spans="1:1" x14ac:dyDescent="0.2">
      <c r="A14706" t="s">
        <v>1500</v>
      </c>
    </row>
    <row r="14707" spans="1:1" x14ac:dyDescent="0.2">
      <c r="A14707" t="s">
        <v>1501</v>
      </c>
    </row>
    <row r="14708" spans="1:1" x14ac:dyDescent="0.2">
      <c r="A14708" t="s">
        <v>1502</v>
      </c>
    </row>
    <row r="14709" spans="1:1" x14ac:dyDescent="0.2">
      <c r="A14709" t="s">
        <v>1503</v>
      </c>
    </row>
    <row r="14710" spans="1:1" x14ac:dyDescent="0.2">
      <c r="A14710" t="s">
        <v>1504</v>
      </c>
    </row>
    <row r="14711" spans="1:1" x14ac:dyDescent="0.2">
      <c r="A14711" t="s">
        <v>1505</v>
      </c>
    </row>
    <row r="14712" spans="1:1" x14ac:dyDescent="0.2">
      <c r="A14712" t="s">
        <v>1506</v>
      </c>
    </row>
    <row r="14713" spans="1:1" x14ac:dyDescent="0.2">
      <c r="A14713" t="s">
        <v>3093</v>
      </c>
    </row>
    <row r="14714" spans="1:1" x14ac:dyDescent="0.2">
      <c r="A14714" t="s">
        <v>1507</v>
      </c>
    </row>
    <row r="14715" spans="1:1" x14ac:dyDescent="0.2">
      <c r="A14715" t="s">
        <v>1508</v>
      </c>
    </row>
    <row r="14716" spans="1:1" x14ac:dyDescent="0.2">
      <c r="A14716" t="s">
        <v>1509</v>
      </c>
    </row>
    <row r="14717" spans="1:1" x14ac:dyDescent="0.2">
      <c r="A14717" t="s">
        <v>1510</v>
      </c>
    </row>
    <row r="14718" spans="1:1" x14ac:dyDescent="0.2">
      <c r="A14718" t="s">
        <v>1511</v>
      </c>
    </row>
    <row r="14719" spans="1:1" x14ac:dyDescent="0.2">
      <c r="A14719" t="s">
        <v>1512</v>
      </c>
    </row>
    <row r="14720" spans="1:1" x14ac:dyDescent="0.2">
      <c r="A14720" t="s">
        <v>1513</v>
      </c>
    </row>
    <row r="14721" spans="1:1" x14ac:dyDescent="0.2">
      <c r="A14721" t="s">
        <v>1514</v>
      </c>
    </row>
    <row r="14722" spans="1:1" x14ac:dyDescent="0.2">
      <c r="A14722" t="s">
        <v>1515</v>
      </c>
    </row>
    <row r="14723" spans="1:1" x14ac:dyDescent="0.2">
      <c r="A14723" t="s">
        <v>1516</v>
      </c>
    </row>
    <row r="14724" spans="1:1" x14ac:dyDescent="0.2">
      <c r="A14724" t="s">
        <v>1517</v>
      </c>
    </row>
    <row r="14725" spans="1:1" x14ac:dyDescent="0.2">
      <c r="A14725" t="s">
        <v>1518</v>
      </c>
    </row>
    <row r="14726" spans="1:1" x14ac:dyDescent="0.2">
      <c r="A14726" t="s">
        <v>1519</v>
      </c>
    </row>
    <row r="14727" spans="1:1" x14ac:dyDescent="0.2">
      <c r="A14727" t="s">
        <v>1520</v>
      </c>
    </row>
    <row r="14728" spans="1:1" x14ac:dyDescent="0.2">
      <c r="A14728" t="s">
        <v>1521</v>
      </c>
    </row>
    <row r="14729" spans="1:1" x14ac:dyDescent="0.2">
      <c r="A14729" t="s">
        <v>1522</v>
      </c>
    </row>
    <row r="14730" spans="1:1" x14ac:dyDescent="0.2">
      <c r="A14730" t="s">
        <v>1523</v>
      </c>
    </row>
    <row r="14731" spans="1:1" x14ac:dyDescent="0.2">
      <c r="A14731" t="s">
        <v>1524</v>
      </c>
    </row>
    <row r="14732" spans="1:1" x14ac:dyDescent="0.2">
      <c r="A14732" t="s">
        <v>1525</v>
      </c>
    </row>
    <row r="14733" spans="1:1" x14ac:dyDescent="0.2">
      <c r="A14733" t="s">
        <v>1526</v>
      </c>
    </row>
    <row r="14734" spans="1:1" x14ac:dyDescent="0.2">
      <c r="A14734" t="s">
        <v>1527</v>
      </c>
    </row>
    <row r="14735" spans="1:1" x14ac:dyDescent="0.2">
      <c r="A14735" t="s">
        <v>1528</v>
      </c>
    </row>
    <row r="14736" spans="1:1" x14ac:dyDescent="0.2">
      <c r="A14736" t="s">
        <v>1529</v>
      </c>
    </row>
    <row r="14737" spans="1:1" x14ac:dyDescent="0.2">
      <c r="A14737" t="s">
        <v>1530</v>
      </c>
    </row>
    <row r="14738" spans="1:1" x14ac:dyDescent="0.2">
      <c r="A14738" t="s">
        <v>1531</v>
      </c>
    </row>
    <row r="14739" spans="1:1" x14ac:dyDescent="0.2">
      <c r="A14739" t="s">
        <v>1532</v>
      </c>
    </row>
    <row r="14740" spans="1:1" x14ac:dyDescent="0.2">
      <c r="A14740" t="s">
        <v>1533</v>
      </c>
    </row>
    <row r="14741" spans="1:1" x14ac:dyDescent="0.2">
      <c r="A14741" t="s">
        <v>3267</v>
      </c>
    </row>
    <row r="14742" spans="1:1" x14ac:dyDescent="0.2">
      <c r="A14742" t="s">
        <v>1497</v>
      </c>
    </row>
    <row r="14743" spans="1:1" x14ac:dyDescent="0.2">
      <c r="A14743" t="s">
        <v>1498</v>
      </c>
    </row>
    <row r="14744" spans="1:1" x14ac:dyDescent="0.2">
      <c r="A14744" t="s">
        <v>3268</v>
      </c>
    </row>
    <row r="14745" spans="1:1" x14ac:dyDescent="0.2">
      <c r="A14745" t="s">
        <v>1500</v>
      </c>
    </row>
    <row r="14746" spans="1:1" x14ac:dyDescent="0.2">
      <c r="A14746" t="s">
        <v>3264</v>
      </c>
    </row>
    <row r="14747" spans="1:1" x14ac:dyDescent="0.2">
      <c r="A14747" t="s">
        <v>1502</v>
      </c>
    </row>
    <row r="14748" spans="1:1" x14ac:dyDescent="0.2">
      <c r="A14748" t="s">
        <v>1503</v>
      </c>
    </row>
    <row r="14749" spans="1:1" x14ac:dyDescent="0.2">
      <c r="A14749" t="s">
        <v>1504</v>
      </c>
    </row>
    <row r="14750" spans="1:1" x14ac:dyDescent="0.2">
      <c r="A14750" t="s">
        <v>1505</v>
      </c>
    </row>
    <row r="14751" spans="1:1" x14ac:dyDescent="0.2">
      <c r="A14751" t="s">
        <v>1506</v>
      </c>
    </row>
    <row r="14752" spans="1:1" x14ac:dyDescent="0.2">
      <c r="A14752" t="s">
        <v>1537</v>
      </c>
    </row>
    <row r="14753" spans="1:1" x14ac:dyDescent="0.2">
      <c r="A14753" t="s">
        <v>1538</v>
      </c>
    </row>
    <row r="14754" spans="1:1" x14ac:dyDescent="0.2">
      <c r="A14754" t="s">
        <v>1508</v>
      </c>
    </row>
    <row r="14755" spans="1:1" x14ac:dyDescent="0.2">
      <c r="A14755" t="s">
        <v>3250</v>
      </c>
    </row>
    <row r="14756" spans="1:1" x14ac:dyDescent="0.2">
      <c r="A14756" t="s">
        <v>3251</v>
      </c>
    </row>
    <row r="14757" spans="1:1" x14ac:dyDescent="0.2">
      <c r="A14757" t="s">
        <v>1511</v>
      </c>
    </row>
    <row r="14758" spans="1:1" x14ac:dyDescent="0.2">
      <c r="A14758" t="s">
        <v>1541</v>
      </c>
    </row>
    <row r="14759" spans="1:1" x14ac:dyDescent="0.2">
      <c r="A14759" t="s">
        <v>1513</v>
      </c>
    </row>
    <row r="14760" spans="1:1" x14ac:dyDescent="0.2">
      <c r="A14760" t="s">
        <v>1514</v>
      </c>
    </row>
    <row r="14761" spans="1:1" x14ac:dyDescent="0.2">
      <c r="A14761" t="s">
        <v>1515</v>
      </c>
    </row>
    <row r="14762" spans="1:1" x14ac:dyDescent="0.2">
      <c r="A14762" t="s">
        <v>1516</v>
      </c>
    </row>
    <row r="14763" spans="1:1" x14ac:dyDescent="0.2">
      <c r="A14763" t="s">
        <v>1517</v>
      </c>
    </row>
    <row r="14764" spans="1:1" x14ac:dyDescent="0.2">
      <c r="A14764" t="s">
        <v>1518</v>
      </c>
    </row>
    <row r="14765" spans="1:1" x14ac:dyDescent="0.2">
      <c r="A14765" t="s">
        <v>1519</v>
      </c>
    </row>
    <row r="14766" spans="1:1" x14ac:dyDescent="0.2">
      <c r="A14766" t="s">
        <v>1520</v>
      </c>
    </row>
    <row r="14767" spans="1:1" x14ac:dyDescent="0.2">
      <c r="A14767" t="s">
        <v>1521</v>
      </c>
    </row>
    <row r="14768" spans="1:1" x14ac:dyDescent="0.2">
      <c r="A14768" t="s">
        <v>1522</v>
      </c>
    </row>
    <row r="14769" spans="1:1" x14ac:dyDescent="0.2">
      <c r="A14769" t="s">
        <v>1523</v>
      </c>
    </row>
    <row r="14770" spans="1:1" x14ac:dyDescent="0.2">
      <c r="A14770" t="s">
        <v>1524</v>
      </c>
    </row>
    <row r="14771" spans="1:1" x14ac:dyDescent="0.2">
      <c r="A14771" t="s">
        <v>1525</v>
      </c>
    </row>
    <row r="14772" spans="1:1" x14ac:dyDescent="0.2">
      <c r="A14772" t="s">
        <v>1526</v>
      </c>
    </row>
    <row r="14773" spans="1:1" x14ac:dyDescent="0.2">
      <c r="A14773" t="s">
        <v>1527</v>
      </c>
    </row>
    <row r="14774" spans="1:1" x14ac:dyDescent="0.2">
      <c r="A14774" t="s">
        <v>1528</v>
      </c>
    </row>
    <row r="14775" spans="1:1" x14ac:dyDescent="0.2">
      <c r="A14775" t="s">
        <v>1529</v>
      </c>
    </row>
    <row r="14776" spans="1:1" x14ac:dyDescent="0.2">
      <c r="A14776" t="s">
        <v>3269</v>
      </c>
    </row>
    <row r="14777" spans="1:1" x14ac:dyDescent="0.2">
      <c r="A14777" t="s">
        <v>3270</v>
      </c>
    </row>
    <row r="14778" spans="1:1" x14ac:dyDescent="0.2">
      <c r="A14778" t="s">
        <v>1532</v>
      </c>
    </row>
    <row r="14779" spans="1:1" x14ac:dyDescent="0.2">
      <c r="A14779" t="s">
        <v>1533</v>
      </c>
    </row>
    <row r="14780" spans="1:1" x14ac:dyDescent="0.2">
      <c r="A14780" t="s">
        <v>3271</v>
      </c>
    </row>
    <row r="14781" spans="1:1" x14ac:dyDescent="0.2">
      <c r="A14781" t="s">
        <v>1497</v>
      </c>
    </row>
    <row r="14782" spans="1:1" x14ac:dyDescent="0.2">
      <c r="A14782" t="s">
        <v>1498</v>
      </c>
    </row>
    <row r="14783" spans="1:1" x14ac:dyDescent="0.2">
      <c r="A14783" t="s">
        <v>3268</v>
      </c>
    </row>
    <row r="14784" spans="1:1" x14ac:dyDescent="0.2">
      <c r="A14784" t="s">
        <v>1500</v>
      </c>
    </row>
    <row r="14785" spans="1:1" x14ac:dyDescent="0.2">
      <c r="A14785" t="s">
        <v>3257</v>
      </c>
    </row>
    <row r="14786" spans="1:1" x14ac:dyDescent="0.2">
      <c r="A14786" t="s">
        <v>1502</v>
      </c>
    </row>
    <row r="14787" spans="1:1" x14ac:dyDescent="0.2">
      <c r="A14787" t="s">
        <v>1503</v>
      </c>
    </row>
    <row r="14788" spans="1:1" x14ac:dyDescent="0.2">
      <c r="A14788" t="s">
        <v>1504</v>
      </c>
    </row>
    <row r="14789" spans="1:1" x14ac:dyDescent="0.2">
      <c r="A14789" t="s">
        <v>1505</v>
      </c>
    </row>
    <row r="14790" spans="1:1" x14ac:dyDescent="0.2">
      <c r="A14790" t="s">
        <v>1545</v>
      </c>
    </row>
    <row r="14791" spans="1:1" x14ac:dyDescent="0.2">
      <c r="A14791" t="s">
        <v>1537</v>
      </c>
    </row>
    <row r="14792" spans="1:1" x14ac:dyDescent="0.2">
      <c r="A14792" t="s">
        <v>1538</v>
      </c>
    </row>
    <row r="14793" spans="1:1" x14ac:dyDescent="0.2">
      <c r="A14793" t="s">
        <v>1508</v>
      </c>
    </row>
    <row r="14794" spans="1:1" x14ac:dyDescent="0.2">
      <c r="A14794" t="s">
        <v>3250</v>
      </c>
    </row>
    <row r="14795" spans="1:1" x14ac:dyDescent="0.2">
      <c r="A14795" t="s">
        <v>3251</v>
      </c>
    </row>
    <row r="14796" spans="1:1" x14ac:dyDescent="0.2">
      <c r="A14796" t="s">
        <v>1511</v>
      </c>
    </row>
    <row r="14797" spans="1:1" x14ac:dyDescent="0.2">
      <c r="A14797" t="s">
        <v>1541</v>
      </c>
    </row>
    <row r="14798" spans="1:1" x14ac:dyDescent="0.2">
      <c r="A14798" t="s">
        <v>1513</v>
      </c>
    </row>
    <row r="14799" spans="1:1" x14ac:dyDescent="0.2">
      <c r="A14799" t="s">
        <v>1514</v>
      </c>
    </row>
    <row r="14800" spans="1:1" x14ac:dyDescent="0.2">
      <c r="A14800" t="s">
        <v>1515</v>
      </c>
    </row>
    <row r="14801" spans="1:1" x14ac:dyDescent="0.2">
      <c r="A14801" t="s">
        <v>1516</v>
      </c>
    </row>
    <row r="14802" spans="1:1" x14ac:dyDescent="0.2">
      <c r="A14802" t="s">
        <v>1517</v>
      </c>
    </row>
    <row r="14803" spans="1:1" x14ac:dyDescent="0.2">
      <c r="A14803" t="s">
        <v>1518</v>
      </c>
    </row>
    <row r="14804" spans="1:1" x14ac:dyDescent="0.2">
      <c r="A14804" t="s">
        <v>1519</v>
      </c>
    </row>
    <row r="14805" spans="1:1" x14ac:dyDescent="0.2">
      <c r="A14805" t="s">
        <v>1520</v>
      </c>
    </row>
    <row r="14806" spans="1:1" x14ac:dyDescent="0.2">
      <c r="A14806" t="s">
        <v>1521</v>
      </c>
    </row>
    <row r="14807" spans="1:1" x14ac:dyDescent="0.2">
      <c r="A14807" t="s">
        <v>1522</v>
      </c>
    </row>
    <row r="14808" spans="1:1" x14ac:dyDescent="0.2">
      <c r="A14808" t="s">
        <v>1523</v>
      </c>
    </row>
    <row r="14809" spans="1:1" x14ac:dyDescent="0.2">
      <c r="A14809" t="s">
        <v>1524</v>
      </c>
    </row>
    <row r="14810" spans="1:1" x14ac:dyDescent="0.2">
      <c r="A14810" t="s">
        <v>1525</v>
      </c>
    </row>
    <row r="14811" spans="1:1" x14ac:dyDescent="0.2">
      <c r="A14811" t="s">
        <v>1526</v>
      </c>
    </row>
    <row r="14812" spans="1:1" x14ac:dyDescent="0.2">
      <c r="A14812" t="s">
        <v>1527</v>
      </c>
    </row>
    <row r="14813" spans="1:1" x14ac:dyDescent="0.2">
      <c r="A14813" t="s">
        <v>1528</v>
      </c>
    </row>
    <row r="14814" spans="1:1" x14ac:dyDescent="0.2">
      <c r="A14814" t="s">
        <v>1529</v>
      </c>
    </row>
    <row r="14815" spans="1:1" x14ac:dyDescent="0.2">
      <c r="A14815" t="s">
        <v>3269</v>
      </c>
    </row>
    <row r="14816" spans="1:1" x14ac:dyDescent="0.2">
      <c r="A14816" t="s">
        <v>3272</v>
      </c>
    </row>
    <row r="14817" spans="1:1" x14ac:dyDescent="0.2">
      <c r="A14817" t="s">
        <v>1532</v>
      </c>
    </row>
    <row r="14818" spans="1:1" x14ac:dyDescent="0.2">
      <c r="A14818" t="s">
        <v>1533</v>
      </c>
    </row>
    <row r="14819" spans="1:1" x14ac:dyDescent="0.2">
      <c r="A14819" t="s">
        <v>3273</v>
      </c>
    </row>
    <row r="14820" spans="1:1" x14ac:dyDescent="0.2">
      <c r="A14820" t="s">
        <v>1497</v>
      </c>
    </row>
    <row r="14821" spans="1:1" x14ac:dyDescent="0.2">
      <c r="A14821" t="s">
        <v>1498</v>
      </c>
    </row>
    <row r="14822" spans="1:1" x14ac:dyDescent="0.2">
      <c r="A14822" t="s">
        <v>3268</v>
      </c>
    </row>
    <row r="14823" spans="1:1" x14ac:dyDescent="0.2">
      <c r="A14823" t="s">
        <v>1500</v>
      </c>
    </row>
    <row r="14824" spans="1:1" x14ac:dyDescent="0.2">
      <c r="A14824" t="s">
        <v>3261</v>
      </c>
    </row>
    <row r="14825" spans="1:1" x14ac:dyDescent="0.2">
      <c r="A14825" t="s">
        <v>1502</v>
      </c>
    </row>
    <row r="14826" spans="1:1" x14ac:dyDescent="0.2">
      <c r="A14826" t="s">
        <v>1503</v>
      </c>
    </row>
    <row r="14827" spans="1:1" x14ac:dyDescent="0.2">
      <c r="A14827" t="s">
        <v>1504</v>
      </c>
    </row>
    <row r="14828" spans="1:1" x14ac:dyDescent="0.2">
      <c r="A14828" t="s">
        <v>1505</v>
      </c>
    </row>
    <row r="14829" spans="1:1" x14ac:dyDescent="0.2">
      <c r="A14829" t="s">
        <v>1536</v>
      </c>
    </row>
    <row r="14830" spans="1:1" x14ac:dyDescent="0.2">
      <c r="A14830" t="s">
        <v>1537</v>
      </c>
    </row>
    <row r="14831" spans="1:1" x14ac:dyDescent="0.2">
      <c r="A14831" t="s">
        <v>1538</v>
      </c>
    </row>
    <row r="14832" spans="1:1" x14ac:dyDescent="0.2">
      <c r="A14832" t="s">
        <v>1508</v>
      </c>
    </row>
    <row r="14833" spans="1:1" x14ac:dyDescent="0.2">
      <c r="A14833" t="s">
        <v>3250</v>
      </c>
    </row>
    <row r="14834" spans="1:1" x14ac:dyDescent="0.2">
      <c r="A14834" t="s">
        <v>3251</v>
      </c>
    </row>
    <row r="14835" spans="1:1" x14ac:dyDescent="0.2">
      <c r="A14835" t="s">
        <v>1511</v>
      </c>
    </row>
    <row r="14836" spans="1:1" x14ac:dyDescent="0.2">
      <c r="A14836" t="s">
        <v>1541</v>
      </c>
    </row>
    <row r="14837" spans="1:1" x14ac:dyDescent="0.2">
      <c r="A14837" t="s">
        <v>1513</v>
      </c>
    </row>
    <row r="14838" spans="1:1" x14ac:dyDescent="0.2">
      <c r="A14838" t="s">
        <v>1514</v>
      </c>
    </row>
    <row r="14839" spans="1:1" x14ac:dyDescent="0.2">
      <c r="A14839" t="s">
        <v>1515</v>
      </c>
    </row>
    <row r="14840" spans="1:1" x14ac:dyDescent="0.2">
      <c r="A14840" t="s">
        <v>1516</v>
      </c>
    </row>
    <row r="14841" spans="1:1" x14ac:dyDescent="0.2">
      <c r="A14841" t="s">
        <v>1517</v>
      </c>
    </row>
    <row r="14842" spans="1:1" x14ac:dyDescent="0.2">
      <c r="A14842" t="s">
        <v>1518</v>
      </c>
    </row>
    <row r="14843" spans="1:1" x14ac:dyDescent="0.2">
      <c r="A14843" t="s">
        <v>1519</v>
      </c>
    </row>
    <row r="14844" spans="1:1" x14ac:dyDescent="0.2">
      <c r="A14844" t="s">
        <v>1520</v>
      </c>
    </row>
    <row r="14845" spans="1:1" x14ac:dyDescent="0.2">
      <c r="A14845" t="s">
        <v>1521</v>
      </c>
    </row>
    <row r="14846" spans="1:1" x14ac:dyDescent="0.2">
      <c r="A14846" t="s">
        <v>1522</v>
      </c>
    </row>
    <row r="14847" spans="1:1" x14ac:dyDescent="0.2">
      <c r="A14847" t="s">
        <v>1523</v>
      </c>
    </row>
    <row r="14848" spans="1:1" x14ac:dyDescent="0.2">
      <c r="A14848" t="s">
        <v>1524</v>
      </c>
    </row>
    <row r="14849" spans="1:1" x14ac:dyDescent="0.2">
      <c r="A14849" t="s">
        <v>1525</v>
      </c>
    </row>
    <row r="14850" spans="1:1" x14ac:dyDescent="0.2">
      <c r="A14850" t="s">
        <v>1526</v>
      </c>
    </row>
    <row r="14851" spans="1:1" x14ac:dyDescent="0.2">
      <c r="A14851" t="s">
        <v>1527</v>
      </c>
    </row>
    <row r="14852" spans="1:1" x14ac:dyDescent="0.2">
      <c r="A14852" t="s">
        <v>1528</v>
      </c>
    </row>
    <row r="14853" spans="1:1" x14ac:dyDescent="0.2">
      <c r="A14853" t="s">
        <v>1529</v>
      </c>
    </row>
    <row r="14854" spans="1:1" x14ac:dyDescent="0.2">
      <c r="A14854" t="s">
        <v>3269</v>
      </c>
    </row>
    <row r="14855" spans="1:1" x14ac:dyDescent="0.2">
      <c r="A14855" t="s">
        <v>3272</v>
      </c>
    </row>
    <row r="14856" spans="1:1" x14ac:dyDescent="0.2">
      <c r="A14856" t="s">
        <v>1532</v>
      </c>
    </row>
    <row r="14857" spans="1:1" x14ac:dyDescent="0.2">
      <c r="A14857" t="s">
        <v>1533</v>
      </c>
    </row>
    <row r="14858" spans="1:1" x14ac:dyDescent="0.2">
      <c r="A14858" t="s">
        <v>3274</v>
      </c>
    </row>
    <row r="14859" spans="1:1" x14ac:dyDescent="0.2">
      <c r="A14859" t="s">
        <v>1497</v>
      </c>
    </row>
    <row r="14860" spans="1:1" x14ac:dyDescent="0.2">
      <c r="A14860" t="s">
        <v>1498</v>
      </c>
    </row>
    <row r="14861" spans="1:1" x14ac:dyDescent="0.2">
      <c r="A14861" t="s">
        <v>1499</v>
      </c>
    </row>
    <row r="14862" spans="1:1" x14ac:dyDescent="0.2">
      <c r="A14862" t="s">
        <v>1500</v>
      </c>
    </row>
    <row r="14863" spans="1:1" x14ac:dyDescent="0.2">
      <c r="A14863" t="s">
        <v>1501</v>
      </c>
    </row>
    <row r="14864" spans="1:1" x14ac:dyDescent="0.2">
      <c r="A14864" t="s">
        <v>1502</v>
      </c>
    </row>
    <row r="14865" spans="1:1" x14ac:dyDescent="0.2">
      <c r="A14865" t="s">
        <v>1503</v>
      </c>
    </row>
    <row r="14866" spans="1:1" x14ac:dyDescent="0.2">
      <c r="A14866" t="s">
        <v>1504</v>
      </c>
    </row>
    <row r="14867" spans="1:1" x14ac:dyDescent="0.2">
      <c r="A14867" t="s">
        <v>1505</v>
      </c>
    </row>
    <row r="14868" spans="1:1" x14ac:dyDescent="0.2">
      <c r="A14868" t="s">
        <v>1506</v>
      </c>
    </row>
    <row r="14869" spans="1:1" x14ac:dyDescent="0.2">
      <c r="A14869" t="s">
        <v>3093</v>
      </c>
    </row>
    <row r="14870" spans="1:1" x14ac:dyDescent="0.2">
      <c r="A14870" t="s">
        <v>1507</v>
      </c>
    </row>
    <row r="14871" spans="1:1" x14ac:dyDescent="0.2">
      <c r="A14871" t="s">
        <v>1508</v>
      </c>
    </row>
    <row r="14872" spans="1:1" x14ac:dyDescent="0.2">
      <c r="A14872" t="s">
        <v>1509</v>
      </c>
    </row>
    <row r="14873" spans="1:1" x14ac:dyDescent="0.2">
      <c r="A14873" t="s">
        <v>1510</v>
      </c>
    </row>
    <row r="14874" spans="1:1" x14ac:dyDescent="0.2">
      <c r="A14874" t="s">
        <v>1511</v>
      </c>
    </row>
    <row r="14875" spans="1:1" x14ac:dyDescent="0.2">
      <c r="A14875" t="s">
        <v>1512</v>
      </c>
    </row>
    <row r="14876" spans="1:1" x14ac:dyDescent="0.2">
      <c r="A14876" t="s">
        <v>1513</v>
      </c>
    </row>
    <row r="14877" spans="1:1" x14ac:dyDescent="0.2">
      <c r="A14877" t="s">
        <v>1514</v>
      </c>
    </row>
    <row r="14878" spans="1:1" x14ac:dyDescent="0.2">
      <c r="A14878" t="s">
        <v>1515</v>
      </c>
    </row>
    <row r="14879" spans="1:1" x14ac:dyDescent="0.2">
      <c r="A14879" t="s">
        <v>1516</v>
      </c>
    </row>
    <row r="14880" spans="1:1" x14ac:dyDescent="0.2">
      <c r="A14880" t="s">
        <v>1517</v>
      </c>
    </row>
    <row r="14881" spans="1:1" x14ac:dyDescent="0.2">
      <c r="A14881" t="s">
        <v>1518</v>
      </c>
    </row>
    <row r="14882" spans="1:1" x14ac:dyDescent="0.2">
      <c r="A14882" t="s">
        <v>1519</v>
      </c>
    </row>
    <row r="14883" spans="1:1" x14ac:dyDescent="0.2">
      <c r="A14883" t="s">
        <v>1520</v>
      </c>
    </row>
    <row r="14884" spans="1:1" x14ac:dyDescent="0.2">
      <c r="A14884" t="s">
        <v>1521</v>
      </c>
    </row>
    <row r="14885" spans="1:1" x14ac:dyDescent="0.2">
      <c r="A14885" t="s">
        <v>1522</v>
      </c>
    </row>
    <row r="14886" spans="1:1" x14ac:dyDescent="0.2">
      <c r="A14886" t="s">
        <v>1523</v>
      </c>
    </row>
    <row r="14887" spans="1:1" x14ac:dyDescent="0.2">
      <c r="A14887" t="s">
        <v>1524</v>
      </c>
    </row>
    <row r="14888" spans="1:1" x14ac:dyDescent="0.2">
      <c r="A14888" t="s">
        <v>1525</v>
      </c>
    </row>
    <row r="14889" spans="1:1" x14ac:dyDescent="0.2">
      <c r="A14889" t="s">
        <v>1526</v>
      </c>
    </row>
    <row r="14890" spans="1:1" x14ac:dyDescent="0.2">
      <c r="A14890" t="s">
        <v>1527</v>
      </c>
    </row>
    <row r="14891" spans="1:1" x14ac:dyDescent="0.2">
      <c r="A14891" t="s">
        <v>1528</v>
      </c>
    </row>
    <row r="14892" spans="1:1" x14ac:dyDescent="0.2">
      <c r="A14892" t="s">
        <v>1529</v>
      </c>
    </row>
    <row r="14893" spans="1:1" x14ac:dyDescent="0.2">
      <c r="A14893" t="s">
        <v>1530</v>
      </c>
    </row>
    <row r="14894" spans="1:1" x14ac:dyDescent="0.2">
      <c r="A14894" t="s">
        <v>1531</v>
      </c>
    </row>
    <row r="14895" spans="1:1" x14ac:dyDescent="0.2">
      <c r="A14895" t="s">
        <v>1532</v>
      </c>
    </row>
    <row r="14896" spans="1:1" x14ac:dyDescent="0.2">
      <c r="A14896" t="s">
        <v>1533</v>
      </c>
    </row>
    <row r="14897" spans="1:1" x14ac:dyDescent="0.2">
      <c r="A14897" t="s">
        <v>3275</v>
      </c>
    </row>
    <row r="14898" spans="1:1" x14ac:dyDescent="0.2">
      <c r="A14898" t="s">
        <v>1497</v>
      </c>
    </row>
    <row r="14899" spans="1:1" x14ac:dyDescent="0.2">
      <c r="A14899" t="s">
        <v>1498</v>
      </c>
    </row>
    <row r="14900" spans="1:1" x14ac:dyDescent="0.2">
      <c r="A14900" t="s">
        <v>3276</v>
      </c>
    </row>
    <row r="14901" spans="1:1" x14ac:dyDescent="0.2">
      <c r="A14901" t="s">
        <v>1500</v>
      </c>
    </row>
    <row r="14902" spans="1:1" x14ac:dyDescent="0.2">
      <c r="A14902" t="s">
        <v>3277</v>
      </c>
    </row>
    <row r="14903" spans="1:1" x14ac:dyDescent="0.2">
      <c r="A14903" t="s">
        <v>1502</v>
      </c>
    </row>
    <row r="14904" spans="1:1" x14ac:dyDescent="0.2">
      <c r="A14904" t="s">
        <v>1503</v>
      </c>
    </row>
    <row r="14905" spans="1:1" x14ac:dyDescent="0.2">
      <c r="A14905" t="s">
        <v>1504</v>
      </c>
    </row>
    <row r="14906" spans="1:1" x14ac:dyDescent="0.2">
      <c r="A14906" t="s">
        <v>1505</v>
      </c>
    </row>
    <row r="14907" spans="1:1" x14ac:dyDescent="0.2">
      <c r="A14907" t="s">
        <v>1545</v>
      </c>
    </row>
    <row r="14908" spans="1:1" x14ac:dyDescent="0.2">
      <c r="A14908" t="s">
        <v>1537</v>
      </c>
    </row>
    <row r="14909" spans="1:1" x14ac:dyDescent="0.2">
      <c r="A14909" t="s">
        <v>1538</v>
      </c>
    </row>
    <row r="14910" spans="1:1" x14ac:dyDescent="0.2">
      <c r="A14910" t="s">
        <v>1508</v>
      </c>
    </row>
    <row r="14911" spans="1:1" x14ac:dyDescent="0.2">
      <c r="A14911" t="s">
        <v>1539</v>
      </c>
    </row>
    <row r="14912" spans="1:1" x14ac:dyDescent="0.2">
      <c r="A14912" t="s">
        <v>1540</v>
      </c>
    </row>
    <row r="14913" spans="1:1" x14ac:dyDescent="0.2">
      <c r="A14913" t="s">
        <v>1511</v>
      </c>
    </row>
    <row r="14914" spans="1:1" x14ac:dyDescent="0.2">
      <c r="A14914" t="s">
        <v>1541</v>
      </c>
    </row>
    <row r="14915" spans="1:1" x14ac:dyDescent="0.2">
      <c r="A14915" t="s">
        <v>1513</v>
      </c>
    </row>
    <row r="14916" spans="1:1" x14ac:dyDescent="0.2">
      <c r="A14916" t="s">
        <v>1514</v>
      </c>
    </row>
    <row r="14917" spans="1:1" x14ac:dyDescent="0.2">
      <c r="A14917" t="s">
        <v>1515</v>
      </c>
    </row>
    <row r="14918" spans="1:1" x14ac:dyDescent="0.2">
      <c r="A14918" t="s">
        <v>1516</v>
      </c>
    </row>
    <row r="14919" spans="1:1" x14ac:dyDescent="0.2">
      <c r="A14919" t="s">
        <v>1517</v>
      </c>
    </row>
    <row r="14920" spans="1:1" x14ac:dyDescent="0.2">
      <c r="A14920" t="s">
        <v>1518</v>
      </c>
    </row>
    <row r="14921" spans="1:1" x14ac:dyDescent="0.2">
      <c r="A14921" t="s">
        <v>1519</v>
      </c>
    </row>
    <row r="14922" spans="1:1" x14ac:dyDescent="0.2">
      <c r="A14922" t="s">
        <v>1520</v>
      </c>
    </row>
    <row r="14923" spans="1:1" x14ac:dyDescent="0.2">
      <c r="A14923" t="s">
        <v>1521</v>
      </c>
    </row>
    <row r="14924" spans="1:1" x14ac:dyDescent="0.2">
      <c r="A14924" t="s">
        <v>1522</v>
      </c>
    </row>
    <row r="14925" spans="1:1" x14ac:dyDescent="0.2">
      <c r="A14925" t="s">
        <v>1523</v>
      </c>
    </row>
    <row r="14926" spans="1:1" x14ac:dyDescent="0.2">
      <c r="A14926" t="s">
        <v>1524</v>
      </c>
    </row>
    <row r="14927" spans="1:1" x14ac:dyDescent="0.2">
      <c r="A14927" t="s">
        <v>1525</v>
      </c>
    </row>
    <row r="14928" spans="1:1" x14ac:dyDescent="0.2">
      <c r="A14928" t="s">
        <v>1526</v>
      </c>
    </row>
    <row r="14929" spans="1:1" x14ac:dyDescent="0.2">
      <c r="A14929" t="s">
        <v>1527</v>
      </c>
    </row>
    <row r="14930" spans="1:1" x14ac:dyDescent="0.2">
      <c r="A14930" t="s">
        <v>3108</v>
      </c>
    </row>
    <row r="14931" spans="1:1" x14ac:dyDescent="0.2">
      <c r="A14931" t="s">
        <v>3109</v>
      </c>
    </row>
    <row r="14932" spans="1:1" x14ac:dyDescent="0.2">
      <c r="A14932" t="s">
        <v>3278</v>
      </c>
    </row>
    <row r="14933" spans="1:1" x14ac:dyDescent="0.2">
      <c r="A14933" t="s">
        <v>3279</v>
      </c>
    </row>
    <row r="14934" spans="1:1" x14ac:dyDescent="0.2">
      <c r="A14934" t="s">
        <v>1532</v>
      </c>
    </row>
    <row r="14935" spans="1:1" x14ac:dyDescent="0.2">
      <c r="A14935" t="s">
        <v>1533</v>
      </c>
    </row>
    <row r="14936" spans="1:1" x14ac:dyDescent="0.2">
      <c r="A14936" t="s">
        <v>3280</v>
      </c>
    </row>
    <row r="14937" spans="1:1" x14ac:dyDescent="0.2">
      <c r="A14937" t="s">
        <v>1497</v>
      </c>
    </row>
    <row r="14938" spans="1:1" x14ac:dyDescent="0.2">
      <c r="A14938" t="s">
        <v>1498</v>
      </c>
    </row>
    <row r="14939" spans="1:1" x14ac:dyDescent="0.2">
      <c r="A14939" t="s">
        <v>3276</v>
      </c>
    </row>
    <row r="14940" spans="1:1" x14ac:dyDescent="0.2">
      <c r="A14940" t="s">
        <v>1500</v>
      </c>
    </row>
    <row r="14941" spans="1:1" x14ac:dyDescent="0.2">
      <c r="A14941" t="s">
        <v>3281</v>
      </c>
    </row>
    <row r="14942" spans="1:1" x14ac:dyDescent="0.2">
      <c r="A14942" t="s">
        <v>1502</v>
      </c>
    </row>
    <row r="14943" spans="1:1" x14ac:dyDescent="0.2">
      <c r="A14943" t="s">
        <v>1503</v>
      </c>
    </row>
    <row r="14944" spans="1:1" x14ac:dyDescent="0.2">
      <c r="A14944" t="s">
        <v>1504</v>
      </c>
    </row>
    <row r="14945" spans="1:1" x14ac:dyDescent="0.2">
      <c r="A14945" t="s">
        <v>1505</v>
      </c>
    </row>
    <row r="14946" spans="1:1" x14ac:dyDescent="0.2">
      <c r="A14946" t="s">
        <v>1506</v>
      </c>
    </row>
    <row r="14947" spans="1:1" x14ac:dyDescent="0.2">
      <c r="A14947" t="s">
        <v>1537</v>
      </c>
    </row>
    <row r="14948" spans="1:1" x14ac:dyDescent="0.2">
      <c r="A14948" t="s">
        <v>1538</v>
      </c>
    </row>
    <row r="14949" spans="1:1" x14ac:dyDescent="0.2">
      <c r="A14949" t="s">
        <v>1508</v>
      </c>
    </row>
    <row r="14950" spans="1:1" x14ac:dyDescent="0.2">
      <c r="A14950" t="s">
        <v>1539</v>
      </c>
    </row>
    <row r="14951" spans="1:1" x14ac:dyDescent="0.2">
      <c r="A14951" t="s">
        <v>1540</v>
      </c>
    </row>
    <row r="14952" spans="1:1" x14ac:dyDescent="0.2">
      <c r="A14952" t="s">
        <v>1511</v>
      </c>
    </row>
    <row r="14953" spans="1:1" x14ac:dyDescent="0.2">
      <c r="A14953" t="s">
        <v>1541</v>
      </c>
    </row>
    <row r="14954" spans="1:1" x14ac:dyDescent="0.2">
      <c r="A14954" t="s">
        <v>1513</v>
      </c>
    </row>
    <row r="14955" spans="1:1" x14ac:dyDescent="0.2">
      <c r="A14955" t="s">
        <v>1514</v>
      </c>
    </row>
    <row r="14956" spans="1:1" x14ac:dyDescent="0.2">
      <c r="A14956" t="s">
        <v>1515</v>
      </c>
    </row>
    <row r="14957" spans="1:1" x14ac:dyDescent="0.2">
      <c r="A14957" t="s">
        <v>1516</v>
      </c>
    </row>
    <row r="14958" spans="1:1" x14ac:dyDescent="0.2">
      <c r="A14958" t="s">
        <v>1517</v>
      </c>
    </row>
    <row r="14959" spans="1:1" x14ac:dyDescent="0.2">
      <c r="A14959" t="s">
        <v>1518</v>
      </c>
    </row>
    <row r="14960" spans="1:1" x14ac:dyDescent="0.2">
      <c r="A14960" t="s">
        <v>1519</v>
      </c>
    </row>
    <row r="14961" spans="1:1" x14ac:dyDescent="0.2">
      <c r="A14961" t="s">
        <v>1520</v>
      </c>
    </row>
    <row r="14962" spans="1:1" x14ac:dyDescent="0.2">
      <c r="A14962" t="s">
        <v>1521</v>
      </c>
    </row>
    <row r="14963" spans="1:1" x14ac:dyDescent="0.2">
      <c r="A14963" t="s">
        <v>1522</v>
      </c>
    </row>
    <row r="14964" spans="1:1" x14ac:dyDescent="0.2">
      <c r="A14964" t="s">
        <v>1523</v>
      </c>
    </row>
    <row r="14965" spans="1:1" x14ac:dyDescent="0.2">
      <c r="A14965" t="s">
        <v>1524</v>
      </c>
    </row>
    <row r="14966" spans="1:1" x14ac:dyDescent="0.2">
      <c r="A14966" t="s">
        <v>1525</v>
      </c>
    </row>
    <row r="14967" spans="1:1" x14ac:dyDescent="0.2">
      <c r="A14967" t="s">
        <v>1526</v>
      </c>
    </row>
    <row r="14968" spans="1:1" x14ac:dyDescent="0.2">
      <c r="A14968" t="s">
        <v>1527</v>
      </c>
    </row>
    <row r="14969" spans="1:1" x14ac:dyDescent="0.2">
      <c r="A14969" t="s">
        <v>3108</v>
      </c>
    </row>
    <row r="14970" spans="1:1" x14ac:dyDescent="0.2">
      <c r="A14970" t="s">
        <v>3109</v>
      </c>
    </row>
    <row r="14971" spans="1:1" x14ac:dyDescent="0.2">
      <c r="A14971" t="s">
        <v>3278</v>
      </c>
    </row>
    <row r="14972" spans="1:1" x14ac:dyDescent="0.2">
      <c r="A14972" t="s">
        <v>3279</v>
      </c>
    </row>
    <row r="14973" spans="1:1" x14ac:dyDescent="0.2">
      <c r="A14973" t="s">
        <v>1532</v>
      </c>
    </row>
    <row r="14974" spans="1:1" x14ac:dyDescent="0.2">
      <c r="A14974" t="s">
        <v>1533</v>
      </c>
    </row>
    <row r="14975" spans="1:1" x14ac:dyDescent="0.2">
      <c r="A14975" t="s">
        <v>3282</v>
      </c>
    </row>
    <row r="14976" spans="1:1" x14ac:dyDescent="0.2">
      <c r="A14976" t="s">
        <v>1497</v>
      </c>
    </row>
    <row r="14977" spans="1:1" x14ac:dyDescent="0.2">
      <c r="A14977" t="s">
        <v>1498</v>
      </c>
    </row>
    <row r="14978" spans="1:1" x14ac:dyDescent="0.2">
      <c r="A14978" t="s">
        <v>1499</v>
      </c>
    </row>
    <row r="14979" spans="1:1" x14ac:dyDescent="0.2">
      <c r="A14979" t="s">
        <v>1500</v>
      </c>
    </row>
    <row r="14980" spans="1:1" x14ac:dyDescent="0.2">
      <c r="A14980" t="s">
        <v>1501</v>
      </c>
    </row>
    <row r="14981" spans="1:1" x14ac:dyDescent="0.2">
      <c r="A14981" t="s">
        <v>1502</v>
      </c>
    </row>
    <row r="14982" spans="1:1" x14ac:dyDescent="0.2">
      <c r="A14982" t="s">
        <v>1503</v>
      </c>
    </row>
    <row r="14983" spans="1:1" x14ac:dyDescent="0.2">
      <c r="A14983" t="s">
        <v>1504</v>
      </c>
    </row>
    <row r="14984" spans="1:1" x14ac:dyDescent="0.2">
      <c r="A14984" t="s">
        <v>1505</v>
      </c>
    </row>
    <row r="14985" spans="1:1" x14ac:dyDescent="0.2">
      <c r="A14985" t="s">
        <v>1506</v>
      </c>
    </row>
    <row r="14986" spans="1:1" x14ac:dyDescent="0.2">
      <c r="A14986" t="s">
        <v>3093</v>
      </c>
    </row>
    <row r="14987" spans="1:1" x14ac:dyDescent="0.2">
      <c r="A14987" t="s">
        <v>1507</v>
      </c>
    </row>
    <row r="14988" spans="1:1" x14ac:dyDescent="0.2">
      <c r="A14988" t="s">
        <v>1508</v>
      </c>
    </row>
    <row r="14989" spans="1:1" x14ac:dyDescent="0.2">
      <c r="A14989" t="s">
        <v>1509</v>
      </c>
    </row>
    <row r="14990" spans="1:1" x14ac:dyDescent="0.2">
      <c r="A14990" t="s">
        <v>1510</v>
      </c>
    </row>
    <row r="14991" spans="1:1" x14ac:dyDescent="0.2">
      <c r="A14991" t="s">
        <v>1511</v>
      </c>
    </row>
    <row r="14992" spans="1:1" x14ac:dyDescent="0.2">
      <c r="A14992" t="s">
        <v>1512</v>
      </c>
    </row>
    <row r="14993" spans="1:1" x14ac:dyDescent="0.2">
      <c r="A14993" t="s">
        <v>1513</v>
      </c>
    </row>
    <row r="14994" spans="1:1" x14ac:dyDescent="0.2">
      <c r="A14994" t="s">
        <v>1514</v>
      </c>
    </row>
    <row r="14995" spans="1:1" x14ac:dyDescent="0.2">
      <c r="A14995" t="s">
        <v>1515</v>
      </c>
    </row>
    <row r="14996" spans="1:1" x14ac:dyDescent="0.2">
      <c r="A14996" t="s">
        <v>1516</v>
      </c>
    </row>
    <row r="14997" spans="1:1" x14ac:dyDescent="0.2">
      <c r="A14997" t="s">
        <v>1517</v>
      </c>
    </row>
    <row r="14998" spans="1:1" x14ac:dyDescent="0.2">
      <c r="A14998" t="s">
        <v>1518</v>
      </c>
    </row>
    <row r="14999" spans="1:1" x14ac:dyDescent="0.2">
      <c r="A14999" t="s">
        <v>1519</v>
      </c>
    </row>
    <row r="15000" spans="1:1" x14ac:dyDescent="0.2">
      <c r="A15000" t="s">
        <v>1520</v>
      </c>
    </row>
    <row r="15001" spans="1:1" x14ac:dyDescent="0.2">
      <c r="A15001" t="s">
        <v>1521</v>
      </c>
    </row>
    <row r="15002" spans="1:1" x14ac:dyDescent="0.2">
      <c r="A15002" t="s">
        <v>1522</v>
      </c>
    </row>
    <row r="15003" spans="1:1" x14ac:dyDescent="0.2">
      <c r="A15003" t="s">
        <v>1523</v>
      </c>
    </row>
    <row r="15004" spans="1:1" x14ac:dyDescent="0.2">
      <c r="A15004" t="s">
        <v>1524</v>
      </c>
    </row>
    <row r="15005" spans="1:1" x14ac:dyDescent="0.2">
      <c r="A15005" t="s">
        <v>1525</v>
      </c>
    </row>
    <row r="15006" spans="1:1" x14ac:dyDescent="0.2">
      <c r="A15006" t="s">
        <v>1526</v>
      </c>
    </row>
    <row r="15007" spans="1:1" x14ac:dyDescent="0.2">
      <c r="A15007" t="s">
        <v>1527</v>
      </c>
    </row>
    <row r="15008" spans="1:1" x14ac:dyDescent="0.2">
      <c r="A15008" t="s">
        <v>1528</v>
      </c>
    </row>
    <row r="15009" spans="1:1" x14ac:dyDescent="0.2">
      <c r="A15009" t="s">
        <v>1529</v>
      </c>
    </row>
    <row r="15010" spans="1:1" x14ac:dyDescent="0.2">
      <c r="A15010" t="s">
        <v>1530</v>
      </c>
    </row>
    <row r="15011" spans="1:1" x14ac:dyDescent="0.2">
      <c r="A15011" t="s">
        <v>1531</v>
      </c>
    </row>
    <row r="15012" spans="1:1" x14ac:dyDescent="0.2">
      <c r="A15012" t="s">
        <v>1532</v>
      </c>
    </row>
    <row r="15013" spans="1:1" x14ac:dyDescent="0.2">
      <c r="A15013" t="s">
        <v>1533</v>
      </c>
    </row>
    <row r="15014" spans="1:1" x14ac:dyDescent="0.2">
      <c r="A15014" t="s">
        <v>3283</v>
      </c>
    </row>
    <row r="15015" spans="1:1" x14ac:dyDescent="0.2">
      <c r="A15015" t="s">
        <v>1497</v>
      </c>
    </row>
    <row r="15016" spans="1:1" x14ac:dyDescent="0.2">
      <c r="A15016" t="s">
        <v>1498</v>
      </c>
    </row>
    <row r="15017" spans="1:1" x14ac:dyDescent="0.2">
      <c r="A15017" t="s">
        <v>3276</v>
      </c>
    </row>
    <row r="15018" spans="1:1" x14ac:dyDescent="0.2">
      <c r="A15018" t="s">
        <v>1500</v>
      </c>
    </row>
    <row r="15019" spans="1:1" x14ac:dyDescent="0.2">
      <c r="A15019" t="s">
        <v>3284</v>
      </c>
    </row>
    <row r="15020" spans="1:1" x14ac:dyDescent="0.2">
      <c r="A15020" t="s">
        <v>1502</v>
      </c>
    </row>
    <row r="15021" spans="1:1" x14ac:dyDescent="0.2">
      <c r="A15021" t="s">
        <v>1503</v>
      </c>
    </row>
    <row r="15022" spans="1:1" x14ac:dyDescent="0.2">
      <c r="A15022" t="s">
        <v>1504</v>
      </c>
    </row>
    <row r="15023" spans="1:1" x14ac:dyDescent="0.2">
      <c r="A15023" t="s">
        <v>1505</v>
      </c>
    </row>
    <row r="15024" spans="1:1" x14ac:dyDescent="0.2">
      <c r="A15024" t="s">
        <v>1545</v>
      </c>
    </row>
    <row r="15025" spans="1:1" x14ac:dyDescent="0.2">
      <c r="A15025" t="s">
        <v>1537</v>
      </c>
    </row>
    <row r="15026" spans="1:1" x14ac:dyDescent="0.2">
      <c r="A15026" t="s">
        <v>1538</v>
      </c>
    </row>
    <row r="15027" spans="1:1" x14ac:dyDescent="0.2">
      <c r="A15027" t="s">
        <v>1508</v>
      </c>
    </row>
    <row r="15028" spans="1:1" x14ac:dyDescent="0.2">
      <c r="A15028" t="s">
        <v>1539</v>
      </c>
    </row>
    <row r="15029" spans="1:1" x14ac:dyDescent="0.2">
      <c r="A15029" t="s">
        <v>1540</v>
      </c>
    </row>
    <row r="15030" spans="1:1" x14ac:dyDescent="0.2">
      <c r="A15030" t="s">
        <v>1511</v>
      </c>
    </row>
    <row r="15031" spans="1:1" x14ac:dyDescent="0.2">
      <c r="A15031" t="s">
        <v>1541</v>
      </c>
    </row>
    <row r="15032" spans="1:1" x14ac:dyDescent="0.2">
      <c r="A15032" t="s">
        <v>1513</v>
      </c>
    </row>
    <row r="15033" spans="1:1" x14ac:dyDescent="0.2">
      <c r="A15033" t="s">
        <v>1514</v>
      </c>
    </row>
    <row r="15034" spans="1:1" x14ac:dyDescent="0.2">
      <c r="A15034" t="s">
        <v>1515</v>
      </c>
    </row>
    <row r="15035" spans="1:1" x14ac:dyDescent="0.2">
      <c r="A15035" t="s">
        <v>1516</v>
      </c>
    </row>
    <row r="15036" spans="1:1" x14ac:dyDescent="0.2">
      <c r="A15036" t="s">
        <v>1517</v>
      </c>
    </row>
    <row r="15037" spans="1:1" x14ac:dyDescent="0.2">
      <c r="A15037" t="s">
        <v>1518</v>
      </c>
    </row>
    <row r="15038" spans="1:1" x14ac:dyDescent="0.2">
      <c r="A15038" t="s">
        <v>1519</v>
      </c>
    </row>
    <row r="15039" spans="1:1" x14ac:dyDescent="0.2">
      <c r="A15039" t="s">
        <v>1520</v>
      </c>
    </row>
    <row r="15040" spans="1:1" x14ac:dyDescent="0.2">
      <c r="A15040" t="s">
        <v>1521</v>
      </c>
    </row>
    <row r="15041" spans="1:1" x14ac:dyDescent="0.2">
      <c r="A15041" t="s">
        <v>1522</v>
      </c>
    </row>
    <row r="15042" spans="1:1" x14ac:dyDescent="0.2">
      <c r="A15042" t="s">
        <v>1523</v>
      </c>
    </row>
    <row r="15043" spans="1:1" x14ac:dyDescent="0.2">
      <c r="A15043" t="s">
        <v>1524</v>
      </c>
    </row>
    <row r="15044" spans="1:1" x14ac:dyDescent="0.2">
      <c r="A15044" t="s">
        <v>1525</v>
      </c>
    </row>
    <row r="15045" spans="1:1" x14ac:dyDescent="0.2">
      <c r="A15045" t="s">
        <v>1526</v>
      </c>
    </row>
    <row r="15046" spans="1:1" x14ac:dyDescent="0.2">
      <c r="A15046" t="s">
        <v>1527</v>
      </c>
    </row>
    <row r="15047" spans="1:1" x14ac:dyDescent="0.2">
      <c r="A15047" t="s">
        <v>3252</v>
      </c>
    </row>
    <row r="15048" spans="1:1" x14ac:dyDescent="0.2">
      <c r="A15048" t="s">
        <v>3253</v>
      </c>
    </row>
    <row r="15049" spans="1:1" x14ac:dyDescent="0.2">
      <c r="A15049" t="s">
        <v>3278</v>
      </c>
    </row>
    <row r="15050" spans="1:1" x14ac:dyDescent="0.2">
      <c r="A15050" t="s">
        <v>3285</v>
      </c>
    </row>
    <row r="15051" spans="1:1" x14ac:dyDescent="0.2">
      <c r="A15051" t="s">
        <v>1532</v>
      </c>
    </row>
    <row r="15052" spans="1:1" x14ac:dyDescent="0.2">
      <c r="A15052" t="s">
        <v>1533</v>
      </c>
    </row>
    <row r="15053" spans="1:1" x14ac:dyDescent="0.2">
      <c r="A15053" t="s">
        <v>3286</v>
      </c>
    </row>
    <row r="15054" spans="1:1" x14ac:dyDescent="0.2">
      <c r="A15054" t="s">
        <v>1497</v>
      </c>
    </row>
    <row r="15055" spans="1:1" x14ac:dyDescent="0.2">
      <c r="A15055" t="s">
        <v>1498</v>
      </c>
    </row>
    <row r="15056" spans="1:1" x14ac:dyDescent="0.2">
      <c r="A15056" t="s">
        <v>1499</v>
      </c>
    </row>
    <row r="15057" spans="1:1" x14ac:dyDescent="0.2">
      <c r="A15057" t="s">
        <v>1500</v>
      </c>
    </row>
    <row r="15058" spans="1:1" x14ac:dyDescent="0.2">
      <c r="A15058" t="s">
        <v>1501</v>
      </c>
    </row>
    <row r="15059" spans="1:1" x14ac:dyDescent="0.2">
      <c r="A15059" t="s">
        <v>1502</v>
      </c>
    </row>
    <row r="15060" spans="1:1" x14ac:dyDescent="0.2">
      <c r="A15060" t="s">
        <v>1503</v>
      </c>
    </row>
    <row r="15061" spans="1:1" x14ac:dyDescent="0.2">
      <c r="A15061" t="s">
        <v>1504</v>
      </c>
    </row>
    <row r="15062" spans="1:1" x14ac:dyDescent="0.2">
      <c r="A15062" t="s">
        <v>1505</v>
      </c>
    </row>
    <row r="15063" spans="1:1" x14ac:dyDescent="0.2">
      <c r="A15063" t="s">
        <v>1506</v>
      </c>
    </row>
    <row r="15064" spans="1:1" x14ac:dyDescent="0.2">
      <c r="A15064" t="s">
        <v>3093</v>
      </c>
    </row>
    <row r="15065" spans="1:1" x14ac:dyDescent="0.2">
      <c r="A15065" t="s">
        <v>1507</v>
      </c>
    </row>
    <row r="15066" spans="1:1" x14ac:dyDescent="0.2">
      <c r="A15066" t="s">
        <v>1508</v>
      </c>
    </row>
    <row r="15067" spans="1:1" x14ac:dyDescent="0.2">
      <c r="A15067" t="s">
        <v>1509</v>
      </c>
    </row>
    <row r="15068" spans="1:1" x14ac:dyDescent="0.2">
      <c r="A15068" t="s">
        <v>1510</v>
      </c>
    </row>
    <row r="15069" spans="1:1" x14ac:dyDescent="0.2">
      <c r="A15069" t="s">
        <v>1511</v>
      </c>
    </row>
    <row r="15070" spans="1:1" x14ac:dyDescent="0.2">
      <c r="A15070" t="s">
        <v>1512</v>
      </c>
    </row>
    <row r="15071" spans="1:1" x14ac:dyDescent="0.2">
      <c r="A15071" t="s">
        <v>1513</v>
      </c>
    </row>
    <row r="15072" spans="1:1" x14ac:dyDescent="0.2">
      <c r="A15072" t="s">
        <v>1514</v>
      </c>
    </row>
    <row r="15073" spans="1:1" x14ac:dyDescent="0.2">
      <c r="A15073" t="s">
        <v>1515</v>
      </c>
    </row>
    <row r="15074" spans="1:1" x14ac:dyDescent="0.2">
      <c r="A15074" t="s">
        <v>1516</v>
      </c>
    </row>
    <row r="15075" spans="1:1" x14ac:dyDescent="0.2">
      <c r="A15075" t="s">
        <v>1517</v>
      </c>
    </row>
    <row r="15076" spans="1:1" x14ac:dyDescent="0.2">
      <c r="A15076" t="s">
        <v>1518</v>
      </c>
    </row>
    <row r="15077" spans="1:1" x14ac:dyDescent="0.2">
      <c r="A15077" t="s">
        <v>1519</v>
      </c>
    </row>
    <row r="15078" spans="1:1" x14ac:dyDescent="0.2">
      <c r="A15078" t="s">
        <v>1520</v>
      </c>
    </row>
    <row r="15079" spans="1:1" x14ac:dyDescent="0.2">
      <c r="A15079" t="s">
        <v>1521</v>
      </c>
    </row>
    <row r="15080" spans="1:1" x14ac:dyDescent="0.2">
      <c r="A15080" t="s">
        <v>1522</v>
      </c>
    </row>
    <row r="15081" spans="1:1" x14ac:dyDescent="0.2">
      <c r="A15081" t="s">
        <v>1523</v>
      </c>
    </row>
    <row r="15082" spans="1:1" x14ac:dyDescent="0.2">
      <c r="A15082" t="s">
        <v>1524</v>
      </c>
    </row>
    <row r="15083" spans="1:1" x14ac:dyDescent="0.2">
      <c r="A15083" t="s">
        <v>1525</v>
      </c>
    </row>
    <row r="15084" spans="1:1" x14ac:dyDescent="0.2">
      <c r="A15084" t="s">
        <v>1526</v>
      </c>
    </row>
    <row r="15085" spans="1:1" x14ac:dyDescent="0.2">
      <c r="A15085" t="s">
        <v>1527</v>
      </c>
    </row>
    <row r="15086" spans="1:1" x14ac:dyDescent="0.2">
      <c r="A15086" t="s">
        <v>1528</v>
      </c>
    </row>
    <row r="15087" spans="1:1" x14ac:dyDescent="0.2">
      <c r="A15087" t="s">
        <v>1529</v>
      </c>
    </row>
    <row r="15088" spans="1:1" x14ac:dyDescent="0.2">
      <c r="A15088" t="s">
        <v>1530</v>
      </c>
    </row>
    <row r="15089" spans="1:1" x14ac:dyDescent="0.2">
      <c r="A15089" t="s">
        <v>1531</v>
      </c>
    </row>
    <row r="15090" spans="1:1" x14ac:dyDescent="0.2">
      <c r="A15090" t="s">
        <v>1532</v>
      </c>
    </row>
    <row r="15091" spans="1:1" x14ac:dyDescent="0.2">
      <c r="A15091" t="s">
        <v>1533</v>
      </c>
    </row>
    <row r="15092" spans="1:1" x14ac:dyDescent="0.2">
      <c r="A15092" t="s">
        <v>3287</v>
      </c>
    </row>
    <row r="15093" spans="1:1" x14ac:dyDescent="0.2">
      <c r="A15093" t="s">
        <v>1497</v>
      </c>
    </row>
    <row r="15094" spans="1:1" x14ac:dyDescent="0.2">
      <c r="A15094" t="s">
        <v>1498</v>
      </c>
    </row>
    <row r="15095" spans="1:1" x14ac:dyDescent="0.2">
      <c r="A15095" t="s">
        <v>3276</v>
      </c>
    </row>
    <row r="15096" spans="1:1" x14ac:dyDescent="0.2">
      <c r="A15096" t="s">
        <v>1500</v>
      </c>
    </row>
    <row r="15097" spans="1:1" x14ac:dyDescent="0.2">
      <c r="A15097" t="s">
        <v>3288</v>
      </c>
    </row>
    <row r="15098" spans="1:1" x14ac:dyDescent="0.2">
      <c r="A15098" t="s">
        <v>1502</v>
      </c>
    </row>
    <row r="15099" spans="1:1" x14ac:dyDescent="0.2">
      <c r="A15099" t="s">
        <v>1503</v>
      </c>
    </row>
    <row r="15100" spans="1:1" x14ac:dyDescent="0.2">
      <c r="A15100" t="s">
        <v>1504</v>
      </c>
    </row>
    <row r="15101" spans="1:1" x14ac:dyDescent="0.2">
      <c r="A15101" t="s">
        <v>1505</v>
      </c>
    </row>
    <row r="15102" spans="1:1" x14ac:dyDescent="0.2">
      <c r="A15102" t="s">
        <v>1536</v>
      </c>
    </row>
    <row r="15103" spans="1:1" x14ac:dyDescent="0.2">
      <c r="A15103" t="s">
        <v>1537</v>
      </c>
    </row>
    <row r="15104" spans="1:1" x14ac:dyDescent="0.2">
      <c r="A15104" t="s">
        <v>1538</v>
      </c>
    </row>
    <row r="15105" spans="1:1" x14ac:dyDescent="0.2">
      <c r="A15105" t="s">
        <v>1508</v>
      </c>
    </row>
    <row r="15106" spans="1:1" x14ac:dyDescent="0.2">
      <c r="A15106" t="s">
        <v>1539</v>
      </c>
    </row>
    <row r="15107" spans="1:1" x14ac:dyDescent="0.2">
      <c r="A15107" t="s">
        <v>1540</v>
      </c>
    </row>
    <row r="15108" spans="1:1" x14ac:dyDescent="0.2">
      <c r="A15108" t="s">
        <v>1511</v>
      </c>
    </row>
    <row r="15109" spans="1:1" x14ac:dyDescent="0.2">
      <c r="A15109" t="s">
        <v>1541</v>
      </c>
    </row>
    <row r="15110" spans="1:1" x14ac:dyDescent="0.2">
      <c r="A15110" t="s">
        <v>1513</v>
      </c>
    </row>
    <row r="15111" spans="1:1" x14ac:dyDescent="0.2">
      <c r="A15111" t="s">
        <v>1514</v>
      </c>
    </row>
    <row r="15112" spans="1:1" x14ac:dyDescent="0.2">
      <c r="A15112" t="s">
        <v>1515</v>
      </c>
    </row>
    <row r="15113" spans="1:1" x14ac:dyDescent="0.2">
      <c r="A15113" t="s">
        <v>1516</v>
      </c>
    </row>
    <row r="15114" spans="1:1" x14ac:dyDescent="0.2">
      <c r="A15114" t="s">
        <v>1517</v>
      </c>
    </row>
    <row r="15115" spans="1:1" x14ac:dyDescent="0.2">
      <c r="A15115" t="s">
        <v>1518</v>
      </c>
    </row>
    <row r="15116" spans="1:1" x14ac:dyDescent="0.2">
      <c r="A15116" t="s">
        <v>1519</v>
      </c>
    </row>
    <row r="15117" spans="1:1" x14ac:dyDescent="0.2">
      <c r="A15117" t="s">
        <v>1520</v>
      </c>
    </row>
    <row r="15118" spans="1:1" x14ac:dyDescent="0.2">
      <c r="A15118" t="s">
        <v>1521</v>
      </c>
    </row>
    <row r="15119" spans="1:1" x14ac:dyDescent="0.2">
      <c r="A15119" t="s">
        <v>1522</v>
      </c>
    </row>
    <row r="15120" spans="1:1" x14ac:dyDescent="0.2">
      <c r="A15120" t="s">
        <v>1523</v>
      </c>
    </row>
    <row r="15121" spans="1:1" x14ac:dyDescent="0.2">
      <c r="A15121" t="s">
        <v>1524</v>
      </c>
    </row>
    <row r="15122" spans="1:1" x14ac:dyDescent="0.2">
      <c r="A15122" t="s">
        <v>1525</v>
      </c>
    </row>
    <row r="15123" spans="1:1" x14ac:dyDescent="0.2">
      <c r="A15123" t="s">
        <v>1526</v>
      </c>
    </row>
    <row r="15124" spans="1:1" x14ac:dyDescent="0.2">
      <c r="A15124" t="s">
        <v>1527</v>
      </c>
    </row>
    <row r="15125" spans="1:1" x14ac:dyDescent="0.2">
      <c r="A15125" t="s">
        <v>3108</v>
      </c>
    </row>
    <row r="15126" spans="1:1" x14ac:dyDescent="0.2">
      <c r="A15126" t="s">
        <v>3109</v>
      </c>
    </row>
    <row r="15127" spans="1:1" x14ac:dyDescent="0.2">
      <c r="A15127" t="s">
        <v>3265</v>
      </c>
    </row>
    <row r="15128" spans="1:1" x14ac:dyDescent="0.2">
      <c r="A15128" t="s">
        <v>3279</v>
      </c>
    </row>
    <row r="15129" spans="1:1" x14ac:dyDescent="0.2">
      <c r="A15129" t="s">
        <v>1532</v>
      </c>
    </row>
    <row r="15130" spans="1:1" x14ac:dyDescent="0.2">
      <c r="A15130" t="s">
        <v>1533</v>
      </c>
    </row>
    <row r="15131" spans="1:1" x14ac:dyDescent="0.2">
      <c r="A15131" t="s">
        <v>3289</v>
      </c>
    </row>
    <row r="15132" spans="1:1" x14ac:dyDescent="0.2">
      <c r="A15132" t="s">
        <v>1497</v>
      </c>
    </row>
    <row r="15133" spans="1:1" x14ac:dyDescent="0.2">
      <c r="A15133" t="s">
        <v>1498</v>
      </c>
    </row>
    <row r="15134" spans="1:1" x14ac:dyDescent="0.2">
      <c r="A15134" t="s">
        <v>1499</v>
      </c>
    </row>
    <row r="15135" spans="1:1" x14ac:dyDescent="0.2">
      <c r="A15135" t="s">
        <v>1500</v>
      </c>
    </row>
    <row r="15136" spans="1:1" x14ac:dyDescent="0.2">
      <c r="A15136" t="s">
        <v>1501</v>
      </c>
    </row>
    <row r="15137" spans="1:1" x14ac:dyDescent="0.2">
      <c r="A15137" t="s">
        <v>1502</v>
      </c>
    </row>
    <row r="15138" spans="1:1" x14ac:dyDescent="0.2">
      <c r="A15138" t="s">
        <v>1503</v>
      </c>
    </row>
    <row r="15139" spans="1:1" x14ac:dyDescent="0.2">
      <c r="A15139" t="s">
        <v>1504</v>
      </c>
    </row>
    <row r="15140" spans="1:1" x14ac:dyDescent="0.2">
      <c r="A15140" t="s">
        <v>1505</v>
      </c>
    </row>
    <row r="15141" spans="1:1" x14ac:dyDescent="0.2">
      <c r="A15141" t="s">
        <v>1506</v>
      </c>
    </row>
    <row r="15142" spans="1:1" x14ac:dyDescent="0.2">
      <c r="A15142" t="s">
        <v>3093</v>
      </c>
    </row>
    <row r="15143" spans="1:1" x14ac:dyDescent="0.2">
      <c r="A15143" t="s">
        <v>1507</v>
      </c>
    </row>
    <row r="15144" spans="1:1" x14ac:dyDescent="0.2">
      <c r="A15144" t="s">
        <v>1508</v>
      </c>
    </row>
    <row r="15145" spans="1:1" x14ac:dyDescent="0.2">
      <c r="A15145" t="s">
        <v>1509</v>
      </c>
    </row>
    <row r="15146" spans="1:1" x14ac:dyDescent="0.2">
      <c r="A15146" t="s">
        <v>1510</v>
      </c>
    </row>
    <row r="15147" spans="1:1" x14ac:dyDescent="0.2">
      <c r="A15147" t="s">
        <v>1511</v>
      </c>
    </row>
    <row r="15148" spans="1:1" x14ac:dyDescent="0.2">
      <c r="A15148" t="s">
        <v>1512</v>
      </c>
    </row>
    <row r="15149" spans="1:1" x14ac:dyDescent="0.2">
      <c r="A15149" t="s">
        <v>1513</v>
      </c>
    </row>
    <row r="15150" spans="1:1" x14ac:dyDescent="0.2">
      <c r="A15150" t="s">
        <v>1514</v>
      </c>
    </row>
    <row r="15151" spans="1:1" x14ac:dyDescent="0.2">
      <c r="A15151" t="s">
        <v>1515</v>
      </c>
    </row>
    <row r="15152" spans="1:1" x14ac:dyDescent="0.2">
      <c r="A15152" t="s">
        <v>1516</v>
      </c>
    </row>
    <row r="15153" spans="1:1" x14ac:dyDescent="0.2">
      <c r="A15153" t="s">
        <v>1517</v>
      </c>
    </row>
    <row r="15154" spans="1:1" x14ac:dyDescent="0.2">
      <c r="A15154" t="s">
        <v>1518</v>
      </c>
    </row>
    <row r="15155" spans="1:1" x14ac:dyDescent="0.2">
      <c r="A15155" t="s">
        <v>1519</v>
      </c>
    </row>
    <row r="15156" spans="1:1" x14ac:dyDescent="0.2">
      <c r="A15156" t="s">
        <v>1520</v>
      </c>
    </row>
    <row r="15157" spans="1:1" x14ac:dyDescent="0.2">
      <c r="A15157" t="s">
        <v>1521</v>
      </c>
    </row>
    <row r="15158" spans="1:1" x14ac:dyDescent="0.2">
      <c r="A15158" t="s">
        <v>1522</v>
      </c>
    </row>
    <row r="15159" spans="1:1" x14ac:dyDescent="0.2">
      <c r="A15159" t="s">
        <v>1523</v>
      </c>
    </row>
    <row r="15160" spans="1:1" x14ac:dyDescent="0.2">
      <c r="A15160" t="s">
        <v>1524</v>
      </c>
    </row>
    <row r="15161" spans="1:1" x14ac:dyDescent="0.2">
      <c r="A15161" t="s">
        <v>1525</v>
      </c>
    </row>
    <row r="15162" spans="1:1" x14ac:dyDescent="0.2">
      <c r="A15162" t="s">
        <v>1526</v>
      </c>
    </row>
    <row r="15163" spans="1:1" x14ac:dyDescent="0.2">
      <c r="A15163" t="s">
        <v>1527</v>
      </c>
    </row>
    <row r="15164" spans="1:1" x14ac:dyDescent="0.2">
      <c r="A15164" t="s">
        <v>1528</v>
      </c>
    </row>
    <row r="15165" spans="1:1" x14ac:dyDescent="0.2">
      <c r="A15165" t="s">
        <v>1529</v>
      </c>
    </row>
    <row r="15166" spans="1:1" x14ac:dyDescent="0.2">
      <c r="A15166" t="s">
        <v>1530</v>
      </c>
    </row>
    <row r="15167" spans="1:1" x14ac:dyDescent="0.2">
      <c r="A15167" t="s">
        <v>1531</v>
      </c>
    </row>
    <row r="15168" spans="1:1" x14ac:dyDescent="0.2">
      <c r="A15168" t="s">
        <v>1532</v>
      </c>
    </row>
    <row r="15169" spans="1:1" x14ac:dyDescent="0.2">
      <c r="A15169" t="s">
        <v>1533</v>
      </c>
    </row>
    <row r="15170" spans="1:1" x14ac:dyDescent="0.2">
      <c r="A15170" t="s">
        <v>3290</v>
      </c>
    </row>
    <row r="15171" spans="1:1" x14ac:dyDescent="0.2">
      <c r="A15171" t="s">
        <v>1497</v>
      </c>
    </row>
    <row r="15172" spans="1:1" x14ac:dyDescent="0.2">
      <c r="A15172" t="s">
        <v>1498</v>
      </c>
    </row>
    <row r="15173" spans="1:1" x14ac:dyDescent="0.2">
      <c r="A15173" t="s">
        <v>3276</v>
      </c>
    </row>
    <row r="15174" spans="1:1" x14ac:dyDescent="0.2">
      <c r="A15174" t="s">
        <v>1500</v>
      </c>
    </row>
    <row r="15175" spans="1:1" x14ac:dyDescent="0.2">
      <c r="A15175" t="s">
        <v>3249</v>
      </c>
    </row>
    <row r="15176" spans="1:1" x14ac:dyDescent="0.2">
      <c r="A15176" t="s">
        <v>1502</v>
      </c>
    </row>
    <row r="15177" spans="1:1" x14ac:dyDescent="0.2">
      <c r="A15177" t="s">
        <v>1503</v>
      </c>
    </row>
    <row r="15178" spans="1:1" x14ac:dyDescent="0.2">
      <c r="A15178" t="s">
        <v>1504</v>
      </c>
    </row>
    <row r="15179" spans="1:1" x14ac:dyDescent="0.2">
      <c r="A15179" t="s">
        <v>1505</v>
      </c>
    </row>
    <row r="15180" spans="1:1" x14ac:dyDescent="0.2">
      <c r="A15180" t="s">
        <v>1506</v>
      </c>
    </row>
    <row r="15181" spans="1:1" x14ac:dyDescent="0.2">
      <c r="A15181" t="s">
        <v>1537</v>
      </c>
    </row>
    <row r="15182" spans="1:1" x14ac:dyDescent="0.2">
      <c r="A15182" t="s">
        <v>1538</v>
      </c>
    </row>
    <row r="15183" spans="1:1" x14ac:dyDescent="0.2">
      <c r="A15183" t="s">
        <v>1508</v>
      </c>
    </row>
    <row r="15184" spans="1:1" x14ac:dyDescent="0.2">
      <c r="A15184" t="s">
        <v>1539</v>
      </c>
    </row>
    <row r="15185" spans="1:1" x14ac:dyDescent="0.2">
      <c r="A15185" t="s">
        <v>1540</v>
      </c>
    </row>
    <row r="15186" spans="1:1" x14ac:dyDescent="0.2">
      <c r="A15186" t="s">
        <v>1511</v>
      </c>
    </row>
    <row r="15187" spans="1:1" x14ac:dyDescent="0.2">
      <c r="A15187" t="s">
        <v>1541</v>
      </c>
    </row>
    <row r="15188" spans="1:1" x14ac:dyDescent="0.2">
      <c r="A15188" t="s">
        <v>1513</v>
      </c>
    </row>
    <row r="15189" spans="1:1" x14ac:dyDescent="0.2">
      <c r="A15189" t="s">
        <v>1514</v>
      </c>
    </row>
    <row r="15190" spans="1:1" x14ac:dyDescent="0.2">
      <c r="A15190" t="s">
        <v>1515</v>
      </c>
    </row>
    <row r="15191" spans="1:1" x14ac:dyDescent="0.2">
      <c r="A15191" t="s">
        <v>1516</v>
      </c>
    </row>
    <row r="15192" spans="1:1" x14ac:dyDescent="0.2">
      <c r="A15192" t="s">
        <v>1517</v>
      </c>
    </row>
    <row r="15193" spans="1:1" x14ac:dyDescent="0.2">
      <c r="A15193" t="s">
        <v>1518</v>
      </c>
    </row>
    <row r="15194" spans="1:1" x14ac:dyDescent="0.2">
      <c r="A15194" t="s">
        <v>1519</v>
      </c>
    </row>
    <row r="15195" spans="1:1" x14ac:dyDescent="0.2">
      <c r="A15195" t="s">
        <v>1520</v>
      </c>
    </row>
    <row r="15196" spans="1:1" x14ac:dyDescent="0.2">
      <c r="A15196" t="s">
        <v>1521</v>
      </c>
    </row>
    <row r="15197" spans="1:1" x14ac:dyDescent="0.2">
      <c r="A15197" t="s">
        <v>1522</v>
      </c>
    </row>
    <row r="15198" spans="1:1" x14ac:dyDescent="0.2">
      <c r="A15198" t="s">
        <v>1523</v>
      </c>
    </row>
    <row r="15199" spans="1:1" x14ac:dyDescent="0.2">
      <c r="A15199" t="s">
        <v>1524</v>
      </c>
    </row>
    <row r="15200" spans="1:1" x14ac:dyDescent="0.2">
      <c r="A15200" t="s">
        <v>1525</v>
      </c>
    </row>
    <row r="15201" spans="1:1" x14ac:dyDescent="0.2">
      <c r="A15201" t="s">
        <v>1526</v>
      </c>
    </row>
    <row r="15202" spans="1:1" x14ac:dyDescent="0.2">
      <c r="A15202" t="s">
        <v>1527</v>
      </c>
    </row>
    <row r="15203" spans="1:1" x14ac:dyDescent="0.2">
      <c r="A15203" t="s">
        <v>3252</v>
      </c>
    </row>
    <row r="15204" spans="1:1" x14ac:dyDescent="0.2">
      <c r="A15204" t="s">
        <v>3253</v>
      </c>
    </row>
    <row r="15205" spans="1:1" x14ac:dyDescent="0.2">
      <c r="A15205" t="s">
        <v>3291</v>
      </c>
    </row>
    <row r="15206" spans="1:1" x14ac:dyDescent="0.2">
      <c r="A15206" t="s">
        <v>3292</v>
      </c>
    </row>
    <row r="15207" spans="1:1" x14ac:dyDescent="0.2">
      <c r="A15207" t="s">
        <v>1532</v>
      </c>
    </row>
    <row r="15208" spans="1:1" x14ac:dyDescent="0.2">
      <c r="A15208" t="s">
        <v>1533</v>
      </c>
    </row>
    <row r="15209" spans="1:1" x14ac:dyDescent="0.2">
      <c r="A15209" t="s">
        <v>3293</v>
      </c>
    </row>
    <row r="15210" spans="1:1" x14ac:dyDescent="0.2">
      <c r="A15210" t="s">
        <v>1497</v>
      </c>
    </row>
    <row r="15211" spans="1:1" x14ac:dyDescent="0.2">
      <c r="A15211" t="s">
        <v>1498</v>
      </c>
    </row>
    <row r="15212" spans="1:1" x14ac:dyDescent="0.2">
      <c r="A15212" t="s">
        <v>3276</v>
      </c>
    </row>
    <row r="15213" spans="1:1" x14ac:dyDescent="0.2">
      <c r="A15213" t="s">
        <v>1500</v>
      </c>
    </row>
    <row r="15214" spans="1:1" x14ac:dyDescent="0.2">
      <c r="A15214" t="s">
        <v>3294</v>
      </c>
    </row>
    <row r="15215" spans="1:1" x14ac:dyDescent="0.2">
      <c r="A15215" t="s">
        <v>1502</v>
      </c>
    </row>
    <row r="15216" spans="1:1" x14ac:dyDescent="0.2">
      <c r="A15216" t="s">
        <v>1503</v>
      </c>
    </row>
    <row r="15217" spans="1:1" x14ac:dyDescent="0.2">
      <c r="A15217" t="s">
        <v>1504</v>
      </c>
    </row>
    <row r="15218" spans="1:1" x14ac:dyDescent="0.2">
      <c r="A15218" t="s">
        <v>1505</v>
      </c>
    </row>
    <row r="15219" spans="1:1" x14ac:dyDescent="0.2">
      <c r="A15219" t="s">
        <v>1536</v>
      </c>
    </row>
    <row r="15220" spans="1:1" x14ac:dyDescent="0.2">
      <c r="A15220" t="s">
        <v>1537</v>
      </c>
    </row>
    <row r="15221" spans="1:1" x14ac:dyDescent="0.2">
      <c r="A15221" t="s">
        <v>1538</v>
      </c>
    </row>
    <row r="15222" spans="1:1" x14ac:dyDescent="0.2">
      <c r="A15222" t="s">
        <v>1508</v>
      </c>
    </row>
    <row r="15223" spans="1:1" x14ac:dyDescent="0.2">
      <c r="A15223" t="s">
        <v>1539</v>
      </c>
    </row>
    <row r="15224" spans="1:1" x14ac:dyDescent="0.2">
      <c r="A15224" t="s">
        <v>1540</v>
      </c>
    </row>
    <row r="15225" spans="1:1" x14ac:dyDescent="0.2">
      <c r="A15225" t="s">
        <v>1511</v>
      </c>
    </row>
    <row r="15226" spans="1:1" x14ac:dyDescent="0.2">
      <c r="A15226" t="s">
        <v>1541</v>
      </c>
    </row>
    <row r="15227" spans="1:1" x14ac:dyDescent="0.2">
      <c r="A15227" t="s">
        <v>1513</v>
      </c>
    </row>
    <row r="15228" spans="1:1" x14ac:dyDescent="0.2">
      <c r="A15228" t="s">
        <v>1514</v>
      </c>
    </row>
    <row r="15229" spans="1:1" x14ac:dyDescent="0.2">
      <c r="A15229" t="s">
        <v>1515</v>
      </c>
    </row>
    <row r="15230" spans="1:1" x14ac:dyDescent="0.2">
      <c r="A15230" t="s">
        <v>1516</v>
      </c>
    </row>
    <row r="15231" spans="1:1" x14ac:dyDescent="0.2">
      <c r="A15231" t="s">
        <v>1517</v>
      </c>
    </row>
    <row r="15232" spans="1:1" x14ac:dyDescent="0.2">
      <c r="A15232" t="s">
        <v>1518</v>
      </c>
    </row>
    <row r="15233" spans="1:1" x14ac:dyDescent="0.2">
      <c r="A15233" t="s">
        <v>1519</v>
      </c>
    </row>
    <row r="15234" spans="1:1" x14ac:dyDescent="0.2">
      <c r="A15234" t="s">
        <v>1520</v>
      </c>
    </row>
    <row r="15235" spans="1:1" x14ac:dyDescent="0.2">
      <c r="A15235" t="s">
        <v>1521</v>
      </c>
    </row>
    <row r="15236" spans="1:1" x14ac:dyDescent="0.2">
      <c r="A15236" t="s">
        <v>1522</v>
      </c>
    </row>
    <row r="15237" spans="1:1" x14ac:dyDescent="0.2">
      <c r="A15237" t="s">
        <v>1523</v>
      </c>
    </row>
    <row r="15238" spans="1:1" x14ac:dyDescent="0.2">
      <c r="A15238" t="s">
        <v>1524</v>
      </c>
    </row>
    <row r="15239" spans="1:1" x14ac:dyDescent="0.2">
      <c r="A15239" t="s">
        <v>1525</v>
      </c>
    </row>
    <row r="15240" spans="1:1" x14ac:dyDescent="0.2">
      <c r="A15240" t="s">
        <v>1526</v>
      </c>
    </row>
    <row r="15241" spans="1:1" x14ac:dyDescent="0.2">
      <c r="A15241" t="s">
        <v>1527</v>
      </c>
    </row>
    <row r="15242" spans="1:1" x14ac:dyDescent="0.2">
      <c r="A15242" t="s">
        <v>3252</v>
      </c>
    </row>
    <row r="15243" spans="1:1" x14ac:dyDescent="0.2">
      <c r="A15243" t="s">
        <v>3253</v>
      </c>
    </row>
    <row r="15244" spans="1:1" x14ac:dyDescent="0.2">
      <c r="A15244" t="s">
        <v>3291</v>
      </c>
    </row>
    <row r="15245" spans="1:1" x14ac:dyDescent="0.2">
      <c r="A15245" t="s">
        <v>3292</v>
      </c>
    </row>
    <row r="15246" spans="1:1" x14ac:dyDescent="0.2">
      <c r="A15246" t="s">
        <v>1532</v>
      </c>
    </row>
    <row r="15247" spans="1:1" x14ac:dyDescent="0.2">
      <c r="A15247" t="s">
        <v>1533</v>
      </c>
    </row>
    <row r="15248" spans="1:1" x14ac:dyDescent="0.2">
      <c r="A15248" t="s">
        <v>3295</v>
      </c>
    </row>
    <row r="15249" spans="1:1" x14ac:dyDescent="0.2">
      <c r="A15249" t="s">
        <v>1497</v>
      </c>
    </row>
    <row r="15250" spans="1:1" x14ac:dyDescent="0.2">
      <c r="A15250" t="s">
        <v>1498</v>
      </c>
    </row>
    <row r="15251" spans="1:1" x14ac:dyDescent="0.2">
      <c r="A15251" t="s">
        <v>1499</v>
      </c>
    </row>
    <row r="15252" spans="1:1" x14ac:dyDescent="0.2">
      <c r="A15252" t="s">
        <v>1500</v>
      </c>
    </row>
    <row r="15253" spans="1:1" x14ac:dyDescent="0.2">
      <c r="A15253" t="s">
        <v>1501</v>
      </c>
    </row>
    <row r="15254" spans="1:1" x14ac:dyDescent="0.2">
      <c r="A15254" t="s">
        <v>1502</v>
      </c>
    </row>
    <row r="15255" spans="1:1" x14ac:dyDescent="0.2">
      <c r="A15255" t="s">
        <v>1503</v>
      </c>
    </row>
    <row r="15256" spans="1:1" x14ac:dyDescent="0.2">
      <c r="A15256" t="s">
        <v>1504</v>
      </c>
    </row>
    <row r="15257" spans="1:1" x14ac:dyDescent="0.2">
      <c r="A15257" t="s">
        <v>1505</v>
      </c>
    </row>
    <row r="15258" spans="1:1" x14ac:dyDescent="0.2">
      <c r="A15258" t="s">
        <v>1506</v>
      </c>
    </row>
    <row r="15259" spans="1:1" x14ac:dyDescent="0.2">
      <c r="A15259" t="s">
        <v>3093</v>
      </c>
    </row>
    <row r="15260" spans="1:1" x14ac:dyDescent="0.2">
      <c r="A15260" t="s">
        <v>1507</v>
      </c>
    </row>
    <row r="15261" spans="1:1" x14ac:dyDescent="0.2">
      <c r="A15261" t="s">
        <v>1508</v>
      </c>
    </row>
    <row r="15262" spans="1:1" x14ac:dyDescent="0.2">
      <c r="A15262" t="s">
        <v>1509</v>
      </c>
    </row>
    <row r="15263" spans="1:1" x14ac:dyDescent="0.2">
      <c r="A15263" t="s">
        <v>1510</v>
      </c>
    </row>
    <row r="15264" spans="1:1" x14ac:dyDescent="0.2">
      <c r="A15264" t="s">
        <v>1511</v>
      </c>
    </row>
    <row r="15265" spans="1:1" x14ac:dyDescent="0.2">
      <c r="A15265" t="s">
        <v>1512</v>
      </c>
    </row>
    <row r="15266" spans="1:1" x14ac:dyDescent="0.2">
      <c r="A15266" t="s">
        <v>1513</v>
      </c>
    </row>
    <row r="15267" spans="1:1" x14ac:dyDescent="0.2">
      <c r="A15267" t="s">
        <v>1514</v>
      </c>
    </row>
    <row r="15268" spans="1:1" x14ac:dyDescent="0.2">
      <c r="A15268" t="s">
        <v>1515</v>
      </c>
    </row>
    <row r="15269" spans="1:1" x14ac:dyDescent="0.2">
      <c r="A15269" t="s">
        <v>1516</v>
      </c>
    </row>
    <row r="15270" spans="1:1" x14ac:dyDescent="0.2">
      <c r="A15270" t="s">
        <v>1517</v>
      </c>
    </row>
    <row r="15271" spans="1:1" x14ac:dyDescent="0.2">
      <c r="A15271" t="s">
        <v>1518</v>
      </c>
    </row>
    <row r="15272" spans="1:1" x14ac:dyDescent="0.2">
      <c r="A15272" t="s">
        <v>1519</v>
      </c>
    </row>
    <row r="15273" spans="1:1" x14ac:dyDescent="0.2">
      <c r="A15273" t="s">
        <v>1520</v>
      </c>
    </row>
    <row r="15274" spans="1:1" x14ac:dyDescent="0.2">
      <c r="A15274" t="s">
        <v>1521</v>
      </c>
    </row>
    <row r="15275" spans="1:1" x14ac:dyDescent="0.2">
      <c r="A15275" t="s">
        <v>1522</v>
      </c>
    </row>
    <row r="15276" spans="1:1" x14ac:dyDescent="0.2">
      <c r="A15276" t="s">
        <v>1523</v>
      </c>
    </row>
    <row r="15277" spans="1:1" x14ac:dyDescent="0.2">
      <c r="A15277" t="s">
        <v>1524</v>
      </c>
    </row>
    <row r="15278" spans="1:1" x14ac:dyDescent="0.2">
      <c r="A15278" t="s">
        <v>1525</v>
      </c>
    </row>
    <row r="15279" spans="1:1" x14ac:dyDescent="0.2">
      <c r="A15279" t="s">
        <v>1526</v>
      </c>
    </row>
    <row r="15280" spans="1:1" x14ac:dyDescent="0.2">
      <c r="A15280" t="s">
        <v>1527</v>
      </c>
    </row>
    <row r="15281" spans="1:1" x14ac:dyDescent="0.2">
      <c r="A15281" t="s">
        <v>1528</v>
      </c>
    </row>
    <row r="15282" spans="1:1" x14ac:dyDescent="0.2">
      <c r="A15282" t="s">
        <v>1529</v>
      </c>
    </row>
    <row r="15283" spans="1:1" x14ac:dyDescent="0.2">
      <c r="A15283" t="s">
        <v>1530</v>
      </c>
    </row>
    <row r="15284" spans="1:1" x14ac:dyDescent="0.2">
      <c r="A15284" t="s">
        <v>1531</v>
      </c>
    </row>
    <row r="15285" spans="1:1" x14ac:dyDescent="0.2">
      <c r="A15285" t="s">
        <v>1532</v>
      </c>
    </row>
    <row r="15286" spans="1:1" x14ac:dyDescent="0.2">
      <c r="A15286" t="s">
        <v>1533</v>
      </c>
    </row>
    <row r="15287" spans="1:1" x14ac:dyDescent="0.2">
      <c r="A15287" t="s">
        <v>3296</v>
      </c>
    </row>
    <row r="15288" spans="1:1" x14ac:dyDescent="0.2">
      <c r="A15288" t="s">
        <v>1497</v>
      </c>
    </row>
    <row r="15289" spans="1:1" x14ac:dyDescent="0.2">
      <c r="A15289" t="s">
        <v>1498</v>
      </c>
    </row>
    <row r="15290" spans="1:1" x14ac:dyDescent="0.2">
      <c r="A15290" t="s">
        <v>3276</v>
      </c>
    </row>
    <row r="15291" spans="1:1" x14ac:dyDescent="0.2">
      <c r="A15291" t="s">
        <v>1500</v>
      </c>
    </row>
    <row r="15292" spans="1:1" x14ac:dyDescent="0.2">
      <c r="A15292" t="s">
        <v>3284</v>
      </c>
    </row>
    <row r="15293" spans="1:1" x14ac:dyDescent="0.2">
      <c r="A15293" t="s">
        <v>1502</v>
      </c>
    </row>
    <row r="15294" spans="1:1" x14ac:dyDescent="0.2">
      <c r="A15294" t="s">
        <v>1503</v>
      </c>
    </row>
    <row r="15295" spans="1:1" x14ac:dyDescent="0.2">
      <c r="A15295" t="s">
        <v>1504</v>
      </c>
    </row>
    <row r="15296" spans="1:1" x14ac:dyDescent="0.2">
      <c r="A15296" t="s">
        <v>1505</v>
      </c>
    </row>
    <row r="15297" spans="1:1" x14ac:dyDescent="0.2">
      <c r="A15297" t="s">
        <v>1545</v>
      </c>
    </row>
    <row r="15298" spans="1:1" x14ac:dyDescent="0.2">
      <c r="A15298" t="s">
        <v>1537</v>
      </c>
    </row>
    <row r="15299" spans="1:1" x14ac:dyDescent="0.2">
      <c r="A15299" t="s">
        <v>1538</v>
      </c>
    </row>
    <row r="15300" spans="1:1" x14ac:dyDescent="0.2">
      <c r="A15300" t="s">
        <v>1508</v>
      </c>
    </row>
    <row r="15301" spans="1:1" x14ac:dyDescent="0.2">
      <c r="A15301" t="s">
        <v>1539</v>
      </c>
    </row>
    <row r="15302" spans="1:1" x14ac:dyDescent="0.2">
      <c r="A15302" t="s">
        <v>1540</v>
      </c>
    </row>
    <row r="15303" spans="1:1" x14ac:dyDescent="0.2">
      <c r="A15303" t="s">
        <v>1511</v>
      </c>
    </row>
    <row r="15304" spans="1:1" x14ac:dyDescent="0.2">
      <c r="A15304" t="s">
        <v>1541</v>
      </c>
    </row>
    <row r="15305" spans="1:1" x14ac:dyDescent="0.2">
      <c r="A15305" t="s">
        <v>1513</v>
      </c>
    </row>
    <row r="15306" spans="1:1" x14ac:dyDescent="0.2">
      <c r="A15306" t="s">
        <v>1514</v>
      </c>
    </row>
    <row r="15307" spans="1:1" x14ac:dyDescent="0.2">
      <c r="A15307" t="s">
        <v>1515</v>
      </c>
    </row>
    <row r="15308" spans="1:1" x14ac:dyDescent="0.2">
      <c r="A15308" t="s">
        <v>1516</v>
      </c>
    </row>
    <row r="15309" spans="1:1" x14ac:dyDescent="0.2">
      <c r="A15309" t="s">
        <v>1517</v>
      </c>
    </row>
    <row r="15310" spans="1:1" x14ac:dyDescent="0.2">
      <c r="A15310" t="s">
        <v>1518</v>
      </c>
    </row>
    <row r="15311" spans="1:1" x14ac:dyDescent="0.2">
      <c r="A15311" t="s">
        <v>1519</v>
      </c>
    </row>
    <row r="15312" spans="1:1" x14ac:dyDescent="0.2">
      <c r="A15312" t="s">
        <v>1520</v>
      </c>
    </row>
    <row r="15313" spans="1:1" x14ac:dyDescent="0.2">
      <c r="A15313" t="s">
        <v>1521</v>
      </c>
    </row>
    <row r="15314" spans="1:1" x14ac:dyDescent="0.2">
      <c r="A15314" t="s">
        <v>1522</v>
      </c>
    </row>
    <row r="15315" spans="1:1" x14ac:dyDescent="0.2">
      <c r="A15315" t="s">
        <v>1523</v>
      </c>
    </row>
    <row r="15316" spans="1:1" x14ac:dyDescent="0.2">
      <c r="A15316" t="s">
        <v>1524</v>
      </c>
    </row>
    <row r="15317" spans="1:1" x14ac:dyDescent="0.2">
      <c r="A15317" t="s">
        <v>1525</v>
      </c>
    </row>
    <row r="15318" spans="1:1" x14ac:dyDescent="0.2">
      <c r="A15318" t="s">
        <v>1526</v>
      </c>
    </row>
    <row r="15319" spans="1:1" x14ac:dyDescent="0.2">
      <c r="A15319" t="s">
        <v>1527</v>
      </c>
    </row>
    <row r="15320" spans="1:1" x14ac:dyDescent="0.2">
      <c r="A15320" t="s">
        <v>3252</v>
      </c>
    </row>
    <row r="15321" spans="1:1" x14ac:dyDescent="0.2">
      <c r="A15321" t="s">
        <v>3253</v>
      </c>
    </row>
    <row r="15322" spans="1:1" x14ac:dyDescent="0.2">
      <c r="A15322" t="s">
        <v>3297</v>
      </c>
    </row>
    <row r="15323" spans="1:1" x14ac:dyDescent="0.2">
      <c r="A15323" t="s">
        <v>3298</v>
      </c>
    </row>
    <row r="15324" spans="1:1" x14ac:dyDescent="0.2">
      <c r="A15324" t="s">
        <v>1532</v>
      </c>
    </row>
    <row r="15325" spans="1:1" x14ac:dyDescent="0.2">
      <c r="A15325" t="s">
        <v>1533</v>
      </c>
    </row>
    <row r="15326" spans="1:1" x14ac:dyDescent="0.2">
      <c r="A15326" t="s">
        <v>3299</v>
      </c>
    </row>
    <row r="15327" spans="1:1" x14ac:dyDescent="0.2">
      <c r="A15327" t="s">
        <v>1497</v>
      </c>
    </row>
    <row r="15328" spans="1:1" x14ac:dyDescent="0.2">
      <c r="A15328" t="s">
        <v>1498</v>
      </c>
    </row>
    <row r="15329" spans="1:1" x14ac:dyDescent="0.2">
      <c r="A15329" t="s">
        <v>1499</v>
      </c>
    </row>
    <row r="15330" spans="1:1" x14ac:dyDescent="0.2">
      <c r="A15330" t="s">
        <v>1500</v>
      </c>
    </row>
    <row r="15331" spans="1:1" x14ac:dyDescent="0.2">
      <c r="A15331" t="s">
        <v>1501</v>
      </c>
    </row>
    <row r="15332" spans="1:1" x14ac:dyDescent="0.2">
      <c r="A15332" t="s">
        <v>1502</v>
      </c>
    </row>
    <row r="15333" spans="1:1" x14ac:dyDescent="0.2">
      <c r="A15333" t="s">
        <v>1503</v>
      </c>
    </row>
    <row r="15334" spans="1:1" x14ac:dyDescent="0.2">
      <c r="A15334" t="s">
        <v>1504</v>
      </c>
    </row>
    <row r="15335" spans="1:1" x14ac:dyDescent="0.2">
      <c r="A15335" t="s">
        <v>1505</v>
      </c>
    </row>
    <row r="15336" spans="1:1" x14ac:dyDescent="0.2">
      <c r="A15336" t="s">
        <v>1506</v>
      </c>
    </row>
    <row r="15337" spans="1:1" x14ac:dyDescent="0.2">
      <c r="A15337" t="s">
        <v>3093</v>
      </c>
    </row>
    <row r="15338" spans="1:1" x14ac:dyDescent="0.2">
      <c r="A15338" t="s">
        <v>1507</v>
      </c>
    </row>
    <row r="15339" spans="1:1" x14ac:dyDescent="0.2">
      <c r="A15339" t="s">
        <v>1508</v>
      </c>
    </row>
    <row r="15340" spans="1:1" x14ac:dyDescent="0.2">
      <c r="A15340" t="s">
        <v>1509</v>
      </c>
    </row>
    <row r="15341" spans="1:1" x14ac:dyDescent="0.2">
      <c r="A15341" t="s">
        <v>1510</v>
      </c>
    </row>
    <row r="15342" spans="1:1" x14ac:dyDescent="0.2">
      <c r="A15342" t="s">
        <v>1511</v>
      </c>
    </row>
    <row r="15343" spans="1:1" x14ac:dyDescent="0.2">
      <c r="A15343" t="s">
        <v>1512</v>
      </c>
    </row>
    <row r="15344" spans="1:1" x14ac:dyDescent="0.2">
      <c r="A15344" t="s">
        <v>1513</v>
      </c>
    </row>
    <row r="15345" spans="1:1" x14ac:dyDescent="0.2">
      <c r="A15345" t="s">
        <v>1514</v>
      </c>
    </row>
    <row r="15346" spans="1:1" x14ac:dyDescent="0.2">
      <c r="A15346" t="s">
        <v>1515</v>
      </c>
    </row>
    <row r="15347" spans="1:1" x14ac:dyDescent="0.2">
      <c r="A15347" t="s">
        <v>1516</v>
      </c>
    </row>
    <row r="15348" spans="1:1" x14ac:dyDescent="0.2">
      <c r="A15348" t="s">
        <v>1517</v>
      </c>
    </row>
    <row r="15349" spans="1:1" x14ac:dyDescent="0.2">
      <c r="A15349" t="s">
        <v>1518</v>
      </c>
    </row>
    <row r="15350" spans="1:1" x14ac:dyDescent="0.2">
      <c r="A15350" t="s">
        <v>1519</v>
      </c>
    </row>
    <row r="15351" spans="1:1" x14ac:dyDescent="0.2">
      <c r="A15351" t="s">
        <v>1520</v>
      </c>
    </row>
    <row r="15352" spans="1:1" x14ac:dyDescent="0.2">
      <c r="A15352" t="s">
        <v>1521</v>
      </c>
    </row>
    <row r="15353" spans="1:1" x14ac:dyDescent="0.2">
      <c r="A15353" t="s">
        <v>1522</v>
      </c>
    </row>
    <row r="15354" spans="1:1" x14ac:dyDescent="0.2">
      <c r="A15354" t="s">
        <v>1523</v>
      </c>
    </row>
    <row r="15355" spans="1:1" x14ac:dyDescent="0.2">
      <c r="A15355" t="s">
        <v>1524</v>
      </c>
    </row>
    <row r="15356" spans="1:1" x14ac:dyDescent="0.2">
      <c r="A15356" t="s">
        <v>1525</v>
      </c>
    </row>
    <row r="15357" spans="1:1" x14ac:dyDescent="0.2">
      <c r="A15357" t="s">
        <v>1526</v>
      </c>
    </row>
    <row r="15358" spans="1:1" x14ac:dyDescent="0.2">
      <c r="A15358" t="s">
        <v>1527</v>
      </c>
    </row>
    <row r="15359" spans="1:1" x14ac:dyDescent="0.2">
      <c r="A15359" t="s">
        <v>1528</v>
      </c>
    </row>
    <row r="15360" spans="1:1" x14ac:dyDescent="0.2">
      <c r="A15360" t="s">
        <v>1529</v>
      </c>
    </row>
    <row r="15361" spans="1:1" x14ac:dyDescent="0.2">
      <c r="A15361" t="s">
        <v>1530</v>
      </c>
    </row>
    <row r="15362" spans="1:1" x14ac:dyDescent="0.2">
      <c r="A15362" t="s">
        <v>1531</v>
      </c>
    </row>
    <row r="15363" spans="1:1" x14ac:dyDescent="0.2">
      <c r="A15363" t="s">
        <v>1532</v>
      </c>
    </row>
    <row r="15364" spans="1:1" x14ac:dyDescent="0.2">
      <c r="A15364" t="s">
        <v>1533</v>
      </c>
    </row>
    <row r="15365" spans="1:1" x14ac:dyDescent="0.2">
      <c r="A15365" t="s">
        <v>3300</v>
      </c>
    </row>
    <row r="15366" spans="1:1" x14ac:dyDescent="0.2">
      <c r="A15366" t="s">
        <v>1497</v>
      </c>
    </row>
    <row r="15367" spans="1:1" x14ac:dyDescent="0.2">
      <c r="A15367" t="s">
        <v>1498</v>
      </c>
    </row>
    <row r="15368" spans="1:1" x14ac:dyDescent="0.2">
      <c r="A15368" t="s">
        <v>3276</v>
      </c>
    </row>
    <row r="15369" spans="1:1" x14ac:dyDescent="0.2">
      <c r="A15369" t="s">
        <v>1500</v>
      </c>
    </row>
    <row r="15370" spans="1:1" x14ac:dyDescent="0.2">
      <c r="A15370" t="s">
        <v>3277</v>
      </c>
    </row>
    <row r="15371" spans="1:1" x14ac:dyDescent="0.2">
      <c r="A15371" t="s">
        <v>1502</v>
      </c>
    </row>
    <row r="15372" spans="1:1" x14ac:dyDescent="0.2">
      <c r="A15372" t="s">
        <v>1503</v>
      </c>
    </row>
    <row r="15373" spans="1:1" x14ac:dyDescent="0.2">
      <c r="A15373" t="s">
        <v>1504</v>
      </c>
    </row>
    <row r="15374" spans="1:1" x14ac:dyDescent="0.2">
      <c r="A15374" t="s">
        <v>1505</v>
      </c>
    </row>
    <row r="15375" spans="1:1" x14ac:dyDescent="0.2">
      <c r="A15375" t="s">
        <v>1545</v>
      </c>
    </row>
    <row r="15376" spans="1:1" x14ac:dyDescent="0.2">
      <c r="A15376" t="s">
        <v>1537</v>
      </c>
    </row>
    <row r="15377" spans="1:1" x14ac:dyDescent="0.2">
      <c r="A15377" t="s">
        <v>1538</v>
      </c>
    </row>
    <row r="15378" spans="1:1" x14ac:dyDescent="0.2">
      <c r="A15378" t="s">
        <v>1508</v>
      </c>
    </row>
    <row r="15379" spans="1:1" x14ac:dyDescent="0.2">
      <c r="A15379" t="s">
        <v>1539</v>
      </c>
    </row>
    <row r="15380" spans="1:1" x14ac:dyDescent="0.2">
      <c r="A15380" t="s">
        <v>1540</v>
      </c>
    </row>
    <row r="15381" spans="1:1" x14ac:dyDescent="0.2">
      <c r="A15381" t="s">
        <v>1511</v>
      </c>
    </row>
    <row r="15382" spans="1:1" x14ac:dyDescent="0.2">
      <c r="A15382" t="s">
        <v>1541</v>
      </c>
    </row>
    <row r="15383" spans="1:1" x14ac:dyDescent="0.2">
      <c r="A15383" t="s">
        <v>1513</v>
      </c>
    </row>
    <row r="15384" spans="1:1" x14ac:dyDescent="0.2">
      <c r="A15384" t="s">
        <v>1514</v>
      </c>
    </row>
    <row r="15385" spans="1:1" x14ac:dyDescent="0.2">
      <c r="A15385" t="s">
        <v>1515</v>
      </c>
    </row>
    <row r="15386" spans="1:1" x14ac:dyDescent="0.2">
      <c r="A15386" t="s">
        <v>1516</v>
      </c>
    </row>
    <row r="15387" spans="1:1" x14ac:dyDescent="0.2">
      <c r="A15387" t="s">
        <v>1517</v>
      </c>
    </row>
    <row r="15388" spans="1:1" x14ac:dyDescent="0.2">
      <c r="A15388" t="s">
        <v>1518</v>
      </c>
    </row>
    <row r="15389" spans="1:1" x14ac:dyDescent="0.2">
      <c r="A15389" t="s">
        <v>1519</v>
      </c>
    </row>
    <row r="15390" spans="1:1" x14ac:dyDescent="0.2">
      <c r="A15390" t="s">
        <v>1520</v>
      </c>
    </row>
    <row r="15391" spans="1:1" x14ac:dyDescent="0.2">
      <c r="A15391" t="s">
        <v>1521</v>
      </c>
    </row>
    <row r="15392" spans="1:1" x14ac:dyDescent="0.2">
      <c r="A15392" t="s">
        <v>1522</v>
      </c>
    </row>
    <row r="15393" spans="1:1" x14ac:dyDescent="0.2">
      <c r="A15393" t="s">
        <v>1523</v>
      </c>
    </row>
    <row r="15394" spans="1:1" x14ac:dyDescent="0.2">
      <c r="A15394" t="s">
        <v>1524</v>
      </c>
    </row>
    <row r="15395" spans="1:1" x14ac:dyDescent="0.2">
      <c r="A15395" t="s">
        <v>1525</v>
      </c>
    </row>
    <row r="15396" spans="1:1" x14ac:dyDescent="0.2">
      <c r="A15396" t="s">
        <v>1526</v>
      </c>
    </row>
    <row r="15397" spans="1:1" x14ac:dyDescent="0.2">
      <c r="A15397" t="s">
        <v>1527</v>
      </c>
    </row>
    <row r="15398" spans="1:1" x14ac:dyDescent="0.2">
      <c r="A15398" t="s">
        <v>3108</v>
      </c>
    </row>
    <row r="15399" spans="1:1" x14ac:dyDescent="0.2">
      <c r="A15399" t="s">
        <v>3109</v>
      </c>
    </row>
    <row r="15400" spans="1:1" x14ac:dyDescent="0.2">
      <c r="A15400" t="s">
        <v>3301</v>
      </c>
    </row>
    <row r="15401" spans="1:1" x14ac:dyDescent="0.2">
      <c r="A15401" t="s">
        <v>3302</v>
      </c>
    </row>
    <row r="15402" spans="1:1" x14ac:dyDescent="0.2">
      <c r="A15402" t="s">
        <v>1532</v>
      </c>
    </row>
    <row r="15403" spans="1:1" x14ac:dyDescent="0.2">
      <c r="A15403" t="s">
        <v>1533</v>
      </c>
    </row>
    <row r="15404" spans="1:1" x14ac:dyDescent="0.2">
      <c r="A15404" t="s">
        <v>3303</v>
      </c>
    </row>
    <row r="15405" spans="1:1" x14ac:dyDescent="0.2">
      <c r="A15405" t="s">
        <v>1497</v>
      </c>
    </row>
    <row r="15406" spans="1:1" x14ac:dyDescent="0.2">
      <c r="A15406" t="s">
        <v>1498</v>
      </c>
    </row>
    <row r="15407" spans="1:1" x14ac:dyDescent="0.2">
      <c r="A15407" t="s">
        <v>3276</v>
      </c>
    </row>
    <row r="15408" spans="1:1" x14ac:dyDescent="0.2">
      <c r="A15408" t="s">
        <v>1500</v>
      </c>
    </row>
    <row r="15409" spans="1:1" x14ac:dyDescent="0.2">
      <c r="A15409" t="s">
        <v>3288</v>
      </c>
    </row>
    <row r="15410" spans="1:1" x14ac:dyDescent="0.2">
      <c r="A15410" t="s">
        <v>1502</v>
      </c>
    </row>
    <row r="15411" spans="1:1" x14ac:dyDescent="0.2">
      <c r="A15411" t="s">
        <v>1503</v>
      </c>
    </row>
    <row r="15412" spans="1:1" x14ac:dyDescent="0.2">
      <c r="A15412" t="s">
        <v>1504</v>
      </c>
    </row>
    <row r="15413" spans="1:1" x14ac:dyDescent="0.2">
      <c r="A15413" t="s">
        <v>1505</v>
      </c>
    </row>
    <row r="15414" spans="1:1" x14ac:dyDescent="0.2">
      <c r="A15414" t="s">
        <v>1536</v>
      </c>
    </row>
    <row r="15415" spans="1:1" x14ac:dyDescent="0.2">
      <c r="A15415" t="s">
        <v>1537</v>
      </c>
    </row>
    <row r="15416" spans="1:1" x14ac:dyDescent="0.2">
      <c r="A15416" t="s">
        <v>1538</v>
      </c>
    </row>
    <row r="15417" spans="1:1" x14ac:dyDescent="0.2">
      <c r="A15417" t="s">
        <v>1508</v>
      </c>
    </row>
    <row r="15418" spans="1:1" x14ac:dyDescent="0.2">
      <c r="A15418" t="s">
        <v>1539</v>
      </c>
    </row>
    <row r="15419" spans="1:1" x14ac:dyDescent="0.2">
      <c r="A15419" t="s">
        <v>1540</v>
      </c>
    </row>
    <row r="15420" spans="1:1" x14ac:dyDescent="0.2">
      <c r="A15420" t="s">
        <v>1511</v>
      </c>
    </row>
    <row r="15421" spans="1:1" x14ac:dyDescent="0.2">
      <c r="A15421" t="s">
        <v>1541</v>
      </c>
    </row>
    <row r="15422" spans="1:1" x14ac:dyDescent="0.2">
      <c r="A15422" t="s">
        <v>1513</v>
      </c>
    </row>
    <row r="15423" spans="1:1" x14ac:dyDescent="0.2">
      <c r="A15423" t="s">
        <v>1514</v>
      </c>
    </row>
    <row r="15424" spans="1:1" x14ac:dyDescent="0.2">
      <c r="A15424" t="s">
        <v>1515</v>
      </c>
    </row>
    <row r="15425" spans="1:1" x14ac:dyDescent="0.2">
      <c r="A15425" t="s">
        <v>1516</v>
      </c>
    </row>
    <row r="15426" spans="1:1" x14ac:dyDescent="0.2">
      <c r="A15426" t="s">
        <v>1517</v>
      </c>
    </row>
    <row r="15427" spans="1:1" x14ac:dyDescent="0.2">
      <c r="A15427" t="s">
        <v>1518</v>
      </c>
    </row>
    <row r="15428" spans="1:1" x14ac:dyDescent="0.2">
      <c r="A15428" t="s">
        <v>1519</v>
      </c>
    </row>
    <row r="15429" spans="1:1" x14ac:dyDescent="0.2">
      <c r="A15429" t="s">
        <v>1520</v>
      </c>
    </row>
    <row r="15430" spans="1:1" x14ac:dyDescent="0.2">
      <c r="A15430" t="s">
        <v>1521</v>
      </c>
    </row>
    <row r="15431" spans="1:1" x14ac:dyDescent="0.2">
      <c r="A15431" t="s">
        <v>1522</v>
      </c>
    </row>
    <row r="15432" spans="1:1" x14ac:dyDescent="0.2">
      <c r="A15432" t="s">
        <v>1523</v>
      </c>
    </row>
    <row r="15433" spans="1:1" x14ac:dyDescent="0.2">
      <c r="A15433" t="s">
        <v>1524</v>
      </c>
    </row>
    <row r="15434" spans="1:1" x14ac:dyDescent="0.2">
      <c r="A15434" t="s">
        <v>1525</v>
      </c>
    </row>
    <row r="15435" spans="1:1" x14ac:dyDescent="0.2">
      <c r="A15435" t="s">
        <v>1526</v>
      </c>
    </row>
    <row r="15436" spans="1:1" x14ac:dyDescent="0.2">
      <c r="A15436" t="s">
        <v>1527</v>
      </c>
    </row>
    <row r="15437" spans="1:1" x14ac:dyDescent="0.2">
      <c r="A15437" t="s">
        <v>3108</v>
      </c>
    </row>
    <row r="15438" spans="1:1" x14ac:dyDescent="0.2">
      <c r="A15438" t="s">
        <v>3109</v>
      </c>
    </row>
    <row r="15439" spans="1:1" x14ac:dyDescent="0.2">
      <c r="A15439" t="s">
        <v>3301</v>
      </c>
    </row>
    <row r="15440" spans="1:1" x14ac:dyDescent="0.2">
      <c r="A15440" t="s">
        <v>3302</v>
      </c>
    </row>
    <row r="15441" spans="1:1" x14ac:dyDescent="0.2">
      <c r="A15441" t="s">
        <v>1532</v>
      </c>
    </row>
    <row r="15442" spans="1:1" x14ac:dyDescent="0.2">
      <c r="A15442" t="s">
        <v>1533</v>
      </c>
    </row>
    <row r="15443" spans="1:1" x14ac:dyDescent="0.2">
      <c r="A15443" t="s">
        <v>3304</v>
      </c>
    </row>
    <row r="15444" spans="1:1" x14ac:dyDescent="0.2">
      <c r="A15444" t="s">
        <v>1497</v>
      </c>
    </row>
    <row r="15445" spans="1:1" x14ac:dyDescent="0.2">
      <c r="A15445" t="s">
        <v>1498</v>
      </c>
    </row>
    <row r="15446" spans="1:1" x14ac:dyDescent="0.2">
      <c r="A15446" t="s">
        <v>3276</v>
      </c>
    </row>
    <row r="15447" spans="1:1" x14ac:dyDescent="0.2">
      <c r="A15447" t="s">
        <v>1500</v>
      </c>
    </row>
    <row r="15448" spans="1:1" x14ac:dyDescent="0.2">
      <c r="A15448" t="s">
        <v>3281</v>
      </c>
    </row>
    <row r="15449" spans="1:1" x14ac:dyDescent="0.2">
      <c r="A15449" t="s">
        <v>1502</v>
      </c>
    </row>
    <row r="15450" spans="1:1" x14ac:dyDescent="0.2">
      <c r="A15450" t="s">
        <v>1503</v>
      </c>
    </row>
    <row r="15451" spans="1:1" x14ac:dyDescent="0.2">
      <c r="A15451" t="s">
        <v>1504</v>
      </c>
    </row>
    <row r="15452" spans="1:1" x14ac:dyDescent="0.2">
      <c r="A15452" t="s">
        <v>1505</v>
      </c>
    </row>
    <row r="15453" spans="1:1" x14ac:dyDescent="0.2">
      <c r="A15453" t="s">
        <v>1506</v>
      </c>
    </row>
    <row r="15454" spans="1:1" x14ac:dyDescent="0.2">
      <c r="A15454" t="s">
        <v>1537</v>
      </c>
    </row>
    <row r="15455" spans="1:1" x14ac:dyDescent="0.2">
      <c r="A15455" t="s">
        <v>1538</v>
      </c>
    </row>
    <row r="15456" spans="1:1" x14ac:dyDescent="0.2">
      <c r="A15456" t="s">
        <v>1508</v>
      </c>
    </row>
    <row r="15457" spans="1:1" x14ac:dyDescent="0.2">
      <c r="A15457" t="s">
        <v>1539</v>
      </c>
    </row>
    <row r="15458" spans="1:1" x14ac:dyDescent="0.2">
      <c r="A15458" t="s">
        <v>1540</v>
      </c>
    </row>
    <row r="15459" spans="1:1" x14ac:dyDescent="0.2">
      <c r="A15459" t="s">
        <v>1511</v>
      </c>
    </row>
    <row r="15460" spans="1:1" x14ac:dyDescent="0.2">
      <c r="A15460" t="s">
        <v>1541</v>
      </c>
    </row>
    <row r="15461" spans="1:1" x14ac:dyDescent="0.2">
      <c r="A15461" t="s">
        <v>1513</v>
      </c>
    </row>
    <row r="15462" spans="1:1" x14ac:dyDescent="0.2">
      <c r="A15462" t="s">
        <v>1514</v>
      </c>
    </row>
    <row r="15463" spans="1:1" x14ac:dyDescent="0.2">
      <c r="A15463" t="s">
        <v>1515</v>
      </c>
    </row>
    <row r="15464" spans="1:1" x14ac:dyDescent="0.2">
      <c r="A15464" t="s">
        <v>1516</v>
      </c>
    </row>
    <row r="15465" spans="1:1" x14ac:dyDescent="0.2">
      <c r="A15465" t="s">
        <v>1517</v>
      </c>
    </row>
    <row r="15466" spans="1:1" x14ac:dyDescent="0.2">
      <c r="A15466" t="s">
        <v>1518</v>
      </c>
    </row>
    <row r="15467" spans="1:1" x14ac:dyDescent="0.2">
      <c r="A15467" t="s">
        <v>1519</v>
      </c>
    </row>
    <row r="15468" spans="1:1" x14ac:dyDescent="0.2">
      <c r="A15468" t="s">
        <v>1520</v>
      </c>
    </row>
    <row r="15469" spans="1:1" x14ac:dyDescent="0.2">
      <c r="A15469" t="s">
        <v>1521</v>
      </c>
    </row>
    <row r="15470" spans="1:1" x14ac:dyDescent="0.2">
      <c r="A15470" t="s">
        <v>1522</v>
      </c>
    </row>
    <row r="15471" spans="1:1" x14ac:dyDescent="0.2">
      <c r="A15471" t="s">
        <v>1523</v>
      </c>
    </row>
    <row r="15472" spans="1:1" x14ac:dyDescent="0.2">
      <c r="A15472" t="s">
        <v>1524</v>
      </c>
    </row>
    <row r="15473" spans="1:1" x14ac:dyDescent="0.2">
      <c r="A15473" t="s">
        <v>1525</v>
      </c>
    </row>
    <row r="15474" spans="1:1" x14ac:dyDescent="0.2">
      <c r="A15474" t="s">
        <v>1526</v>
      </c>
    </row>
    <row r="15475" spans="1:1" x14ac:dyDescent="0.2">
      <c r="A15475" t="s">
        <v>1527</v>
      </c>
    </row>
    <row r="15476" spans="1:1" x14ac:dyDescent="0.2">
      <c r="A15476" t="s">
        <v>3108</v>
      </c>
    </row>
    <row r="15477" spans="1:1" x14ac:dyDescent="0.2">
      <c r="A15477" t="s">
        <v>3109</v>
      </c>
    </row>
    <row r="15478" spans="1:1" x14ac:dyDescent="0.2">
      <c r="A15478" t="s">
        <v>3301</v>
      </c>
    </row>
    <row r="15479" spans="1:1" x14ac:dyDescent="0.2">
      <c r="A15479" t="s">
        <v>3302</v>
      </c>
    </row>
    <row r="15480" spans="1:1" x14ac:dyDescent="0.2">
      <c r="A15480" t="s">
        <v>1532</v>
      </c>
    </row>
    <row r="15481" spans="1:1" x14ac:dyDescent="0.2">
      <c r="A15481" t="s">
        <v>1533</v>
      </c>
    </row>
    <row r="15482" spans="1:1" x14ac:dyDescent="0.2">
      <c r="A15482" t="s">
        <v>3305</v>
      </c>
    </row>
    <row r="15483" spans="1:1" x14ac:dyDescent="0.2">
      <c r="A15483" t="s">
        <v>1497</v>
      </c>
    </row>
    <row r="15484" spans="1:1" x14ac:dyDescent="0.2">
      <c r="A15484" t="s">
        <v>1498</v>
      </c>
    </row>
    <row r="15485" spans="1:1" x14ac:dyDescent="0.2">
      <c r="A15485" t="s">
        <v>1499</v>
      </c>
    </row>
    <row r="15486" spans="1:1" x14ac:dyDescent="0.2">
      <c r="A15486" t="s">
        <v>1500</v>
      </c>
    </row>
    <row r="15487" spans="1:1" x14ac:dyDescent="0.2">
      <c r="A15487" t="s">
        <v>1501</v>
      </c>
    </row>
    <row r="15488" spans="1:1" x14ac:dyDescent="0.2">
      <c r="A15488" t="s">
        <v>1502</v>
      </c>
    </row>
    <row r="15489" spans="1:1" x14ac:dyDescent="0.2">
      <c r="A15489" t="s">
        <v>1503</v>
      </c>
    </row>
    <row r="15490" spans="1:1" x14ac:dyDescent="0.2">
      <c r="A15490" t="s">
        <v>1504</v>
      </c>
    </row>
    <row r="15491" spans="1:1" x14ac:dyDescent="0.2">
      <c r="A15491" t="s">
        <v>1505</v>
      </c>
    </row>
    <row r="15492" spans="1:1" x14ac:dyDescent="0.2">
      <c r="A15492" t="s">
        <v>1506</v>
      </c>
    </row>
    <row r="15493" spans="1:1" x14ac:dyDescent="0.2">
      <c r="A15493" t="s">
        <v>3093</v>
      </c>
    </row>
    <row r="15494" spans="1:1" x14ac:dyDescent="0.2">
      <c r="A15494" t="s">
        <v>1507</v>
      </c>
    </row>
    <row r="15495" spans="1:1" x14ac:dyDescent="0.2">
      <c r="A15495" t="s">
        <v>1508</v>
      </c>
    </row>
    <row r="15496" spans="1:1" x14ac:dyDescent="0.2">
      <c r="A15496" t="s">
        <v>1509</v>
      </c>
    </row>
    <row r="15497" spans="1:1" x14ac:dyDescent="0.2">
      <c r="A15497" t="s">
        <v>1510</v>
      </c>
    </row>
    <row r="15498" spans="1:1" x14ac:dyDescent="0.2">
      <c r="A15498" t="s">
        <v>1511</v>
      </c>
    </row>
    <row r="15499" spans="1:1" x14ac:dyDescent="0.2">
      <c r="A15499" t="s">
        <v>1512</v>
      </c>
    </row>
    <row r="15500" spans="1:1" x14ac:dyDescent="0.2">
      <c r="A15500" t="s">
        <v>1513</v>
      </c>
    </row>
    <row r="15501" spans="1:1" x14ac:dyDescent="0.2">
      <c r="A15501" t="s">
        <v>1514</v>
      </c>
    </row>
    <row r="15502" spans="1:1" x14ac:dyDescent="0.2">
      <c r="A15502" t="s">
        <v>1515</v>
      </c>
    </row>
    <row r="15503" spans="1:1" x14ac:dyDescent="0.2">
      <c r="A15503" t="s">
        <v>1516</v>
      </c>
    </row>
    <row r="15504" spans="1:1" x14ac:dyDescent="0.2">
      <c r="A15504" t="s">
        <v>1517</v>
      </c>
    </row>
    <row r="15505" spans="1:1" x14ac:dyDescent="0.2">
      <c r="A15505" t="s">
        <v>1518</v>
      </c>
    </row>
    <row r="15506" spans="1:1" x14ac:dyDescent="0.2">
      <c r="A15506" t="s">
        <v>1519</v>
      </c>
    </row>
    <row r="15507" spans="1:1" x14ac:dyDescent="0.2">
      <c r="A15507" t="s">
        <v>1520</v>
      </c>
    </row>
    <row r="15508" spans="1:1" x14ac:dyDescent="0.2">
      <c r="A15508" t="s">
        <v>1521</v>
      </c>
    </row>
    <row r="15509" spans="1:1" x14ac:dyDescent="0.2">
      <c r="A15509" t="s">
        <v>1522</v>
      </c>
    </row>
    <row r="15510" spans="1:1" x14ac:dyDescent="0.2">
      <c r="A15510" t="s">
        <v>1523</v>
      </c>
    </row>
    <row r="15511" spans="1:1" x14ac:dyDescent="0.2">
      <c r="A15511" t="s">
        <v>1524</v>
      </c>
    </row>
    <row r="15512" spans="1:1" x14ac:dyDescent="0.2">
      <c r="A15512" t="s">
        <v>1525</v>
      </c>
    </row>
    <row r="15513" spans="1:1" x14ac:dyDescent="0.2">
      <c r="A15513" t="s">
        <v>1526</v>
      </c>
    </row>
    <row r="15514" spans="1:1" x14ac:dyDescent="0.2">
      <c r="A15514" t="s">
        <v>1527</v>
      </c>
    </row>
    <row r="15515" spans="1:1" x14ac:dyDescent="0.2">
      <c r="A15515" t="s">
        <v>1528</v>
      </c>
    </row>
    <row r="15516" spans="1:1" x14ac:dyDescent="0.2">
      <c r="A15516" t="s">
        <v>1529</v>
      </c>
    </row>
    <row r="15517" spans="1:1" x14ac:dyDescent="0.2">
      <c r="A15517" t="s">
        <v>1530</v>
      </c>
    </row>
    <row r="15518" spans="1:1" x14ac:dyDescent="0.2">
      <c r="A15518" t="s">
        <v>1531</v>
      </c>
    </row>
    <row r="15519" spans="1:1" x14ac:dyDescent="0.2">
      <c r="A15519" t="s">
        <v>1532</v>
      </c>
    </row>
    <row r="15520" spans="1:1" x14ac:dyDescent="0.2">
      <c r="A15520" t="s">
        <v>1533</v>
      </c>
    </row>
    <row r="15521" spans="1:1" x14ac:dyDescent="0.2">
      <c r="A15521" t="s">
        <v>3306</v>
      </c>
    </row>
    <row r="15522" spans="1:1" x14ac:dyDescent="0.2">
      <c r="A15522" t="s">
        <v>1497</v>
      </c>
    </row>
    <row r="15523" spans="1:1" x14ac:dyDescent="0.2">
      <c r="A15523" t="s">
        <v>1498</v>
      </c>
    </row>
    <row r="15524" spans="1:1" x14ac:dyDescent="0.2">
      <c r="A15524" t="s">
        <v>3307</v>
      </c>
    </row>
    <row r="15525" spans="1:1" x14ac:dyDescent="0.2">
      <c r="A15525" t="s">
        <v>1500</v>
      </c>
    </row>
    <row r="15526" spans="1:1" x14ac:dyDescent="0.2">
      <c r="A15526" t="s">
        <v>3249</v>
      </c>
    </row>
    <row r="15527" spans="1:1" x14ac:dyDescent="0.2">
      <c r="A15527" t="s">
        <v>1502</v>
      </c>
    </row>
    <row r="15528" spans="1:1" x14ac:dyDescent="0.2">
      <c r="A15528" t="s">
        <v>1503</v>
      </c>
    </row>
    <row r="15529" spans="1:1" x14ac:dyDescent="0.2">
      <c r="A15529" t="s">
        <v>1504</v>
      </c>
    </row>
    <row r="15530" spans="1:1" x14ac:dyDescent="0.2">
      <c r="A15530" t="s">
        <v>1505</v>
      </c>
    </row>
    <row r="15531" spans="1:1" x14ac:dyDescent="0.2">
      <c r="A15531" t="s">
        <v>1506</v>
      </c>
    </row>
    <row r="15532" spans="1:1" x14ac:dyDescent="0.2">
      <c r="A15532" t="s">
        <v>1537</v>
      </c>
    </row>
    <row r="15533" spans="1:1" x14ac:dyDescent="0.2">
      <c r="A15533" t="s">
        <v>1538</v>
      </c>
    </row>
    <row r="15534" spans="1:1" x14ac:dyDescent="0.2">
      <c r="A15534" t="s">
        <v>1508</v>
      </c>
    </row>
    <row r="15535" spans="1:1" x14ac:dyDescent="0.2">
      <c r="A15535" t="s">
        <v>3308</v>
      </c>
    </row>
    <row r="15536" spans="1:1" x14ac:dyDescent="0.2">
      <c r="A15536" t="s">
        <v>3309</v>
      </c>
    </row>
    <row r="15537" spans="1:1" x14ac:dyDescent="0.2">
      <c r="A15537" t="s">
        <v>1511</v>
      </c>
    </row>
    <row r="15538" spans="1:1" x14ac:dyDescent="0.2">
      <c r="A15538" t="s">
        <v>1541</v>
      </c>
    </row>
    <row r="15539" spans="1:1" x14ac:dyDescent="0.2">
      <c r="A15539" t="s">
        <v>1513</v>
      </c>
    </row>
    <row r="15540" spans="1:1" x14ac:dyDescent="0.2">
      <c r="A15540" t="s">
        <v>1514</v>
      </c>
    </row>
    <row r="15541" spans="1:1" x14ac:dyDescent="0.2">
      <c r="A15541" t="s">
        <v>1515</v>
      </c>
    </row>
    <row r="15542" spans="1:1" x14ac:dyDescent="0.2">
      <c r="A15542" t="s">
        <v>1516</v>
      </c>
    </row>
    <row r="15543" spans="1:1" x14ac:dyDescent="0.2">
      <c r="A15543" t="s">
        <v>1517</v>
      </c>
    </row>
    <row r="15544" spans="1:1" x14ac:dyDescent="0.2">
      <c r="A15544" t="s">
        <v>1518</v>
      </c>
    </row>
    <row r="15545" spans="1:1" x14ac:dyDescent="0.2">
      <c r="A15545" t="s">
        <v>1519</v>
      </c>
    </row>
    <row r="15546" spans="1:1" x14ac:dyDescent="0.2">
      <c r="A15546" t="s">
        <v>1520</v>
      </c>
    </row>
    <row r="15547" spans="1:1" x14ac:dyDescent="0.2">
      <c r="A15547" t="s">
        <v>1521</v>
      </c>
    </row>
    <row r="15548" spans="1:1" x14ac:dyDescent="0.2">
      <c r="A15548" t="s">
        <v>1522</v>
      </c>
    </row>
    <row r="15549" spans="1:1" x14ac:dyDescent="0.2">
      <c r="A15549" t="s">
        <v>1523</v>
      </c>
    </row>
    <row r="15550" spans="1:1" x14ac:dyDescent="0.2">
      <c r="A15550" t="s">
        <v>1524</v>
      </c>
    </row>
    <row r="15551" spans="1:1" x14ac:dyDescent="0.2">
      <c r="A15551" t="s">
        <v>1525</v>
      </c>
    </row>
    <row r="15552" spans="1:1" x14ac:dyDescent="0.2">
      <c r="A15552" t="s">
        <v>1526</v>
      </c>
    </row>
    <row r="15553" spans="1:1" x14ac:dyDescent="0.2">
      <c r="A15553" t="s">
        <v>1527</v>
      </c>
    </row>
    <row r="15554" spans="1:1" x14ac:dyDescent="0.2">
      <c r="A15554" t="s">
        <v>3252</v>
      </c>
    </row>
    <row r="15555" spans="1:1" x14ac:dyDescent="0.2">
      <c r="A15555" t="s">
        <v>3253</v>
      </c>
    </row>
    <row r="15556" spans="1:1" x14ac:dyDescent="0.2">
      <c r="A15556" t="s">
        <v>3310</v>
      </c>
    </row>
    <row r="15557" spans="1:1" x14ac:dyDescent="0.2">
      <c r="A15557" t="s">
        <v>3311</v>
      </c>
    </row>
    <row r="15558" spans="1:1" x14ac:dyDescent="0.2">
      <c r="A15558" t="s">
        <v>1532</v>
      </c>
    </row>
    <row r="15559" spans="1:1" x14ac:dyDescent="0.2">
      <c r="A15559" t="s">
        <v>1533</v>
      </c>
    </row>
    <row r="15560" spans="1:1" x14ac:dyDescent="0.2">
      <c r="A15560" t="s">
        <v>3312</v>
      </c>
    </row>
    <row r="15561" spans="1:1" x14ac:dyDescent="0.2">
      <c r="A15561" t="s">
        <v>1497</v>
      </c>
    </row>
    <row r="15562" spans="1:1" x14ac:dyDescent="0.2">
      <c r="A15562" t="s">
        <v>1498</v>
      </c>
    </row>
    <row r="15563" spans="1:1" x14ac:dyDescent="0.2">
      <c r="A15563" t="s">
        <v>3307</v>
      </c>
    </row>
    <row r="15564" spans="1:1" x14ac:dyDescent="0.2">
      <c r="A15564" t="s">
        <v>1500</v>
      </c>
    </row>
    <row r="15565" spans="1:1" x14ac:dyDescent="0.2">
      <c r="A15565" t="s">
        <v>3284</v>
      </c>
    </row>
    <row r="15566" spans="1:1" x14ac:dyDescent="0.2">
      <c r="A15566" t="s">
        <v>1502</v>
      </c>
    </row>
    <row r="15567" spans="1:1" x14ac:dyDescent="0.2">
      <c r="A15567" t="s">
        <v>1503</v>
      </c>
    </row>
    <row r="15568" spans="1:1" x14ac:dyDescent="0.2">
      <c r="A15568" t="s">
        <v>1504</v>
      </c>
    </row>
    <row r="15569" spans="1:1" x14ac:dyDescent="0.2">
      <c r="A15569" t="s">
        <v>1505</v>
      </c>
    </row>
    <row r="15570" spans="1:1" x14ac:dyDescent="0.2">
      <c r="A15570" t="s">
        <v>1545</v>
      </c>
    </row>
    <row r="15571" spans="1:1" x14ac:dyDescent="0.2">
      <c r="A15571" t="s">
        <v>1537</v>
      </c>
    </row>
    <row r="15572" spans="1:1" x14ac:dyDescent="0.2">
      <c r="A15572" t="s">
        <v>1538</v>
      </c>
    </row>
    <row r="15573" spans="1:1" x14ac:dyDescent="0.2">
      <c r="A15573" t="s">
        <v>1508</v>
      </c>
    </row>
    <row r="15574" spans="1:1" x14ac:dyDescent="0.2">
      <c r="A15574" t="s">
        <v>3308</v>
      </c>
    </row>
    <row r="15575" spans="1:1" x14ac:dyDescent="0.2">
      <c r="A15575" t="s">
        <v>3309</v>
      </c>
    </row>
    <row r="15576" spans="1:1" x14ac:dyDescent="0.2">
      <c r="A15576" t="s">
        <v>1511</v>
      </c>
    </row>
    <row r="15577" spans="1:1" x14ac:dyDescent="0.2">
      <c r="A15577" t="s">
        <v>1541</v>
      </c>
    </row>
    <row r="15578" spans="1:1" x14ac:dyDescent="0.2">
      <c r="A15578" t="s">
        <v>1513</v>
      </c>
    </row>
    <row r="15579" spans="1:1" x14ac:dyDescent="0.2">
      <c r="A15579" t="s">
        <v>1514</v>
      </c>
    </row>
    <row r="15580" spans="1:1" x14ac:dyDescent="0.2">
      <c r="A15580" t="s">
        <v>1515</v>
      </c>
    </row>
    <row r="15581" spans="1:1" x14ac:dyDescent="0.2">
      <c r="A15581" t="s">
        <v>1516</v>
      </c>
    </row>
    <row r="15582" spans="1:1" x14ac:dyDescent="0.2">
      <c r="A15582" t="s">
        <v>1517</v>
      </c>
    </row>
    <row r="15583" spans="1:1" x14ac:dyDescent="0.2">
      <c r="A15583" t="s">
        <v>1518</v>
      </c>
    </row>
    <row r="15584" spans="1:1" x14ac:dyDescent="0.2">
      <c r="A15584" t="s">
        <v>1519</v>
      </c>
    </row>
    <row r="15585" spans="1:1" x14ac:dyDescent="0.2">
      <c r="A15585" t="s">
        <v>1520</v>
      </c>
    </row>
    <row r="15586" spans="1:1" x14ac:dyDescent="0.2">
      <c r="A15586" t="s">
        <v>1521</v>
      </c>
    </row>
    <row r="15587" spans="1:1" x14ac:dyDescent="0.2">
      <c r="A15587" t="s">
        <v>1522</v>
      </c>
    </row>
    <row r="15588" spans="1:1" x14ac:dyDescent="0.2">
      <c r="A15588" t="s">
        <v>1523</v>
      </c>
    </row>
    <row r="15589" spans="1:1" x14ac:dyDescent="0.2">
      <c r="A15589" t="s">
        <v>1524</v>
      </c>
    </row>
    <row r="15590" spans="1:1" x14ac:dyDescent="0.2">
      <c r="A15590" t="s">
        <v>1525</v>
      </c>
    </row>
    <row r="15591" spans="1:1" x14ac:dyDescent="0.2">
      <c r="A15591" t="s">
        <v>1526</v>
      </c>
    </row>
    <row r="15592" spans="1:1" x14ac:dyDescent="0.2">
      <c r="A15592" t="s">
        <v>1527</v>
      </c>
    </row>
    <row r="15593" spans="1:1" x14ac:dyDescent="0.2">
      <c r="A15593" t="s">
        <v>3252</v>
      </c>
    </row>
    <row r="15594" spans="1:1" x14ac:dyDescent="0.2">
      <c r="A15594" t="s">
        <v>3253</v>
      </c>
    </row>
    <row r="15595" spans="1:1" x14ac:dyDescent="0.2">
      <c r="A15595" t="s">
        <v>3310</v>
      </c>
    </row>
    <row r="15596" spans="1:1" x14ac:dyDescent="0.2">
      <c r="A15596" t="s">
        <v>3311</v>
      </c>
    </row>
    <row r="15597" spans="1:1" x14ac:dyDescent="0.2">
      <c r="A15597" t="s">
        <v>1532</v>
      </c>
    </row>
    <row r="15598" spans="1:1" x14ac:dyDescent="0.2">
      <c r="A15598" t="s">
        <v>1533</v>
      </c>
    </row>
    <row r="15599" spans="1:1" x14ac:dyDescent="0.2">
      <c r="A15599" t="s">
        <v>3313</v>
      </c>
    </row>
    <row r="15600" spans="1:1" x14ac:dyDescent="0.2">
      <c r="A15600" t="s">
        <v>1497</v>
      </c>
    </row>
    <row r="15601" spans="1:1" x14ac:dyDescent="0.2">
      <c r="A15601" t="s">
        <v>1498</v>
      </c>
    </row>
    <row r="15602" spans="1:1" x14ac:dyDescent="0.2">
      <c r="A15602" t="s">
        <v>3307</v>
      </c>
    </row>
    <row r="15603" spans="1:1" x14ac:dyDescent="0.2">
      <c r="A15603" t="s">
        <v>1500</v>
      </c>
    </row>
    <row r="15604" spans="1:1" x14ac:dyDescent="0.2">
      <c r="A15604" t="s">
        <v>3294</v>
      </c>
    </row>
    <row r="15605" spans="1:1" x14ac:dyDescent="0.2">
      <c r="A15605" t="s">
        <v>1502</v>
      </c>
    </row>
    <row r="15606" spans="1:1" x14ac:dyDescent="0.2">
      <c r="A15606" t="s">
        <v>1503</v>
      </c>
    </row>
    <row r="15607" spans="1:1" x14ac:dyDescent="0.2">
      <c r="A15607" t="s">
        <v>1504</v>
      </c>
    </row>
    <row r="15608" spans="1:1" x14ac:dyDescent="0.2">
      <c r="A15608" t="s">
        <v>1505</v>
      </c>
    </row>
    <row r="15609" spans="1:1" x14ac:dyDescent="0.2">
      <c r="A15609" t="s">
        <v>1536</v>
      </c>
    </row>
    <row r="15610" spans="1:1" x14ac:dyDescent="0.2">
      <c r="A15610" t="s">
        <v>1537</v>
      </c>
    </row>
    <row r="15611" spans="1:1" x14ac:dyDescent="0.2">
      <c r="A15611" t="s">
        <v>1538</v>
      </c>
    </row>
    <row r="15612" spans="1:1" x14ac:dyDescent="0.2">
      <c r="A15612" t="s">
        <v>1508</v>
      </c>
    </row>
    <row r="15613" spans="1:1" x14ac:dyDescent="0.2">
      <c r="A15613" t="s">
        <v>3308</v>
      </c>
    </row>
    <row r="15614" spans="1:1" x14ac:dyDescent="0.2">
      <c r="A15614" t="s">
        <v>3309</v>
      </c>
    </row>
    <row r="15615" spans="1:1" x14ac:dyDescent="0.2">
      <c r="A15615" t="s">
        <v>1511</v>
      </c>
    </row>
    <row r="15616" spans="1:1" x14ac:dyDescent="0.2">
      <c r="A15616" t="s">
        <v>1541</v>
      </c>
    </row>
    <row r="15617" spans="1:1" x14ac:dyDescent="0.2">
      <c r="A15617" t="s">
        <v>1513</v>
      </c>
    </row>
    <row r="15618" spans="1:1" x14ac:dyDescent="0.2">
      <c r="A15618" t="s">
        <v>1514</v>
      </c>
    </row>
    <row r="15619" spans="1:1" x14ac:dyDescent="0.2">
      <c r="A15619" t="s">
        <v>1515</v>
      </c>
    </row>
    <row r="15620" spans="1:1" x14ac:dyDescent="0.2">
      <c r="A15620" t="s">
        <v>1516</v>
      </c>
    </row>
    <row r="15621" spans="1:1" x14ac:dyDescent="0.2">
      <c r="A15621" t="s">
        <v>1517</v>
      </c>
    </row>
    <row r="15622" spans="1:1" x14ac:dyDescent="0.2">
      <c r="A15622" t="s">
        <v>1518</v>
      </c>
    </row>
    <row r="15623" spans="1:1" x14ac:dyDescent="0.2">
      <c r="A15623" t="s">
        <v>1519</v>
      </c>
    </row>
    <row r="15624" spans="1:1" x14ac:dyDescent="0.2">
      <c r="A15624" t="s">
        <v>1520</v>
      </c>
    </row>
    <row r="15625" spans="1:1" x14ac:dyDescent="0.2">
      <c r="A15625" t="s">
        <v>1521</v>
      </c>
    </row>
    <row r="15626" spans="1:1" x14ac:dyDescent="0.2">
      <c r="A15626" t="s">
        <v>1522</v>
      </c>
    </row>
    <row r="15627" spans="1:1" x14ac:dyDescent="0.2">
      <c r="A15627" t="s">
        <v>1523</v>
      </c>
    </row>
    <row r="15628" spans="1:1" x14ac:dyDescent="0.2">
      <c r="A15628" t="s">
        <v>1524</v>
      </c>
    </row>
    <row r="15629" spans="1:1" x14ac:dyDescent="0.2">
      <c r="A15629" t="s">
        <v>1525</v>
      </c>
    </row>
    <row r="15630" spans="1:1" x14ac:dyDescent="0.2">
      <c r="A15630" t="s">
        <v>1526</v>
      </c>
    </row>
    <row r="15631" spans="1:1" x14ac:dyDescent="0.2">
      <c r="A15631" t="s">
        <v>1527</v>
      </c>
    </row>
    <row r="15632" spans="1:1" x14ac:dyDescent="0.2">
      <c r="A15632" t="s">
        <v>3252</v>
      </c>
    </row>
    <row r="15633" spans="1:1" x14ac:dyDescent="0.2">
      <c r="A15633" t="s">
        <v>3253</v>
      </c>
    </row>
    <row r="15634" spans="1:1" x14ac:dyDescent="0.2">
      <c r="A15634" t="s">
        <v>3310</v>
      </c>
    </row>
    <row r="15635" spans="1:1" x14ac:dyDescent="0.2">
      <c r="A15635" t="s">
        <v>3311</v>
      </c>
    </row>
    <row r="15636" spans="1:1" x14ac:dyDescent="0.2">
      <c r="A15636" t="s">
        <v>1532</v>
      </c>
    </row>
    <row r="15637" spans="1:1" x14ac:dyDescent="0.2">
      <c r="A15637" t="s">
        <v>1533</v>
      </c>
    </row>
    <row r="15638" spans="1:1" x14ac:dyDescent="0.2">
      <c r="A15638" t="s">
        <v>3314</v>
      </c>
    </row>
    <row r="15639" spans="1:1" x14ac:dyDescent="0.2">
      <c r="A15639" t="s">
        <v>1497</v>
      </c>
    </row>
    <row r="15640" spans="1:1" x14ac:dyDescent="0.2">
      <c r="A15640" t="s">
        <v>1498</v>
      </c>
    </row>
    <row r="15641" spans="1:1" x14ac:dyDescent="0.2">
      <c r="A15641" t="s">
        <v>1499</v>
      </c>
    </row>
    <row r="15642" spans="1:1" x14ac:dyDescent="0.2">
      <c r="A15642" t="s">
        <v>1500</v>
      </c>
    </row>
    <row r="15643" spans="1:1" x14ac:dyDescent="0.2">
      <c r="A15643" t="s">
        <v>1501</v>
      </c>
    </row>
    <row r="15644" spans="1:1" x14ac:dyDescent="0.2">
      <c r="A15644" t="s">
        <v>1502</v>
      </c>
    </row>
    <row r="15645" spans="1:1" x14ac:dyDescent="0.2">
      <c r="A15645" t="s">
        <v>1503</v>
      </c>
    </row>
    <row r="15646" spans="1:1" x14ac:dyDescent="0.2">
      <c r="A15646" t="s">
        <v>1504</v>
      </c>
    </row>
    <row r="15647" spans="1:1" x14ac:dyDescent="0.2">
      <c r="A15647" t="s">
        <v>1505</v>
      </c>
    </row>
    <row r="15648" spans="1:1" x14ac:dyDescent="0.2">
      <c r="A15648" t="s">
        <v>1506</v>
      </c>
    </row>
    <row r="15649" spans="1:1" x14ac:dyDescent="0.2">
      <c r="A15649" t="s">
        <v>3093</v>
      </c>
    </row>
    <row r="15650" spans="1:1" x14ac:dyDescent="0.2">
      <c r="A15650" t="s">
        <v>1507</v>
      </c>
    </row>
    <row r="15651" spans="1:1" x14ac:dyDescent="0.2">
      <c r="A15651" t="s">
        <v>1508</v>
      </c>
    </row>
    <row r="15652" spans="1:1" x14ac:dyDescent="0.2">
      <c r="A15652" t="s">
        <v>1509</v>
      </c>
    </row>
    <row r="15653" spans="1:1" x14ac:dyDescent="0.2">
      <c r="A15653" t="s">
        <v>1510</v>
      </c>
    </row>
    <row r="15654" spans="1:1" x14ac:dyDescent="0.2">
      <c r="A15654" t="s">
        <v>1511</v>
      </c>
    </row>
    <row r="15655" spans="1:1" x14ac:dyDescent="0.2">
      <c r="A15655" t="s">
        <v>1512</v>
      </c>
    </row>
    <row r="15656" spans="1:1" x14ac:dyDescent="0.2">
      <c r="A15656" t="s">
        <v>1513</v>
      </c>
    </row>
    <row r="15657" spans="1:1" x14ac:dyDescent="0.2">
      <c r="A15657" t="s">
        <v>1514</v>
      </c>
    </row>
    <row r="15658" spans="1:1" x14ac:dyDescent="0.2">
      <c r="A15658" t="s">
        <v>1515</v>
      </c>
    </row>
    <row r="15659" spans="1:1" x14ac:dyDescent="0.2">
      <c r="A15659" t="s">
        <v>1516</v>
      </c>
    </row>
    <row r="15660" spans="1:1" x14ac:dyDescent="0.2">
      <c r="A15660" t="s">
        <v>1517</v>
      </c>
    </row>
    <row r="15661" spans="1:1" x14ac:dyDescent="0.2">
      <c r="A15661" t="s">
        <v>1518</v>
      </c>
    </row>
    <row r="15662" spans="1:1" x14ac:dyDescent="0.2">
      <c r="A15662" t="s">
        <v>1519</v>
      </c>
    </row>
    <row r="15663" spans="1:1" x14ac:dyDescent="0.2">
      <c r="A15663" t="s">
        <v>1520</v>
      </c>
    </row>
    <row r="15664" spans="1:1" x14ac:dyDescent="0.2">
      <c r="A15664" t="s">
        <v>1521</v>
      </c>
    </row>
    <row r="15665" spans="1:1" x14ac:dyDescent="0.2">
      <c r="A15665" t="s">
        <v>1522</v>
      </c>
    </row>
    <row r="15666" spans="1:1" x14ac:dyDescent="0.2">
      <c r="A15666" t="s">
        <v>1523</v>
      </c>
    </row>
    <row r="15667" spans="1:1" x14ac:dyDescent="0.2">
      <c r="A15667" t="s">
        <v>1524</v>
      </c>
    </row>
    <row r="15668" spans="1:1" x14ac:dyDescent="0.2">
      <c r="A15668" t="s">
        <v>1525</v>
      </c>
    </row>
    <row r="15669" spans="1:1" x14ac:dyDescent="0.2">
      <c r="A15669" t="s">
        <v>1526</v>
      </c>
    </row>
    <row r="15670" spans="1:1" x14ac:dyDescent="0.2">
      <c r="A15670" t="s">
        <v>1527</v>
      </c>
    </row>
    <row r="15671" spans="1:1" x14ac:dyDescent="0.2">
      <c r="A15671" t="s">
        <v>1528</v>
      </c>
    </row>
    <row r="15672" spans="1:1" x14ac:dyDescent="0.2">
      <c r="A15672" t="s">
        <v>1529</v>
      </c>
    </row>
    <row r="15673" spans="1:1" x14ac:dyDescent="0.2">
      <c r="A15673" t="s">
        <v>1530</v>
      </c>
    </row>
    <row r="15674" spans="1:1" x14ac:dyDescent="0.2">
      <c r="A15674" t="s">
        <v>1531</v>
      </c>
    </row>
    <row r="15675" spans="1:1" x14ac:dyDescent="0.2">
      <c r="A15675" t="s">
        <v>1532</v>
      </c>
    </row>
    <row r="15676" spans="1:1" x14ac:dyDescent="0.2">
      <c r="A15676" t="s">
        <v>1533</v>
      </c>
    </row>
    <row r="15677" spans="1:1" x14ac:dyDescent="0.2">
      <c r="A15677" t="s">
        <v>1580</v>
      </c>
    </row>
    <row r="15678" spans="1:1" x14ac:dyDescent="0.2">
      <c r="A15678" t="s">
        <v>1581</v>
      </c>
    </row>
    <row r="15679" spans="1:1" x14ac:dyDescent="0.2">
      <c r="A15679" t="s">
        <v>1582</v>
      </c>
    </row>
    <row r="15680" spans="1:1" x14ac:dyDescent="0.2">
      <c r="A15680" t="s">
        <v>1583</v>
      </c>
    </row>
    <row r="15681" spans="1:1" x14ac:dyDescent="0.2">
      <c r="A15681" t="s">
        <v>1584</v>
      </c>
    </row>
    <row r="15682" spans="1:1" x14ac:dyDescent="0.2">
      <c r="A15682" t="s">
        <v>1585</v>
      </c>
    </row>
    <row r="15683" spans="1:1" x14ac:dyDescent="0.2">
      <c r="A15683" t="s">
        <v>1586</v>
      </c>
    </row>
    <row r="15684" spans="1:1" x14ac:dyDescent="0.2">
      <c r="A15684" t="s">
        <v>1587</v>
      </c>
    </row>
    <row r="15685" spans="1:1" x14ac:dyDescent="0.2">
      <c r="A15685" t="s">
        <v>1588</v>
      </c>
    </row>
    <row r="15686" spans="1:1" x14ac:dyDescent="0.2">
      <c r="A15686" t="s">
        <v>1589</v>
      </c>
    </row>
    <row r="15687" spans="1:1" x14ac:dyDescent="0.2">
      <c r="A15687" t="s">
        <v>1590</v>
      </c>
    </row>
    <row r="15688" spans="1:1" x14ac:dyDescent="0.2">
      <c r="A15688" t="s">
        <v>1591</v>
      </c>
    </row>
    <row r="15689" spans="1:1" x14ac:dyDescent="0.2">
      <c r="A15689" t="s">
        <v>1592</v>
      </c>
    </row>
    <row r="15690" spans="1:1" x14ac:dyDescent="0.2">
      <c r="A15690" t="s">
        <v>3315</v>
      </c>
    </row>
    <row r="15691" spans="1:1" x14ac:dyDescent="0.2">
      <c r="A15691" t="s">
        <v>1593</v>
      </c>
    </row>
    <row r="15692" spans="1:1" x14ac:dyDescent="0.2">
      <c r="A15692" t="s">
        <v>1594</v>
      </c>
    </row>
    <row r="15693" spans="1:1" x14ac:dyDescent="0.2">
      <c r="A15693" t="s">
        <v>1595</v>
      </c>
    </row>
    <row r="15694" spans="1:1" x14ac:dyDescent="0.2">
      <c r="A15694" t="s">
        <v>3316</v>
      </c>
    </row>
    <row r="15695" spans="1:1" x14ac:dyDescent="0.2">
      <c r="A15695" t="s">
        <v>1597</v>
      </c>
    </row>
    <row r="15696" spans="1:1" x14ac:dyDescent="0.2">
      <c r="A15696" t="s">
        <v>1598</v>
      </c>
    </row>
    <row r="15697" spans="1:1" x14ac:dyDescent="0.2">
      <c r="A15697" t="s">
        <v>1599</v>
      </c>
    </row>
    <row r="15698" spans="1:1" x14ac:dyDescent="0.2">
      <c r="A15698" t="s">
        <v>1600</v>
      </c>
    </row>
    <row r="15699" spans="1:1" x14ac:dyDescent="0.2">
      <c r="A15699" t="s">
        <v>1601</v>
      </c>
    </row>
    <row r="15700" spans="1:1" x14ac:dyDescent="0.2">
      <c r="A15700" t="s">
        <v>1602</v>
      </c>
    </row>
    <row r="15701" spans="1:1" x14ac:dyDescent="0.2">
      <c r="A15701" t="s">
        <v>1603</v>
      </c>
    </row>
    <row r="15702" spans="1:1" x14ac:dyDescent="0.2">
      <c r="A15702" t="s">
        <v>1604</v>
      </c>
    </row>
    <row r="15703" spans="1:1" x14ac:dyDescent="0.2">
      <c r="A15703" t="s">
        <v>1605</v>
      </c>
    </row>
    <row r="15704" spans="1:1" x14ac:dyDescent="0.2">
      <c r="A15704" t="s">
        <v>1606</v>
      </c>
    </row>
    <row r="15705" spans="1:1" x14ac:dyDescent="0.2">
      <c r="A15705" t="s">
        <v>1607</v>
      </c>
    </row>
    <row r="15706" spans="1:1" x14ac:dyDescent="0.2">
      <c r="A15706" t="s">
        <v>1608</v>
      </c>
    </row>
    <row r="15707" spans="1:1" x14ac:dyDescent="0.2">
      <c r="A15707" t="s">
        <v>1609</v>
      </c>
    </row>
    <row r="15708" spans="1:1" x14ac:dyDescent="0.2">
      <c r="A15708" t="s">
        <v>1610</v>
      </c>
    </row>
    <row r="15709" spans="1:1" x14ac:dyDescent="0.2">
      <c r="A15709" t="s">
        <v>1611</v>
      </c>
    </row>
    <row r="15710" spans="1:1" x14ac:dyDescent="0.2">
      <c r="A15710" t="s">
        <v>1612</v>
      </c>
    </row>
    <row r="15711" spans="1:1" x14ac:dyDescent="0.2">
      <c r="A15711" t="s">
        <v>1613</v>
      </c>
    </row>
    <row r="15712" spans="1:1" x14ac:dyDescent="0.2">
      <c r="A15712" t="s">
        <v>1614</v>
      </c>
    </row>
    <row r="15713" spans="1:1" x14ac:dyDescent="0.2">
      <c r="A15713" t="s">
        <v>1615</v>
      </c>
    </row>
    <row r="15714" spans="1:1" x14ac:dyDescent="0.2">
      <c r="A15714" t="s">
        <v>1616</v>
      </c>
    </row>
    <row r="15715" spans="1:1" x14ac:dyDescent="0.2">
      <c r="A15715" t="s">
        <v>1617</v>
      </c>
    </row>
    <row r="15716" spans="1:1" x14ac:dyDescent="0.2">
      <c r="A15716" t="s">
        <v>1618</v>
      </c>
    </row>
    <row r="15717" spans="1:1" x14ac:dyDescent="0.2">
      <c r="A15717" t="s">
        <v>1619</v>
      </c>
    </row>
    <row r="15718" spans="1:1" x14ac:dyDescent="0.2">
      <c r="A15718" t="s">
        <v>1620</v>
      </c>
    </row>
    <row r="15719" spans="1:1" x14ac:dyDescent="0.2">
      <c r="A15719" t="s">
        <v>1621</v>
      </c>
    </row>
    <row r="15720" spans="1:1" x14ac:dyDescent="0.2">
      <c r="A15720" t="s">
        <v>1622</v>
      </c>
    </row>
    <row r="15721" spans="1:1" x14ac:dyDescent="0.2">
      <c r="A15721" t="s">
        <v>1623</v>
      </c>
    </row>
    <row r="15722" spans="1:1" x14ac:dyDescent="0.2">
      <c r="A15722" t="s">
        <v>1624</v>
      </c>
    </row>
    <row r="15723" spans="1:1" x14ac:dyDescent="0.2">
      <c r="A15723" t="s">
        <v>1625</v>
      </c>
    </row>
    <row r="15724" spans="1:1" x14ac:dyDescent="0.2">
      <c r="A15724" t="s">
        <v>1626</v>
      </c>
    </row>
    <row r="15725" spans="1:1" x14ac:dyDescent="0.2">
      <c r="A15725" t="s">
        <v>1627</v>
      </c>
    </row>
    <row r="15726" spans="1:1" x14ac:dyDescent="0.2">
      <c r="A15726" t="s">
        <v>1628</v>
      </c>
    </row>
    <row r="15727" spans="1:1" x14ac:dyDescent="0.2">
      <c r="A15727" t="s">
        <v>1663</v>
      </c>
    </row>
    <row r="15728" spans="1:1" x14ac:dyDescent="0.2">
      <c r="A15728" t="s">
        <v>3317</v>
      </c>
    </row>
    <row r="15729" spans="1:1" x14ac:dyDescent="0.2">
      <c r="A15729" t="s">
        <v>1643</v>
      </c>
    </row>
    <row r="15730" spans="1:1" x14ac:dyDescent="0.2">
      <c r="A15730" t="s">
        <v>1631</v>
      </c>
    </row>
    <row r="15731" spans="1:1" x14ac:dyDescent="0.2">
      <c r="A15731" t="s">
        <v>3318</v>
      </c>
    </row>
    <row r="15732" spans="1:1" x14ac:dyDescent="0.2">
      <c r="A15732" t="s">
        <v>3319</v>
      </c>
    </row>
    <row r="15733" spans="1:1" x14ac:dyDescent="0.2">
      <c r="A15733" t="s">
        <v>1600</v>
      </c>
    </row>
    <row r="15734" spans="1:1" x14ac:dyDescent="0.2">
      <c r="A15734" t="s">
        <v>1633</v>
      </c>
    </row>
    <row r="15735" spans="1:1" x14ac:dyDescent="0.2">
      <c r="A15735" t="s">
        <v>3320</v>
      </c>
    </row>
    <row r="15736" spans="1:1" x14ac:dyDescent="0.2">
      <c r="A15736" t="s">
        <v>1635</v>
      </c>
    </row>
    <row r="15737" spans="1:1" x14ac:dyDescent="0.2">
      <c r="A15737" t="s">
        <v>3321</v>
      </c>
    </row>
    <row r="15738" spans="1:1" x14ac:dyDescent="0.2">
      <c r="A15738" t="s">
        <v>1605</v>
      </c>
    </row>
    <row r="15739" spans="1:1" x14ac:dyDescent="0.2">
      <c r="A15739" t="s">
        <v>1606</v>
      </c>
    </row>
    <row r="15740" spans="1:1" x14ac:dyDescent="0.2">
      <c r="A15740" t="s">
        <v>1607</v>
      </c>
    </row>
    <row r="15741" spans="1:1" x14ac:dyDescent="0.2">
      <c r="A15741" t="s">
        <v>1608</v>
      </c>
    </row>
    <row r="15742" spans="1:1" x14ac:dyDescent="0.2">
      <c r="A15742" t="s">
        <v>1609</v>
      </c>
    </row>
    <row r="15743" spans="1:1" x14ac:dyDescent="0.2">
      <c r="A15743" t="s">
        <v>1610</v>
      </c>
    </row>
    <row r="15744" spans="1:1" x14ac:dyDescent="0.2">
      <c r="A15744" t="s">
        <v>3322</v>
      </c>
    </row>
    <row r="15745" spans="1:1" x14ac:dyDescent="0.2">
      <c r="A15745" t="s">
        <v>3323</v>
      </c>
    </row>
    <row r="15746" spans="1:1" x14ac:dyDescent="0.2">
      <c r="A15746" t="s">
        <v>3324</v>
      </c>
    </row>
    <row r="15747" spans="1:1" x14ac:dyDescent="0.2">
      <c r="A15747" t="s">
        <v>3325</v>
      </c>
    </row>
    <row r="15748" spans="1:1" x14ac:dyDescent="0.2">
      <c r="A15748" t="s">
        <v>3326</v>
      </c>
    </row>
    <row r="15749" spans="1:1" x14ac:dyDescent="0.2">
      <c r="A15749" t="s">
        <v>3327</v>
      </c>
    </row>
    <row r="15750" spans="1:1" x14ac:dyDescent="0.2">
      <c r="A15750" t="s">
        <v>3328</v>
      </c>
    </row>
    <row r="15751" spans="1:1" x14ac:dyDescent="0.2">
      <c r="A15751" t="s">
        <v>3329</v>
      </c>
    </row>
    <row r="15752" spans="1:1" x14ac:dyDescent="0.2">
      <c r="A15752" t="s">
        <v>3330</v>
      </c>
    </row>
    <row r="15753" spans="1:1" x14ac:dyDescent="0.2">
      <c r="A15753" t="s">
        <v>3331</v>
      </c>
    </row>
    <row r="15754" spans="1:1" x14ac:dyDescent="0.2">
      <c r="A15754" t="s">
        <v>3332</v>
      </c>
    </row>
    <row r="15755" spans="1:1" x14ac:dyDescent="0.2">
      <c r="A15755" t="s">
        <v>3333</v>
      </c>
    </row>
    <row r="15756" spans="1:1" x14ac:dyDescent="0.2">
      <c r="A15756" t="s">
        <v>3334</v>
      </c>
    </row>
    <row r="15757" spans="1:1" x14ac:dyDescent="0.2">
      <c r="A15757" t="s">
        <v>3335</v>
      </c>
    </row>
    <row r="15758" spans="1:1" x14ac:dyDescent="0.2">
      <c r="A15758" t="s">
        <v>3336</v>
      </c>
    </row>
    <row r="15759" spans="1:1" x14ac:dyDescent="0.2">
      <c r="A15759" t="s">
        <v>3337</v>
      </c>
    </row>
    <row r="15760" spans="1:1" x14ac:dyDescent="0.2">
      <c r="A15760" t="s">
        <v>3338</v>
      </c>
    </row>
    <row r="15761" spans="1:1" x14ac:dyDescent="0.2">
      <c r="A15761" t="s">
        <v>1629</v>
      </c>
    </row>
    <row r="15762" spans="1:1" x14ac:dyDescent="0.2">
      <c r="A15762" t="s">
        <v>1663</v>
      </c>
    </row>
    <row r="15763" spans="1:1" x14ac:dyDescent="0.2">
      <c r="A15763" t="s">
        <v>3317</v>
      </c>
    </row>
    <row r="15764" spans="1:1" x14ac:dyDescent="0.2">
      <c r="A15764" t="s">
        <v>1643</v>
      </c>
    </row>
    <row r="15765" spans="1:1" x14ac:dyDescent="0.2">
      <c r="A15765" t="s">
        <v>1631</v>
      </c>
    </row>
    <row r="15766" spans="1:1" x14ac:dyDescent="0.2">
      <c r="A15766" t="s">
        <v>3318</v>
      </c>
    </row>
    <row r="15767" spans="1:1" x14ac:dyDescent="0.2">
      <c r="A15767" t="s">
        <v>3319</v>
      </c>
    </row>
    <row r="15768" spans="1:1" x14ac:dyDescent="0.2">
      <c r="A15768" t="s">
        <v>1600</v>
      </c>
    </row>
    <row r="15769" spans="1:1" x14ac:dyDescent="0.2">
      <c r="A15769" t="s">
        <v>1639</v>
      </c>
    </row>
    <row r="15770" spans="1:1" x14ac:dyDescent="0.2">
      <c r="A15770" t="s">
        <v>3320</v>
      </c>
    </row>
    <row r="15771" spans="1:1" x14ac:dyDescent="0.2">
      <c r="A15771" t="s">
        <v>1635</v>
      </c>
    </row>
    <row r="15772" spans="1:1" x14ac:dyDescent="0.2">
      <c r="A15772" t="s">
        <v>3321</v>
      </c>
    </row>
    <row r="15773" spans="1:1" x14ac:dyDescent="0.2">
      <c r="A15773" t="s">
        <v>1605</v>
      </c>
    </row>
    <row r="15774" spans="1:1" x14ac:dyDescent="0.2">
      <c r="A15774" t="s">
        <v>1606</v>
      </c>
    </row>
    <row r="15775" spans="1:1" x14ac:dyDescent="0.2">
      <c r="A15775" t="s">
        <v>1607</v>
      </c>
    </row>
    <row r="15776" spans="1:1" x14ac:dyDescent="0.2">
      <c r="A15776" t="s">
        <v>1608</v>
      </c>
    </row>
    <row r="15777" spans="1:1" x14ac:dyDescent="0.2">
      <c r="A15777" t="s">
        <v>1609</v>
      </c>
    </row>
    <row r="15778" spans="1:1" x14ac:dyDescent="0.2">
      <c r="A15778" t="s">
        <v>1610</v>
      </c>
    </row>
    <row r="15779" spans="1:1" x14ac:dyDescent="0.2">
      <c r="A15779" t="s">
        <v>3322</v>
      </c>
    </row>
    <row r="15780" spans="1:1" x14ac:dyDescent="0.2">
      <c r="A15780" t="s">
        <v>3323</v>
      </c>
    </row>
    <row r="15781" spans="1:1" x14ac:dyDescent="0.2">
      <c r="A15781" t="s">
        <v>3324</v>
      </c>
    </row>
    <row r="15782" spans="1:1" x14ac:dyDescent="0.2">
      <c r="A15782" t="s">
        <v>3325</v>
      </c>
    </row>
    <row r="15783" spans="1:1" x14ac:dyDescent="0.2">
      <c r="A15783" t="s">
        <v>3326</v>
      </c>
    </row>
    <row r="15784" spans="1:1" x14ac:dyDescent="0.2">
      <c r="A15784" t="s">
        <v>3327</v>
      </c>
    </row>
    <row r="15785" spans="1:1" x14ac:dyDescent="0.2">
      <c r="A15785" t="s">
        <v>3328</v>
      </c>
    </row>
    <row r="15786" spans="1:1" x14ac:dyDescent="0.2">
      <c r="A15786" t="s">
        <v>3329</v>
      </c>
    </row>
    <row r="15787" spans="1:1" x14ac:dyDescent="0.2">
      <c r="A15787" t="s">
        <v>3330</v>
      </c>
    </row>
    <row r="15788" spans="1:1" x14ac:dyDescent="0.2">
      <c r="A15788" t="s">
        <v>3331</v>
      </c>
    </row>
    <row r="15789" spans="1:1" x14ac:dyDescent="0.2">
      <c r="A15789" t="s">
        <v>3332</v>
      </c>
    </row>
    <row r="15790" spans="1:1" x14ac:dyDescent="0.2">
      <c r="A15790" t="s">
        <v>3333</v>
      </c>
    </row>
    <row r="15791" spans="1:1" x14ac:dyDescent="0.2">
      <c r="A15791" t="s">
        <v>3334</v>
      </c>
    </row>
    <row r="15792" spans="1:1" x14ac:dyDescent="0.2">
      <c r="A15792" t="s">
        <v>3335</v>
      </c>
    </row>
    <row r="15793" spans="1:1" x14ac:dyDescent="0.2">
      <c r="A15793" t="s">
        <v>3336</v>
      </c>
    </row>
    <row r="15794" spans="1:1" x14ac:dyDescent="0.2">
      <c r="A15794" t="s">
        <v>3337</v>
      </c>
    </row>
    <row r="15795" spans="1:1" x14ac:dyDescent="0.2">
      <c r="A15795" t="s">
        <v>3338</v>
      </c>
    </row>
    <row r="15796" spans="1:1" x14ac:dyDescent="0.2">
      <c r="A15796" t="s">
        <v>1638</v>
      </c>
    </row>
    <row r="15797" spans="1:1" x14ac:dyDescent="0.2">
      <c r="A15797" t="s">
        <v>1663</v>
      </c>
    </row>
    <row r="15798" spans="1:1" x14ac:dyDescent="0.2">
      <c r="A15798" t="s">
        <v>3317</v>
      </c>
    </row>
    <row r="15799" spans="1:1" x14ac:dyDescent="0.2">
      <c r="A15799" t="s">
        <v>1643</v>
      </c>
    </row>
    <row r="15800" spans="1:1" x14ac:dyDescent="0.2">
      <c r="A15800" t="s">
        <v>1631</v>
      </c>
    </row>
    <row r="15801" spans="1:1" x14ac:dyDescent="0.2">
      <c r="A15801" t="s">
        <v>3318</v>
      </c>
    </row>
    <row r="15802" spans="1:1" x14ac:dyDescent="0.2">
      <c r="A15802" t="s">
        <v>3319</v>
      </c>
    </row>
    <row r="15803" spans="1:1" x14ac:dyDescent="0.2">
      <c r="A15803" t="s">
        <v>1600</v>
      </c>
    </row>
    <row r="15804" spans="1:1" x14ac:dyDescent="0.2">
      <c r="A15804" t="s">
        <v>1601</v>
      </c>
    </row>
    <row r="15805" spans="1:1" x14ac:dyDescent="0.2">
      <c r="A15805" t="s">
        <v>3320</v>
      </c>
    </row>
    <row r="15806" spans="1:1" x14ac:dyDescent="0.2">
      <c r="A15806" t="s">
        <v>1635</v>
      </c>
    </row>
    <row r="15807" spans="1:1" x14ac:dyDescent="0.2">
      <c r="A15807" t="s">
        <v>3321</v>
      </c>
    </row>
    <row r="15808" spans="1:1" x14ac:dyDescent="0.2">
      <c r="A15808" t="s">
        <v>1605</v>
      </c>
    </row>
    <row r="15809" spans="1:1" x14ac:dyDescent="0.2">
      <c r="A15809" t="s">
        <v>1606</v>
      </c>
    </row>
    <row r="15810" spans="1:1" x14ac:dyDescent="0.2">
      <c r="A15810" t="s">
        <v>1607</v>
      </c>
    </row>
    <row r="15811" spans="1:1" x14ac:dyDescent="0.2">
      <c r="A15811" t="s">
        <v>1608</v>
      </c>
    </row>
    <row r="15812" spans="1:1" x14ac:dyDescent="0.2">
      <c r="A15812" t="s">
        <v>1609</v>
      </c>
    </row>
    <row r="15813" spans="1:1" x14ac:dyDescent="0.2">
      <c r="A15813" t="s">
        <v>1610</v>
      </c>
    </row>
    <row r="15814" spans="1:1" x14ac:dyDescent="0.2">
      <c r="A15814" t="s">
        <v>3322</v>
      </c>
    </row>
    <row r="15815" spans="1:1" x14ac:dyDescent="0.2">
      <c r="A15815" t="s">
        <v>3323</v>
      </c>
    </row>
    <row r="15816" spans="1:1" x14ac:dyDescent="0.2">
      <c r="A15816" t="s">
        <v>3324</v>
      </c>
    </row>
    <row r="15817" spans="1:1" x14ac:dyDescent="0.2">
      <c r="A15817" t="s">
        <v>3325</v>
      </c>
    </row>
    <row r="15818" spans="1:1" x14ac:dyDescent="0.2">
      <c r="A15818" t="s">
        <v>3326</v>
      </c>
    </row>
    <row r="15819" spans="1:1" x14ac:dyDescent="0.2">
      <c r="A15819" t="s">
        <v>3327</v>
      </c>
    </row>
    <row r="15820" spans="1:1" x14ac:dyDescent="0.2">
      <c r="A15820" t="s">
        <v>3328</v>
      </c>
    </row>
    <row r="15821" spans="1:1" x14ac:dyDescent="0.2">
      <c r="A15821" t="s">
        <v>3329</v>
      </c>
    </row>
    <row r="15822" spans="1:1" x14ac:dyDescent="0.2">
      <c r="A15822" t="s">
        <v>3330</v>
      </c>
    </row>
    <row r="15823" spans="1:1" x14ac:dyDescent="0.2">
      <c r="A15823" t="s">
        <v>3331</v>
      </c>
    </row>
    <row r="15824" spans="1:1" x14ac:dyDescent="0.2">
      <c r="A15824" t="s">
        <v>3332</v>
      </c>
    </row>
    <row r="15825" spans="1:1" x14ac:dyDescent="0.2">
      <c r="A15825" t="s">
        <v>3333</v>
      </c>
    </row>
    <row r="15826" spans="1:1" x14ac:dyDescent="0.2">
      <c r="A15826" t="s">
        <v>3334</v>
      </c>
    </row>
    <row r="15827" spans="1:1" x14ac:dyDescent="0.2">
      <c r="A15827" t="s">
        <v>3335</v>
      </c>
    </row>
    <row r="15828" spans="1:1" x14ac:dyDescent="0.2">
      <c r="A15828" t="s">
        <v>3336</v>
      </c>
    </row>
    <row r="15829" spans="1:1" x14ac:dyDescent="0.2">
      <c r="A15829" t="s">
        <v>3337</v>
      </c>
    </row>
    <row r="15830" spans="1:1" x14ac:dyDescent="0.2">
      <c r="A15830" t="s">
        <v>3338</v>
      </c>
    </row>
    <row r="15831" spans="1:1" x14ac:dyDescent="0.2">
      <c r="A15831" t="s">
        <v>1640</v>
      </c>
    </row>
    <row r="15832" spans="1:1" x14ac:dyDescent="0.2">
      <c r="A15832" t="s">
        <v>1594</v>
      </c>
    </row>
    <row r="15833" spans="1:1" x14ac:dyDescent="0.2">
      <c r="A15833" t="s">
        <v>1642</v>
      </c>
    </row>
    <row r="15834" spans="1:1" x14ac:dyDescent="0.2">
      <c r="A15834" t="s">
        <v>3339</v>
      </c>
    </row>
    <row r="15835" spans="1:1" x14ac:dyDescent="0.2">
      <c r="A15835" t="s">
        <v>1631</v>
      </c>
    </row>
    <row r="15836" spans="1:1" x14ac:dyDescent="0.2">
      <c r="A15836" t="s">
        <v>1632</v>
      </c>
    </row>
    <row r="15837" spans="1:1" x14ac:dyDescent="0.2">
      <c r="A15837" t="s">
        <v>3319</v>
      </c>
    </row>
    <row r="15838" spans="1:1" x14ac:dyDescent="0.2">
      <c r="A15838" t="s">
        <v>1600</v>
      </c>
    </row>
    <row r="15839" spans="1:1" x14ac:dyDescent="0.2">
      <c r="A15839" t="s">
        <v>1633</v>
      </c>
    </row>
    <row r="15840" spans="1:1" x14ac:dyDescent="0.2">
      <c r="A15840" t="s">
        <v>3320</v>
      </c>
    </row>
    <row r="15841" spans="1:1" x14ac:dyDescent="0.2">
      <c r="A15841" t="s">
        <v>1635</v>
      </c>
    </row>
    <row r="15842" spans="1:1" x14ac:dyDescent="0.2">
      <c r="A15842" t="s">
        <v>3321</v>
      </c>
    </row>
    <row r="15843" spans="1:1" x14ac:dyDescent="0.2">
      <c r="A15843" t="s">
        <v>1605</v>
      </c>
    </row>
    <row r="15844" spans="1:1" x14ac:dyDescent="0.2">
      <c r="A15844" t="s">
        <v>1606</v>
      </c>
    </row>
    <row r="15845" spans="1:1" x14ac:dyDescent="0.2">
      <c r="A15845" t="s">
        <v>1607</v>
      </c>
    </row>
    <row r="15846" spans="1:1" x14ac:dyDescent="0.2">
      <c r="A15846" t="s">
        <v>1608</v>
      </c>
    </row>
    <row r="15847" spans="1:1" x14ac:dyDescent="0.2">
      <c r="A15847" t="s">
        <v>1609</v>
      </c>
    </row>
    <row r="15848" spans="1:1" x14ac:dyDescent="0.2">
      <c r="A15848" t="s">
        <v>1610</v>
      </c>
    </row>
    <row r="15849" spans="1:1" x14ac:dyDescent="0.2">
      <c r="A15849" t="s">
        <v>3340</v>
      </c>
    </row>
    <row r="15850" spans="1:1" x14ac:dyDescent="0.2">
      <c r="A15850" t="s">
        <v>3341</v>
      </c>
    </row>
    <row r="15851" spans="1:1" x14ac:dyDescent="0.2">
      <c r="A15851" t="s">
        <v>3342</v>
      </c>
    </row>
    <row r="15852" spans="1:1" x14ac:dyDescent="0.2">
      <c r="A15852" t="s">
        <v>3343</v>
      </c>
    </row>
    <row r="15853" spans="1:1" x14ac:dyDescent="0.2">
      <c r="A15853" t="s">
        <v>3344</v>
      </c>
    </row>
    <row r="15854" spans="1:1" x14ac:dyDescent="0.2">
      <c r="A15854" t="s">
        <v>3345</v>
      </c>
    </row>
    <row r="15855" spans="1:1" x14ac:dyDescent="0.2">
      <c r="A15855" t="s">
        <v>3346</v>
      </c>
    </row>
    <row r="15856" spans="1:1" x14ac:dyDescent="0.2">
      <c r="A15856" t="s">
        <v>3347</v>
      </c>
    </row>
    <row r="15857" spans="1:1" x14ac:dyDescent="0.2">
      <c r="A15857" t="s">
        <v>3348</v>
      </c>
    </row>
    <row r="15858" spans="1:1" x14ac:dyDescent="0.2">
      <c r="A15858" t="s">
        <v>3349</v>
      </c>
    </row>
    <row r="15859" spans="1:1" x14ac:dyDescent="0.2">
      <c r="A15859" t="s">
        <v>3350</v>
      </c>
    </row>
    <row r="15860" spans="1:1" x14ac:dyDescent="0.2">
      <c r="A15860" t="s">
        <v>3351</v>
      </c>
    </row>
    <row r="15861" spans="1:1" x14ac:dyDescent="0.2">
      <c r="A15861" t="s">
        <v>3352</v>
      </c>
    </row>
    <row r="15862" spans="1:1" x14ac:dyDescent="0.2">
      <c r="A15862" t="s">
        <v>3353</v>
      </c>
    </row>
    <row r="15863" spans="1:1" x14ac:dyDescent="0.2">
      <c r="A15863" t="s">
        <v>3354</v>
      </c>
    </row>
    <row r="15864" spans="1:1" x14ac:dyDescent="0.2">
      <c r="A15864" t="s">
        <v>3337</v>
      </c>
    </row>
    <row r="15865" spans="1:1" x14ac:dyDescent="0.2">
      <c r="A15865" t="s">
        <v>3338</v>
      </c>
    </row>
    <row r="15866" spans="1:1" x14ac:dyDescent="0.2">
      <c r="A15866" t="s">
        <v>1641</v>
      </c>
    </row>
    <row r="15867" spans="1:1" x14ac:dyDescent="0.2">
      <c r="A15867" t="s">
        <v>1594</v>
      </c>
    </row>
    <row r="15868" spans="1:1" x14ac:dyDescent="0.2">
      <c r="A15868" t="s">
        <v>1642</v>
      </c>
    </row>
    <row r="15869" spans="1:1" x14ac:dyDescent="0.2">
      <c r="A15869" t="s">
        <v>3339</v>
      </c>
    </row>
    <row r="15870" spans="1:1" x14ac:dyDescent="0.2">
      <c r="A15870" t="s">
        <v>1631</v>
      </c>
    </row>
    <row r="15871" spans="1:1" x14ac:dyDescent="0.2">
      <c r="A15871" t="s">
        <v>1632</v>
      </c>
    </row>
    <row r="15872" spans="1:1" x14ac:dyDescent="0.2">
      <c r="A15872" t="s">
        <v>3319</v>
      </c>
    </row>
    <row r="15873" spans="1:1" x14ac:dyDescent="0.2">
      <c r="A15873" t="s">
        <v>1600</v>
      </c>
    </row>
    <row r="15874" spans="1:1" x14ac:dyDescent="0.2">
      <c r="A15874" t="s">
        <v>1639</v>
      </c>
    </row>
    <row r="15875" spans="1:1" x14ac:dyDescent="0.2">
      <c r="A15875" t="s">
        <v>3320</v>
      </c>
    </row>
    <row r="15876" spans="1:1" x14ac:dyDescent="0.2">
      <c r="A15876" t="s">
        <v>1635</v>
      </c>
    </row>
    <row r="15877" spans="1:1" x14ac:dyDescent="0.2">
      <c r="A15877" t="s">
        <v>3321</v>
      </c>
    </row>
    <row r="15878" spans="1:1" x14ac:dyDescent="0.2">
      <c r="A15878" t="s">
        <v>1605</v>
      </c>
    </row>
    <row r="15879" spans="1:1" x14ac:dyDescent="0.2">
      <c r="A15879" t="s">
        <v>1606</v>
      </c>
    </row>
    <row r="15880" spans="1:1" x14ac:dyDescent="0.2">
      <c r="A15880" t="s">
        <v>1607</v>
      </c>
    </row>
    <row r="15881" spans="1:1" x14ac:dyDescent="0.2">
      <c r="A15881" t="s">
        <v>1608</v>
      </c>
    </row>
    <row r="15882" spans="1:1" x14ac:dyDescent="0.2">
      <c r="A15882" t="s">
        <v>1609</v>
      </c>
    </row>
    <row r="15883" spans="1:1" x14ac:dyDescent="0.2">
      <c r="A15883" t="s">
        <v>1610</v>
      </c>
    </row>
    <row r="15884" spans="1:1" x14ac:dyDescent="0.2">
      <c r="A15884" t="s">
        <v>3340</v>
      </c>
    </row>
    <row r="15885" spans="1:1" x14ac:dyDescent="0.2">
      <c r="A15885" t="s">
        <v>3341</v>
      </c>
    </row>
    <row r="15886" spans="1:1" x14ac:dyDescent="0.2">
      <c r="A15886" t="s">
        <v>3342</v>
      </c>
    </row>
    <row r="15887" spans="1:1" x14ac:dyDescent="0.2">
      <c r="A15887" t="s">
        <v>3343</v>
      </c>
    </row>
    <row r="15888" spans="1:1" x14ac:dyDescent="0.2">
      <c r="A15888" t="s">
        <v>3344</v>
      </c>
    </row>
    <row r="15889" spans="1:1" x14ac:dyDescent="0.2">
      <c r="A15889" t="s">
        <v>3345</v>
      </c>
    </row>
    <row r="15890" spans="1:1" x14ac:dyDescent="0.2">
      <c r="A15890" t="s">
        <v>3346</v>
      </c>
    </row>
    <row r="15891" spans="1:1" x14ac:dyDescent="0.2">
      <c r="A15891" t="s">
        <v>3347</v>
      </c>
    </row>
    <row r="15892" spans="1:1" x14ac:dyDescent="0.2">
      <c r="A15892" t="s">
        <v>3348</v>
      </c>
    </row>
    <row r="15893" spans="1:1" x14ac:dyDescent="0.2">
      <c r="A15893" t="s">
        <v>3349</v>
      </c>
    </row>
    <row r="15894" spans="1:1" x14ac:dyDescent="0.2">
      <c r="A15894" t="s">
        <v>3350</v>
      </c>
    </row>
    <row r="15895" spans="1:1" x14ac:dyDescent="0.2">
      <c r="A15895" t="s">
        <v>3351</v>
      </c>
    </row>
    <row r="15896" spans="1:1" x14ac:dyDescent="0.2">
      <c r="A15896" t="s">
        <v>3352</v>
      </c>
    </row>
    <row r="15897" spans="1:1" x14ac:dyDescent="0.2">
      <c r="A15897" t="s">
        <v>3353</v>
      </c>
    </row>
    <row r="15898" spans="1:1" x14ac:dyDescent="0.2">
      <c r="A15898" t="s">
        <v>3354</v>
      </c>
    </row>
    <row r="15899" spans="1:1" x14ac:dyDescent="0.2">
      <c r="A15899" t="s">
        <v>3337</v>
      </c>
    </row>
    <row r="15900" spans="1:1" x14ac:dyDescent="0.2">
      <c r="A15900" t="s">
        <v>3338</v>
      </c>
    </row>
    <row r="15901" spans="1:1" x14ac:dyDescent="0.2">
      <c r="A15901" t="s">
        <v>1644</v>
      </c>
    </row>
    <row r="15902" spans="1:1" x14ac:dyDescent="0.2">
      <c r="A15902" t="s">
        <v>1594</v>
      </c>
    </row>
    <row r="15903" spans="1:1" x14ac:dyDescent="0.2">
      <c r="A15903" t="s">
        <v>1642</v>
      </c>
    </row>
    <row r="15904" spans="1:1" x14ac:dyDescent="0.2">
      <c r="A15904" t="s">
        <v>3339</v>
      </c>
    </row>
    <row r="15905" spans="1:1" x14ac:dyDescent="0.2">
      <c r="A15905" t="s">
        <v>1631</v>
      </c>
    </row>
    <row r="15906" spans="1:1" x14ac:dyDescent="0.2">
      <c r="A15906" t="s">
        <v>1632</v>
      </c>
    </row>
    <row r="15907" spans="1:1" x14ac:dyDescent="0.2">
      <c r="A15907" t="s">
        <v>3319</v>
      </c>
    </row>
    <row r="15908" spans="1:1" x14ac:dyDescent="0.2">
      <c r="A15908" t="s">
        <v>1600</v>
      </c>
    </row>
    <row r="15909" spans="1:1" x14ac:dyDescent="0.2">
      <c r="A15909" t="s">
        <v>1601</v>
      </c>
    </row>
    <row r="15910" spans="1:1" x14ac:dyDescent="0.2">
      <c r="A15910" t="s">
        <v>3320</v>
      </c>
    </row>
    <row r="15911" spans="1:1" x14ac:dyDescent="0.2">
      <c r="A15911" t="s">
        <v>1635</v>
      </c>
    </row>
    <row r="15912" spans="1:1" x14ac:dyDescent="0.2">
      <c r="A15912" t="s">
        <v>3321</v>
      </c>
    </row>
    <row r="15913" spans="1:1" x14ac:dyDescent="0.2">
      <c r="A15913" t="s">
        <v>1605</v>
      </c>
    </row>
    <row r="15914" spans="1:1" x14ac:dyDescent="0.2">
      <c r="A15914" t="s">
        <v>1606</v>
      </c>
    </row>
    <row r="15915" spans="1:1" x14ac:dyDescent="0.2">
      <c r="A15915" t="s">
        <v>1607</v>
      </c>
    </row>
    <row r="15916" spans="1:1" x14ac:dyDescent="0.2">
      <c r="A15916" t="s">
        <v>1608</v>
      </c>
    </row>
    <row r="15917" spans="1:1" x14ac:dyDescent="0.2">
      <c r="A15917" t="s">
        <v>1609</v>
      </c>
    </row>
    <row r="15918" spans="1:1" x14ac:dyDescent="0.2">
      <c r="A15918" t="s">
        <v>1610</v>
      </c>
    </row>
    <row r="15919" spans="1:1" x14ac:dyDescent="0.2">
      <c r="A15919" t="s">
        <v>3340</v>
      </c>
    </row>
    <row r="15920" spans="1:1" x14ac:dyDescent="0.2">
      <c r="A15920" t="s">
        <v>3341</v>
      </c>
    </row>
    <row r="15921" spans="1:1" x14ac:dyDescent="0.2">
      <c r="A15921" t="s">
        <v>3342</v>
      </c>
    </row>
    <row r="15922" spans="1:1" x14ac:dyDescent="0.2">
      <c r="A15922" t="s">
        <v>3343</v>
      </c>
    </row>
    <row r="15923" spans="1:1" x14ac:dyDescent="0.2">
      <c r="A15923" t="s">
        <v>3344</v>
      </c>
    </row>
    <row r="15924" spans="1:1" x14ac:dyDescent="0.2">
      <c r="A15924" t="s">
        <v>3345</v>
      </c>
    </row>
    <row r="15925" spans="1:1" x14ac:dyDescent="0.2">
      <c r="A15925" t="s">
        <v>3346</v>
      </c>
    </row>
    <row r="15926" spans="1:1" x14ac:dyDescent="0.2">
      <c r="A15926" t="s">
        <v>3347</v>
      </c>
    </row>
    <row r="15927" spans="1:1" x14ac:dyDescent="0.2">
      <c r="A15927" t="s">
        <v>3348</v>
      </c>
    </row>
    <row r="15928" spans="1:1" x14ac:dyDescent="0.2">
      <c r="A15928" t="s">
        <v>3349</v>
      </c>
    </row>
    <row r="15929" spans="1:1" x14ac:dyDescent="0.2">
      <c r="A15929" t="s">
        <v>3350</v>
      </c>
    </row>
    <row r="15930" spans="1:1" x14ac:dyDescent="0.2">
      <c r="A15930" t="s">
        <v>3351</v>
      </c>
    </row>
    <row r="15931" spans="1:1" x14ac:dyDescent="0.2">
      <c r="A15931" t="s">
        <v>3352</v>
      </c>
    </row>
    <row r="15932" spans="1:1" x14ac:dyDescent="0.2">
      <c r="A15932" t="s">
        <v>3353</v>
      </c>
    </row>
    <row r="15933" spans="1:1" x14ac:dyDescent="0.2">
      <c r="A15933" t="s">
        <v>3354</v>
      </c>
    </row>
    <row r="15934" spans="1:1" x14ac:dyDescent="0.2">
      <c r="A15934" t="s">
        <v>3337</v>
      </c>
    </row>
    <row r="15935" spans="1:1" x14ac:dyDescent="0.2">
      <c r="A15935" t="s">
        <v>3338</v>
      </c>
    </row>
    <row r="15936" spans="1:1" x14ac:dyDescent="0.2">
      <c r="A15936" t="s">
        <v>1645</v>
      </c>
    </row>
    <row r="15937" spans="1:1" x14ac:dyDescent="0.2">
      <c r="A15937" t="s">
        <v>1594</v>
      </c>
    </row>
    <row r="15938" spans="1:1" x14ac:dyDescent="0.2">
      <c r="A15938" t="s">
        <v>3355</v>
      </c>
    </row>
    <row r="15939" spans="1:1" x14ac:dyDescent="0.2">
      <c r="A15939" t="s">
        <v>3356</v>
      </c>
    </row>
    <row r="15940" spans="1:1" x14ac:dyDescent="0.2">
      <c r="A15940" t="s">
        <v>1631</v>
      </c>
    </row>
    <row r="15941" spans="1:1" x14ac:dyDescent="0.2">
      <c r="A15941" t="s">
        <v>1632</v>
      </c>
    </row>
    <row r="15942" spans="1:1" x14ac:dyDescent="0.2">
      <c r="A15942" t="s">
        <v>3319</v>
      </c>
    </row>
    <row r="15943" spans="1:1" x14ac:dyDescent="0.2">
      <c r="A15943" t="s">
        <v>1600</v>
      </c>
    </row>
    <row r="15944" spans="1:1" x14ac:dyDescent="0.2">
      <c r="A15944" t="s">
        <v>1633</v>
      </c>
    </row>
    <row r="15945" spans="1:1" x14ac:dyDescent="0.2">
      <c r="A15945" t="s">
        <v>3320</v>
      </c>
    </row>
    <row r="15946" spans="1:1" x14ac:dyDescent="0.2">
      <c r="A15946" t="s">
        <v>1635</v>
      </c>
    </row>
    <row r="15947" spans="1:1" x14ac:dyDescent="0.2">
      <c r="A15947" t="s">
        <v>3321</v>
      </c>
    </row>
    <row r="15948" spans="1:1" x14ac:dyDescent="0.2">
      <c r="A15948" t="s">
        <v>1605</v>
      </c>
    </row>
    <row r="15949" spans="1:1" x14ac:dyDescent="0.2">
      <c r="A15949" t="s">
        <v>1606</v>
      </c>
    </row>
    <row r="15950" spans="1:1" x14ac:dyDescent="0.2">
      <c r="A15950" t="s">
        <v>1607</v>
      </c>
    </row>
    <row r="15951" spans="1:1" x14ac:dyDescent="0.2">
      <c r="A15951" t="s">
        <v>1608</v>
      </c>
    </row>
    <row r="15952" spans="1:1" x14ac:dyDescent="0.2">
      <c r="A15952" t="s">
        <v>1609</v>
      </c>
    </row>
    <row r="15953" spans="1:1" x14ac:dyDescent="0.2">
      <c r="A15953" t="s">
        <v>1610</v>
      </c>
    </row>
    <row r="15954" spans="1:1" x14ac:dyDescent="0.2">
      <c r="A15954" t="s">
        <v>3357</v>
      </c>
    </row>
    <row r="15955" spans="1:1" x14ac:dyDescent="0.2">
      <c r="A15955" t="s">
        <v>3323</v>
      </c>
    </row>
    <row r="15956" spans="1:1" x14ac:dyDescent="0.2">
      <c r="A15956" t="s">
        <v>3358</v>
      </c>
    </row>
    <row r="15957" spans="1:1" x14ac:dyDescent="0.2">
      <c r="A15957" t="s">
        <v>3359</v>
      </c>
    </row>
    <row r="15958" spans="1:1" x14ac:dyDescent="0.2">
      <c r="A15958" t="s">
        <v>3360</v>
      </c>
    </row>
    <row r="15959" spans="1:1" x14ac:dyDescent="0.2">
      <c r="A15959" t="s">
        <v>3361</v>
      </c>
    </row>
    <row r="15960" spans="1:1" x14ac:dyDescent="0.2">
      <c r="A15960" t="s">
        <v>1679</v>
      </c>
    </row>
    <row r="15961" spans="1:1" x14ac:dyDescent="0.2">
      <c r="A15961" t="s">
        <v>3362</v>
      </c>
    </row>
    <row r="15962" spans="1:1" x14ac:dyDescent="0.2">
      <c r="A15962" t="s">
        <v>3363</v>
      </c>
    </row>
    <row r="15963" spans="1:1" x14ac:dyDescent="0.2">
      <c r="A15963" t="s">
        <v>3364</v>
      </c>
    </row>
    <row r="15964" spans="1:1" x14ac:dyDescent="0.2">
      <c r="A15964" t="s">
        <v>3365</v>
      </c>
    </row>
    <row r="15965" spans="1:1" x14ac:dyDescent="0.2">
      <c r="A15965" t="s">
        <v>3366</v>
      </c>
    </row>
    <row r="15966" spans="1:1" x14ac:dyDescent="0.2">
      <c r="A15966" t="s">
        <v>3367</v>
      </c>
    </row>
    <row r="15967" spans="1:1" x14ac:dyDescent="0.2">
      <c r="A15967" t="s">
        <v>3368</v>
      </c>
    </row>
    <row r="15968" spans="1:1" x14ac:dyDescent="0.2">
      <c r="A15968" t="s">
        <v>3369</v>
      </c>
    </row>
    <row r="15969" spans="1:1" x14ac:dyDescent="0.2">
      <c r="A15969" t="s">
        <v>3337</v>
      </c>
    </row>
    <row r="15970" spans="1:1" x14ac:dyDescent="0.2">
      <c r="A15970" t="s">
        <v>3338</v>
      </c>
    </row>
    <row r="15971" spans="1:1" x14ac:dyDescent="0.2">
      <c r="A15971" t="s">
        <v>1646</v>
      </c>
    </row>
    <row r="15972" spans="1:1" x14ac:dyDescent="0.2">
      <c r="A15972" t="s">
        <v>1594</v>
      </c>
    </row>
    <row r="15973" spans="1:1" x14ac:dyDescent="0.2">
      <c r="A15973" t="s">
        <v>3355</v>
      </c>
    </row>
    <row r="15974" spans="1:1" x14ac:dyDescent="0.2">
      <c r="A15974" t="s">
        <v>3356</v>
      </c>
    </row>
    <row r="15975" spans="1:1" x14ac:dyDescent="0.2">
      <c r="A15975" t="s">
        <v>1631</v>
      </c>
    </row>
    <row r="15976" spans="1:1" x14ac:dyDescent="0.2">
      <c r="A15976" t="s">
        <v>1632</v>
      </c>
    </row>
    <row r="15977" spans="1:1" x14ac:dyDescent="0.2">
      <c r="A15977" t="s">
        <v>3319</v>
      </c>
    </row>
    <row r="15978" spans="1:1" x14ac:dyDescent="0.2">
      <c r="A15978" t="s">
        <v>1600</v>
      </c>
    </row>
    <row r="15979" spans="1:1" x14ac:dyDescent="0.2">
      <c r="A15979" t="s">
        <v>1639</v>
      </c>
    </row>
    <row r="15980" spans="1:1" x14ac:dyDescent="0.2">
      <c r="A15980" t="s">
        <v>3320</v>
      </c>
    </row>
    <row r="15981" spans="1:1" x14ac:dyDescent="0.2">
      <c r="A15981" t="s">
        <v>1635</v>
      </c>
    </row>
    <row r="15982" spans="1:1" x14ac:dyDescent="0.2">
      <c r="A15982" t="s">
        <v>3321</v>
      </c>
    </row>
    <row r="15983" spans="1:1" x14ac:dyDescent="0.2">
      <c r="A15983" t="s">
        <v>1605</v>
      </c>
    </row>
    <row r="15984" spans="1:1" x14ac:dyDescent="0.2">
      <c r="A15984" t="s">
        <v>1606</v>
      </c>
    </row>
    <row r="15985" spans="1:1" x14ac:dyDescent="0.2">
      <c r="A15985" t="s">
        <v>1607</v>
      </c>
    </row>
    <row r="15986" spans="1:1" x14ac:dyDescent="0.2">
      <c r="A15986" t="s">
        <v>1608</v>
      </c>
    </row>
    <row r="15987" spans="1:1" x14ac:dyDescent="0.2">
      <c r="A15987" t="s">
        <v>1609</v>
      </c>
    </row>
    <row r="15988" spans="1:1" x14ac:dyDescent="0.2">
      <c r="A15988" t="s">
        <v>1610</v>
      </c>
    </row>
    <row r="15989" spans="1:1" x14ac:dyDescent="0.2">
      <c r="A15989" t="s">
        <v>3357</v>
      </c>
    </row>
    <row r="15990" spans="1:1" x14ac:dyDescent="0.2">
      <c r="A15990" t="s">
        <v>3323</v>
      </c>
    </row>
    <row r="15991" spans="1:1" x14ac:dyDescent="0.2">
      <c r="A15991" t="s">
        <v>3358</v>
      </c>
    </row>
    <row r="15992" spans="1:1" x14ac:dyDescent="0.2">
      <c r="A15992" t="s">
        <v>3359</v>
      </c>
    </row>
    <row r="15993" spans="1:1" x14ac:dyDescent="0.2">
      <c r="A15993" t="s">
        <v>3360</v>
      </c>
    </row>
    <row r="15994" spans="1:1" x14ac:dyDescent="0.2">
      <c r="A15994" t="s">
        <v>3361</v>
      </c>
    </row>
    <row r="15995" spans="1:1" x14ac:dyDescent="0.2">
      <c r="A15995" t="s">
        <v>1679</v>
      </c>
    </row>
    <row r="15996" spans="1:1" x14ac:dyDescent="0.2">
      <c r="A15996" t="s">
        <v>3362</v>
      </c>
    </row>
    <row r="15997" spans="1:1" x14ac:dyDescent="0.2">
      <c r="A15997" t="s">
        <v>3363</v>
      </c>
    </row>
    <row r="15998" spans="1:1" x14ac:dyDescent="0.2">
      <c r="A15998" t="s">
        <v>3364</v>
      </c>
    </row>
    <row r="15999" spans="1:1" x14ac:dyDescent="0.2">
      <c r="A15999" t="s">
        <v>3365</v>
      </c>
    </row>
    <row r="16000" spans="1:1" x14ac:dyDescent="0.2">
      <c r="A16000" t="s">
        <v>3366</v>
      </c>
    </row>
    <row r="16001" spans="1:1" x14ac:dyDescent="0.2">
      <c r="A16001" t="s">
        <v>3367</v>
      </c>
    </row>
    <row r="16002" spans="1:1" x14ac:dyDescent="0.2">
      <c r="A16002" t="s">
        <v>3368</v>
      </c>
    </row>
    <row r="16003" spans="1:1" x14ac:dyDescent="0.2">
      <c r="A16003" t="s">
        <v>3369</v>
      </c>
    </row>
    <row r="16004" spans="1:1" x14ac:dyDescent="0.2">
      <c r="A16004" t="s">
        <v>3337</v>
      </c>
    </row>
    <row r="16005" spans="1:1" x14ac:dyDescent="0.2">
      <c r="A16005" t="s">
        <v>3338</v>
      </c>
    </row>
    <row r="16006" spans="1:1" x14ac:dyDescent="0.2">
      <c r="A16006" t="s">
        <v>1649</v>
      </c>
    </row>
    <row r="16007" spans="1:1" x14ac:dyDescent="0.2">
      <c r="A16007" t="s">
        <v>1594</v>
      </c>
    </row>
    <row r="16008" spans="1:1" x14ac:dyDescent="0.2">
      <c r="A16008" t="s">
        <v>3355</v>
      </c>
    </row>
    <row r="16009" spans="1:1" x14ac:dyDescent="0.2">
      <c r="A16009" t="s">
        <v>3356</v>
      </c>
    </row>
    <row r="16010" spans="1:1" x14ac:dyDescent="0.2">
      <c r="A16010" t="s">
        <v>1631</v>
      </c>
    </row>
    <row r="16011" spans="1:1" x14ac:dyDescent="0.2">
      <c r="A16011" t="s">
        <v>1632</v>
      </c>
    </row>
    <row r="16012" spans="1:1" x14ac:dyDescent="0.2">
      <c r="A16012" t="s">
        <v>3319</v>
      </c>
    </row>
    <row r="16013" spans="1:1" x14ac:dyDescent="0.2">
      <c r="A16013" t="s">
        <v>1600</v>
      </c>
    </row>
    <row r="16014" spans="1:1" x14ac:dyDescent="0.2">
      <c r="A16014" t="s">
        <v>1601</v>
      </c>
    </row>
    <row r="16015" spans="1:1" x14ac:dyDescent="0.2">
      <c r="A16015" t="s">
        <v>3320</v>
      </c>
    </row>
    <row r="16016" spans="1:1" x14ac:dyDescent="0.2">
      <c r="A16016" t="s">
        <v>1635</v>
      </c>
    </row>
    <row r="16017" spans="1:1" x14ac:dyDescent="0.2">
      <c r="A16017" t="s">
        <v>3321</v>
      </c>
    </row>
    <row r="16018" spans="1:1" x14ac:dyDescent="0.2">
      <c r="A16018" t="s">
        <v>1605</v>
      </c>
    </row>
    <row r="16019" spans="1:1" x14ac:dyDescent="0.2">
      <c r="A16019" t="s">
        <v>1606</v>
      </c>
    </row>
    <row r="16020" spans="1:1" x14ac:dyDescent="0.2">
      <c r="A16020" t="s">
        <v>1607</v>
      </c>
    </row>
    <row r="16021" spans="1:1" x14ac:dyDescent="0.2">
      <c r="A16021" t="s">
        <v>1608</v>
      </c>
    </row>
    <row r="16022" spans="1:1" x14ac:dyDescent="0.2">
      <c r="A16022" t="s">
        <v>1609</v>
      </c>
    </row>
    <row r="16023" spans="1:1" x14ac:dyDescent="0.2">
      <c r="A16023" t="s">
        <v>1610</v>
      </c>
    </row>
    <row r="16024" spans="1:1" x14ac:dyDescent="0.2">
      <c r="A16024" t="s">
        <v>3357</v>
      </c>
    </row>
    <row r="16025" spans="1:1" x14ac:dyDescent="0.2">
      <c r="A16025" t="s">
        <v>3323</v>
      </c>
    </row>
    <row r="16026" spans="1:1" x14ac:dyDescent="0.2">
      <c r="A16026" t="s">
        <v>3358</v>
      </c>
    </row>
    <row r="16027" spans="1:1" x14ac:dyDescent="0.2">
      <c r="A16027" t="s">
        <v>3359</v>
      </c>
    </row>
    <row r="16028" spans="1:1" x14ac:dyDescent="0.2">
      <c r="A16028" t="s">
        <v>3360</v>
      </c>
    </row>
    <row r="16029" spans="1:1" x14ac:dyDescent="0.2">
      <c r="A16029" t="s">
        <v>3361</v>
      </c>
    </row>
    <row r="16030" spans="1:1" x14ac:dyDescent="0.2">
      <c r="A16030" t="s">
        <v>1679</v>
      </c>
    </row>
    <row r="16031" spans="1:1" x14ac:dyDescent="0.2">
      <c r="A16031" t="s">
        <v>3362</v>
      </c>
    </row>
    <row r="16032" spans="1:1" x14ac:dyDescent="0.2">
      <c r="A16032" t="s">
        <v>3363</v>
      </c>
    </row>
    <row r="16033" spans="1:1" x14ac:dyDescent="0.2">
      <c r="A16033" t="s">
        <v>3364</v>
      </c>
    </row>
    <row r="16034" spans="1:1" x14ac:dyDescent="0.2">
      <c r="A16034" t="s">
        <v>3365</v>
      </c>
    </row>
    <row r="16035" spans="1:1" x14ac:dyDescent="0.2">
      <c r="A16035" t="s">
        <v>3366</v>
      </c>
    </row>
    <row r="16036" spans="1:1" x14ac:dyDescent="0.2">
      <c r="A16036" t="s">
        <v>3367</v>
      </c>
    </row>
    <row r="16037" spans="1:1" x14ac:dyDescent="0.2">
      <c r="A16037" t="s">
        <v>3368</v>
      </c>
    </row>
    <row r="16038" spans="1:1" x14ac:dyDescent="0.2">
      <c r="A16038" t="s">
        <v>3369</v>
      </c>
    </row>
    <row r="16039" spans="1:1" x14ac:dyDescent="0.2">
      <c r="A16039" t="s">
        <v>3337</v>
      </c>
    </row>
    <row r="16040" spans="1:1" x14ac:dyDescent="0.2">
      <c r="A16040" t="s">
        <v>3338</v>
      </c>
    </row>
    <row r="16041" spans="1:1" x14ac:dyDescent="0.2">
      <c r="A16041" t="s">
        <v>1650</v>
      </c>
    </row>
    <row r="16042" spans="1:1" x14ac:dyDescent="0.2">
      <c r="A16042" t="s">
        <v>1594</v>
      </c>
    </row>
    <row r="16043" spans="1:1" x14ac:dyDescent="0.2">
      <c r="A16043" t="s">
        <v>3317</v>
      </c>
    </row>
    <row r="16044" spans="1:1" x14ac:dyDescent="0.2">
      <c r="A16044" t="s">
        <v>3370</v>
      </c>
    </row>
    <row r="16045" spans="1:1" x14ac:dyDescent="0.2">
      <c r="A16045" t="s">
        <v>1631</v>
      </c>
    </row>
    <row r="16046" spans="1:1" x14ac:dyDescent="0.2">
      <c r="A16046" t="s">
        <v>1632</v>
      </c>
    </row>
    <row r="16047" spans="1:1" x14ac:dyDescent="0.2">
      <c r="A16047" t="s">
        <v>3319</v>
      </c>
    </row>
    <row r="16048" spans="1:1" x14ac:dyDescent="0.2">
      <c r="A16048" t="s">
        <v>1600</v>
      </c>
    </row>
    <row r="16049" spans="1:1" x14ac:dyDescent="0.2">
      <c r="A16049" t="s">
        <v>1633</v>
      </c>
    </row>
    <row r="16050" spans="1:1" x14ac:dyDescent="0.2">
      <c r="A16050" t="s">
        <v>3320</v>
      </c>
    </row>
    <row r="16051" spans="1:1" x14ac:dyDescent="0.2">
      <c r="A16051" t="s">
        <v>1635</v>
      </c>
    </row>
    <row r="16052" spans="1:1" x14ac:dyDescent="0.2">
      <c r="A16052" t="s">
        <v>3321</v>
      </c>
    </row>
    <row r="16053" spans="1:1" x14ac:dyDescent="0.2">
      <c r="A16053" t="s">
        <v>1605</v>
      </c>
    </row>
    <row r="16054" spans="1:1" x14ac:dyDescent="0.2">
      <c r="A16054" t="s">
        <v>1606</v>
      </c>
    </row>
    <row r="16055" spans="1:1" x14ac:dyDescent="0.2">
      <c r="A16055" t="s">
        <v>1607</v>
      </c>
    </row>
    <row r="16056" spans="1:1" x14ac:dyDescent="0.2">
      <c r="A16056" t="s">
        <v>1608</v>
      </c>
    </row>
    <row r="16057" spans="1:1" x14ac:dyDescent="0.2">
      <c r="A16057" t="s">
        <v>1609</v>
      </c>
    </row>
    <row r="16058" spans="1:1" x14ac:dyDescent="0.2">
      <c r="A16058" t="s">
        <v>1610</v>
      </c>
    </row>
    <row r="16059" spans="1:1" x14ac:dyDescent="0.2">
      <c r="A16059" t="s">
        <v>3371</v>
      </c>
    </row>
    <row r="16060" spans="1:1" x14ac:dyDescent="0.2">
      <c r="A16060" t="s">
        <v>3372</v>
      </c>
    </row>
    <row r="16061" spans="1:1" x14ac:dyDescent="0.2">
      <c r="A16061" t="s">
        <v>3373</v>
      </c>
    </row>
    <row r="16062" spans="1:1" x14ac:dyDescent="0.2">
      <c r="A16062" t="s">
        <v>3374</v>
      </c>
    </row>
    <row r="16063" spans="1:1" x14ac:dyDescent="0.2">
      <c r="A16063" t="s">
        <v>3375</v>
      </c>
    </row>
    <row r="16064" spans="1:1" x14ac:dyDescent="0.2">
      <c r="A16064" t="s">
        <v>3376</v>
      </c>
    </row>
    <row r="16065" spans="1:1" x14ac:dyDescent="0.2">
      <c r="A16065" t="s">
        <v>3377</v>
      </c>
    </row>
    <row r="16066" spans="1:1" x14ac:dyDescent="0.2">
      <c r="A16066" t="s">
        <v>3378</v>
      </c>
    </row>
    <row r="16067" spans="1:1" x14ac:dyDescent="0.2">
      <c r="A16067" t="s">
        <v>3379</v>
      </c>
    </row>
    <row r="16068" spans="1:1" x14ac:dyDescent="0.2">
      <c r="A16068" t="s">
        <v>3380</v>
      </c>
    </row>
    <row r="16069" spans="1:1" x14ac:dyDescent="0.2">
      <c r="A16069" t="s">
        <v>3381</v>
      </c>
    </row>
    <row r="16070" spans="1:1" x14ac:dyDescent="0.2">
      <c r="A16070" t="s">
        <v>3382</v>
      </c>
    </row>
    <row r="16071" spans="1:1" x14ac:dyDescent="0.2">
      <c r="A16071" t="s">
        <v>3383</v>
      </c>
    </row>
    <row r="16072" spans="1:1" x14ac:dyDescent="0.2">
      <c r="A16072" t="s">
        <v>3384</v>
      </c>
    </row>
    <row r="16073" spans="1:1" x14ac:dyDescent="0.2">
      <c r="A16073" t="s">
        <v>3385</v>
      </c>
    </row>
    <row r="16074" spans="1:1" x14ac:dyDescent="0.2">
      <c r="A16074" t="s">
        <v>3337</v>
      </c>
    </row>
    <row r="16075" spans="1:1" x14ac:dyDescent="0.2">
      <c r="A16075" t="s">
        <v>3338</v>
      </c>
    </row>
    <row r="16076" spans="1:1" x14ac:dyDescent="0.2">
      <c r="A16076" t="s">
        <v>1651</v>
      </c>
    </row>
    <row r="16077" spans="1:1" x14ac:dyDescent="0.2">
      <c r="A16077" t="s">
        <v>1594</v>
      </c>
    </row>
    <row r="16078" spans="1:1" x14ac:dyDescent="0.2">
      <c r="A16078" t="s">
        <v>3317</v>
      </c>
    </row>
    <row r="16079" spans="1:1" x14ac:dyDescent="0.2">
      <c r="A16079" t="s">
        <v>3370</v>
      </c>
    </row>
    <row r="16080" spans="1:1" x14ac:dyDescent="0.2">
      <c r="A16080" t="s">
        <v>1631</v>
      </c>
    </row>
    <row r="16081" spans="1:1" x14ac:dyDescent="0.2">
      <c r="A16081" t="s">
        <v>1632</v>
      </c>
    </row>
    <row r="16082" spans="1:1" x14ac:dyDescent="0.2">
      <c r="A16082" t="s">
        <v>3319</v>
      </c>
    </row>
    <row r="16083" spans="1:1" x14ac:dyDescent="0.2">
      <c r="A16083" t="s">
        <v>1600</v>
      </c>
    </row>
    <row r="16084" spans="1:1" x14ac:dyDescent="0.2">
      <c r="A16084" t="s">
        <v>1639</v>
      </c>
    </row>
    <row r="16085" spans="1:1" x14ac:dyDescent="0.2">
      <c r="A16085" t="s">
        <v>3320</v>
      </c>
    </row>
    <row r="16086" spans="1:1" x14ac:dyDescent="0.2">
      <c r="A16086" t="s">
        <v>1635</v>
      </c>
    </row>
    <row r="16087" spans="1:1" x14ac:dyDescent="0.2">
      <c r="A16087" t="s">
        <v>3321</v>
      </c>
    </row>
    <row r="16088" spans="1:1" x14ac:dyDescent="0.2">
      <c r="A16088" t="s">
        <v>1605</v>
      </c>
    </row>
    <row r="16089" spans="1:1" x14ac:dyDescent="0.2">
      <c r="A16089" t="s">
        <v>1606</v>
      </c>
    </row>
    <row r="16090" spans="1:1" x14ac:dyDescent="0.2">
      <c r="A16090" t="s">
        <v>1607</v>
      </c>
    </row>
    <row r="16091" spans="1:1" x14ac:dyDescent="0.2">
      <c r="A16091" t="s">
        <v>1608</v>
      </c>
    </row>
    <row r="16092" spans="1:1" x14ac:dyDescent="0.2">
      <c r="A16092" t="s">
        <v>1609</v>
      </c>
    </row>
    <row r="16093" spans="1:1" x14ac:dyDescent="0.2">
      <c r="A16093" t="s">
        <v>1610</v>
      </c>
    </row>
    <row r="16094" spans="1:1" x14ac:dyDescent="0.2">
      <c r="A16094" t="s">
        <v>3371</v>
      </c>
    </row>
    <row r="16095" spans="1:1" x14ac:dyDescent="0.2">
      <c r="A16095" t="s">
        <v>3372</v>
      </c>
    </row>
    <row r="16096" spans="1:1" x14ac:dyDescent="0.2">
      <c r="A16096" t="s">
        <v>3373</v>
      </c>
    </row>
    <row r="16097" spans="1:1" x14ac:dyDescent="0.2">
      <c r="A16097" t="s">
        <v>3374</v>
      </c>
    </row>
    <row r="16098" spans="1:1" x14ac:dyDescent="0.2">
      <c r="A16098" t="s">
        <v>3375</v>
      </c>
    </row>
    <row r="16099" spans="1:1" x14ac:dyDescent="0.2">
      <c r="A16099" t="s">
        <v>3376</v>
      </c>
    </row>
    <row r="16100" spans="1:1" x14ac:dyDescent="0.2">
      <c r="A16100" t="s">
        <v>3377</v>
      </c>
    </row>
    <row r="16101" spans="1:1" x14ac:dyDescent="0.2">
      <c r="A16101" t="s">
        <v>3378</v>
      </c>
    </row>
    <row r="16102" spans="1:1" x14ac:dyDescent="0.2">
      <c r="A16102" t="s">
        <v>3379</v>
      </c>
    </row>
    <row r="16103" spans="1:1" x14ac:dyDescent="0.2">
      <c r="A16103" t="s">
        <v>3380</v>
      </c>
    </row>
    <row r="16104" spans="1:1" x14ac:dyDescent="0.2">
      <c r="A16104" t="s">
        <v>3381</v>
      </c>
    </row>
    <row r="16105" spans="1:1" x14ac:dyDescent="0.2">
      <c r="A16105" t="s">
        <v>3382</v>
      </c>
    </row>
    <row r="16106" spans="1:1" x14ac:dyDescent="0.2">
      <c r="A16106" t="s">
        <v>3383</v>
      </c>
    </row>
    <row r="16107" spans="1:1" x14ac:dyDescent="0.2">
      <c r="A16107" t="s">
        <v>3384</v>
      </c>
    </row>
    <row r="16108" spans="1:1" x14ac:dyDescent="0.2">
      <c r="A16108" t="s">
        <v>3385</v>
      </c>
    </row>
    <row r="16109" spans="1:1" x14ac:dyDescent="0.2">
      <c r="A16109" t="s">
        <v>3337</v>
      </c>
    </row>
    <row r="16110" spans="1:1" x14ac:dyDescent="0.2">
      <c r="A16110" t="s">
        <v>3338</v>
      </c>
    </row>
    <row r="16111" spans="1:1" x14ac:dyDescent="0.2">
      <c r="A16111" t="s">
        <v>1653</v>
      </c>
    </row>
    <row r="16112" spans="1:1" x14ac:dyDescent="0.2">
      <c r="A16112" t="s">
        <v>1594</v>
      </c>
    </row>
    <row r="16113" spans="1:1" x14ac:dyDescent="0.2">
      <c r="A16113" t="s">
        <v>3317</v>
      </c>
    </row>
    <row r="16114" spans="1:1" x14ac:dyDescent="0.2">
      <c r="A16114" t="s">
        <v>3370</v>
      </c>
    </row>
    <row r="16115" spans="1:1" x14ac:dyDescent="0.2">
      <c r="A16115" t="s">
        <v>1631</v>
      </c>
    </row>
    <row r="16116" spans="1:1" x14ac:dyDescent="0.2">
      <c r="A16116" t="s">
        <v>1632</v>
      </c>
    </row>
    <row r="16117" spans="1:1" x14ac:dyDescent="0.2">
      <c r="A16117" t="s">
        <v>3319</v>
      </c>
    </row>
    <row r="16118" spans="1:1" x14ac:dyDescent="0.2">
      <c r="A16118" t="s">
        <v>1600</v>
      </c>
    </row>
    <row r="16119" spans="1:1" x14ac:dyDescent="0.2">
      <c r="A16119" t="s">
        <v>1601</v>
      </c>
    </row>
    <row r="16120" spans="1:1" x14ac:dyDescent="0.2">
      <c r="A16120" t="s">
        <v>3320</v>
      </c>
    </row>
    <row r="16121" spans="1:1" x14ac:dyDescent="0.2">
      <c r="A16121" t="s">
        <v>1635</v>
      </c>
    </row>
    <row r="16122" spans="1:1" x14ac:dyDescent="0.2">
      <c r="A16122" t="s">
        <v>3321</v>
      </c>
    </row>
    <row r="16123" spans="1:1" x14ac:dyDescent="0.2">
      <c r="A16123" t="s">
        <v>1605</v>
      </c>
    </row>
    <row r="16124" spans="1:1" x14ac:dyDescent="0.2">
      <c r="A16124" t="s">
        <v>1606</v>
      </c>
    </row>
    <row r="16125" spans="1:1" x14ac:dyDescent="0.2">
      <c r="A16125" t="s">
        <v>1607</v>
      </c>
    </row>
    <row r="16126" spans="1:1" x14ac:dyDescent="0.2">
      <c r="A16126" t="s">
        <v>1608</v>
      </c>
    </row>
    <row r="16127" spans="1:1" x14ac:dyDescent="0.2">
      <c r="A16127" t="s">
        <v>1609</v>
      </c>
    </row>
    <row r="16128" spans="1:1" x14ac:dyDescent="0.2">
      <c r="A16128" t="s">
        <v>1610</v>
      </c>
    </row>
    <row r="16129" spans="1:1" x14ac:dyDescent="0.2">
      <c r="A16129" t="s">
        <v>3371</v>
      </c>
    </row>
    <row r="16130" spans="1:1" x14ac:dyDescent="0.2">
      <c r="A16130" t="s">
        <v>3372</v>
      </c>
    </row>
    <row r="16131" spans="1:1" x14ac:dyDescent="0.2">
      <c r="A16131" t="s">
        <v>3373</v>
      </c>
    </row>
    <row r="16132" spans="1:1" x14ac:dyDescent="0.2">
      <c r="A16132" t="s">
        <v>3374</v>
      </c>
    </row>
    <row r="16133" spans="1:1" x14ac:dyDescent="0.2">
      <c r="A16133" t="s">
        <v>3375</v>
      </c>
    </row>
    <row r="16134" spans="1:1" x14ac:dyDescent="0.2">
      <c r="A16134" t="s">
        <v>3376</v>
      </c>
    </row>
    <row r="16135" spans="1:1" x14ac:dyDescent="0.2">
      <c r="A16135" t="s">
        <v>3377</v>
      </c>
    </row>
    <row r="16136" spans="1:1" x14ac:dyDescent="0.2">
      <c r="A16136" t="s">
        <v>3378</v>
      </c>
    </row>
    <row r="16137" spans="1:1" x14ac:dyDescent="0.2">
      <c r="A16137" t="s">
        <v>3379</v>
      </c>
    </row>
    <row r="16138" spans="1:1" x14ac:dyDescent="0.2">
      <c r="A16138" t="s">
        <v>3380</v>
      </c>
    </row>
    <row r="16139" spans="1:1" x14ac:dyDescent="0.2">
      <c r="A16139" t="s">
        <v>3381</v>
      </c>
    </row>
    <row r="16140" spans="1:1" x14ac:dyDescent="0.2">
      <c r="A16140" t="s">
        <v>3382</v>
      </c>
    </row>
    <row r="16141" spans="1:1" x14ac:dyDescent="0.2">
      <c r="A16141" t="s">
        <v>3383</v>
      </c>
    </row>
    <row r="16142" spans="1:1" x14ac:dyDescent="0.2">
      <c r="A16142" t="s">
        <v>3384</v>
      </c>
    </row>
    <row r="16143" spans="1:1" x14ac:dyDescent="0.2">
      <c r="A16143" t="s">
        <v>3385</v>
      </c>
    </row>
    <row r="16144" spans="1:1" x14ac:dyDescent="0.2">
      <c r="A16144" t="s">
        <v>3337</v>
      </c>
    </row>
    <row r="16145" spans="1:1" x14ac:dyDescent="0.2">
      <c r="A16145" t="s">
        <v>3338</v>
      </c>
    </row>
    <row r="16146" spans="1:1" x14ac:dyDescent="0.2">
      <c r="A16146" t="s">
        <v>1654</v>
      </c>
    </row>
    <row r="16147" spans="1:1" x14ac:dyDescent="0.2">
      <c r="A16147" t="s">
        <v>1663</v>
      </c>
    </row>
    <row r="16148" spans="1:1" x14ac:dyDescent="0.2">
      <c r="A16148" t="s">
        <v>3355</v>
      </c>
    </row>
    <row r="16149" spans="1:1" x14ac:dyDescent="0.2">
      <c r="A16149" t="s">
        <v>1648</v>
      </c>
    </row>
    <row r="16150" spans="1:1" x14ac:dyDescent="0.2">
      <c r="A16150" t="s">
        <v>1631</v>
      </c>
    </row>
    <row r="16151" spans="1:1" x14ac:dyDescent="0.2">
      <c r="A16151" t="s">
        <v>3318</v>
      </c>
    </row>
    <row r="16152" spans="1:1" x14ac:dyDescent="0.2">
      <c r="A16152" t="s">
        <v>3319</v>
      </c>
    </row>
    <row r="16153" spans="1:1" x14ac:dyDescent="0.2">
      <c r="A16153" t="s">
        <v>1600</v>
      </c>
    </row>
    <row r="16154" spans="1:1" x14ac:dyDescent="0.2">
      <c r="A16154" t="s">
        <v>1633</v>
      </c>
    </row>
    <row r="16155" spans="1:1" x14ac:dyDescent="0.2">
      <c r="A16155" t="s">
        <v>3320</v>
      </c>
    </row>
    <row r="16156" spans="1:1" x14ac:dyDescent="0.2">
      <c r="A16156" t="s">
        <v>1635</v>
      </c>
    </row>
    <row r="16157" spans="1:1" x14ac:dyDescent="0.2">
      <c r="A16157" t="s">
        <v>3321</v>
      </c>
    </row>
    <row r="16158" spans="1:1" x14ac:dyDescent="0.2">
      <c r="A16158" t="s">
        <v>1605</v>
      </c>
    </row>
    <row r="16159" spans="1:1" x14ac:dyDescent="0.2">
      <c r="A16159" t="s">
        <v>1606</v>
      </c>
    </row>
    <row r="16160" spans="1:1" x14ac:dyDescent="0.2">
      <c r="A16160" t="s">
        <v>1607</v>
      </c>
    </row>
    <row r="16161" spans="1:1" x14ac:dyDescent="0.2">
      <c r="A16161" t="s">
        <v>1608</v>
      </c>
    </row>
    <row r="16162" spans="1:1" x14ac:dyDescent="0.2">
      <c r="A16162" t="s">
        <v>1609</v>
      </c>
    </row>
    <row r="16163" spans="1:1" x14ac:dyDescent="0.2">
      <c r="A16163" t="s">
        <v>1610</v>
      </c>
    </row>
    <row r="16164" spans="1:1" x14ac:dyDescent="0.2">
      <c r="A16164" t="s">
        <v>3386</v>
      </c>
    </row>
    <row r="16165" spans="1:1" x14ac:dyDescent="0.2">
      <c r="A16165" t="s">
        <v>3387</v>
      </c>
    </row>
    <row r="16166" spans="1:1" x14ac:dyDescent="0.2">
      <c r="A16166" t="s">
        <v>3388</v>
      </c>
    </row>
    <row r="16167" spans="1:1" x14ac:dyDescent="0.2">
      <c r="A16167" t="s">
        <v>3389</v>
      </c>
    </row>
    <row r="16168" spans="1:1" x14ac:dyDescent="0.2">
      <c r="A16168" t="s">
        <v>3390</v>
      </c>
    </row>
    <row r="16169" spans="1:1" x14ac:dyDescent="0.2">
      <c r="A16169" t="s">
        <v>3391</v>
      </c>
    </row>
    <row r="16170" spans="1:1" x14ac:dyDescent="0.2">
      <c r="A16170" t="s">
        <v>3392</v>
      </c>
    </row>
    <row r="16171" spans="1:1" x14ac:dyDescent="0.2">
      <c r="A16171" t="s">
        <v>3393</v>
      </c>
    </row>
    <row r="16172" spans="1:1" x14ac:dyDescent="0.2">
      <c r="A16172" t="s">
        <v>3394</v>
      </c>
    </row>
    <row r="16173" spans="1:1" x14ac:dyDescent="0.2">
      <c r="A16173" t="s">
        <v>3395</v>
      </c>
    </row>
    <row r="16174" spans="1:1" x14ac:dyDescent="0.2">
      <c r="A16174" t="s">
        <v>3396</v>
      </c>
    </row>
    <row r="16175" spans="1:1" x14ac:dyDescent="0.2">
      <c r="A16175" t="s">
        <v>3397</v>
      </c>
    </row>
    <row r="16176" spans="1:1" x14ac:dyDescent="0.2">
      <c r="A16176" t="s">
        <v>3398</v>
      </c>
    </row>
    <row r="16177" spans="1:1" x14ac:dyDescent="0.2">
      <c r="A16177" t="s">
        <v>3399</v>
      </c>
    </row>
    <row r="16178" spans="1:1" x14ac:dyDescent="0.2">
      <c r="A16178" t="s">
        <v>3400</v>
      </c>
    </row>
    <row r="16179" spans="1:1" x14ac:dyDescent="0.2">
      <c r="A16179" t="s">
        <v>3337</v>
      </c>
    </row>
    <row r="16180" spans="1:1" x14ac:dyDescent="0.2">
      <c r="A16180" t="s">
        <v>3338</v>
      </c>
    </row>
    <row r="16181" spans="1:1" x14ac:dyDescent="0.2">
      <c r="A16181" t="s">
        <v>1655</v>
      </c>
    </row>
    <row r="16182" spans="1:1" x14ac:dyDescent="0.2">
      <c r="A16182" t="s">
        <v>1663</v>
      </c>
    </row>
    <row r="16183" spans="1:1" x14ac:dyDescent="0.2">
      <c r="A16183" t="s">
        <v>3355</v>
      </c>
    </row>
    <row r="16184" spans="1:1" x14ac:dyDescent="0.2">
      <c r="A16184" t="s">
        <v>1648</v>
      </c>
    </row>
    <row r="16185" spans="1:1" x14ac:dyDescent="0.2">
      <c r="A16185" t="s">
        <v>1631</v>
      </c>
    </row>
    <row r="16186" spans="1:1" x14ac:dyDescent="0.2">
      <c r="A16186" t="s">
        <v>3318</v>
      </c>
    </row>
    <row r="16187" spans="1:1" x14ac:dyDescent="0.2">
      <c r="A16187" t="s">
        <v>3319</v>
      </c>
    </row>
    <row r="16188" spans="1:1" x14ac:dyDescent="0.2">
      <c r="A16188" t="s">
        <v>1600</v>
      </c>
    </row>
    <row r="16189" spans="1:1" x14ac:dyDescent="0.2">
      <c r="A16189" t="s">
        <v>1639</v>
      </c>
    </row>
    <row r="16190" spans="1:1" x14ac:dyDescent="0.2">
      <c r="A16190" t="s">
        <v>3320</v>
      </c>
    </row>
    <row r="16191" spans="1:1" x14ac:dyDescent="0.2">
      <c r="A16191" t="s">
        <v>1635</v>
      </c>
    </row>
    <row r="16192" spans="1:1" x14ac:dyDescent="0.2">
      <c r="A16192" t="s">
        <v>3321</v>
      </c>
    </row>
    <row r="16193" spans="1:1" x14ac:dyDescent="0.2">
      <c r="A16193" t="s">
        <v>1605</v>
      </c>
    </row>
    <row r="16194" spans="1:1" x14ac:dyDescent="0.2">
      <c r="A16194" t="s">
        <v>1606</v>
      </c>
    </row>
    <row r="16195" spans="1:1" x14ac:dyDescent="0.2">
      <c r="A16195" t="s">
        <v>1607</v>
      </c>
    </row>
    <row r="16196" spans="1:1" x14ac:dyDescent="0.2">
      <c r="A16196" t="s">
        <v>1608</v>
      </c>
    </row>
    <row r="16197" spans="1:1" x14ac:dyDescent="0.2">
      <c r="A16197" t="s">
        <v>1609</v>
      </c>
    </row>
    <row r="16198" spans="1:1" x14ac:dyDescent="0.2">
      <c r="A16198" t="s">
        <v>1610</v>
      </c>
    </row>
    <row r="16199" spans="1:1" x14ac:dyDescent="0.2">
      <c r="A16199" t="s">
        <v>3386</v>
      </c>
    </row>
    <row r="16200" spans="1:1" x14ac:dyDescent="0.2">
      <c r="A16200" t="s">
        <v>3387</v>
      </c>
    </row>
    <row r="16201" spans="1:1" x14ac:dyDescent="0.2">
      <c r="A16201" t="s">
        <v>3388</v>
      </c>
    </row>
    <row r="16202" spans="1:1" x14ac:dyDescent="0.2">
      <c r="A16202" t="s">
        <v>3389</v>
      </c>
    </row>
    <row r="16203" spans="1:1" x14ac:dyDescent="0.2">
      <c r="A16203" t="s">
        <v>3390</v>
      </c>
    </row>
    <row r="16204" spans="1:1" x14ac:dyDescent="0.2">
      <c r="A16204" t="s">
        <v>3391</v>
      </c>
    </row>
    <row r="16205" spans="1:1" x14ac:dyDescent="0.2">
      <c r="A16205" t="s">
        <v>3392</v>
      </c>
    </row>
    <row r="16206" spans="1:1" x14ac:dyDescent="0.2">
      <c r="A16206" t="s">
        <v>3393</v>
      </c>
    </row>
    <row r="16207" spans="1:1" x14ac:dyDescent="0.2">
      <c r="A16207" t="s">
        <v>3394</v>
      </c>
    </row>
    <row r="16208" spans="1:1" x14ac:dyDescent="0.2">
      <c r="A16208" t="s">
        <v>3395</v>
      </c>
    </row>
    <row r="16209" spans="1:1" x14ac:dyDescent="0.2">
      <c r="A16209" t="s">
        <v>3396</v>
      </c>
    </row>
    <row r="16210" spans="1:1" x14ac:dyDescent="0.2">
      <c r="A16210" t="s">
        <v>3397</v>
      </c>
    </row>
    <row r="16211" spans="1:1" x14ac:dyDescent="0.2">
      <c r="A16211" t="s">
        <v>3398</v>
      </c>
    </row>
    <row r="16212" spans="1:1" x14ac:dyDescent="0.2">
      <c r="A16212" t="s">
        <v>3399</v>
      </c>
    </row>
    <row r="16213" spans="1:1" x14ac:dyDescent="0.2">
      <c r="A16213" t="s">
        <v>3400</v>
      </c>
    </row>
    <row r="16214" spans="1:1" x14ac:dyDescent="0.2">
      <c r="A16214" t="s">
        <v>3337</v>
      </c>
    </row>
    <row r="16215" spans="1:1" x14ac:dyDescent="0.2">
      <c r="A16215" t="s">
        <v>3338</v>
      </c>
    </row>
    <row r="16216" spans="1:1" x14ac:dyDescent="0.2">
      <c r="A16216" t="s">
        <v>1656</v>
      </c>
    </row>
    <row r="16217" spans="1:1" x14ac:dyDescent="0.2">
      <c r="A16217" t="s">
        <v>1663</v>
      </c>
    </row>
    <row r="16218" spans="1:1" x14ac:dyDescent="0.2">
      <c r="A16218" t="s">
        <v>3355</v>
      </c>
    </row>
    <row r="16219" spans="1:1" x14ac:dyDescent="0.2">
      <c r="A16219" t="s">
        <v>1648</v>
      </c>
    </row>
    <row r="16220" spans="1:1" x14ac:dyDescent="0.2">
      <c r="A16220" t="s">
        <v>1631</v>
      </c>
    </row>
    <row r="16221" spans="1:1" x14ac:dyDescent="0.2">
      <c r="A16221" t="s">
        <v>3318</v>
      </c>
    </row>
    <row r="16222" spans="1:1" x14ac:dyDescent="0.2">
      <c r="A16222" t="s">
        <v>3319</v>
      </c>
    </row>
    <row r="16223" spans="1:1" x14ac:dyDescent="0.2">
      <c r="A16223" t="s">
        <v>1600</v>
      </c>
    </row>
    <row r="16224" spans="1:1" x14ac:dyDescent="0.2">
      <c r="A16224" t="s">
        <v>1601</v>
      </c>
    </row>
    <row r="16225" spans="1:1" x14ac:dyDescent="0.2">
      <c r="A16225" t="s">
        <v>3320</v>
      </c>
    </row>
    <row r="16226" spans="1:1" x14ac:dyDescent="0.2">
      <c r="A16226" t="s">
        <v>1635</v>
      </c>
    </row>
    <row r="16227" spans="1:1" x14ac:dyDescent="0.2">
      <c r="A16227" t="s">
        <v>3321</v>
      </c>
    </row>
    <row r="16228" spans="1:1" x14ac:dyDescent="0.2">
      <c r="A16228" t="s">
        <v>1605</v>
      </c>
    </row>
    <row r="16229" spans="1:1" x14ac:dyDescent="0.2">
      <c r="A16229" t="s">
        <v>1606</v>
      </c>
    </row>
    <row r="16230" spans="1:1" x14ac:dyDescent="0.2">
      <c r="A16230" t="s">
        <v>1607</v>
      </c>
    </row>
    <row r="16231" spans="1:1" x14ac:dyDescent="0.2">
      <c r="A16231" t="s">
        <v>1608</v>
      </c>
    </row>
    <row r="16232" spans="1:1" x14ac:dyDescent="0.2">
      <c r="A16232" t="s">
        <v>1609</v>
      </c>
    </row>
    <row r="16233" spans="1:1" x14ac:dyDescent="0.2">
      <c r="A16233" t="s">
        <v>1610</v>
      </c>
    </row>
    <row r="16234" spans="1:1" x14ac:dyDescent="0.2">
      <c r="A16234" t="s">
        <v>3386</v>
      </c>
    </row>
    <row r="16235" spans="1:1" x14ac:dyDescent="0.2">
      <c r="A16235" t="s">
        <v>3387</v>
      </c>
    </row>
    <row r="16236" spans="1:1" x14ac:dyDescent="0.2">
      <c r="A16236" t="s">
        <v>3388</v>
      </c>
    </row>
    <row r="16237" spans="1:1" x14ac:dyDescent="0.2">
      <c r="A16237" t="s">
        <v>3389</v>
      </c>
    </row>
    <row r="16238" spans="1:1" x14ac:dyDescent="0.2">
      <c r="A16238" t="s">
        <v>3390</v>
      </c>
    </row>
    <row r="16239" spans="1:1" x14ac:dyDescent="0.2">
      <c r="A16239" t="s">
        <v>3391</v>
      </c>
    </row>
    <row r="16240" spans="1:1" x14ac:dyDescent="0.2">
      <c r="A16240" t="s">
        <v>3392</v>
      </c>
    </row>
    <row r="16241" spans="1:1" x14ac:dyDescent="0.2">
      <c r="A16241" t="s">
        <v>3393</v>
      </c>
    </row>
    <row r="16242" spans="1:1" x14ac:dyDescent="0.2">
      <c r="A16242" t="s">
        <v>3394</v>
      </c>
    </row>
    <row r="16243" spans="1:1" x14ac:dyDescent="0.2">
      <c r="A16243" t="s">
        <v>3395</v>
      </c>
    </row>
    <row r="16244" spans="1:1" x14ac:dyDescent="0.2">
      <c r="A16244" t="s">
        <v>3396</v>
      </c>
    </row>
    <row r="16245" spans="1:1" x14ac:dyDescent="0.2">
      <c r="A16245" t="s">
        <v>3397</v>
      </c>
    </row>
    <row r="16246" spans="1:1" x14ac:dyDescent="0.2">
      <c r="A16246" t="s">
        <v>3398</v>
      </c>
    </row>
    <row r="16247" spans="1:1" x14ac:dyDescent="0.2">
      <c r="A16247" t="s">
        <v>3399</v>
      </c>
    </row>
    <row r="16248" spans="1:1" x14ac:dyDescent="0.2">
      <c r="A16248" t="s">
        <v>3400</v>
      </c>
    </row>
    <row r="16249" spans="1:1" x14ac:dyDescent="0.2">
      <c r="A16249" t="s">
        <v>3337</v>
      </c>
    </row>
    <row r="16250" spans="1:1" x14ac:dyDescent="0.2">
      <c r="A16250" t="s">
        <v>3338</v>
      </c>
    </row>
    <row r="16251" spans="1:1" x14ac:dyDescent="0.2">
      <c r="A16251" t="s">
        <v>1657</v>
      </c>
    </row>
    <row r="16252" spans="1:1" x14ac:dyDescent="0.2">
      <c r="A16252" t="s">
        <v>1663</v>
      </c>
    </row>
    <row r="16253" spans="1:1" x14ac:dyDescent="0.2">
      <c r="A16253" t="s">
        <v>3355</v>
      </c>
    </row>
    <row r="16254" spans="1:1" x14ac:dyDescent="0.2">
      <c r="A16254" t="s">
        <v>3401</v>
      </c>
    </row>
    <row r="16255" spans="1:1" x14ac:dyDescent="0.2">
      <c r="A16255" t="s">
        <v>1631</v>
      </c>
    </row>
    <row r="16256" spans="1:1" x14ac:dyDescent="0.2">
      <c r="A16256" t="s">
        <v>1673</v>
      </c>
    </row>
    <row r="16257" spans="1:1" x14ac:dyDescent="0.2">
      <c r="A16257" t="s">
        <v>3402</v>
      </c>
    </row>
    <row r="16258" spans="1:1" x14ac:dyDescent="0.2">
      <c r="A16258" t="s">
        <v>1600</v>
      </c>
    </row>
    <row r="16259" spans="1:1" x14ac:dyDescent="0.2">
      <c r="A16259" t="s">
        <v>1633</v>
      </c>
    </row>
    <row r="16260" spans="1:1" x14ac:dyDescent="0.2">
      <c r="A16260" t="s">
        <v>3403</v>
      </c>
    </row>
    <row r="16261" spans="1:1" x14ac:dyDescent="0.2">
      <c r="A16261" t="s">
        <v>1635</v>
      </c>
    </row>
    <row r="16262" spans="1:1" x14ac:dyDescent="0.2">
      <c r="A16262" t="s">
        <v>3321</v>
      </c>
    </row>
    <row r="16263" spans="1:1" x14ac:dyDescent="0.2">
      <c r="A16263" t="s">
        <v>3404</v>
      </c>
    </row>
    <row r="16264" spans="1:1" x14ac:dyDescent="0.2">
      <c r="A16264" t="s">
        <v>3405</v>
      </c>
    </row>
    <row r="16265" spans="1:1" x14ac:dyDescent="0.2">
      <c r="A16265" t="s">
        <v>1607</v>
      </c>
    </row>
    <row r="16266" spans="1:1" x14ac:dyDescent="0.2">
      <c r="A16266" t="s">
        <v>1608</v>
      </c>
    </row>
    <row r="16267" spans="1:1" x14ac:dyDescent="0.2">
      <c r="A16267" t="s">
        <v>1609</v>
      </c>
    </row>
    <row r="16268" spans="1:1" x14ac:dyDescent="0.2">
      <c r="A16268" t="s">
        <v>1610</v>
      </c>
    </row>
    <row r="16269" spans="1:1" x14ac:dyDescent="0.2">
      <c r="A16269" t="s">
        <v>1678</v>
      </c>
    </row>
    <row r="16270" spans="1:1" x14ac:dyDescent="0.2">
      <c r="A16270" t="s">
        <v>3406</v>
      </c>
    </row>
    <row r="16271" spans="1:1" x14ac:dyDescent="0.2">
      <c r="A16271" t="s">
        <v>3407</v>
      </c>
    </row>
    <row r="16272" spans="1:1" x14ac:dyDescent="0.2">
      <c r="A16272" t="s">
        <v>3408</v>
      </c>
    </row>
    <row r="16273" spans="1:1" x14ac:dyDescent="0.2">
      <c r="A16273" t="s">
        <v>3409</v>
      </c>
    </row>
    <row r="16274" spans="1:1" x14ac:dyDescent="0.2">
      <c r="A16274" t="s">
        <v>3410</v>
      </c>
    </row>
    <row r="16275" spans="1:1" x14ac:dyDescent="0.2">
      <c r="A16275" t="s">
        <v>3411</v>
      </c>
    </row>
    <row r="16276" spans="1:1" x14ac:dyDescent="0.2">
      <c r="A16276" t="s">
        <v>3412</v>
      </c>
    </row>
    <row r="16277" spans="1:1" x14ac:dyDescent="0.2">
      <c r="A16277" t="s">
        <v>3413</v>
      </c>
    </row>
    <row r="16278" spans="1:1" x14ac:dyDescent="0.2">
      <c r="A16278" t="s">
        <v>3414</v>
      </c>
    </row>
    <row r="16279" spans="1:1" x14ac:dyDescent="0.2">
      <c r="A16279" t="s">
        <v>3415</v>
      </c>
    </row>
    <row r="16280" spans="1:1" x14ac:dyDescent="0.2">
      <c r="A16280" t="s">
        <v>3416</v>
      </c>
    </row>
    <row r="16281" spans="1:1" x14ac:dyDescent="0.2">
      <c r="A16281" t="s">
        <v>3417</v>
      </c>
    </row>
    <row r="16282" spans="1:1" x14ac:dyDescent="0.2">
      <c r="A16282" t="s">
        <v>3418</v>
      </c>
    </row>
    <row r="16283" spans="1:1" x14ac:dyDescent="0.2">
      <c r="A16283" t="s">
        <v>3419</v>
      </c>
    </row>
    <row r="16284" spans="1:1" x14ac:dyDescent="0.2">
      <c r="A16284" t="s">
        <v>3337</v>
      </c>
    </row>
    <row r="16285" spans="1:1" x14ac:dyDescent="0.2">
      <c r="A16285" t="s">
        <v>3338</v>
      </c>
    </row>
    <row r="16286" spans="1:1" x14ac:dyDescent="0.2">
      <c r="A16286" t="s">
        <v>1658</v>
      </c>
    </row>
    <row r="16287" spans="1:1" x14ac:dyDescent="0.2">
      <c r="A16287" t="s">
        <v>1663</v>
      </c>
    </row>
    <row r="16288" spans="1:1" x14ac:dyDescent="0.2">
      <c r="A16288" t="s">
        <v>3355</v>
      </c>
    </row>
    <row r="16289" spans="1:1" x14ac:dyDescent="0.2">
      <c r="A16289" t="s">
        <v>3401</v>
      </c>
    </row>
    <row r="16290" spans="1:1" x14ac:dyDescent="0.2">
      <c r="A16290" t="s">
        <v>1631</v>
      </c>
    </row>
    <row r="16291" spans="1:1" x14ac:dyDescent="0.2">
      <c r="A16291" t="s">
        <v>1673</v>
      </c>
    </row>
    <row r="16292" spans="1:1" x14ac:dyDescent="0.2">
      <c r="A16292" t="s">
        <v>3402</v>
      </c>
    </row>
    <row r="16293" spans="1:1" x14ac:dyDescent="0.2">
      <c r="A16293" t="s">
        <v>1600</v>
      </c>
    </row>
    <row r="16294" spans="1:1" x14ac:dyDescent="0.2">
      <c r="A16294" t="s">
        <v>1639</v>
      </c>
    </row>
    <row r="16295" spans="1:1" x14ac:dyDescent="0.2">
      <c r="A16295" t="s">
        <v>3403</v>
      </c>
    </row>
    <row r="16296" spans="1:1" x14ac:dyDescent="0.2">
      <c r="A16296" t="s">
        <v>1635</v>
      </c>
    </row>
    <row r="16297" spans="1:1" x14ac:dyDescent="0.2">
      <c r="A16297" t="s">
        <v>3321</v>
      </c>
    </row>
    <row r="16298" spans="1:1" x14ac:dyDescent="0.2">
      <c r="A16298" t="s">
        <v>3404</v>
      </c>
    </row>
    <row r="16299" spans="1:1" x14ac:dyDescent="0.2">
      <c r="A16299" t="s">
        <v>3420</v>
      </c>
    </row>
    <row r="16300" spans="1:1" x14ac:dyDescent="0.2">
      <c r="A16300" t="s">
        <v>1607</v>
      </c>
    </row>
    <row r="16301" spans="1:1" x14ac:dyDescent="0.2">
      <c r="A16301" t="s">
        <v>1608</v>
      </c>
    </row>
    <row r="16302" spans="1:1" x14ac:dyDescent="0.2">
      <c r="A16302" t="s">
        <v>1609</v>
      </c>
    </row>
    <row r="16303" spans="1:1" x14ac:dyDescent="0.2">
      <c r="A16303" t="s">
        <v>1610</v>
      </c>
    </row>
    <row r="16304" spans="1:1" x14ac:dyDescent="0.2">
      <c r="A16304" t="s">
        <v>1678</v>
      </c>
    </row>
    <row r="16305" spans="1:1" x14ac:dyDescent="0.2">
      <c r="A16305" t="s">
        <v>3406</v>
      </c>
    </row>
    <row r="16306" spans="1:1" x14ac:dyDescent="0.2">
      <c r="A16306" t="s">
        <v>3407</v>
      </c>
    </row>
    <row r="16307" spans="1:1" x14ac:dyDescent="0.2">
      <c r="A16307" t="s">
        <v>3408</v>
      </c>
    </row>
    <row r="16308" spans="1:1" x14ac:dyDescent="0.2">
      <c r="A16308" t="s">
        <v>3409</v>
      </c>
    </row>
    <row r="16309" spans="1:1" x14ac:dyDescent="0.2">
      <c r="A16309" t="s">
        <v>3410</v>
      </c>
    </row>
    <row r="16310" spans="1:1" x14ac:dyDescent="0.2">
      <c r="A16310" t="s">
        <v>3411</v>
      </c>
    </row>
    <row r="16311" spans="1:1" x14ac:dyDescent="0.2">
      <c r="A16311" t="s">
        <v>3412</v>
      </c>
    </row>
    <row r="16312" spans="1:1" x14ac:dyDescent="0.2">
      <c r="A16312" t="s">
        <v>3413</v>
      </c>
    </row>
    <row r="16313" spans="1:1" x14ac:dyDescent="0.2">
      <c r="A16313" t="s">
        <v>3414</v>
      </c>
    </row>
    <row r="16314" spans="1:1" x14ac:dyDescent="0.2">
      <c r="A16314" t="s">
        <v>3415</v>
      </c>
    </row>
    <row r="16315" spans="1:1" x14ac:dyDescent="0.2">
      <c r="A16315" t="s">
        <v>3416</v>
      </c>
    </row>
    <row r="16316" spans="1:1" x14ac:dyDescent="0.2">
      <c r="A16316" t="s">
        <v>3417</v>
      </c>
    </row>
    <row r="16317" spans="1:1" x14ac:dyDescent="0.2">
      <c r="A16317" t="s">
        <v>3418</v>
      </c>
    </row>
    <row r="16318" spans="1:1" x14ac:dyDescent="0.2">
      <c r="A16318" t="s">
        <v>3419</v>
      </c>
    </row>
    <row r="16319" spans="1:1" x14ac:dyDescent="0.2">
      <c r="A16319" t="s">
        <v>3337</v>
      </c>
    </row>
    <row r="16320" spans="1:1" x14ac:dyDescent="0.2">
      <c r="A16320" t="s">
        <v>3338</v>
      </c>
    </row>
    <row r="16321" spans="1:1" x14ac:dyDescent="0.2">
      <c r="A16321" t="s">
        <v>1660</v>
      </c>
    </row>
    <row r="16322" spans="1:1" x14ac:dyDescent="0.2">
      <c r="A16322" t="s">
        <v>1663</v>
      </c>
    </row>
    <row r="16323" spans="1:1" x14ac:dyDescent="0.2">
      <c r="A16323" t="s">
        <v>3355</v>
      </c>
    </row>
    <row r="16324" spans="1:1" x14ac:dyDescent="0.2">
      <c r="A16324" t="s">
        <v>3401</v>
      </c>
    </row>
    <row r="16325" spans="1:1" x14ac:dyDescent="0.2">
      <c r="A16325" t="s">
        <v>1631</v>
      </c>
    </row>
    <row r="16326" spans="1:1" x14ac:dyDescent="0.2">
      <c r="A16326" t="s">
        <v>1673</v>
      </c>
    </row>
    <row r="16327" spans="1:1" x14ac:dyDescent="0.2">
      <c r="A16327" t="s">
        <v>3402</v>
      </c>
    </row>
    <row r="16328" spans="1:1" x14ac:dyDescent="0.2">
      <c r="A16328" t="s">
        <v>1600</v>
      </c>
    </row>
    <row r="16329" spans="1:1" x14ac:dyDescent="0.2">
      <c r="A16329" t="s">
        <v>1601</v>
      </c>
    </row>
    <row r="16330" spans="1:1" x14ac:dyDescent="0.2">
      <c r="A16330" t="s">
        <v>3403</v>
      </c>
    </row>
    <row r="16331" spans="1:1" x14ac:dyDescent="0.2">
      <c r="A16331" t="s">
        <v>1635</v>
      </c>
    </row>
    <row r="16332" spans="1:1" x14ac:dyDescent="0.2">
      <c r="A16332" t="s">
        <v>3321</v>
      </c>
    </row>
    <row r="16333" spans="1:1" x14ac:dyDescent="0.2">
      <c r="A16333" t="s">
        <v>3404</v>
      </c>
    </row>
    <row r="16334" spans="1:1" x14ac:dyDescent="0.2">
      <c r="A16334" t="s">
        <v>3421</v>
      </c>
    </row>
    <row r="16335" spans="1:1" x14ac:dyDescent="0.2">
      <c r="A16335" t="s">
        <v>1607</v>
      </c>
    </row>
    <row r="16336" spans="1:1" x14ac:dyDescent="0.2">
      <c r="A16336" t="s">
        <v>1608</v>
      </c>
    </row>
    <row r="16337" spans="1:1" x14ac:dyDescent="0.2">
      <c r="A16337" t="s">
        <v>1609</v>
      </c>
    </row>
    <row r="16338" spans="1:1" x14ac:dyDescent="0.2">
      <c r="A16338" t="s">
        <v>1610</v>
      </c>
    </row>
    <row r="16339" spans="1:1" x14ac:dyDescent="0.2">
      <c r="A16339" t="s">
        <v>1678</v>
      </c>
    </row>
    <row r="16340" spans="1:1" x14ac:dyDescent="0.2">
      <c r="A16340" t="s">
        <v>3406</v>
      </c>
    </row>
    <row r="16341" spans="1:1" x14ac:dyDescent="0.2">
      <c r="A16341" t="s">
        <v>3407</v>
      </c>
    </row>
    <row r="16342" spans="1:1" x14ac:dyDescent="0.2">
      <c r="A16342" t="s">
        <v>3408</v>
      </c>
    </row>
    <row r="16343" spans="1:1" x14ac:dyDescent="0.2">
      <c r="A16343" t="s">
        <v>3409</v>
      </c>
    </row>
    <row r="16344" spans="1:1" x14ac:dyDescent="0.2">
      <c r="A16344" t="s">
        <v>3410</v>
      </c>
    </row>
    <row r="16345" spans="1:1" x14ac:dyDescent="0.2">
      <c r="A16345" t="s">
        <v>3411</v>
      </c>
    </row>
    <row r="16346" spans="1:1" x14ac:dyDescent="0.2">
      <c r="A16346" t="s">
        <v>3412</v>
      </c>
    </row>
    <row r="16347" spans="1:1" x14ac:dyDescent="0.2">
      <c r="A16347" t="s">
        <v>3413</v>
      </c>
    </row>
    <row r="16348" spans="1:1" x14ac:dyDescent="0.2">
      <c r="A16348" t="s">
        <v>3414</v>
      </c>
    </row>
    <row r="16349" spans="1:1" x14ac:dyDescent="0.2">
      <c r="A16349" t="s">
        <v>3415</v>
      </c>
    </row>
    <row r="16350" spans="1:1" x14ac:dyDescent="0.2">
      <c r="A16350" t="s">
        <v>3416</v>
      </c>
    </row>
    <row r="16351" spans="1:1" x14ac:dyDescent="0.2">
      <c r="A16351" t="s">
        <v>3417</v>
      </c>
    </row>
    <row r="16352" spans="1:1" x14ac:dyDescent="0.2">
      <c r="A16352" t="s">
        <v>3418</v>
      </c>
    </row>
    <row r="16353" spans="1:1" x14ac:dyDescent="0.2">
      <c r="A16353" t="s">
        <v>3419</v>
      </c>
    </row>
    <row r="16354" spans="1:1" x14ac:dyDescent="0.2">
      <c r="A16354" t="s">
        <v>3337</v>
      </c>
    </row>
    <row r="16355" spans="1:1" x14ac:dyDescent="0.2">
      <c r="A16355" t="s">
        <v>3338</v>
      </c>
    </row>
    <row r="16356" spans="1:1" x14ac:dyDescent="0.2">
      <c r="A16356" t="s">
        <v>1661</v>
      </c>
    </row>
    <row r="16357" spans="1:1" x14ac:dyDescent="0.2">
      <c r="A16357" t="s">
        <v>1663</v>
      </c>
    </row>
    <row r="16358" spans="1:1" x14ac:dyDescent="0.2">
      <c r="A16358" t="s">
        <v>3355</v>
      </c>
    </row>
    <row r="16359" spans="1:1" x14ac:dyDescent="0.2">
      <c r="A16359" t="s">
        <v>3422</v>
      </c>
    </row>
    <row r="16360" spans="1:1" x14ac:dyDescent="0.2">
      <c r="A16360" t="s">
        <v>1631</v>
      </c>
    </row>
    <row r="16361" spans="1:1" x14ac:dyDescent="0.2">
      <c r="A16361" t="s">
        <v>1673</v>
      </c>
    </row>
    <row r="16362" spans="1:1" x14ac:dyDescent="0.2">
      <c r="A16362" t="s">
        <v>3402</v>
      </c>
    </row>
    <row r="16363" spans="1:1" x14ac:dyDescent="0.2">
      <c r="A16363" t="s">
        <v>1600</v>
      </c>
    </row>
    <row r="16364" spans="1:1" x14ac:dyDescent="0.2">
      <c r="A16364" t="s">
        <v>1633</v>
      </c>
    </row>
    <row r="16365" spans="1:1" x14ac:dyDescent="0.2">
      <c r="A16365" t="s">
        <v>3403</v>
      </c>
    </row>
    <row r="16366" spans="1:1" x14ac:dyDescent="0.2">
      <c r="A16366" t="s">
        <v>1635</v>
      </c>
    </row>
    <row r="16367" spans="1:1" x14ac:dyDescent="0.2">
      <c r="A16367" t="s">
        <v>3321</v>
      </c>
    </row>
    <row r="16368" spans="1:1" x14ac:dyDescent="0.2">
      <c r="A16368" t="s">
        <v>3423</v>
      </c>
    </row>
    <row r="16369" spans="1:1" x14ac:dyDescent="0.2">
      <c r="A16369" t="s">
        <v>3405</v>
      </c>
    </row>
    <row r="16370" spans="1:1" x14ac:dyDescent="0.2">
      <c r="A16370" t="s">
        <v>1607</v>
      </c>
    </row>
    <row r="16371" spans="1:1" x14ac:dyDescent="0.2">
      <c r="A16371" t="s">
        <v>1608</v>
      </c>
    </row>
    <row r="16372" spans="1:1" x14ac:dyDescent="0.2">
      <c r="A16372" t="s">
        <v>1609</v>
      </c>
    </row>
    <row r="16373" spans="1:1" x14ac:dyDescent="0.2">
      <c r="A16373" t="s">
        <v>1610</v>
      </c>
    </row>
    <row r="16374" spans="1:1" x14ac:dyDescent="0.2">
      <c r="A16374" t="s">
        <v>3424</v>
      </c>
    </row>
    <row r="16375" spans="1:1" x14ac:dyDescent="0.2">
      <c r="A16375" t="s">
        <v>3425</v>
      </c>
    </row>
    <row r="16376" spans="1:1" x14ac:dyDescent="0.2">
      <c r="A16376" t="s">
        <v>3426</v>
      </c>
    </row>
    <row r="16377" spans="1:1" x14ac:dyDescent="0.2">
      <c r="A16377" t="s">
        <v>3427</v>
      </c>
    </row>
    <row r="16378" spans="1:1" x14ac:dyDescent="0.2">
      <c r="A16378" t="s">
        <v>3428</v>
      </c>
    </row>
    <row r="16379" spans="1:1" x14ac:dyDescent="0.2">
      <c r="A16379" t="s">
        <v>3429</v>
      </c>
    </row>
    <row r="16380" spans="1:1" x14ac:dyDescent="0.2">
      <c r="A16380" t="s">
        <v>3430</v>
      </c>
    </row>
    <row r="16381" spans="1:1" x14ac:dyDescent="0.2">
      <c r="A16381" t="s">
        <v>3431</v>
      </c>
    </row>
    <row r="16382" spans="1:1" x14ac:dyDescent="0.2">
      <c r="A16382" t="s">
        <v>3432</v>
      </c>
    </row>
    <row r="16383" spans="1:1" x14ac:dyDescent="0.2">
      <c r="A16383" t="s">
        <v>3433</v>
      </c>
    </row>
    <row r="16384" spans="1:1" x14ac:dyDescent="0.2">
      <c r="A16384" t="s">
        <v>3434</v>
      </c>
    </row>
    <row r="16385" spans="1:1" x14ac:dyDescent="0.2">
      <c r="A16385" t="s">
        <v>3435</v>
      </c>
    </row>
    <row r="16386" spans="1:1" x14ac:dyDescent="0.2">
      <c r="A16386" t="s">
        <v>3436</v>
      </c>
    </row>
    <row r="16387" spans="1:1" x14ac:dyDescent="0.2">
      <c r="A16387" t="s">
        <v>3437</v>
      </c>
    </row>
    <row r="16388" spans="1:1" x14ac:dyDescent="0.2">
      <c r="A16388" t="s">
        <v>3438</v>
      </c>
    </row>
    <row r="16389" spans="1:1" x14ac:dyDescent="0.2">
      <c r="A16389" t="s">
        <v>3337</v>
      </c>
    </row>
    <row r="16390" spans="1:1" x14ac:dyDescent="0.2">
      <c r="A16390" t="s">
        <v>3338</v>
      </c>
    </row>
    <row r="16391" spans="1:1" x14ac:dyDescent="0.2">
      <c r="A16391" t="s">
        <v>1662</v>
      </c>
    </row>
    <row r="16392" spans="1:1" x14ac:dyDescent="0.2">
      <c r="A16392" t="s">
        <v>1663</v>
      </c>
    </row>
    <row r="16393" spans="1:1" x14ac:dyDescent="0.2">
      <c r="A16393" t="s">
        <v>3355</v>
      </c>
    </row>
    <row r="16394" spans="1:1" x14ac:dyDescent="0.2">
      <c r="A16394" t="s">
        <v>3422</v>
      </c>
    </row>
    <row r="16395" spans="1:1" x14ac:dyDescent="0.2">
      <c r="A16395" t="s">
        <v>1631</v>
      </c>
    </row>
    <row r="16396" spans="1:1" x14ac:dyDescent="0.2">
      <c r="A16396" t="s">
        <v>1673</v>
      </c>
    </row>
    <row r="16397" spans="1:1" x14ac:dyDescent="0.2">
      <c r="A16397" t="s">
        <v>3402</v>
      </c>
    </row>
    <row r="16398" spans="1:1" x14ac:dyDescent="0.2">
      <c r="A16398" t="s">
        <v>1600</v>
      </c>
    </row>
    <row r="16399" spans="1:1" x14ac:dyDescent="0.2">
      <c r="A16399" t="s">
        <v>1639</v>
      </c>
    </row>
    <row r="16400" spans="1:1" x14ac:dyDescent="0.2">
      <c r="A16400" t="s">
        <v>3403</v>
      </c>
    </row>
    <row r="16401" spans="1:1" x14ac:dyDescent="0.2">
      <c r="A16401" t="s">
        <v>1635</v>
      </c>
    </row>
    <row r="16402" spans="1:1" x14ac:dyDescent="0.2">
      <c r="A16402" t="s">
        <v>3321</v>
      </c>
    </row>
    <row r="16403" spans="1:1" x14ac:dyDescent="0.2">
      <c r="A16403" t="s">
        <v>3423</v>
      </c>
    </row>
    <row r="16404" spans="1:1" x14ac:dyDescent="0.2">
      <c r="A16404" t="s">
        <v>3420</v>
      </c>
    </row>
    <row r="16405" spans="1:1" x14ac:dyDescent="0.2">
      <c r="A16405" t="s">
        <v>1607</v>
      </c>
    </row>
    <row r="16406" spans="1:1" x14ac:dyDescent="0.2">
      <c r="A16406" t="s">
        <v>1608</v>
      </c>
    </row>
    <row r="16407" spans="1:1" x14ac:dyDescent="0.2">
      <c r="A16407" t="s">
        <v>1609</v>
      </c>
    </row>
    <row r="16408" spans="1:1" x14ac:dyDescent="0.2">
      <c r="A16408" t="s">
        <v>1610</v>
      </c>
    </row>
    <row r="16409" spans="1:1" x14ac:dyDescent="0.2">
      <c r="A16409" t="s">
        <v>3424</v>
      </c>
    </row>
    <row r="16410" spans="1:1" x14ac:dyDescent="0.2">
      <c r="A16410" t="s">
        <v>3425</v>
      </c>
    </row>
    <row r="16411" spans="1:1" x14ac:dyDescent="0.2">
      <c r="A16411" t="s">
        <v>3426</v>
      </c>
    </row>
    <row r="16412" spans="1:1" x14ac:dyDescent="0.2">
      <c r="A16412" t="s">
        <v>3427</v>
      </c>
    </row>
    <row r="16413" spans="1:1" x14ac:dyDescent="0.2">
      <c r="A16413" t="s">
        <v>3428</v>
      </c>
    </row>
    <row r="16414" spans="1:1" x14ac:dyDescent="0.2">
      <c r="A16414" t="s">
        <v>3429</v>
      </c>
    </row>
    <row r="16415" spans="1:1" x14ac:dyDescent="0.2">
      <c r="A16415" t="s">
        <v>3430</v>
      </c>
    </row>
    <row r="16416" spans="1:1" x14ac:dyDescent="0.2">
      <c r="A16416" t="s">
        <v>3431</v>
      </c>
    </row>
    <row r="16417" spans="1:1" x14ac:dyDescent="0.2">
      <c r="A16417" t="s">
        <v>3432</v>
      </c>
    </row>
    <row r="16418" spans="1:1" x14ac:dyDescent="0.2">
      <c r="A16418" t="s">
        <v>3433</v>
      </c>
    </row>
    <row r="16419" spans="1:1" x14ac:dyDescent="0.2">
      <c r="A16419" t="s">
        <v>3434</v>
      </c>
    </row>
    <row r="16420" spans="1:1" x14ac:dyDescent="0.2">
      <c r="A16420" t="s">
        <v>3435</v>
      </c>
    </row>
    <row r="16421" spans="1:1" x14ac:dyDescent="0.2">
      <c r="A16421" t="s">
        <v>3436</v>
      </c>
    </row>
    <row r="16422" spans="1:1" x14ac:dyDescent="0.2">
      <c r="A16422" t="s">
        <v>3437</v>
      </c>
    </row>
    <row r="16423" spans="1:1" x14ac:dyDescent="0.2">
      <c r="A16423" t="s">
        <v>3438</v>
      </c>
    </row>
    <row r="16424" spans="1:1" x14ac:dyDescent="0.2">
      <c r="A16424" t="s">
        <v>3337</v>
      </c>
    </row>
    <row r="16425" spans="1:1" x14ac:dyDescent="0.2">
      <c r="A16425" t="s">
        <v>3338</v>
      </c>
    </row>
    <row r="16426" spans="1:1" x14ac:dyDescent="0.2">
      <c r="A16426" t="s">
        <v>1665</v>
      </c>
    </row>
    <row r="16427" spans="1:1" x14ac:dyDescent="0.2">
      <c r="A16427" t="s">
        <v>1663</v>
      </c>
    </row>
    <row r="16428" spans="1:1" x14ac:dyDescent="0.2">
      <c r="A16428" t="s">
        <v>3355</v>
      </c>
    </row>
    <row r="16429" spans="1:1" x14ac:dyDescent="0.2">
      <c r="A16429" t="s">
        <v>3422</v>
      </c>
    </row>
    <row r="16430" spans="1:1" x14ac:dyDescent="0.2">
      <c r="A16430" t="s">
        <v>1631</v>
      </c>
    </row>
    <row r="16431" spans="1:1" x14ac:dyDescent="0.2">
      <c r="A16431" t="s">
        <v>1673</v>
      </c>
    </row>
    <row r="16432" spans="1:1" x14ac:dyDescent="0.2">
      <c r="A16432" t="s">
        <v>3402</v>
      </c>
    </row>
    <row r="16433" spans="1:1" x14ac:dyDescent="0.2">
      <c r="A16433" t="s">
        <v>1600</v>
      </c>
    </row>
    <row r="16434" spans="1:1" x14ac:dyDescent="0.2">
      <c r="A16434" t="s">
        <v>1601</v>
      </c>
    </row>
    <row r="16435" spans="1:1" x14ac:dyDescent="0.2">
      <c r="A16435" t="s">
        <v>3403</v>
      </c>
    </row>
    <row r="16436" spans="1:1" x14ac:dyDescent="0.2">
      <c r="A16436" t="s">
        <v>1635</v>
      </c>
    </row>
    <row r="16437" spans="1:1" x14ac:dyDescent="0.2">
      <c r="A16437" t="s">
        <v>3321</v>
      </c>
    </row>
    <row r="16438" spans="1:1" x14ac:dyDescent="0.2">
      <c r="A16438" t="s">
        <v>3423</v>
      </c>
    </row>
    <row r="16439" spans="1:1" x14ac:dyDescent="0.2">
      <c r="A16439" t="s">
        <v>3421</v>
      </c>
    </row>
    <row r="16440" spans="1:1" x14ac:dyDescent="0.2">
      <c r="A16440" t="s">
        <v>1607</v>
      </c>
    </row>
    <row r="16441" spans="1:1" x14ac:dyDescent="0.2">
      <c r="A16441" t="s">
        <v>1608</v>
      </c>
    </row>
    <row r="16442" spans="1:1" x14ac:dyDescent="0.2">
      <c r="A16442" t="s">
        <v>1609</v>
      </c>
    </row>
    <row r="16443" spans="1:1" x14ac:dyDescent="0.2">
      <c r="A16443" t="s">
        <v>1610</v>
      </c>
    </row>
    <row r="16444" spans="1:1" x14ac:dyDescent="0.2">
      <c r="A16444" t="s">
        <v>3424</v>
      </c>
    </row>
    <row r="16445" spans="1:1" x14ac:dyDescent="0.2">
      <c r="A16445" t="s">
        <v>3425</v>
      </c>
    </row>
    <row r="16446" spans="1:1" x14ac:dyDescent="0.2">
      <c r="A16446" t="s">
        <v>3426</v>
      </c>
    </row>
    <row r="16447" spans="1:1" x14ac:dyDescent="0.2">
      <c r="A16447" t="s">
        <v>3427</v>
      </c>
    </row>
    <row r="16448" spans="1:1" x14ac:dyDescent="0.2">
      <c r="A16448" t="s">
        <v>3428</v>
      </c>
    </row>
    <row r="16449" spans="1:1" x14ac:dyDescent="0.2">
      <c r="A16449" t="s">
        <v>3429</v>
      </c>
    </row>
    <row r="16450" spans="1:1" x14ac:dyDescent="0.2">
      <c r="A16450" t="s">
        <v>3430</v>
      </c>
    </row>
    <row r="16451" spans="1:1" x14ac:dyDescent="0.2">
      <c r="A16451" t="s">
        <v>3431</v>
      </c>
    </row>
    <row r="16452" spans="1:1" x14ac:dyDescent="0.2">
      <c r="A16452" t="s">
        <v>3432</v>
      </c>
    </row>
    <row r="16453" spans="1:1" x14ac:dyDescent="0.2">
      <c r="A16453" t="s">
        <v>3433</v>
      </c>
    </row>
    <row r="16454" spans="1:1" x14ac:dyDescent="0.2">
      <c r="A16454" t="s">
        <v>3434</v>
      </c>
    </row>
    <row r="16455" spans="1:1" x14ac:dyDescent="0.2">
      <c r="A16455" t="s">
        <v>3435</v>
      </c>
    </row>
    <row r="16456" spans="1:1" x14ac:dyDescent="0.2">
      <c r="A16456" t="s">
        <v>3436</v>
      </c>
    </row>
    <row r="16457" spans="1:1" x14ac:dyDescent="0.2">
      <c r="A16457" t="s">
        <v>3437</v>
      </c>
    </row>
    <row r="16458" spans="1:1" x14ac:dyDescent="0.2">
      <c r="A16458" t="s">
        <v>3438</v>
      </c>
    </row>
    <row r="16459" spans="1:1" x14ac:dyDescent="0.2">
      <c r="A16459" t="s">
        <v>3337</v>
      </c>
    </row>
    <row r="16460" spans="1:1" x14ac:dyDescent="0.2">
      <c r="A16460" t="s">
        <v>3338</v>
      </c>
    </row>
    <row r="16461" spans="1:1" x14ac:dyDescent="0.2">
      <c r="A16461" t="s">
        <v>1667</v>
      </c>
    </row>
    <row r="16462" spans="1:1" x14ac:dyDescent="0.2">
      <c r="A16462" t="s">
        <v>1594</v>
      </c>
    </row>
    <row r="16463" spans="1:1" x14ac:dyDescent="0.2">
      <c r="A16463" t="s">
        <v>1595</v>
      </c>
    </row>
    <row r="16464" spans="1:1" x14ac:dyDescent="0.2">
      <c r="A16464" t="s">
        <v>3439</v>
      </c>
    </row>
    <row r="16465" spans="1:1" x14ac:dyDescent="0.2">
      <c r="A16465" t="s">
        <v>1597</v>
      </c>
    </row>
    <row r="16466" spans="1:1" x14ac:dyDescent="0.2">
      <c r="A16466" t="s">
        <v>1598</v>
      </c>
    </row>
    <row r="16467" spans="1:1" x14ac:dyDescent="0.2">
      <c r="A16467" t="s">
        <v>1599</v>
      </c>
    </row>
    <row r="16468" spans="1:1" x14ac:dyDescent="0.2">
      <c r="A16468" t="s">
        <v>1600</v>
      </c>
    </row>
    <row r="16469" spans="1:1" x14ac:dyDescent="0.2">
      <c r="A16469" t="s">
        <v>1601</v>
      </c>
    </row>
    <row r="16470" spans="1:1" x14ac:dyDescent="0.2">
      <c r="A16470" t="s">
        <v>1602</v>
      </c>
    </row>
    <row r="16471" spans="1:1" x14ac:dyDescent="0.2">
      <c r="A16471" t="s">
        <v>1603</v>
      </c>
    </row>
    <row r="16472" spans="1:1" x14ac:dyDescent="0.2">
      <c r="A16472" t="s">
        <v>1604</v>
      </c>
    </row>
    <row r="16473" spans="1:1" x14ac:dyDescent="0.2">
      <c r="A16473" t="s">
        <v>1605</v>
      </c>
    </row>
    <row r="16474" spans="1:1" x14ac:dyDescent="0.2">
      <c r="A16474" t="s">
        <v>1606</v>
      </c>
    </row>
    <row r="16475" spans="1:1" x14ac:dyDescent="0.2">
      <c r="A16475" t="s">
        <v>1607</v>
      </c>
    </row>
    <row r="16476" spans="1:1" x14ac:dyDescent="0.2">
      <c r="A16476" t="s">
        <v>1608</v>
      </c>
    </row>
    <row r="16477" spans="1:1" x14ac:dyDescent="0.2">
      <c r="A16477" t="s">
        <v>1609</v>
      </c>
    </row>
    <row r="16478" spans="1:1" x14ac:dyDescent="0.2">
      <c r="A16478" t="s">
        <v>1610</v>
      </c>
    </row>
    <row r="16479" spans="1:1" x14ac:dyDescent="0.2">
      <c r="A16479" t="s">
        <v>1611</v>
      </c>
    </row>
    <row r="16480" spans="1:1" x14ac:dyDescent="0.2">
      <c r="A16480" t="s">
        <v>1612</v>
      </c>
    </row>
    <row r="16481" spans="1:1" x14ac:dyDescent="0.2">
      <c r="A16481" t="s">
        <v>1613</v>
      </c>
    </row>
    <row r="16482" spans="1:1" x14ac:dyDescent="0.2">
      <c r="A16482" t="s">
        <v>1614</v>
      </c>
    </row>
    <row r="16483" spans="1:1" x14ac:dyDescent="0.2">
      <c r="A16483" t="s">
        <v>1615</v>
      </c>
    </row>
    <row r="16484" spans="1:1" x14ac:dyDescent="0.2">
      <c r="A16484" t="s">
        <v>1616</v>
      </c>
    </row>
    <row r="16485" spans="1:1" x14ac:dyDescent="0.2">
      <c r="A16485" t="s">
        <v>1617</v>
      </c>
    </row>
    <row r="16486" spans="1:1" x14ac:dyDescent="0.2">
      <c r="A16486" t="s">
        <v>1618</v>
      </c>
    </row>
    <row r="16487" spans="1:1" x14ac:dyDescent="0.2">
      <c r="A16487" t="s">
        <v>1619</v>
      </c>
    </row>
    <row r="16488" spans="1:1" x14ac:dyDescent="0.2">
      <c r="A16488" t="s">
        <v>1620</v>
      </c>
    </row>
    <row r="16489" spans="1:1" x14ac:dyDescent="0.2">
      <c r="A16489" t="s">
        <v>1621</v>
      </c>
    </row>
    <row r="16490" spans="1:1" x14ac:dyDescent="0.2">
      <c r="A16490" t="s">
        <v>1622</v>
      </c>
    </row>
    <row r="16491" spans="1:1" x14ac:dyDescent="0.2">
      <c r="A16491" t="s">
        <v>1623</v>
      </c>
    </row>
    <row r="16492" spans="1:1" x14ac:dyDescent="0.2">
      <c r="A16492" t="s">
        <v>1624</v>
      </c>
    </row>
    <row r="16493" spans="1:1" x14ac:dyDescent="0.2">
      <c r="A16493" t="s">
        <v>1625</v>
      </c>
    </row>
    <row r="16494" spans="1:1" x14ac:dyDescent="0.2">
      <c r="A16494" t="s">
        <v>1626</v>
      </c>
    </row>
    <row r="16495" spans="1:1" x14ac:dyDescent="0.2">
      <c r="A16495" t="s">
        <v>1627</v>
      </c>
    </row>
    <row r="16496" spans="1:1" x14ac:dyDescent="0.2">
      <c r="A16496" t="s">
        <v>1668</v>
      </c>
    </row>
    <row r="16497" spans="1:1" x14ac:dyDescent="0.2">
      <c r="A16497" t="s">
        <v>1594</v>
      </c>
    </row>
    <row r="16498" spans="1:1" x14ac:dyDescent="0.2">
      <c r="A16498" t="s">
        <v>1642</v>
      </c>
    </row>
    <row r="16499" spans="1:1" x14ac:dyDescent="0.2">
      <c r="A16499" t="s">
        <v>3440</v>
      </c>
    </row>
    <row r="16500" spans="1:1" x14ac:dyDescent="0.2">
      <c r="A16500" t="s">
        <v>1652</v>
      </c>
    </row>
    <row r="16501" spans="1:1" x14ac:dyDescent="0.2">
      <c r="A16501" t="s">
        <v>1632</v>
      </c>
    </row>
    <row r="16502" spans="1:1" x14ac:dyDescent="0.2">
      <c r="A16502" t="s">
        <v>3319</v>
      </c>
    </row>
    <row r="16503" spans="1:1" x14ac:dyDescent="0.2">
      <c r="A16503" t="s">
        <v>1600</v>
      </c>
    </row>
    <row r="16504" spans="1:1" x14ac:dyDescent="0.2">
      <c r="A16504" t="s">
        <v>1633</v>
      </c>
    </row>
    <row r="16505" spans="1:1" x14ac:dyDescent="0.2">
      <c r="A16505" t="s">
        <v>3320</v>
      </c>
    </row>
    <row r="16506" spans="1:1" x14ac:dyDescent="0.2">
      <c r="A16506" t="s">
        <v>1635</v>
      </c>
    </row>
    <row r="16507" spans="1:1" x14ac:dyDescent="0.2">
      <c r="A16507" t="s">
        <v>3321</v>
      </c>
    </row>
    <row r="16508" spans="1:1" x14ac:dyDescent="0.2">
      <c r="A16508" t="s">
        <v>1605</v>
      </c>
    </row>
    <row r="16509" spans="1:1" x14ac:dyDescent="0.2">
      <c r="A16509" t="s">
        <v>1606</v>
      </c>
    </row>
    <row r="16510" spans="1:1" x14ac:dyDescent="0.2">
      <c r="A16510" t="s">
        <v>1607</v>
      </c>
    </row>
    <row r="16511" spans="1:1" x14ac:dyDescent="0.2">
      <c r="A16511" t="s">
        <v>1608</v>
      </c>
    </row>
    <row r="16512" spans="1:1" x14ac:dyDescent="0.2">
      <c r="A16512" t="s">
        <v>1609</v>
      </c>
    </row>
    <row r="16513" spans="1:1" x14ac:dyDescent="0.2">
      <c r="A16513" t="s">
        <v>1610</v>
      </c>
    </row>
    <row r="16514" spans="1:1" x14ac:dyDescent="0.2">
      <c r="A16514" t="s">
        <v>3441</v>
      </c>
    </row>
    <row r="16515" spans="1:1" x14ac:dyDescent="0.2">
      <c r="A16515" t="s">
        <v>3442</v>
      </c>
    </row>
    <row r="16516" spans="1:1" x14ac:dyDescent="0.2">
      <c r="A16516" t="s">
        <v>3443</v>
      </c>
    </row>
    <row r="16517" spans="1:1" x14ac:dyDescent="0.2">
      <c r="A16517" t="s">
        <v>3444</v>
      </c>
    </row>
    <row r="16518" spans="1:1" x14ac:dyDescent="0.2">
      <c r="A16518" t="s">
        <v>3445</v>
      </c>
    </row>
    <row r="16519" spans="1:1" x14ac:dyDescent="0.2">
      <c r="A16519" t="s">
        <v>3446</v>
      </c>
    </row>
    <row r="16520" spans="1:1" x14ac:dyDescent="0.2">
      <c r="A16520" t="s">
        <v>3447</v>
      </c>
    </row>
    <row r="16521" spans="1:1" x14ac:dyDescent="0.2">
      <c r="A16521" t="s">
        <v>3448</v>
      </c>
    </row>
    <row r="16522" spans="1:1" x14ac:dyDescent="0.2">
      <c r="A16522" t="s">
        <v>3449</v>
      </c>
    </row>
    <row r="16523" spans="1:1" x14ac:dyDescent="0.2">
      <c r="A16523" t="s">
        <v>3450</v>
      </c>
    </row>
    <row r="16524" spans="1:1" x14ac:dyDescent="0.2">
      <c r="A16524" t="s">
        <v>3451</v>
      </c>
    </row>
    <row r="16525" spans="1:1" x14ac:dyDescent="0.2">
      <c r="A16525" t="s">
        <v>3452</v>
      </c>
    </row>
    <row r="16526" spans="1:1" x14ac:dyDescent="0.2">
      <c r="A16526" t="s">
        <v>3453</v>
      </c>
    </row>
    <row r="16527" spans="1:1" x14ac:dyDescent="0.2">
      <c r="A16527" t="s">
        <v>3454</v>
      </c>
    </row>
    <row r="16528" spans="1:1" x14ac:dyDescent="0.2">
      <c r="A16528" t="s">
        <v>3455</v>
      </c>
    </row>
    <row r="16529" spans="1:1" x14ac:dyDescent="0.2">
      <c r="A16529" t="s">
        <v>3337</v>
      </c>
    </row>
    <row r="16530" spans="1:1" x14ac:dyDescent="0.2">
      <c r="A16530" t="s">
        <v>3338</v>
      </c>
    </row>
    <row r="16531" spans="1:1" x14ac:dyDescent="0.2">
      <c r="A16531" t="s">
        <v>1671</v>
      </c>
    </row>
    <row r="16532" spans="1:1" x14ac:dyDescent="0.2">
      <c r="A16532" t="s">
        <v>1594</v>
      </c>
    </row>
    <row r="16533" spans="1:1" x14ac:dyDescent="0.2">
      <c r="A16533" t="s">
        <v>1642</v>
      </c>
    </row>
    <row r="16534" spans="1:1" x14ac:dyDescent="0.2">
      <c r="A16534" t="s">
        <v>3440</v>
      </c>
    </row>
    <row r="16535" spans="1:1" x14ac:dyDescent="0.2">
      <c r="A16535" t="s">
        <v>1652</v>
      </c>
    </row>
    <row r="16536" spans="1:1" x14ac:dyDescent="0.2">
      <c r="A16536" t="s">
        <v>1632</v>
      </c>
    </row>
    <row r="16537" spans="1:1" x14ac:dyDescent="0.2">
      <c r="A16537" t="s">
        <v>3319</v>
      </c>
    </row>
    <row r="16538" spans="1:1" x14ac:dyDescent="0.2">
      <c r="A16538" t="s">
        <v>1600</v>
      </c>
    </row>
    <row r="16539" spans="1:1" x14ac:dyDescent="0.2">
      <c r="A16539" t="s">
        <v>1639</v>
      </c>
    </row>
    <row r="16540" spans="1:1" x14ac:dyDescent="0.2">
      <c r="A16540" t="s">
        <v>3320</v>
      </c>
    </row>
    <row r="16541" spans="1:1" x14ac:dyDescent="0.2">
      <c r="A16541" t="s">
        <v>1635</v>
      </c>
    </row>
    <row r="16542" spans="1:1" x14ac:dyDescent="0.2">
      <c r="A16542" t="s">
        <v>3321</v>
      </c>
    </row>
    <row r="16543" spans="1:1" x14ac:dyDescent="0.2">
      <c r="A16543" t="s">
        <v>1605</v>
      </c>
    </row>
    <row r="16544" spans="1:1" x14ac:dyDescent="0.2">
      <c r="A16544" t="s">
        <v>1606</v>
      </c>
    </row>
    <row r="16545" spans="1:1" x14ac:dyDescent="0.2">
      <c r="A16545" t="s">
        <v>1607</v>
      </c>
    </row>
    <row r="16546" spans="1:1" x14ac:dyDescent="0.2">
      <c r="A16546" t="s">
        <v>1608</v>
      </c>
    </row>
    <row r="16547" spans="1:1" x14ac:dyDescent="0.2">
      <c r="A16547" t="s">
        <v>1609</v>
      </c>
    </row>
    <row r="16548" spans="1:1" x14ac:dyDescent="0.2">
      <c r="A16548" t="s">
        <v>1610</v>
      </c>
    </row>
    <row r="16549" spans="1:1" x14ac:dyDescent="0.2">
      <c r="A16549" t="s">
        <v>3441</v>
      </c>
    </row>
    <row r="16550" spans="1:1" x14ac:dyDescent="0.2">
      <c r="A16550" t="s">
        <v>3442</v>
      </c>
    </row>
    <row r="16551" spans="1:1" x14ac:dyDescent="0.2">
      <c r="A16551" t="s">
        <v>3443</v>
      </c>
    </row>
    <row r="16552" spans="1:1" x14ac:dyDescent="0.2">
      <c r="A16552" t="s">
        <v>3444</v>
      </c>
    </row>
    <row r="16553" spans="1:1" x14ac:dyDescent="0.2">
      <c r="A16553" t="s">
        <v>3445</v>
      </c>
    </row>
    <row r="16554" spans="1:1" x14ac:dyDescent="0.2">
      <c r="A16554" t="s">
        <v>3446</v>
      </c>
    </row>
    <row r="16555" spans="1:1" x14ac:dyDescent="0.2">
      <c r="A16555" t="s">
        <v>3447</v>
      </c>
    </row>
    <row r="16556" spans="1:1" x14ac:dyDescent="0.2">
      <c r="A16556" t="s">
        <v>3448</v>
      </c>
    </row>
    <row r="16557" spans="1:1" x14ac:dyDescent="0.2">
      <c r="A16557" t="s">
        <v>3449</v>
      </c>
    </row>
    <row r="16558" spans="1:1" x14ac:dyDescent="0.2">
      <c r="A16558" t="s">
        <v>3450</v>
      </c>
    </row>
    <row r="16559" spans="1:1" x14ac:dyDescent="0.2">
      <c r="A16559" t="s">
        <v>3451</v>
      </c>
    </row>
    <row r="16560" spans="1:1" x14ac:dyDescent="0.2">
      <c r="A16560" t="s">
        <v>3452</v>
      </c>
    </row>
    <row r="16561" spans="1:1" x14ac:dyDescent="0.2">
      <c r="A16561" t="s">
        <v>3453</v>
      </c>
    </row>
    <row r="16562" spans="1:1" x14ac:dyDescent="0.2">
      <c r="A16562" t="s">
        <v>3454</v>
      </c>
    </row>
    <row r="16563" spans="1:1" x14ac:dyDescent="0.2">
      <c r="A16563" t="s">
        <v>3455</v>
      </c>
    </row>
    <row r="16564" spans="1:1" x14ac:dyDescent="0.2">
      <c r="A16564" t="s">
        <v>3337</v>
      </c>
    </row>
    <row r="16565" spans="1:1" x14ac:dyDescent="0.2">
      <c r="A16565" t="s">
        <v>3338</v>
      </c>
    </row>
    <row r="16566" spans="1:1" x14ac:dyDescent="0.2">
      <c r="A16566" t="s">
        <v>1672</v>
      </c>
    </row>
    <row r="16567" spans="1:1" x14ac:dyDescent="0.2">
      <c r="A16567" t="s">
        <v>1594</v>
      </c>
    </row>
    <row r="16568" spans="1:1" x14ac:dyDescent="0.2">
      <c r="A16568" t="s">
        <v>1642</v>
      </c>
    </row>
    <row r="16569" spans="1:1" x14ac:dyDescent="0.2">
      <c r="A16569" t="s">
        <v>3440</v>
      </c>
    </row>
    <row r="16570" spans="1:1" x14ac:dyDescent="0.2">
      <c r="A16570" t="s">
        <v>1652</v>
      </c>
    </row>
    <row r="16571" spans="1:1" x14ac:dyDescent="0.2">
      <c r="A16571" t="s">
        <v>1632</v>
      </c>
    </row>
    <row r="16572" spans="1:1" x14ac:dyDescent="0.2">
      <c r="A16572" t="s">
        <v>3319</v>
      </c>
    </row>
    <row r="16573" spans="1:1" x14ac:dyDescent="0.2">
      <c r="A16573" t="s">
        <v>1600</v>
      </c>
    </row>
    <row r="16574" spans="1:1" x14ac:dyDescent="0.2">
      <c r="A16574" t="s">
        <v>1601</v>
      </c>
    </row>
    <row r="16575" spans="1:1" x14ac:dyDescent="0.2">
      <c r="A16575" t="s">
        <v>3320</v>
      </c>
    </row>
    <row r="16576" spans="1:1" x14ac:dyDescent="0.2">
      <c r="A16576" t="s">
        <v>1635</v>
      </c>
    </row>
    <row r="16577" spans="1:1" x14ac:dyDescent="0.2">
      <c r="A16577" t="s">
        <v>3321</v>
      </c>
    </row>
    <row r="16578" spans="1:1" x14ac:dyDescent="0.2">
      <c r="A16578" t="s">
        <v>1605</v>
      </c>
    </row>
    <row r="16579" spans="1:1" x14ac:dyDescent="0.2">
      <c r="A16579" t="s">
        <v>1606</v>
      </c>
    </row>
    <row r="16580" spans="1:1" x14ac:dyDescent="0.2">
      <c r="A16580" t="s">
        <v>1607</v>
      </c>
    </row>
    <row r="16581" spans="1:1" x14ac:dyDescent="0.2">
      <c r="A16581" t="s">
        <v>1608</v>
      </c>
    </row>
    <row r="16582" spans="1:1" x14ac:dyDescent="0.2">
      <c r="A16582" t="s">
        <v>1609</v>
      </c>
    </row>
    <row r="16583" spans="1:1" x14ac:dyDescent="0.2">
      <c r="A16583" t="s">
        <v>1610</v>
      </c>
    </row>
    <row r="16584" spans="1:1" x14ac:dyDescent="0.2">
      <c r="A16584" t="s">
        <v>3441</v>
      </c>
    </row>
    <row r="16585" spans="1:1" x14ac:dyDescent="0.2">
      <c r="A16585" t="s">
        <v>3442</v>
      </c>
    </row>
    <row r="16586" spans="1:1" x14ac:dyDescent="0.2">
      <c r="A16586" t="s">
        <v>3443</v>
      </c>
    </row>
    <row r="16587" spans="1:1" x14ac:dyDescent="0.2">
      <c r="A16587" t="s">
        <v>3444</v>
      </c>
    </row>
    <row r="16588" spans="1:1" x14ac:dyDescent="0.2">
      <c r="A16588" t="s">
        <v>3445</v>
      </c>
    </row>
    <row r="16589" spans="1:1" x14ac:dyDescent="0.2">
      <c r="A16589" t="s">
        <v>3446</v>
      </c>
    </row>
    <row r="16590" spans="1:1" x14ac:dyDescent="0.2">
      <c r="A16590" t="s">
        <v>3447</v>
      </c>
    </row>
    <row r="16591" spans="1:1" x14ac:dyDescent="0.2">
      <c r="A16591" t="s">
        <v>3448</v>
      </c>
    </row>
    <row r="16592" spans="1:1" x14ac:dyDescent="0.2">
      <c r="A16592" t="s">
        <v>3449</v>
      </c>
    </row>
    <row r="16593" spans="1:1" x14ac:dyDescent="0.2">
      <c r="A16593" t="s">
        <v>3450</v>
      </c>
    </row>
    <row r="16594" spans="1:1" x14ac:dyDescent="0.2">
      <c r="A16594" t="s">
        <v>3451</v>
      </c>
    </row>
    <row r="16595" spans="1:1" x14ac:dyDescent="0.2">
      <c r="A16595" t="s">
        <v>3452</v>
      </c>
    </row>
    <row r="16596" spans="1:1" x14ac:dyDescent="0.2">
      <c r="A16596" t="s">
        <v>3453</v>
      </c>
    </row>
    <row r="16597" spans="1:1" x14ac:dyDescent="0.2">
      <c r="A16597" t="s">
        <v>3454</v>
      </c>
    </row>
    <row r="16598" spans="1:1" x14ac:dyDescent="0.2">
      <c r="A16598" t="s">
        <v>3455</v>
      </c>
    </row>
    <row r="16599" spans="1:1" x14ac:dyDescent="0.2">
      <c r="A16599" t="s">
        <v>3337</v>
      </c>
    </row>
    <row r="16600" spans="1:1" x14ac:dyDescent="0.2">
      <c r="A16600" t="s">
        <v>3338</v>
      </c>
    </row>
    <row r="16601" spans="1:1" x14ac:dyDescent="0.2">
      <c r="A16601" t="s">
        <v>1680</v>
      </c>
    </row>
    <row r="16602" spans="1:1" x14ac:dyDescent="0.2">
      <c r="A16602" t="s">
        <v>1594</v>
      </c>
    </row>
    <row r="16603" spans="1:1" x14ac:dyDescent="0.2">
      <c r="A16603" t="s">
        <v>1642</v>
      </c>
    </row>
    <row r="16604" spans="1:1" x14ac:dyDescent="0.2">
      <c r="A16604" t="s">
        <v>3456</v>
      </c>
    </row>
    <row r="16605" spans="1:1" x14ac:dyDescent="0.2">
      <c r="A16605" t="s">
        <v>1652</v>
      </c>
    </row>
    <row r="16606" spans="1:1" x14ac:dyDescent="0.2">
      <c r="A16606" t="s">
        <v>1632</v>
      </c>
    </row>
    <row r="16607" spans="1:1" x14ac:dyDescent="0.2">
      <c r="A16607" t="s">
        <v>3319</v>
      </c>
    </row>
    <row r="16608" spans="1:1" x14ac:dyDescent="0.2">
      <c r="A16608" t="s">
        <v>1600</v>
      </c>
    </row>
    <row r="16609" spans="1:1" x14ac:dyDescent="0.2">
      <c r="A16609" t="s">
        <v>1633</v>
      </c>
    </row>
    <row r="16610" spans="1:1" x14ac:dyDescent="0.2">
      <c r="A16610" t="s">
        <v>3320</v>
      </c>
    </row>
    <row r="16611" spans="1:1" x14ac:dyDescent="0.2">
      <c r="A16611" t="s">
        <v>1635</v>
      </c>
    </row>
    <row r="16612" spans="1:1" x14ac:dyDescent="0.2">
      <c r="A16612" t="s">
        <v>3321</v>
      </c>
    </row>
    <row r="16613" spans="1:1" x14ac:dyDescent="0.2">
      <c r="A16613" t="s">
        <v>1605</v>
      </c>
    </row>
    <row r="16614" spans="1:1" x14ac:dyDescent="0.2">
      <c r="A16614" t="s">
        <v>1606</v>
      </c>
    </row>
    <row r="16615" spans="1:1" x14ac:dyDescent="0.2">
      <c r="A16615" t="s">
        <v>1607</v>
      </c>
    </row>
    <row r="16616" spans="1:1" x14ac:dyDescent="0.2">
      <c r="A16616" t="s">
        <v>1608</v>
      </c>
    </row>
    <row r="16617" spans="1:1" x14ac:dyDescent="0.2">
      <c r="A16617" t="s">
        <v>1609</v>
      </c>
    </row>
    <row r="16618" spans="1:1" x14ac:dyDescent="0.2">
      <c r="A16618" t="s">
        <v>1610</v>
      </c>
    </row>
    <row r="16619" spans="1:1" x14ac:dyDescent="0.2">
      <c r="A16619" t="s">
        <v>3457</v>
      </c>
    </row>
    <row r="16620" spans="1:1" x14ac:dyDescent="0.2">
      <c r="A16620" t="s">
        <v>3458</v>
      </c>
    </row>
    <row r="16621" spans="1:1" x14ac:dyDescent="0.2">
      <c r="A16621" t="s">
        <v>3459</v>
      </c>
    </row>
    <row r="16622" spans="1:1" x14ac:dyDescent="0.2">
      <c r="A16622" t="s">
        <v>3460</v>
      </c>
    </row>
    <row r="16623" spans="1:1" x14ac:dyDescent="0.2">
      <c r="A16623" t="s">
        <v>3461</v>
      </c>
    </row>
    <row r="16624" spans="1:1" x14ac:dyDescent="0.2">
      <c r="A16624" t="s">
        <v>3462</v>
      </c>
    </row>
    <row r="16625" spans="1:1" x14ac:dyDescent="0.2">
      <c r="A16625" t="s">
        <v>3463</v>
      </c>
    </row>
    <row r="16626" spans="1:1" x14ac:dyDescent="0.2">
      <c r="A16626" t="s">
        <v>3464</v>
      </c>
    </row>
    <row r="16627" spans="1:1" x14ac:dyDescent="0.2">
      <c r="A16627" t="s">
        <v>3465</v>
      </c>
    </row>
    <row r="16628" spans="1:1" x14ac:dyDescent="0.2">
      <c r="A16628" t="s">
        <v>3466</v>
      </c>
    </row>
    <row r="16629" spans="1:1" x14ac:dyDescent="0.2">
      <c r="A16629" t="s">
        <v>3467</v>
      </c>
    </row>
    <row r="16630" spans="1:1" x14ac:dyDescent="0.2">
      <c r="A16630" t="s">
        <v>3468</v>
      </c>
    </row>
    <row r="16631" spans="1:1" x14ac:dyDescent="0.2">
      <c r="A16631" t="s">
        <v>3469</v>
      </c>
    </row>
    <row r="16632" spans="1:1" x14ac:dyDescent="0.2">
      <c r="A16632" t="s">
        <v>3470</v>
      </c>
    </row>
    <row r="16633" spans="1:1" x14ac:dyDescent="0.2">
      <c r="A16633" t="s">
        <v>3471</v>
      </c>
    </row>
    <row r="16634" spans="1:1" x14ac:dyDescent="0.2">
      <c r="A16634" t="s">
        <v>3337</v>
      </c>
    </row>
    <row r="16635" spans="1:1" x14ac:dyDescent="0.2">
      <c r="A16635" t="s">
        <v>3338</v>
      </c>
    </row>
    <row r="16636" spans="1:1" x14ac:dyDescent="0.2">
      <c r="A16636" t="s">
        <v>1681</v>
      </c>
    </row>
    <row r="16637" spans="1:1" x14ac:dyDescent="0.2">
      <c r="A16637" t="s">
        <v>1594</v>
      </c>
    </row>
    <row r="16638" spans="1:1" x14ac:dyDescent="0.2">
      <c r="A16638" t="s">
        <v>1642</v>
      </c>
    </row>
    <row r="16639" spans="1:1" x14ac:dyDescent="0.2">
      <c r="A16639" t="s">
        <v>3456</v>
      </c>
    </row>
    <row r="16640" spans="1:1" x14ac:dyDescent="0.2">
      <c r="A16640" t="s">
        <v>1652</v>
      </c>
    </row>
    <row r="16641" spans="1:1" x14ac:dyDescent="0.2">
      <c r="A16641" t="s">
        <v>1632</v>
      </c>
    </row>
    <row r="16642" spans="1:1" x14ac:dyDescent="0.2">
      <c r="A16642" t="s">
        <v>3319</v>
      </c>
    </row>
    <row r="16643" spans="1:1" x14ac:dyDescent="0.2">
      <c r="A16643" t="s">
        <v>1600</v>
      </c>
    </row>
    <row r="16644" spans="1:1" x14ac:dyDescent="0.2">
      <c r="A16644" t="s">
        <v>1639</v>
      </c>
    </row>
    <row r="16645" spans="1:1" x14ac:dyDescent="0.2">
      <c r="A16645" t="s">
        <v>3320</v>
      </c>
    </row>
    <row r="16646" spans="1:1" x14ac:dyDescent="0.2">
      <c r="A16646" t="s">
        <v>1635</v>
      </c>
    </row>
    <row r="16647" spans="1:1" x14ac:dyDescent="0.2">
      <c r="A16647" t="s">
        <v>3321</v>
      </c>
    </row>
    <row r="16648" spans="1:1" x14ac:dyDescent="0.2">
      <c r="A16648" t="s">
        <v>1605</v>
      </c>
    </row>
    <row r="16649" spans="1:1" x14ac:dyDescent="0.2">
      <c r="A16649" t="s">
        <v>1606</v>
      </c>
    </row>
    <row r="16650" spans="1:1" x14ac:dyDescent="0.2">
      <c r="A16650" t="s">
        <v>1607</v>
      </c>
    </row>
    <row r="16651" spans="1:1" x14ac:dyDescent="0.2">
      <c r="A16651" t="s">
        <v>1608</v>
      </c>
    </row>
    <row r="16652" spans="1:1" x14ac:dyDescent="0.2">
      <c r="A16652" t="s">
        <v>1609</v>
      </c>
    </row>
    <row r="16653" spans="1:1" x14ac:dyDescent="0.2">
      <c r="A16653" t="s">
        <v>1610</v>
      </c>
    </row>
    <row r="16654" spans="1:1" x14ac:dyDescent="0.2">
      <c r="A16654" t="s">
        <v>3457</v>
      </c>
    </row>
    <row r="16655" spans="1:1" x14ac:dyDescent="0.2">
      <c r="A16655" t="s">
        <v>3458</v>
      </c>
    </row>
    <row r="16656" spans="1:1" x14ac:dyDescent="0.2">
      <c r="A16656" t="s">
        <v>3459</v>
      </c>
    </row>
    <row r="16657" spans="1:1" x14ac:dyDescent="0.2">
      <c r="A16657" t="s">
        <v>3460</v>
      </c>
    </row>
    <row r="16658" spans="1:1" x14ac:dyDescent="0.2">
      <c r="A16658" t="s">
        <v>3461</v>
      </c>
    </row>
    <row r="16659" spans="1:1" x14ac:dyDescent="0.2">
      <c r="A16659" t="s">
        <v>3462</v>
      </c>
    </row>
    <row r="16660" spans="1:1" x14ac:dyDescent="0.2">
      <c r="A16660" t="s">
        <v>3463</v>
      </c>
    </row>
    <row r="16661" spans="1:1" x14ac:dyDescent="0.2">
      <c r="A16661" t="s">
        <v>3464</v>
      </c>
    </row>
    <row r="16662" spans="1:1" x14ac:dyDescent="0.2">
      <c r="A16662" t="s">
        <v>3465</v>
      </c>
    </row>
    <row r="16663" spans="1:1" x14ac:dyDescent="0.2">
      <c r="A16663" t="s">
        <v>3466</v>
      </c>
    </row>
    <row r="16664" spans="1:1" x14ac:dyDescent="0.2">
      <c r="A16664" t="s">
        <v>3467</v>
      </c>
    </row>
    <row r="16665" spans="1:1" x14ac:dyDescent="0.2">
      <c r="A16665" t="s">
        <v>3468</v>
      </c>
    </row>
    <row r="16666" spans="1:1" x14ac:dyDescent="0.2">
      <c r="A16666" t="s">
        <v>3469</v>
      </c>
    </row>
    <row r="16667" spans="1:1" x14ac:dyDescent="0.2">
      <c r="A16667" t="s">
        <v>3470</v>
      </c>
    </row>
    <row r="16668" spans="1:1" x14ac:dyDescent="0.2">
      <c r="A16668" t="s">
        <v>3471</v>
      </c>
    </row>
    <row r="16669" spans="1:1" x14ac:dyDescent="0.2">
      <c r="A16669" t="s">
        <v>3337</v>
      </c>
    </row>
    <row r="16670" spans="1:1" x14ac:dyDescent="0.2">
      <c r="A16670" t="s">
        <v>3338</v>
      </c>
    </row>
    <row r="16671" spans="1:1" x14ac:dyDescent="0.2">
      <c r="A16671" t="s">
        <v>1682</v>
      </c>
    </row>
    <row r="16672" spans="1:1" x14ac:dyDescent="0.2">
      <c r="A16672" t="s">
        <v>1594</v>
      </c>
    </row>
    <row r="16673" spans="1:1" x14ac:dyDescent="0.2">
      <c r="A16673" t="s">
        <v>1642</v>
      </c>
    </row>
    <row r="16674" spans="1:1" x14ac:dyDescent="0.2">
      <c r="A16674" t="s">
        <v>3456</v>
      </c>
    </row>
    <row r="16675" spans="1:1" x14ac:dyDescent="0.2">
      <c r="A16675" t="s">
        <v>1652</v>
      </c>
    </row>
    <row r="16676" spans="1:1" x14ac:dyDescent="0.2">
      <c r="A16676" t="s">
        <v>1632</v>
      </c>
    </row>
    <row r="16677" spans="1:1" x14ac:dyDescent="0.2">
      <c r="A16677" t="s">
        <v>3319</v>
      </c>
    </row>
    <row r="16678" spans="1:1" x14ac:dyDescent="0.2">
      <c r="A16678" t="s">
        <v>1600</v>
      </c>
    </row>
    <row r="16679" spans="1:1" x14ac:dyDescent="0.2">
      <c r="A16679" t="s">
        <v>1601</v>
      </c>
    </row>
    <row r="16680" spans="1:1" x14ac:dyDescent="0.2">
      <c r="A16680" t="s">
        <v>3320</v>
      </c>
    </row>
    <row r="16681" spans="1:1" x14ac:dyDescent="0.2">
      <c r="A16681" t="s">
        <v>1635</v>
      </c>
    </row>
    <row r="16682" spans="1:1" x14ac:dyDescent="0.2">
      <c r="A16682" t="s">
        <v>3321</v>
      </c>
    </row>
    <row r="16683" spans="1:1" x14ac:dyDescent="0.2">
      <c r="A16683" t="s">
        <v>1605</v>
      </c>
    </row>
    <row r="16684" spans="1:1" x14ac:dyDescent="0.2">
      <c r="A16684" t="s">
        <v>1606</v>
      </c>
    </row>
    <row r="16685" spans="1:1" x14ac:dyDescent="0.2">
      <c r="A16685" t="s">
        <v>1607</v>
      </c>
    </row>
    <row r="16686" spans="1:1" x14ac:dyDescent="0.2">
      <c r="A16686" t="s">
        <v>1608</v>
      </c>
    </row>
    <row r="16687" spans="1:1" x14ac:dyDescent="0.2">
      <c r="A16687" t="s">
        <v>1609</v>
      </c>
    </row>
    <row r="16688" spans="1:1" x14ac:dyDescent="0.2">
      <c r="A16688" t="s">
        <v>1610</v>
      </c>
    </row>
    <row r="16689" spans="1:1" x14ac:dyDescent="0.2">
      <c r="A16689" t="s">
        <v>3457</v>
      </c>
    </row>
    <row r="16690" spans="1:1" x14ac:dyDescent="0.2">
      <c r="A16690" t="s">
        <v>3458</v>
      </c>
    </row>
    <row r="16691" spans="1:1" x14ac:dyDescent="0.2">
      <c r="A16691" t="s">
        <v>3459</v>
      </c>
    </row>
    <row r="16692" spans="1:1" x14ac:dyDescent="0.2">
      <c r="A16692" t="s">
        <v>3460</v>
      </c>
    </row>
    <row r="16693" spans="1:1" x14ac:dyDescent="0.2">
      <c r="A16693" t="s">
        <v>3461</v>
      </c>
    </row>
    <row r="16694" spans="1:1" x14ac:dyDescent="0.2">
      <c r="A16694" t="s">
        <v>3462</v>
      </c>
    </row>
    <row r="16695" spans="1:1" x14ac:dyDescent="0.2">
      <c r="A16695" t="s">
        <v>3463</v>
      </c>
    </row>
    <row r="16696" spans="1:1" x14ac:dyDescent="0.2">
      <c r="A16696" t="s">
        <v>3464</v>
      </c>
    </row>
    <row r="16697" spans="1:1" x14ac:dyDescent="0.2">
      <c r="A16697" t="s">
        <v>3465</v>
      </c>
    </row>
    <row r="16698" spans="1:1" x14ac:dyDescent="0.2">
      <c r="A16698" t="s">
        <v>3466</v>
      </c>
    </row>
    <row r="16699" spans="1:1" x14ac:dyDescent="0.2">
      <c r="A16699" t="s">
        <v>3467</v>
      </c>
    </row>
    <row r="16700" spans="1:1" x14ac:dyDescent="0.2">
      <c r="A16700" t="s">
        <v>3468</v>
      </c>
    </row>
    <row r="16701" spans="1:1" x14ac:dyDescent="0.2">
      <c r="A16701" t="s">
        <v>3469</v>
      </c>
    </row>
    <row r="16702" spans="1:1" x14ac:dyDescent="0.2">
      <c r="A16702" t="s">
        <v>3470</v>
      </c>
    </row>
    <row r="16703" spans="1:1" x14ac:dyDescent="0.2">
      <c r="A16703" t="s">
        <v>3471</v>
      </c>
    </row>
    <row r="16704" spans="1:1" x14ac:dyDescent="0.2">
      <c r="A16704" t="s">
        <v>3337</v>
      </c>
    </row>
    <row r="16705" spans="1:1" x14ac:dyDescent="0.2">
      <c r="A16705" t="s">
        <v>3338</v>
      </c>
    </row>
    <row r="16706" spans="1:1" x14ac:dyDescent="0.2">
      <c r="A16706" t="s">
        <v>1689</v>
      </c>
    </row>
    <row r="16707" spans="1:1" x14ac:dyDescent="0.2">
      <c r="A16707" t="s">
        <v>1663</v>
      </c>
    </row>
    <row r="16708" spans="1:1" x14ac:dyDescent="0.2">
      <c r="A16708" t="s">
        <v>3472</v>
      </c>
    </row>
    <row r="16709" spans="1:1" x14ac:dyDescent="0.2">
      <c r="A16709" t="s">
        <v>3473</v>
      </c>
    </row>
    <row r="16710" spans="1:1" x14ac:dyDescent="0.2">
      <c r="A16710" t="s">
        <v>1652</v>
      </c>
    </row>
    <row r="16711" spans="1:1" x14ac:dyDescent="0.2">
      <c r="A16711" t="s">
        <v>1673</v>
      </c>
    </row>
    <row r="16712" spans="1:1" x14ac:dyDescent="0.2">
      <c r="A16712" t="s">
        <v>3402</v>
      </c>
    </row>
    <row r="16713" spans="1:1" x14ac:dyDescent="0.2">
      <c r="A16713" t="s">
        <v>1600</v>
      </c>
    </row>
    <row r="16714" spans="1:1" x14ac:dyDescent="0.2">
      <c r="A16714" t="s">
        <v>1633</v>
      </c>
    </row>
    <row r="16715" spans="1:1" x14ac:dyDescent="0.2">
      <c r="A16715" t="s">
        <v>3403</v>
      </c>
    </row>
    <row r="16716" spans="1:1" x14ac:dyDescent="0.2">
      <c r="A16716" t="s">
        <v>1635</v>
      </c>
    </row>
    <row r="16717" spans="1:1" x14ac:dyDescent="0.2">
      <c r="A16717" t="s">
        <v>3321</v>
      </c>
    </row>
    <row r="16718" spans="1:1" x14ac:dyDescent="0.2">
      <c r="A16718" t="s">
        <v>3404</v>
      </c>
    </row>
    <row r="16719" spans="1:1" x14ac:dyDescent="0.2">
      <c r="A16719" t="s">
        <v>3405</v>
      </c>
    </row>
    <row r="16720" spans="1:1" x14ac:dyDescent="0.2">
      <c r="A16720" t="s">
        <v>1607</v>
      </c>
    </row>
    <row r="16721" spans="1:1" x14ac:dyDescent="0.2">
      <c r="A16721" t="s">
        <v>1608</v>
      </c>
    </row>
    <row r="16722" spans="1:1" x14ac:dyDescent="0.2">
      <c r="A16722" t="s">
        <v>1609</v>
      </c>
    </row>
    <row r="16723" spans="1:1" x14ac:dyDescent="0.2">
      <c r="A16723" t="s">
        <v>1610</v>
      </c>
    </row>
    <row r="16724" spans="1:1" x14ac:dyDescent="0.2">
      <c r="A16724" t="s">
        <v>3474</v>
      </c>
    </row>
    <row r="16725" spans="1:1" x14ac:dyDescent="0.2">
      <c r="A16725" t="s">
        <v>3475</v>
      </c>
    </row>
    <row r="16726" spans="1:1" x14ac:dyDescent="0.2">
      <c r="A16726" t="s">
        <v>3476</v>
      </c>
    </row>
    <row r="16727" spans="1:1" x14ac:dyDescent="0.2">
      <c r="A16727" t="s">
        <v>3477</v>
      </c>
    </row>
    <row r="16728" spans="1:1" x14ac:dyDescent="0.2">
      <c r="A16728" t="s">
        <v>3478</v>
      </c>
    </row>
    <row r="16729" spans="1:1" x14ac:dyDescent="0.2">
      <c r="A16729" t="s">
        <v>3479</v>
      </c>
    </row>
    <row r="16730" spans="1:1" x14ac:dyDescent="0.2">
      <c r="A16730" t="s">
        <v>3480</v>
      </c>
    </row>
    <row r="16731" spans="1:1" x14ac:dyDescent="0.2">
      <c r="A16731" t="s">
        <v>3481</v>
      </c>
    </row>
    <row r="16732" spans="1:1" x14ac:dyDescent="0.2">
      <c r="A16732" t="s">
        <v>3482</v>
      </c>
    </row>
    <row r="16733" spans="1:1" x14ac:dyDescent="0.2">
      <c r="A16733" t="s">
        <v>3483</v>
      </c>
    </row>
    <row r="16734" spans="1:1" x14ac:dyDescent="0.2">
      <c r="A16734" t="s">
        <v>3484</v>
      </c>
    </row>
    <row r="16735" spans="1:1" x14ac:dyDescent="0.2">
      <c r="A16735" t="s">
        <v>3485</v>
      </c>
    </row>
    <row r="16736" spans="1:1" x14ac:dyDescent="0.2">
      <c r="A16736" t="s">
        <v>3486</v>
      </c>
    </row>
    <row r="16737" spans="1:1" x14ac:dyDescent="0.2">
      <c r="A16737" t="s">
        <v>3487</v>
      </c>
    </row>
    <row r="16738" spans="1:1" x14ac:dyDescent="0.2">
      <c r="A16738" t="s">
        <v>3488</v>
      </c>
    </row>
    <row r="16739" spans="1:1" x14ac:dyDescent="0.2">
      <c r="A16739" t="s">
        <v>3337</v>
      </c>
    </row>
    <row r="16740" spans="1:1" x14ac:dyDescent="0.2">
      <c r="A16740" t="s">
        <v>3338</v>
      </c>
    </row>
    <row r="16741" spans="1:1" x14ac:dyDescent="0.2">
      <c r="A16741" t="s">
        <v>1690</v>
      </c>
    </row>
    <row r="16742" spans="1:1" x14ac:dyDescent="0.2">
      <c r="A16742" t="s">
        <v>1663</v>
      </c>
    </row>
    <row r="16743" spans="1:1" x14ac:dyDescent="0.2">
      <c r="A16743" t="s">
        <v>3472</v>
      </c>
    </row>
    <row r="16744" spans="1:1" x14ac:dyDescent="0.2">
      <c r="A16744" t="s">
        <v>3473</v>
      </c>
    </row>
    <row r="16745" spans="1:1" x14ac:dyDescent="0.2">
      <c r="A16745" t="s">
        <v>1652</v>
      </c>
    </row>
    <row r="16746" spans="1:1" x14ac:dyDescent="0.2">
      <c r="A16746" t="s">
        <v>1673</v>
      </c>
    </row>
    <row r="16747" spans="1:1" x14ac:dyDescent="0.2">
      <c r="A16747" t="s">
        <v>3402</v>
      </c>
    </row>
    <row r="16748" spans="1:1" x14ac:dyDescent="0.2">
      <c r="A16748" t="s">
        <v>1600</v>
      </c>
    </row>
    <row r="16749" spans="1:1" x14ac:dyDescent="0.2">
      <c r="A16749" t="s">
        <v>1639</v>
      </c>
    </row>
    <row r="16750" spans="1:1" x14ac:dyDescent="0.2">
      <c r="A16750" t="s">
        <v>3403</v>
      </c>
    </row>
    <row r="16751" spans="1:1" x14ac:dyDescent="0.2">
      <c r="A16751" t="s">
        <v>1635</v>
      </c>
    </row>
    <row r="16752" spans="1:1" x14ac:dyDescent="0.2">
      <c r="A16752" t="s">
        <v>3321</v>
      </c>
    </row>
    <row r="16753" spans="1:1" x14ac:dyDescent="0.2">
      <c r="A16753" t="s">
        <v>3404</v>
      </c>
    </row>
    <row r="16754" spans="1:1" x14ac:dyDescent="0.2">
      <c r="A16754" t="s">
        <v>3420</v>
      </c>
    </row>
    <row r="16755" spans="1:1" x14ac:dyDescent="0.2">
      <c r="A16755" t="s">
        <v>1607</v>
      </c>
    </row>
    <row r="16756" spans="1:1" x14ac:dyDescent="0.2">
      <c r="A16756" t="s">
        <v>1608</v>
      </c>
    </row>
    <row r="16757" spans="1:1" x14ac:dyDescent="0.2">
      <c r="A16757" t="s">
        <v>1609</v>
      </c>
    </row>
    <row r="16758" spans="1:1" x14ac:dyDescent="0.2">
      <c r="A16758" t="s">
        <v>1610</v>
      </c>
    </row>
    <row r="16759" spans="1:1" x14ac:dyDescent="0.2">
      <c r="A16759" t="s">
        <v>3474</v>
      </c>
    </row>
    <row r="16760" spans="1:1" x14ac:dyDescent="0.2">
      <c r="A16760" t="s">
        <v>3475</v>
      </c>
    </row>
    <row r="16761" spans="1:1" x14ac:dyDescent="0.2">
      <c r="A16761" t="s">
        <v>3476</v>
      </c>
    </row>
    <row r="16762" spans="1:1" x14ac:dyDescent="0.2">
      <c r="A16762" t="s">
        <v>3477</v>
      </c>
    </row>
    <row r="16763" spans="1:1" x14ac:dyDescent="0.2">
      <c r="A16763" t="s">
        <v>3478</v>
      </c>
    </row>
    <row r="16764" spans="1:1" x14ac:dyDescent="0.2">
      <c r="A16764" t="s">
        <v>3479</v>
      </c>
    </row>
    <row r="16765" spans="1:1" x14ac:dyDescent="0.2">
      <c r="A16765" t="s">
        <v>3480</v>
      </c>
    </row>
    <row r="16766" spans="1:1" x14ac:dyDescent="0.2">
      <c r="A16766" t="s">
        <v>3481</v>
      </c>
    </row>
    <row r="16767" spans="1:1" x14ac:dyDescent="0.2">
      <c r="A16767" t="s">
        <v>3482</v>
      </c>
    </row>
    <row r="16768" spans="1:1" x14ac:dyDescent="0.2">
      <c r="A16768" t="s">
        <v>3483</v>
      </c>
    </row>
    <row r="16769" spans="1:1" x14ac:dyDescent="0.2">
      <c r="A16769" t="s">
        <v>3484</v>
      </c>
    </row>
    <row r="16770" spans="1:1" x14ac:dyDescent="0.2">
      <c r="A16770" t="s">
        <v>3485</v>
      </c>
    </row>
    <row r="16771" spans="1:1" x14ac:dyDescent="0.2">
      <c r="A16771" t="s">
        <v>3486</v>
      </c>
    </row>
    <row r="16772" spans="1:1" x14ac:dyDescent="0.2">
      <c r="A16772" t="s">
        <v>3487</v>
      </c>
    </row>
    <row r="16773" spans="1:1" x14ac:dyDescent="0.2">
      <c r="A16773" t="s">
        <v>3488</v>
      </c>
    </row>
    <row r="16774" spans="1:1" x14ac:dyDescent="0.2">
      <c r="A16774" t="s">
        <v>3337</v>
      </c>
    </row>
    <row r="16775" spans="1:1" x14ac:dyDescent="0.2">
      <c r="A16775" t="s">
        <v>3338</v>
      </c>
    </row>
    <row r="16776" spans="1:1" x14ac:dyDescent="0.2">
      <c r="A16776" t="s">
        <v>1691</v>
      </c>
    </row>
    <row r="16777" spans="1:1" x14ac:dyDescent="0.2">
      <c r="A16777" t="s">
        <v>1663</v>
      </c>
    </row>
    <row r="16778" spans="1:1" x14ac:dyDescent="0.2">
      <c r="A16778" t="s">
        <v>3472</v>
      </c>
    </row>
    <row r="16779" spans="1:1" x14ac:dyDescent="0.2">
      <c r="A16779" t="s">
        <v>3473</v>
      </c>
    </row>
    <row r="16780" spans="1:1" x14ac:dyDescent="0.2">
      <c r="A16780" t="s">
        <v>1652</v>
      </c>
    </row>
    <row r="16781" spans="1:1" x14ac:dyDescent="0.2">
      <c r="A16781" t="s">
        <v>1673</v>
      </c>
    </row>
    <row r="16782" spans="1:1" x14ac:dyDescent="0.2">
      <c r="A16782" t="s">
        <v>3402</v>
      </c>
    </row>
    <row r="16783" spans="1:1" x14ac:dyDescent="0.2">
      <c r="A16783" t="s">
        <v>1600</v>
      </c>
    </row>
    <row r="16784" spans="1:1" x14ac:dyDescent="0.2">
      <c r="A16784" t="s">
        <v>1601</v>
      </c>
    </row>
    <row r="16785" spans="1:1" x14ac:dyDescent="0.2">
      <c r="A16785" t="s">
        <v>3403</v>
      </c>
    </row>
    <row r="16786" spans="1:1" x14ac:dyDescent="0.2">
      <c r="A16786" t="s">
        <v>1635</v>
      </c>
    </row>
    <row r="16787" spans="1:1" x14ac:dyDescent="0.2">
      <c r="A16787" t="s">
        <v>3321</v>
      </c>
    </row>
    <row r="16788" spans="1:1" x14ac:dyDescent="0.2">
      <c r="A16788" t="s">
        <v>3404</v>
      </c>
    </row>
    <row r="16789" spans="1:1" x14ac:dyDescent="0.2">
      <c r="A16789" t="s">
        <v>3421</v>
      </c>
    </row>
    <row r="16790" spans="1:1" x14ac:dyDescent="0.2">
      <c r="A16790" t="s">
        <v>1607</v>
      </c>
    </row>
    <row r="16791" spans="1:1" x14ac:dyDescent="0.2">
      <c r="A16791" t="s">
        <v>1608</v>
      </c>
    </row>
    <row r="16792" spans="1:1" x14ac:dyDescent="0.2">
      <c r="A16792" t="s">
        <v>1609</v>
      </c>
    </row>
    <row r="16793" spans="1:1" x14ac:dyDescent="0.2">
      <c r="A16793" t="s">
        <v>1610</v>
      </c>
    </row>
    <row r="16794" spans="1:1" x14ac:dyDescent="0.2">
      <c r="A16794" t="s">
        <v>3474</v>
      </c>
    </row>
    <row r="16795" spans="1:1" x14ac:dyDescent="0.2">
      <c r="A16795" t="s">
        <v>3475</v>
      </c>
    </row>
    <row r="16796" spans="1:1" x14ac:dyDescent="0.2">
      <c r="A16796" t="s">
        <v>3476</v>
      </c>
    </row>
    <row r="16797" spans="1:1" x14ac:dyDescent="0.2">
      <c r="A16797" t="s">
        <v>3477</v>
      </c>
    </row>
    <row r="16798" spans="1:1" x14ac:dyDescent="0.2">
      <c r="A16798" t="s">
        <v>3478</v>
      </c>
    </row>
    <row r="16799" spans="1:1" x14ac:dyDescent="0.2">
      <c r="A16799" t="s">
        <v>3479</v>
      </c>
    </row>
    <row r="16800" spans="1:1" x14ac:dyDescent="0.2">
      <c r="A16800" t="s">
        <v>3480</v>
      </c>
    </row>
    <row r="16801" spans="1:1" x14ac:dyDescent="0.2">
      <c r="A16801" t="s">
        <v>3481</v>
      </c>
    </row>
    <row r="16802" spans="1:1" x14ac:dyDescent="0.2">
      <c r="A16802" t="s">
        <v>3482</v>
      </c>
    </row>
    <row r="16803" spans="1:1" x14ac:dyDescent="0.2">
      <c r="A16803" t="s">
        <v>3483</v>
      </c>
    </row>
    <row r="16804" spans="1:1" x14ac:dyDescent="0.2">
      <c r="A16804" t="s">
        <v>3484</v>
      </c>
    </row>
    <row r="16805" spans="1:1" x14ac:dyDescent="0.2">
      <c r="A16805" t="s">
        <v>3485</v>
      </c>
    </row>
    <row r="16806" spans="1:1" x14ac:dyDescent="0.2">
      <c r="A16806" t="s">
        <v>3486</v>
      </c>
    </row>
    <row r="16807" spans="1:1" x14ac:dyDescent="0.2">
      <c r="A16807" t="s">
        <v>3487</v>
      </c>
    </row>
    <row r="16808" spans="1:1" x14ac:dyDescent="0.2">
      <c r="A16808" t="s">
        <v>3488</v>
      </c>
    </row>
    <row r="16809" spans="1:1" x14ac:dyDescent="0.2">
      <c r="A16809" t="s">
        <v>3337</v>
      </c>
    </row>
    <row r="16810" spans="1:1" x14ac:dyDescent="0.2">
      <c r="A16810" t="s">
        <v>3338</v>
      </c>
    </row>
    <row r="16811" spans="1:1" x14ac:dyDescent="0.2">
      <c r="A16811" t="s">
        <v>1694</v>
      </c>
    </row>
    <row r="16812" spans="1:1" x14ac:dyDescent="0.2">
      <c r="A16812" t="s">
        <v>1594</v>
      </c>
    </row>
    <row r="16813" spans="1:1" x14ac:dyDescent="0.2">
      <c r="A16813" t="s">
        <v>1595</v>
      </c>
    </row>
    <row r="16814" spans="1:1" x14ac:dyDescent="0.2">
      <c r="A16814" t="s">
        <v>3439</v>
      </c>
    </row>
    <row r="16815" spans="1:1" x14ac:dyDescent="0.2">
      <c r="A16815" t="s">
        <v>1597</v>
      </c>
    </row>
    <row r="16816" spans="1:1" x14ac:dyDescent="0.2">
      <c r="A16816" t="s">
        <v>1598</v>
      </c>
    </row>
    <row r="16817" spans="1:1" x14ac:dyDescent="0.2">
      <c r="A16817" t="s">
        <v>1599</v>
      </c>
    </row>
    <row r="16818" spans="1:1" x14ac:dyDescent="0.2">
      <c r="A16818" t="s">
        <v>1600</v>
      </c>
    </row>
    <row r="16819" spans="1:1" x14ac:dyDescent="0.2">
      <c r="A16819" t="s">
        <v>1601</v>
      </c>
    </row>
    <row r="16820" spans="1:1" x14ac:dyDescent="0.2">
      <c r="A16820" t="s">
        <v>1602</v>
      </c>
    </row>
    <row r="16821" spans="1:1" x14ac:dyDescent="0.2">
      <c r="A16821" t="s">
        <v>1603</v>
      </c>
    </row>
    <row r="16822" spans="1:1" x14ac:dyDescent="0.2">
      <c r="A16822" t="s">
        <v>1604</v>
      </c>
    </row>
    <row r="16823" spans="1:1" x14ac:dyDescent="0.2">
      <c r="A16823" t="s">
        <v>1605</v>
      </c>
    </row>
    <row r="16824" spans="1:1" x14ac:dyDescent="0.2">
      <c r="A16824" t="s">
        <v>1606</v>
      </c>
    </row>
    <row r="16825" spans="1:1" x14ac:dyDescent="0.2">
      <c r="A16825" t="s">
        <v>1607</v>
      </c>
    </row>
    <row r="16826" spans="1:1" x14ac:dyDescent="0.2">
      <c r="A16826" t="s">
        <v>1608</v>
      </c>
    </row>
    <row r="16827" spans="1:1" x14ac:dyDescent="0.2">
      <c r="A16827" t="s">
        <v>1609</v>
      </c>
    </row>
    <row r="16828" spans="1:1" x14ac:dyDescent="0.2">
      <c r="A16828" t="s">
        <v>1610</v>
      </c>
    </row>
    <row r="16829" spans="1:1" x14ac:dyDescent="0.2">
      <c r="A16829" t="s">
        <v>1611</v>
      </c>
    </row>
    <row r="16830" spans="1:1" x14ac:dyDescent="0.2">
      <c r="A16830" t="s">
        <v>1612</v>
      </c>
    </row>
    <row r="16831" spans="1:1" x14ac:dyDescent="0.2">
      <c r="A16831" t="s">
        <v>1613</v>
      </c>
    </row>
    <row r="16832" spans="1:1" x14ac:dyDescent="0.2">
      <c r="A16832" t="s">
        <v>1614</v>
      </c>
    </row>
    <row r="16833" spans="1:1" x14ac:dyDescent="0.2">
      <c r="A16833" t="s">
        <v>1615</v>
      </c>
    </row>
    <row r="16834" spans="1:1" x14ac:dyDescent="0.2">
      <c r="A16834" t="s">
        <v>1616</v>
      </c>
    </row>
    <row r="16835" spans="1:1" x14ac:dyDescent="0.2">
      <c r="A16835" t="s">
        <v>1617</v>
      </c>
    </row>
    <row r="16836" spans="1:1" x14ac:dyDescent="0.2">
      <c r="A16836" t="s">
        <v>1618</v>
      </c>
    </row>
    <row r="16837" spans="1:1" x14ac:dyDescent="0.2">
      <c r="A16837" t="s">
        <v>1619</v>
      </c>
    </row>
    <row r="16838" spans="1:1" x14ac:dyDescent="0.2">
      <c r="A16838" t="s">
        <v>1620</v>
      </c>
    </row>
    <row r="16839" spans="1:1" x14ac:dyDescent="0.2">
      <c r="A16839" t="s">
        <v>1621</v>
      </c>
    </row>
    <row r="16840" spans="1:1" x14ac:dyDescent="0.2">
      <c r="A16840" t="s">
        <v>1622</v>
      </c>
    </row>
    <row r="16841" spans="1:1" x14ac:dyDescent="0.2">
      <c r="A16841" t="s">
        <v>1623</v>
      </c>
    </row>
    <row r="16842" spans="1:1" x14ac:dyDescent="0.2">
      <c r="A16842" t="s">
        <v>1624</v>
      </c>
    </row>
    <row r="16843" spans="1:1" x14ac:dyDescent="0.2">
      <c r="A16843" t="s">
        <v>1625</v>
      </c>
    </row>
    <row r="16844" spans="1:1" x14ac:dyDescent="0.2">
      <c r="A16844" t="s">
        <v>1626</v>
      </c>
    </row>
    <row r="16845" spans="1:1" x14ac:dyDescent="0.2">
      <c r="A16845" t="s">
        <v>1627</v>
      </c>
    </row>
    <row r="16846" spans="1:1" x14ac:dyDescent="0.2">
      <c r="A16846" t="s">
        <v>1695</v>
      </c>
    </row>
    <row r="16847" spans="1:1" x14ac:dyDescent="0.2">
      <c r="A16847" t="s">
        <v>1663</v>
      </c>
    </row>
    <row r="16848" spans="1:1" x14ac:dyDescent="0.2">
      <c r="A16848" t="s">
        <v>3489</v>
      </c>
    </row>
    <row r="16849" spans="1:1" x14ac:dyDescent="0.2">
      <c r="A16849" t="s">
        <v>3490</v>
      </c>
    </row>
    <row r="16850" spans="1:1" x14ac:dyDescent="0.2">
      <c r="A16850" t="s">
        <v>3491</v>
      </c>
    </row>
    <row r="16851" spans="1:1" x14ac:dyDescent="0.2">
      <c r="A16851" t="s">
        <v>1673</v>
      </c>
    </row>
    <row r="16852" spans="1:1" x14ac:dyDescent="0.2">
      <c r="A16852" t="s">
        <v>3319</v>
      </c>
    </row>
    <row r="16853" spans="1:1" x14ac:dyDescent="0.2">
      <c r="A16853" t="s">
        <v>1674</v>
      </c>
    </row>
    <row r="16854" spans="1:1" x14ac:dyDescent="0.2">
      <c r="A16854" t="s">
        <v>1633</v>
      </c>
    </row>
    <row r="16855" spans="1:1" x14ac:dyDescent="0.2">
      <c r="A16855" t="s">
        <v>3320</v>
      </c>
    </row>
    <row r="16856" spans="1:1" x14ac:dyDescent="0.2">
      <c r="A16856" t="s">
        <v>1635</v>
      </c>
    </row>
    <row r="16857" spans="1:1" x14ac:dyDescent="0.2">
      <c r="A16857" t="s">
        <v>1604</v>
      </c>
    </row>
    <row r="16858" spans="1:1" x14ac:dyDescent="0.2">
      <c r="A16858" t="s">
        <v>1605</v>
      </c>
    </row>
    <row r="16859" spans="1:1" x14ac:dyDescent="0.2">
      <c r="A16859" t="s">
        <v>1606</v>
      </c>
    </row>
    <row r="16860" spans="1:1" x14ac:dyDescent="0.2">
      <c r="A16860" t="s">
        <v>1607</v>
      </c>
    </row>
    <row r="16861" spans="1:1" x14ac:dyDescent="0.2">
      <c r="A16861" t="s">
        <v>1636</v>
      </c>
    </row>
    <row r="16862" spans="1:1" x14ac:dyDescent="0.2">
      <c r="A16862" t="s">
        <v>1637</v>
      </c>
    </row>
    <row r="16863" spans="1:1" x14ac:dyDescent="0.2">
      <c r="A16863" t="s">
        <v>1610</v>
      </c>
    </row>
    <row r="16864" spans="1:1" x14ac:dyDescent="0.2">
      <c r="A16864" t="s">
        <v>3492</v>
      </c>
    </row>
    <row r="16865" spans="1:1" x14ac:dyDescent="0.2">
      <c r="A16865" t="s">
        <v>3493</v>
      </c>
    </row>
    <row r="16866" spans="1:1" x14ac:dyDescent="0.2">
      <c r="A16866" t="s">
        <v>3494</v>
      </c>
    </row>
    <row r="16867" spans="1:1" x14ac:dyDescent="0.2">
      <c r="A16867" t="s">
        <v>3495</v>
      </c>
    </row>
    <row r="16868" spans="1:1" x14ac:dyDescent="0.2">
      <c r="A16868" t="s">
        <v>3496</v>
      </c>
    </row>
    <row r="16869" spans="1:1" x14ac:dyDescent="0.2">
      <c r="A16869" t="s">
        <v>3497</v>
      </c>
    </row>
    <row r="16870" spans="1:1" x14ac:dyDescent="0.2">
      <c r="A16870" t="s">
        <v>3498</v>
      </c>
    </row>
    <row r="16871" spans="1:1" x14ac:dyDescent="0.2">
      <c r="A16871" t="s">
        <v>3499</v>
      </c>
    </row>
    <row r="16872" spans="1:1" x14ac:dyDescent="0.2">
      <c r="A16872" t="s">
        <v>3500</v>
      </c>
    </row>
    <row r="16873" spans="1:1" x14ac:dyDescent="0.2">
      <c r="A16873" t="s">
        <v>3501</v>
      </c>
    </row>
    <row r="16874" spans="1:1" x14ac:dyDescent="0.2">
      <c r="A16874" t="s">
        <v>3502</v>
      </c>
    </row>
    <row r="16875" spans="1:1" x14ac:dyDescent="0.2">
      <c r="A16875" t="s">
        <v>3503</v>
      </c>
    </row>
    <row r="16876" spans="1:1" x14ac:dyDescent="0.2">
      <c r="A16876" t="s">
        <v>3504</v>
      </c>
    </row>
    <row r="16877" spans="1:1" x14ac:dyDescent="0.2">
      <c r="A16877" t="s">
        <v>3505</v>
      </c>
    </row>
    <row r="16878" spans="1:1" x14ac:dyDescent="0.2">
      <c r="A16878" t="s">
        <v>3506</v>
      </c>
    </row>
    <row r="16879" spans="1:1" x14ac:dyDescent="0.2">
      <c r="A16879" t="s">
        <v>3337</v>
      </c>
    </row>
    <row r="16880" spans="1:1" x14ac:dyDescent="0.2">
      <c r="A16880" t="s">
        <v>3338</v>
      </c>
    </row>
    <row r="16881" spans="1:1" x14ac:dyDescent="0.2">
      <c r="A16881" t="s">
        <v>1696</v>
      </c>
    </row>
    <row r="16882" spans="1:1" x14ac:dyDescent="0.2">
      <c r="A16882" t="s">
        <v>1663</v>
      </c>
    </row>
    <row r="16883" spans="1:1" x14ac:dyDescent="0.2">
      <c r="A16883" t="s">
        <v>3489</v>
      </c>
    </row>
    <row r="16884" spans="1:1" x14ac:dyDescent="0.2">
      <c r="A16884" t="s">
        <v>3490</v>
      </c>
    </row>
    <row r="16885" spans="1:1" x14ac:dyDescent="0.2">
      <c r="A16885" t="s">
        <v>3491</v>
      </c>
    </row>
    <row r="16886" spans="1:1" x14ac:dyDescent="0.2">
      <c r="A16886" t="s">
        <v>1673</v>
      </c>
    </row>
    <row r="16887" spans="1:1" x14ac:dyDescent="0.2">
      <c r="A16887" t="s">
        <v>3319</v>
      </c>
    </row>
    <row r="16888" spans="1:1" x14ac:dyDescent="0.2">
      <c r="A16888" t="s">
        <v>1674</v>
      </c>
    </row>
    <row r="16889" spans="1:1" x14ac:dyDescent="0.2">
      <c r="A16889" t="s">
        <v>1639</v>
      </c>
    </row>
    <row r="16890" spans="1:1" x14ac:dyDescent="0.2">
      <c r="A16890" t="s">
        <v>3320</v>
      </c>
    </row>
    <row r="16891" spans="1:1" x14ac:dyDescent="0.2">
      <c r="A16891" t="s">
        <v>1635</v>
      </c>
    </row>
    <row r="16892" spans="1:1" x14ac:dyDescent="0.2">
      <c r="A16892" t="s">
        <v>1604</v>
      </c>
    </row>
    <row r="16893" spans="1:1" x14ac:dyDescent="0.2">
      <c r="A16893" t="s">
        <v>1605</v>
      </c>
    </row>
    <row r="16894" spans="1:1" x14ac:dyDescent="0.2">
      <c r="A16894" t="s">
        <v>1606</v>
      </c>
    </row>
    <row r="16895" spans="1:1" x14ac:dyDescent="0.2">
      <c r="A16895" t="s">
        <v>1607</v>
      </c>
    </row>
    <row r="16896" spans="1:1" x14ac:dyDescent="0.2">
      <c r="A16896" t="s">
        <v>1636</v>
      </c>
    </row>
    <row r="16897" spans="1:1" x14ac:dyDescent="0.2">
      <c r="A16897" t="s">
        <v>1637</v>
      </c>
    </row>
    <row r="16898" spans="1:1" x14ac:dyDescent="0.2">
      <c r="A16898" t="s">
        <v>1610</v>
      </c>
    </row>
    <row r="16899" spans="1:1" x14ac:dyDescent="0.2">
      <c r="A16899" t="s">
        <v>3492</v>
      </c>
    </row>
    <row r="16900" spans="1:1" x14ac:dyDescent="0.2">
      <c r="A16900" t="s">
        <v>3493</v>
      </c>
    </row>
    <row r="16901" spans="1:1" x14ac:dyDescent="0.2">
      <c r="A16901" t="s">
        <v>3494</v>
      </c>
    </row>
    <row r="16902" spans="1:1" x14ac:dyDescent="0.2">
      <c r="A16902" t="s">
        <v>3495</v>
      </c>
    </row>
    <row r="16903" spans="1:1" x14ac:dyDescent="0.2">
      <c r="A16903" t="s">
        <v>3496</v>
      </c>
    </row>
    <row r="16904" spans="1:1" x14ac:dyDescent="0.2">
      <c r="A16904" t="s">
        <v>3497</v>
      </c>
    </row>
    <row r="16905" spans="1:1" x14ac:dyDescent="0.2">
      <c r="A16905" t="s">
        <v>3498</v>
      </c>
    </row>
    <row r="16906" spans="1:1" x14ac:dyDescent="0.2">
      <c r="A16906" t="s">
        <v>3499</v>
      </c>
    </row>
    <row r="16907" spans="1:1" x14ac:dyDescent="0.2">
      <c r="A16907" t="s">
        <v>3500</v>
      </c>
    </row>
    <row r="16908" spans="1:1" x14ac:dyDescent="0.2">
      <c r="A16908" t="s">
        <v>3501</v>
      </c>
    </row>
    <row r="16909" spans="1:1" x14ac:dyDescent="0.2">
      <c r="A16909" t="s">
        <v>3502</v>
      </c>
    </row>
    <row r="16910" spans="1:1" x14ac:dyDescent="0.2">
      <c r="A16910" t="s">
        <v>3503</v>
      </c>
    </row>
    <row r="16911" spans="1:1" x14ac:dyDescent="0.2">
      <c r="A16911" t="s">
        <v>3504</v>
      </c>
    </row>
    <row r="16912" spans="1:1" x14ac:dyDescent="0.2">
      <c r="A16912" t="s">
        <v>3505</v>
      </c>
    </row>
    <row r="16913" spans="1:1" x14ac:dyDescent="0.2">
      <c r="A16913" t="s">
        <v>3506</v>
      </c>
    </row>
    <row r="16914" spans="1:1" x14ac:dyDescent="0.2">
      <c r="A16914" t="s">
        <v>3337</v>
      </c>
    </row>
    <row r="16915" spans="1:1" x14ac:dyDescent="0.2">
      <c r="A16915" t="s">
        <v>3338</v>
      </c>
    </row>
    <row r="16916" spans="1:1" x14ac:dyDescent="0.2">
      <c r="A16916" t="s">
        <v>3507</v>
      </c>
    </row>
    <row r="16917" spans="1:1" x14ac:dyDescent="0.2">
      <c r="A16917" t="s">
        <v>1663</v>
      </c>
    </row>
    <row r="16918" spans="1:1" x14ac:dyDescent="0.2">
      <c r="A16918" t="s">
        <v>3489</v>
      </c>
    </row>
    <row r="16919" spans="1:1" x14ac:dyDescent="0.2">
      <c r="A16919" t="s">
        <v>3490</v>
      </c>
    </row>
    <row r="16920" spans="1:1" x14ac:dyDescent="0.2">
      <c r="A16920" t="s">
        <v>3491</v>
      </c>
    </row>
    <row r="16921" spans="1:1" x14ac:dyDescent="0.2">
      <c r="A16921" t="s">
        <v>1673</v>
      </c>
    </row>
    <row r="16922" spans="1:1" x14ac:dyDescent="0.2">
      <c r="A16922" t="s">
        <v>3319</v>
      </c>
    </row>
    <row r="16923" spans="1:1" x14ac:dyDescent="0.2">
      <c r="A16923" t="s">
        <v>1674</v>
      </c>
    </row>
    <row r="16924" spans="1:1" x14ac:dyDescent="0.2">
      <c r="A16924" t="s">
        <v>1601</v>
      </c>
    </row>
    <row r="16925" spans="1:1" x14ac:dyDescent="0.2">
      <c r="A16925" t="s">
        <v>3320</v>
      </c>
    </row>
    <row r="16926" spans="1:1" x14ac:dyDescent="0.2">
      <c r="A16926" t="s">
        <v>1635</v>
      </c>
    </row>
    <row r="16927" spans="1:1" x14ac:dyDescent="0.2">
      <c r="A16927" t="s">
        <v>1604</v>
      </c>
    </row>
    <row r="16928" spans="1:1" x14ac:dyDescent="0.2">
      <c r="A16928" t="s">
        <v>1605</v>
      </c>
    </row>
    <row r="16929" spans="1:1" x14ac:dyDescent="0.2">
      <c r="A16929" t="s">
        <v>1606</v>
      </c>
    </row>
    <row r="16930" spans="1:1" x14ac:dyDescent="0.2">
      <c r="A16930" t="s">
        <v>1607</v>
      </c>
    </row>
    <row r="16931" spans="1:1" x14ac:dyDescent="0.2">
      <c r="A16931" t="s">
        <v>1636</v>
      </c>
    </row>
    <row r="16932" spans="1:1" x14ac:dyDescent="0.2">
      <c r="A16932" t="s">
        <v>1637</v>
      </c>
    </row>
    <row r="16933" spans="1:1" x14ac:dyDescent="0.2">
      <c r="A16933" t="s">
        <v>1610</v>
      </c>
    </row>
    <row r="16934" spans="1:1" x14ac:dyDescent="0.2">
      <c r="A16934" t="s">
        <v>3492</v>
      </c>
    </row>
    <row r="16935" spans="1:1" x14ac:dyDescent="0.2">
      <c r="A16935" t="s">
        <v>3493</v>
      </c>
    </row>
    <row r="16936" spans="1:1" x14ac:dyDescent="0.2">
      <c r="A16936" t="s">
        <v>3494</v>
      </c>
    </row>
    <row r="16937" spans="1:1" x14ac:dyDescent="0.2">
      <c r="A16937" t="s">
        <v>3495</v>
      </c>
    </row>
    <row r="16938" spans="1:1" x14ac:dyDescent="0.2">
      <c r="A16938" t="s">
        <v>3496</v>
      </c>
    </row>
    <row r="16939" spans="1:1" x14ac:dyDescent="0.2">
      <c r="A16939" t="s">
        <v>3497</v>
      </c>
    </row>
    <row r="16940" spans="1:1" x14ac:dyDescent="0.2">
      <c r="A16940" t="s">
        <v>3498</v>
      </c>
    </row>
    <row r="16941" spans="1:1" x14ac:dyDescent="0.2">
      <c r="A16941" t="s">
        <v>3499</v>
      </c>
    </row>
    <row r="16942" spans="1:1" x14ac:dyDescent="0.2">
      <c r="A16942" t="s">
        <v>3500</v>
      </c>
    </row>
    <row r="16943" spans="1:1" x14ac:dyDescent="0.2">
      <c r="A16943" t="s">
        <v>3501</v>
      </c>
    </row>
    <row r="16944" spans="1:1" x14ac:dyDescent="0.2">
      <c r="A16944" t="s">
        <v>3502</v>
      </c>
    </row>
    <row r="16945" spans="1:1" x14ac:dyDescent="0.2">
      <c r="A16945" t="s">
        <v>3503</v>
      </c>
    </row>
    <row r="16946" spans="1:1" x14ac:dyDescent="0.2">
      <c r="A16946" t="s">
        <v>3504</v>
      </c>
    </row>
    <row r="16947" spans="1:1" x14ac:dyDescent="0.2">
      <c r="A16947" t="s">
        <v>3505</v>
      </c>
    </row>
    <row r="16948" spans="1:1" x14ac:dyDescent="0.2">
      <c r="A16948" t="s">
        <v>3506</v>
      </c>
    </row>
    <row r="16949" spans="1:1" x14ac:dyDescent="0.2">
      <c r="A16949" t="s">
        <v>3337</v>
      </c>
    </row>
    <row r="16950" spans="1:1" x14ac:dyDescent="0.2">
      <c r="A16950" t="s">
        <v>3338</v>
      </c>
    </row>
    <row r="16951" spans="1:1" x14ac:dyDescent="0.2">
      <c r="A16951" t="s">
        <v>3508</v>
      </c>
    </row>
    <row r="16952" spans="1:1" x14ac:dyDescent="0.2">
      <c r="A16952" t="s">
        <v>1663</v>
      </c>
    </row>
    <row r="16953" spans="1:1" x14ac:dyDescent="0.2">
      <c r="A16953" t="s">
        <v>3509</v>
      </c>
    </row>
    <row r="16954" spans="1:1" x14ac:dyDescent="0.2">
      <c r="A16954" t="s">
        <v>3510</v>
      </c>
    </row>
    <row r="16955" spans="1:1" x14ac:dyDescent="0.2">
      <c r="A16955" t="s">
        <v>1664</v>
      </c>
    </row>
    <row r="16956" spans="1:1" x14ac:dyDescent="0.2">
      <c r="A16956" t="s">
        <v>1673</v>
      </c>
    </row>
    <row r="16957" spans="1:1" x14ac:dyDescent="0.2">
      <c r="A16957" t="s">
        <v>3319</v>
      </c>
    </row>
    <row r="16958" spans="1:1" x14ac:dyDescent="0.2">
      <c r="A16958" t="s">
        <v>1600</v>
      </c>
    </row>
    <row r="16959" spans="1:1" x14ac:dyDescent="0.2">
      <c r="A16959" t="s">
        <v>1601</v>
      </c>
    </row>
    <row r="16960" spans="1:1" x14ac:dyDescent="0.2">
      <c r="A16960" t="s">
        <v>1602</v>
      </c>
    </row>
    <row r="16961" spans="1:1" x14ac:dyDescent="0.2">
      <c r="A16961" t="s">
        <v>1603</v>
      </c>
    </row>
    <row r="16962" spans="1:1" x14ac:dyDescent="0.2">
      <c r="A16962" t="s">
        <v>1604</v>
      </c>
    </row>
    <row r="16963" spans="1:1" x14ac:dyDescent="0.2">
      <c r="A16963" t="s">
        <v>1605</v>
      </c>
    </row>
    <row r="16964" spans="1:1" x14ac:dyDescent="0.2">
      <c r="A16964" t="s">
        <v>1606</v>
      </c>
    </row>
    <row r="16965" spans="1:1" x14ac:dyDescent="0.2">
      <c r="A16965" t="s">
        <v>3511</v>
      </c>
    </row>
    <row r="16966" spans="1:1" x14ac:dyDescent="0.2">
      <c r="A16966" t="s">
        <v>1608</v>
      </c>
    </row>
    <row r="16967" spans="1:1" x14ac:dyDescent="0.2">
      <c r="A16967" t="s">
        <v>1609</v>
      </c>
    </row>
    <row r="16968" spans="1:1" x14ac:dyDescent="0.2">
      <c r="A16968" t="s">
        <v>1610</v>
      </c>
    </row>
    <row r="16969" spans="1:1" x14ac:dyDescent="0.2">
      <c r="A16969" t="s">
        <v>3512</v>
      </c>
    </row>
    <row r="16970" spans="1:1" x14ac:dyDescent="0.2">
      <c r="A16970" t="s">
        <v>3513</v>
      </c>
    </row>
    <row r="16971" spans="1:1" x14ac:dyDescent="0.2">
      <c r="A16971" t="s">
        <v>3514</v>
      </c>
    </row>
    <row r="16972" spans="1:1" x14ac:dyDescent="0.2">
      <c r="A16972" t="s">
        <v>3515</v>
      </c>
    </row>
    <row r="16973" spans="1:1" x14ac:dyDescent="0.2">
      <c r="A16973" t="s">
        <v>3516</v>
      </c>
    </row>
    <row r="16974" spans="1:1" x14ac:dyDescent="0.2">
      <c r="A16974" t="s">
        <v>3517</v>
      </c>
    </row>
    <row r="16975" spans="1:1" x14ac:dyDescent="0.2">
      <c r="A16975" t="s">
        <v>3518</v>
      </c>
    </row>
    <row r="16976" spans="1:1" x14ac:dyDescent="0.2">
      <c r="A16976" t="s">
        <v>3519</v>
      </c>
    </row>
    <row r="16977" spans="1:1" x14ac:dyDescent="0.2">
      <c r="A16977" t="s">
        <v>3520</v>
      </c>
    </row>
    <row r="16978" spans="1:1" x14ac:dyDescent="0.2">
      <c r="A16978" t="s">
        <v>3521</v>
      </c>
    </row>
    <row r="16979" spans="1:1" x14ac:dyDescent="0.2">
      <c r="A16979" t="s">
        <v>3522</v>
      </c>
    </row>
    <row r="16980" spans="1:1" x14ac:dyDescent="0.2">
      <c r="A16980" t="s">
        <v>3523</v>
      </c>
    </row>
    <row r="16981" spans="1:1" x14ac:dyDescent="0.2">
      <c r="A16981" t="s">
        <v>3524</v>
      </c>
    </row>
    <row r="16982" spans="1:1" x14ac:dyDescent="0.2">
      <c r="A16982" t="s">
        <v>3525</v>
      </c>
    </row>
    <row r="16983" spans="1:1" x14ac:dyDescent="0.2">
      <c r="A16983" t="s">
        <v>3526</v>
      </c>
    </row>
    <row r="16984" spans="1:1" x14ac:dyDescent="0.2">
      <c r="A16984" t="s">
        <v>3337</v>
      </c>
    </row>
    <row r="16985" spans="1:1" x14ac:dyDescent="0.2">
      <c r="A16985" t="s">
        <v>3338</v>
      </c>
    </row>
    <row r="16986" spans="1:1" x14ac:dyDescent="0.2">
      <c r="A16986" t="s">
        <v>3527</v>
      </c>
    </row>
    <row r="16987" spans="1:1" x14ac:dyDescent="0.2">
      <c r="A16987" t="s">
        <v>1594</v>
      </c>
    </row>
    <row r="16988" spans="1:1" x14ac:dyDescent="0.2">
      <c r="A16988" t="s">
        <v>3489</v>
      </c>
    </row>
    <row r="16989" spans="1:1" x14ac:dyDescent="0.2">
      <c r="A16989" t="s">
        <v>3528</v>
      </c>
    </row>
    <row r="16990" spans="1:1" x14ac:dyDescent="0.2">
      <c r="A16990" t="s">
        <v>3491</v>
      </c>
    </row>
    <row r="16991" spans="1:1" x14ac:dyDescent="0.2">
      <c r="A16991" t="s">
        <v>1598</v>
      </c>
    </row>
    <row r="16992" spans="1:1" x14ac:dyDescent="0.2">
      <c r="A16992" t="s">
        <v>1599</v>
      </c>
    </row>
    <row r="16993" spans="1:1" x14ac:dyDescent="0.2">
      <c r="A16993" t="s">
        <v>1600</v>
      </c>
    </row>
    <row r="16994" spans="1:1" x14ac:dyDescent="0.2">
      <c r="A16994" t="s">
        <v>1633</v>
      </c>
    </row>
    <row r="16995" spans="1:1" x14ac:dyDescent="0.2">
      <c r="A16995" t="s">
        <v>3320</v>
      </c>
    </row>
    <row r="16996" spans="1:1" x14ac:dyDescent="0.2">
      <c r="A16996" t="s">
        <v>1635</v>
      </c>
    </row>
    <row r="16997" spans="1:1" x14ac:dyDescent="0.2">
      <c r="A16997" t="s">
        <v>1604</v>
      </c>
    </row>
    <row r="16998" spans="1:1" x14ac:dyDescent="0.2">
      <c r="A16998" t="s">
        <v>1605</v>
      </c>
    </row>
    <row r="16999" spans="1:1" x14ac:dyDescent="0.2">
      <c r="A16999" t="s">
        <v>1606</v>
      </c>
    </row>
    <row r="17000" spans="1:1" x14ac:dyDescent="0.2">
      <c r="A17000" t="s">
        <v>1607</v>
      </c>
    </row>
    <row r="17001" spans="1:1" x14ac:dyDescent="0.2">
      <c r="A17001" t="s">
        <v>1636</v>
      </c>
    </row>
    <row r="17002" spans="1:1" x14ac:dyDescent="0.2">
      <c r="A17002" t="s">
        <v>1637</v>
      </c>
    </row>
    <row r="17003" spans="1:1" x14ac:dyDescent="0.2">
      <c r="A17003" t="s">
        <v>1610</v>
      </c>
    </row>
    <row r="17004" spans="1:1" x14ac:dyDescent="0.2">
      <c r="A17004" t="s">
        <v>3529</v>
      </c>
    </row>
    <row r="17005" spans="1:1" x14ac:dyDescent="0.2">
      <c r="A17005" t="s">
        <v>3530</v>
      </c>
    </row>
    <row r="17006" spans="1:1" x14ac:dyDescent="0.2">
      <c r="A17006" t="s">
        <v>3531</v>
      </c>
    </row>
    <row r="17007" spans="1:1" x14ac:dyDescent="0.2">
      <c r="A17007" t="s">
        <v>3532</v>
      </c>
    </row>
    <row r="17008" spans="1:1" x14ac:dyDescent="0.2">
      <c r="A17008" t="s">
        <v>3533</v>
      </c>
    </row>
    <row r="17009" spans="1:1" x14ac:dyDescent="0.2">
      <c r="A17009" t="s">
        <v>3534</v>
      </c>
    </row>
    <row r="17010" spans="1:1" x14ac:dyDescent="0.2">
      <c r="A17010" t="s">
        <v>3535</v>
      </c>
    </row>
    <row r="17011" spans="1:1" x14ac:dyDescent="0.2">
      <c r="A17011" t="s">
        <v>3536</v>
      </c>
    </row>
    <row r="17012" spans="1:1" x14ac:dyDescent="0.2">
      <c r="A17012" t="s">
        <v>3537</v>
      </c>
    </row>
    <row r="17013" spans="1:1" x14ac:dyDescent="0.2">
      <c r="A17013" t="s">
        <v>3538</v>
      </c>
    </row>
    <row r="17014" spans="1:1" x14ac:dyDescent="0.2">
      <c r="A17014" t="s">
        <v>3539</v>
      </c>
    </row>
    <row r="17015" spans="1:1" x14ac:dyDescent="0.2">
      <c r="A17015" t="s">
        <v>3540</v>
      </c>
    </row>
    <row r="17016" spans="1:1" x14ac:dyDescent="0.2">
      <c r="A17016" t="s">
        <v>3541</v>
      </c>
    </row>
    <row r="17017" spans="1:1" x14ac:dyDescent="0.2">
      <c r="A17017" t="s">
        <v>3542</v>
      </c>
    </row>
    <row r="17018" spans="1:1" x14ac:dyDescent="0.2">
      <c r="A17018" t="s">
        <v>3543</v>
      </c>
    </row>
    <row r="17019" spans="1:1" x14ac:dyDescent="0.2">
      <c r="A17019" t="s">
        <v>3337</v>
      </c>
    </row>
    <row r="17020" spans="1:1" x14ac:dyDescent="0.2">
      <c r="A17020" t="s">
        <v>3338</v>
      </c>
    </row>
    <row r="17021" spans="1:1" x14ac:dyDescent="0.2">
      <c r="A17021" t="s">
        <v>3544</v>
      </c>
    </row>
    <row r="17022" spans="1:1" x14ac:dyDescent="0.2">
      <c r="A17022" t="s">
        <v>1594</v>
      </c>
    </row>
    <row r="17023" spans="1:1" x14ac:dyDescent="0.2">
      <c r="A17023" t="s">
        <v>3489</v>
      </c>
    </row>
    <row r="17024" spans="1:1" x14ac:dyDescent="0.2">
      <c r="A17024" t="s">
        <v>3528</v>
      </c>
    </row>
    <row r="17025" spans="1:1" x14ac:dyDescent="0.2">
      <c r="A17025" t="s">
        <v>3491</v>
      </c>
    </row>
    <row r="17026" spans="1:1" x14ac:dyDescent="0.2">
      <c r="A17026" t="s">
        <v>1598</v>
      </c>
    </row>
    <row r="17027" spans="1:1" x14ac:dyDescent="0.2">
      <c r="A17027" t="s">
        <v>1599</v>
      </c>
    </row>
    <row r="17028" spans="1:1" x14ac:dyDescent="0.2">
      <c r="A17028" t="s">
        <v>1600</v>
      </c>
    </row>
    <row r="17029" spans="1:1" x14ac:dyDescent="0.2">
      <c r="A17029" t="s">
        <v>1639</v>
      </c>
    </row>
    <row r="17030" spans="1:1" x14ac:dyDescent="0.2">
      <c r="A17030" t="s">
        <v>3320</v>
      </c>
    </row>
    <row r="17031" spans="1:1" x14ac:dyDescent="0.2">
      <c r="A17031" t="s">
        <v>1635</v>
      </c>
    </row>
    <row r="17032" spans="1:1" x14ac:dyDescent="0.2">
      <c r="A17032" t="s">
        <v>1604</v>
      </c>
    </row>
    <row r="17033" spans="1:1" x14ac:dyDescent="0.2">
      <c r="A17033" t="s">
        <v>1605</v>
      </c>
    </row>
    <row r="17034" spans="1:1" x14ac:dyDescent="0.2">
      <c r="A17034" t="s">
        <v>1606</v>
      </c>
    </row>
    <row r="17035" spans="1:1" x14ac:dyDescent="0.2">
      <c r="A17035" t="s">
        <v>1607</v>
      </c>
    </row>
    <row r="17036" spans="1:1" x14ac:dyDescent="0.2">
      <c r="A17036" t="s">
        <v>1636</v>
      </c>
    </row>
    <row r="17037" spans="1:1" x14ac:dyDescent="0.2">
      <c r="A17037" t="s">
        <v>1637</v>
      </c>
    </row>
    <row r="17038" spans="1:1" x14ac:dyDescent="0.2">
      <c r="A17038" t="s">
        <v>1610</v>
      </c>
    </row>
    <row r="17039" spans="1:1" x14ac:dyDescent="0.2">
      <c r="A17039" t="s">
        <v>3529</v>
      </c>
    </row>
    <row r="17040" spans="1:1" x14ac:dyDescent="0.2">
      <c r="A17040" t="s">
        <v>3530</v>
      </c>
    </row>
    <row r="17041" spans="1:1" x14ac:dyDescent="0.2">
      <c r="A17041" t="s">
        <v>3531</v>
      </c>
    </row>
    <row r="17042" spans="1:1" x14ac:dyDescent="0.2">
      <c r="A17042" t="s">
        <v>3532</v>
      </c>
    </row>
    <row r="17043" spans="1:1" x14ac:dyDescent="0.2">
      <c r="A17043" t="s">
        <v>3533</v>
      </c>
    </row>
    <row r="17044" spans="1:1" x14ac:dyDescent="0.2">
      <c r="A17044" t="s">
        <v>3534</v>
      </c>
    </row>
    <row r="17045" spans="1:1" x14ac:dyDescent="0.2">
      <c r="A17045" t="s">
        <v>3535</v>
      </c>
    </row>
    <row r="17046" spans="1:1" x14ac:dyDescent="0.2">
      <c r="A17046" t="s">
        <v>3536</v>
      </c>
    </row>
    <row r="17047" spans="1:1" x14ac:dyDescent="0.2">
      <c r="A17047" t="s">
        <v>3537</v>
      </c>
    </row>
    <row r="17048" spans="1:1" x14ac:dyDescent="0.2">
      <c r="A17048" t="s">
        <v>3538</v>
      </c>
    </row>
    <row r="17049" spans="1:1" x14ac:dyDescent="0.2">
      <c r="A17049" t="s">
        <v>3539</v>
      </c>
    </row>
    <row r="17050" spans="1:1" x14ac:dyDescent="0.2">
      <c r="A17050" t="s">
        <v>3540</v>
      </c>
    </row>
    <row r="17051" spans="1:1" x14ac:dyDescent="0.2">
      <c r="A17051" t="s">
        <v>3541</v>
      </c>
    </row>
    <row r="17052" spans="1:1" x14ac:dyDescent="0.2">
      <c r="A17052" t="s">
        <v>3542</v>
      </c>
    </row>
    <row r="17053" spans="1:1" x14ac:dyDescent="0.2">
      <c r="A17053" t="s">
        <v>3543</v>
      </c>
    </row>
    <row r="17054" spans="1:1" x14ac:dyDescent="0.2">
      <c r="A17054" t="s">
        <v>3337</v>
      </c>
    </row>
    <row r="17055" spans="1:1" x14ac:dyDescent="0.2">
      <c r="A17055" t="s">
        <v>3338</v>
      </c>
    </row>
    <row r="17056" spans="1:1" x14ac:dyDescent="0.2">
      <c r="A17056" t="s">
        <v>3545</v>
      </c>
    </row>
    <row r="17057" spans="1:1" x14ac:dyDescent="0.2">
      <c r="A17057" t="s">
        <v>1594</v>
      </c>
    </row>
    <row r="17058" spans="1:1" x14ac:dyDescent="0.2">
      <c r="A17058" t="s">
        <v>3489</v>
      </c>
    </row>
    <row r="17059" spans="1:1" x14ac:dyDescent="0.2">
      <c r="A17059" t="s">
        <v>3528</v>
      </c>
    </row>
    <row r="17060" spans="1:1" x14ac:dyDescent="0.2">
      <c r="A17060" t="s">
        <v>3491</v>
      </c>
    </row>
    <row r="17061" spans="1:1" x14ac:dyDescent="0.2">
      <c r="A17061" t="s">
        <v>1598</v>
      </c>
    </row>
    <row r="17062" spans="1:1" x14ac:dyDescent="0.2">
      <c r="A17062" t="s">
        <v>1599</v>
      </c>
    </row>
    <row r="17063" spans="1:1" x14ac:dyDescent="0.2">
      <c r="A17063" t="s">
        <v>1600</v>
      </c>
    </row>
    <row r="17064" spans="1:1" x14ac:dyDescent="0.2">
      <c r="A17064" t="s">
        <v>1601</v>
      </c>
    </row>
    <row r="17065" spans="1:1" x14ac:dyDescent="0.2">
      <c r="A17065" t="s">
        <v>3320</v>
      </c>
    </row>
    <row r="17066" spans="1:1" x14ac:dyDescent="0.2">
      <c r="A17066" t="s">
        <v>1635</v>
      </c>
    </row>
    <row r="17067" spans="1:1" x14ac:dyDescent="0.2">
      <c r="A17067" t="s">
        <v>1604</v>
      </c>
    </row>
    <row r="17068" spans="1:1" x14ac:dyDescent="0.2">
      <c r="A17068" t="s">
        <v>1605</v>
      </c>
    </row>
    <row r="17069" spans="1:1" x14ac:dyDescent="0.2">
      <c r="A17069" t="s">
        <v>1606</v>
      </c>
    </row>
    <row r="17070" spans="1:1" x14ac:dyDescent="0.2">
      <c r="A17070" t="s">
        <v>1607</v>
      </c>
    </row>
    <row r="17071" spans="1:1" x14ac:dyDescent="0.2">
      <c r="A17071" t="s">
        <v>1636</v>
      </c>
    </row>
    <row r="17072" spans="1:1" x14ac:dyDescent="0.2">
      <c r="A17072" t="s">
        <v>1637</v>
      </c>
    </row>
    <row r="17073" spans="1:1" x14ac:dyDescent="0.2">
      <c r="A17073" t="s">
        <v>1610</v>
      </c>
    </row>
    <row r="17074" spans="1:1" x14ac:dyDescent="0.2">
      <c r="A17074" t="s">
        <v>3529</v>
      </c>
    </row>
    <row r="17075" spans="1:1" x14ac:dyDescent="0.2">
      <c r="A17075" t="s">
        <v>3530</v>
      </c>
    </row>
    <row r="17076" spans="1:1" x14ac:dyDescent="0.2">
      <c r="A17076" t="s">
        <v>3531</v>
      </c>
    </row>
    <row r="17077" spans="1:1" x14ac:dyDescent="0.2">
      <c r="A17077" t="s">
        <v>3532</v>
      </c>
    </row>
    <row r="17078" spans="1:1" x14ac:dyDescent="0.2">
      <c r="A17078" t="s">
        <v>3533</v>
      </c>
    </row>
    <row r="17079" spans="1:1" x14ac:dyDescent="0.2">
      <c r="A17079" t="s">
        <v>3534</v>
      </c>
    </row>
    <row r="17080" spans="1:1" x14ac:dyDescent="0.2">
      <c r="A17080" t="s">
        <v>3535</v>
      </c>
    </row>
    <row r="17081" spans="1:1" x14ac:dyDescent="0.2">
      <c r="A17081" t="s">
        <v>3536</v>
      </c>
    </row>
    <row r="17082" spans="1:1" x14ac:dyDescent="0.2">
      <c r="A17082" t="s">
        <v>3537</v>
      </c>
    </row>
    <row r="17083" spans="1:1" x14ac:dyDescent="0.2">
      <c r="A17083" t="s">
        <v>3538</v>
      </c>
    </row>
    <row r="17084" spans="1:1" x14ac:dyDescent="0.2">
      <c r="A17084" t="s">
        <v>3539</v>
      </c>
    </row>
    <row r="17085" spans="1:1" x14ac:dyDescent="0.2">
      <c r="A17085" t="s">
        <v>3540</v>
      </c>
    </row>
    <row r="17086" spans="1:1" x14ac:dyDescent="0.2">
      <c r="A17086" t="s">
        <v>3541</v>
      </c>
    </row>
    <row r="17087" spans="1:1" x14ac:dyDescent="0.2">
      <c r="A17087" t="s">
        <v>3542</v>
      </c>
    </row>
    <row r="17088" spans="1:1" x14ac:dyDescent="0.2">
      <c r="A17088" t="s">
        <v>3543</v>
      </c>
    </row>
    <row r="17089" spans="1:1" x14ac:dyDescent="0.2">
      <c r="A17089" t="s">
        <v>3337</v>
      </c>
    </row>
    <row r="17090" spans="1:1" x14ac:dyDescent="0.2">
      <c r="A17090" t="s">
        <v>3338</v>
      </c>
    </row>
    <row r="17091" spans="1:1" x14ac:dyDescent="0.2">
      <c r="A17091" t="s">
        <v>3546</v>
      </c>
    </row>
    <row r="17092" spans="1:1" x14ac:dyDescent="0.2">
      <c r="A17092" t="s">
        <v>1594</v>
      </c>
    </row>
    <row r="17093" spans="1:1" x14ac:dyDescent="0.2">
      <c r="A17093" t="s">
        <v>1595</v>
      </c>
    </row>
    <row r="17094" spans="1:1" x14ac:dyDescent="0.2">
      <c r="A17094" t="s">
        <v>3547</v>
      </c>
    </row>
    <row r="17095" spans="1:1" x14ac:dyDescent="0.2">
      <c r="A17095" t="s">
        <v>1664</v>
      </c>
    </row>
    <row r="17096" spans="1:1" x14ac:dyDescent="0.2">
      <c r="A17096" t="s">
        <v>1632</v>
      </c>
    </row>
    <row r="17097" spans="1:1" x14ac:dyDescent="0.2">
      <c r="A17097" t="s">
        <v>3548</v>
      </c>
    </row>
    <row r="17098" spans="1:1" x14ac:dyDescent="0.2">
      <c r="A17098" t="s">
        <v>1600</v>
      </c>
    </row>
    <row r="17099" spans="1:1" x14ac:dyDescent="0.2">
      <c r="A17099" t="s">
        <v>1601</v>
      </c>
    </row>
    <row r="17100" spans="1:1" x14ac:dyDescent="0.2">
      <c r="A17100" t="s">
        <v>1602</v>
      </c>
    </row>
    <row r="17101" spans="1:1" x14ac:dyDescent="0.2">
      <c r="A17101" t="s">
        <v>1603</v>
      </c>
    </row>
    <row r="17102" spans="1:1" x14ac:dyDescent="0.2">
      <c r="A17102" t="s">
        <v>1604</v>
      </c>
    </row>
    <row r="17103" spans="1:1" x14ac:dyDescent="0.2">
      <c r="A17103" t="s">
        <v>1605</v>
      </c>
    </row>
    <row r="17104" spans="1:1" x14ac:dyDescent="0.2">
      <c r="A17104" t="s">
        <v>1606</v>
      </c>
    </row>
    <row r="17105" spans="1:1" x14ac:dyDescent="0.2">
      <c r="A17105" t="s">
        <v>3511</v>
      </c>
    </row>
    <row r="17106" spans="1:1" x14ac:dyDescent="0.2">
      <c r="A17106" t="s">
        <v>1608</v>
      </c>
    </row>
    <row r="17107" spans="1:1" x14ac:dyDescent="0.2">
      <c r="A17107" t="s">
        <v>1609</v>
      </c>
    </row>
    <row r="17108" spans="1:1" x14ac:dyDescent="0.2">
      <c r="A17108" t="s">
        <v>1610</v>
      </c>
    </row>
    <row r="17109" spans="1:1" x14ac:dyDescent="0.2">
      <c r="A17109" t="s">
        <v>3549</v>
      </c>
    </row>
    <row r="17110" spans="1:1" x14ac:dyDescent="0.2">
      <c r="A17110" t="s">
        <v>3550</v>
      </c>
    </row>
    <row r="17111" spans="1:1" x14ac:dyDescent="0.2">
      <c r="A17111" t="s">
        <v>3551</v>
      </c>
    </row>
    <row r="17112" spans="1:1" x14ac:dyDescent="0.2">
      <c r="A17112" t="s">
        <v>3552</v>
      </c>
    </row>
    <row r="17113" spans="1:1" x14ac:dyDescent="0.2">
      <c r="A17113" t="s">
        <v>3553</v>
      </c>
    </row>
    <row r="17114" spans="1:1" x14ac:dyDescent="0.2">
      <c r="A17114" t="s">
        <v>3554</v>
      </c>
    </row>
    <row r="17115" spans="1:1" x14ac:dyDescent="0.2">
      <c r="A17115" t="s">
        <v>3555</v>
      </c>
    </row>
    <row r="17116" spans="1:1" x14ac:dyDescent="0.2">
      <c r="A17116" t="s">
        <v>3556</v>
      </c>
    </row>
    <row r="17117" spans="1:1" x14ac:dyDescent="0.2">
      <c r="A17117" t="s">
        <v>3557</v>
      </c>
    </row>
    <row r="17118" spans="1:1" x14ac:dyDescent="0.2">
      <c r="A17118" t="s">
        <v>3558</v>
      </c>
    </row>
    <row r="17119" spans="1:1" x14ac:dyDescent="0.2">
      <c r="A17119" t="s">
        <v>3559</v>
      </c>
    </row>
    <row r="17120" spans="1:1" x14ac:dyDescent="0.2">
      <c r="A17120" t="s">
        <v>3560</v>
      </c>
    </row>
    <row r="17121" spans="1:1" x14ac:dyDescent="0.2">
      <c r="A17121" t="s">
        <v>3561</v>
      </c>
    </row>
    <row r="17122" spans="1:1" x14ac:dyDescent="0.2">
      <c r="A17122" t="s">
        <v>3562</v>
      </c>
    </row>
    <row r="17123" spans="1:1" x14ac:dyDescent="0.2">
      <c r="A17123" t="s">
        <v>3563</v>
      </c>
    </row>
    <row r="17124" spans="1:1" x14ac:dyDescent="0.2">
      <c r="A17124" t="s">
        <v>3337</v>
      </c>
    </row>
    <row r="17125" spans="1:1" x14ac:dyDescent="0.2">
      <c r="A17125" t="s">
        <v>3338</v>
      </c>
    </row>
    <row r="17126" spans="1:1" x14ac:dyDescent="0.2">
      <c r="A17126" t="s">
        <v>3564</v>
      </c>
    </row>
    <row r="17127" spans="1:1" x14ac:dyDescent="0.2">
      <c r="A17127" t="s">
        <v>1594</v>
      </c>
    </row>
    <row r="17128" spans="1:1" x14ac:dyDescent="0.2">
      <c r="A17128" t="s">
        <v>1595</v>
      </c>
    </row>
    <row r="17129" spans="1:1" x14ac:dyDescent="0.2">
      <c r="A17129" t="s">
        <v>1596</v>
      </c>
    </row>
    <row r="17130" spans="1:1" x14ac:dyDescent="0.2">
      <c r="A17130" t="s">
        <v>1597</v>
      </c>
    </row>
    <row r="17131" spans="1:1" x14ac:dyDescent="0.2">
      <c r="A17131" t="s">
        <v>1598</v>
      </c>
    </row>
    <row r="17132" spans="1:1" x14ac:dyDescent="0.2">
      <c r="A17132" t="s">
        <v>1599</v>
      </c>
    </row>
    <row r="17133" spans="1:1" x14ac:dyDescent="0.2">
      <c r="A17133" t="s">
        <v>1600</v>
      </c>
    </row>
    <row r="17134" spans="1:1" x14ac:dyDescent="0.2">
      <c r="A17134" t="s">
        <v>1601</v>
      </c>
    </row>
    <row r="17135" spans="1:1" x14ac:dyDescent="0.2">
      <c r="A17135" t="s">
        <v>1602</v>
      </c>
    </row>
    <row r="17136" spans="1:1" x14ac:dyDescent="0.2">
      <c r="A17136" t="s">
        <v>1603</v>
      </c>
    </row>
    <row r="17137" spans="1:1" x14ac:dyDescent="0.2">
      <c r="A17137" t="s">
        <v>1604</v>
      </c>
    </row>
    <row r="17138" spans="1:1" x14ac:dyDescent="0.2">
      <c r="A17138" t="s">
        <v>1605</v>
      </c>
    </row>
    <row r="17139" spans="1:1" x14ac:dyDescent="0.2">
      <c r="A17139" t="s">
        <v>1606</v>
      </c>
    </row>
    <row r="17140" spans="1:1" x14ac:dyDescent="0.2">
      <c r="A17140" t="s">
        <v>1607</v>
      </c>
    </row>
    <row r="17141" spans="1:1" x14ac:dyDescent="0.2">
      <c r="A17141" t="s">
        <v>1608</v>
      </c>
    </row>
    <row r="17142" spans="1:1" x14ac:dyDescent="0.2">
      <c r="A17142" t="s">
        <v>1609</v>
      </c>
    </row>
    <row r="17143" spans="1:1" x14ac:dyDescent="0.2">
      <c r="A17143" t="s">
        <v>1610</v>
      </c>
    </row>
    <row r="17144" spans="1:1" x14ac:dyDescent="0.2">
      <c r="A17144" t="s">
        <v>1611</v>
      </c>
    </row>
    <row r="17145" spans="1:1" x14ac:dyDescent="0.2">
      <c r="A17145" t="s">
        <v>1612</v>
      </c>
    </row>
    <row r="17146" spans="1:1" x14ac:dyDescent="0.2">
      <c r="A17146" t="s">
        <v>1613</v>
      </c>
    </row>
    <row r="17147" spans="1:1" x14ac:dyDescent="0.2">
      <c r="A17147" t="s">
        <v>1614</v>
      </c>
    </row>
    <row r="17148" spans="1:1" x14ac:dyDescent="0.2">
      <c r="A17148" t="s">
        <v>1615</v>
      </c>
    </row>
    <row r="17149" spans="1:1" x14ac:dyDescent="0.2">
      <c r="A17149" t="s">
        <v>1616</v>
      </c>
    </row>
    <row r="17150" spans="1:1" x14ac:dyDescent="0.2">
      <c r="A17150" t="s">
        <v>1617</v>
      </c>
    </row>
    <row r="17151" spans="1:1" x14ac:dyDescent="0.2">
      <c r="A17151" t="s">
        <v>1618</v>
      </c>
    </row>
    <row r="17152" spans="1:1" x14ac:dyDescent="0.2">
      <c r="A17152" t="s">
        <v>1619</v>
      </c>
    </row>
    <row r="17153" spans="1:1" x14ac:dyDescent="0.2">
      <c r="A17153" t="s">
        <v>1620</v>
      </c>
    </row>
    <row r="17154" spans="1:1" x14ac:dyDescent="0.2">
      <c r="A17154" t="s">
        <v>1621</v>
      </c>
    </row>
    <row r="17155" spans="1:1" x14ac:dyDescent="0.2">
      <c r="A17155" t="s">
        <v>1622</v>
      </c>
    </row>
    <row r="17156" spans="1:1" x14ac:dyDescent="0.2">
      <c r="A17156" t="s">
        <v>1623</v>
      </c>
    </row>
    <row r="17157" spans="1:1" x14ac:dyDescent="0.2">
      <c r="A17157" t="s">
        <v>1624</v>
      </c>
    </row>
    <row r="17158" spans="1:1" x14ac:dyDescent="0.2">
      <c r="A17158" t="s">
        <v>1625</v>
      </c>
    </row>
    <row r="17159" spans="1:1" x14ac:dyDescent="0.2">
      <c r="A17159" t="s">
        <v>1626</v>
      </c>
    </row>
    <row r="17160" spans="1:1" x14ac:dyDescent="0.2">
      <c r="A17160" t="s">
        <v>1627</v>
      </c>
    </row>
    <row r="17161" spans="1:1" x14ac:dyDescent="0.2">
      <c r="A17161" t="s">
        <v>3565</v>
      </c>
    </row>
    <row r="17162" spans="1:1" x14ac:dyDescent="0.2">
      <c r="A17162" t="s">
        <v>1594</v>
      </c>
    </row>
    <row r="17163" spans="1:1" x14ac:dyDescent="0.2">
      <c r="A17163" t="s">
        <v>1595</v>
      </c>
    </row>
    <row r="17164" spans="1:1" x14ac:dyDescent="0.2">
      <c r="A17164" t="s">
        <v>3566</v>
      </c>
    </row>
    <row r="17165" spans="1:1" x14ac:dyDescent="0.2">
      <c r="A17165" t="s">
        <v>1597</v>
      </c>
    </row>
    <row r="17166" spans="1:1" x14ac:dyDescent="0.2">
      <c r="A17166" t="s">
        <v>1598</v>
      </c>
    </row>
    <row r="17167" spans="1:1" x14ac:dyDescent="0.2">
      <c r="A17167" t="s">
        <v>1599</v>
      </c>
    </row>
    <row r="17168" spans="1:1" x14ac:dyDescent="0.2">
      <c r="A17168" t="s">
        <v>1600</v>
      </c>
    </row>
    <row r="17169" spans="1:1" x14ac:dyDescent="0.2">
      <c r="A17169" t="s">
        <v>1601</v>
      </c>
    </row>
    <row r="17170" spans="1:1" x14ac:dyDescent="0.2">
      <c r="A17170" t="s">
        <v>1602</v>
      </c>
    </row>
    <row r="17171" spans="1:1" x14ac:dyDescent="0.2">
      <c r="A17171" t="s">
        <v>1603</v>
      </c>
    </row>
    <row r="17172" spans="1:1" x14ac:dyDescent="0.2">
      <c r="A17172" t="s">
        <v>1604</v>
      </c>
    </row>
    <row r="17173" spans="1:1" x14ac:dyDescent="0.2">
      <c r="A17173" t="s">
        <v>1605</v>
      </c>
    </row>
    <row r="17174" spans="1:1" x14ac:dyDescent="0.2">
      <c r="A17174" t="s">
        <v>1606</v>
      </c>
    </row>
    <row r="17175" spans="1:1" x14ac:dyDescent="0.2">
      <c r="A17175" t="s">
        <v>1607</v>
      </c>
    </row>
    <row r="17176" spans="1:1" x14ac:dyDescent="0.2">
      <c r="A17176" t="s">
        <v>1608</v>
      </c>
    </row>
    <row r="17177" spans="1:1" x14ac:dyDescent="0.2">
      <c r="A17177" t="s">
        <v>1609</v>
      </c>
    </row>
    <row r="17178" spans="1:1" x14ac:dyDescent="0.2">
      <c r="A17178" t="s">
        <v>1610</v>
      </c>
    </row>
    <row r="17179" spans="1:1" x14ac:dyDescent="0.2">
      <c r="A17179" t="s">
        <v>1611</v>
      </c>
    </row>
    <row r="17180" spans="1:1" x14ac:dyDescent="0.2">
      <c r="A17180" t="s">
        <v>1612</v>
      </c>
    </row>
    <row r="17181" spans="1:1" x14ac:dyDescent="0.2">
      <c r="A17181" t="s">
        <v>1613</v>
      </c>
    </row>
    <row r="17182" spans="1:1" x14ac:dyDescent="0.2">
      <c r="A17182" t="s">
        <v>1614</v>
      </c>
    </row>
    <row r="17183" spans="1:1" x14ac:dyDescent="0.2">
      <c r="A17183" t="s">
        <v>1615</v>
      </c>
    </row>
    <row r="17184" spans="1:1" x14ac:dyDescent="0.2">
      <c r="A17184" t="s">
        <v>1616</v>
      </c>
    </row>
    <row r="17185" spans="1:1" x14ac:dyDescent="0.2">
      <c r="A17185" t="s">
        <v>1617</v>
      </c>
    </row>
    <row r="17186" spans="1:1" x14ac:dyDescent="0.2">
      <c r="A17186" t="s">
        <v>1618</v>
      </c>
    </row>
    <row r="17187" spans="1:1" x14ac:dyDescent="0.2">
      <c r="A17187" t="s">
        <v>1619</v>
      </c>
    </row>
    <row r="17188" spans="1:1" x14ac:dyDescent="0.2">
      <c r="A17188" t="s">
        <v>1620</v>
      </c>
    </row>
    <row r="17189" spans="1:1" x14ac:dyDescent="0.2">
      <c r="A17189" t="s">
        <v>1621</v>
      </c>
    </row>
    <row r="17190" spans="1:1" x14ac:dyDescent="0.2">
      <c r="A17190" t="s">
        <v>1622</v>
      </c>
    </row>
    <row r="17191" spans="1:1" x14ac:dyDescent="0.2">
      <c r="A17191" t="s">
        <v>1623</v>
      </c>
    </row>
    <row r="17192" spans="1:1" x14ac:dyDescent="0.2">
      <c r="A17192" t="s">
        <v>1624</v>
      </c>
    </row>
    <row r="17193" spans="1:1" x14ac:dyDescent="0.2">
      <c r="A17193" t="s">
        <v>1625</v>
      </c>
    </row>
    <row r="17194" spans="1:1" x14ac:dyDescent="0.2">
      <c r="A17194" t="s">
        <v>1626</v>
      </c>
    </row>
    <row r="17195" spans="1:1" x14ac:dyDescent="0.2">
      <c r="A17195" t="s">
        <v>1627</v>
      </c>
    </row>
    <row r="17196" spans="1:1" x14ac:dyDescent="0.2">
      <c r="A17196" t="s">
        <v>3567</v>
      </c>
    </row>
    <row r="17197" spans="1:1" x14ac:dyDescent="0.2">
      <c r="A17197" t="s">
        <v>1594</v>
      </c>
    </row>
    <row r="17198" spans="1:1" x14ac:dyDescent="0.2">
      <c r="A17198" t="s">
        <v>3472</v>
      </c>
    </row>
    <row r="17199" spans="1:1" x14ac:dyDescent="0.2">
      <c r="A17199" t="s">
        <v>3568</v>
      </c>
    </row>
    <row r="17200" spans="1:1" x14ac:dyDescent="0.2">
      <c r="A17200" t="s">
        <v>1652</v>
      </c>
    </row>
    <row r="17201" spans="1:1" x14ac:dyDescent="0.2">
      <c r="A17201" t="s">
        <v>1673</v>
      </c>
    </row>
    <row r="17202" spans="1:1" x14ac:dyDescent="0.2">
      <c r="A17202" t="s">
        <v>3319</v>
      </c>
    </row>
    <row r="17203" spans="1:1" x14ac:dyDescent="0.2">
      <c r="A17203" t="s">
        <v>1600</v>
      </c>
    </row>
    <row r="17204" spans="1:1" x14ac:dyDescent="0.2">
      <c r="A17204" t="s">
        <v>1633</v>
      </c>
    </row>
    <row r="17205" spans="1:1" x14ac:dyDescent="0.2">
      <c r="A17205" t="s">
        <v>1634</v>
      </c>
    </row>
    <row r="17206" spans="1:1" x14ac:dyDescent="0.2">
      <c r="A17206" t="s">
        <v>1693</v>
      </c>
    </row>
    <row r="17207" spans="1:1" x14ac:dyDescent="0.2">
      <c r="A17207" t="s">
        <v>1604</v>
      </c>
    </row>
    <row r="17208" spans="1:1" x14ac:dyDescent="0.2">
      <c r="A17208" t="s">
        <v>1605</v>
      </c>
    </row>
    <row r="17209" spans="1:1" x14ac:dyDescent="0.2">
      <c r="A17209" t="s">
        <v>1606</v>
      </c>
    </row>
    <row r="17210" spans="1:1" x14ac:dyDescent="0.2">
      <c r="A17210" t="s">
        <v>3569</v>
      </c>
    </row>
    <row r="17211" spans="1:1" x14ac:dyDescent="0.2">
      <c r="A17211" t="s">
        <v>1676</v>
      </c>
    </row>
    <row r="17212" spans="1:1" x14ac:dyDescent="0.2">
      <c r="A17212" t="s">
        <v>1677</v>
      </c>
    </row>
    <row r="17213" spans="1:1" x14ac:dyDescent="0.2">
      <c r="A17213" t="s">
        <v>1610</v>
      </c>
    </row>
    <row r="17214" spans="1:1" x14ac:dyDescent="0.2">
      <c r="A17214" t="s">
        <v>3570</v>
      </c>
    </row>
    <row r="17215" spans="1:1" x14ac:dyDescent="0.2">
      <c r="A17215" t="s">
        <v>3571</v>
      </c>
    </row>
    <row r="17216" spans="1:1" x14ac:dyDescent="0.2">
      <c r="A17216" t="s">
        <v>3572</v>
      </c>
    </row>
    <row r="17217" spans="1:1" x14ac:dyDescent="0.2">
      <c r="A17217" t="s">
        <v>3573</v>
      </c>
    </row>
    <row r="17218" spans="1:1" x14ac:dyDescent="0.2">
      <c r="A17218" t="s">
        <v>3574</v>
      </c>
    </row>
    <row r="17219" spans="1:1" x14ac:dyDescent="0.2">
      <c r="A17219" t="s">
        <v>3575</v>
      </c>
    </row>
    <row r="17220" spans="1:1" x14ac:dyDescent="0.2">
      <c r="A17220" t="s">
        <v>3576</v>
      </c>
    </row>
    <row r="17221" spans="1:1" x14ac:dyDescent="0.2">
      <c r="A17221" t="s">
        <v>3577</v>
      </c>
    </row>
    <row r="17222" spans="1:1" x14ac:dyDescent="0.2">
      <c r="A17222" t="s">
        <v>3578</v>
      </c>
    </row>
    <row r="17223" spans="1:1" x14ac:dyDescent="0.2">
      <c r="A17223" t="s">
        <v>3579</v>
      </c>
    </row>
    <row r="17224" spans="1:1" x14ac:dyDescent="0.2">
      <c r="A17224" t="s">
        <v>3580</v>
      </c>
    </row>
    <row r="17225" spans="1:1" x14ac:dyDescent="0.2">
      <c r="A17225" t="s">
        <v>3581</v>
      </c>
    </row>
    <row r="17226" spans="1:1" x14ac:dyDescent="0.2">
      <c r="A17226" t="s">
        <v>3582</v>
      </c>
    </row>
    <row r="17227" spans="1:1" x14ac:dyDescent="0.2">
      <c r="A17227" t="s">
        <v>3583</v>
      </c>
    </row>
    <row r="17228" spans="1:1" x14ac:dyDescent="0.2">
      <c r="A17228" t="s">
        <v>3584</v>
      </c>
    </row>
    <row r="17229" spans="1:1" x14ac:dyDescent="0.2">
      <c r="A17229" t="s">
        <v>3585</v>
      </c>
    </row>
    <row r="17230" spans="1:1" x14ac:dyDescent="0.2">
      <c r="A17230" t="s">
        <v>3586</v>
      </c>
    </row>
    <row r="17231" spans="1:1" x14ac:dyDescent="0.2">
      <c r="A17231" t="s">
        <v>3587</v>
      </c>
    </row>
    <row r="17232" spans="1:1" x14ac:dyDescent="0.2">
      <c r="A17232" t="s">
        <v>1594</v>
      </c>
    </row>
    <row r="17233" spans="1:1" x14ac:dyDescent="0.2">
      <c r="A17233" t="s">
        <v>3472</v>
      </c>
    </row>
    <row r="17234" spans="1:1" x14ac:dyDescent="0.2">
      <c r="A17234" t="s">
        <v>3568</v>
      </c>
    </row>
    <row r="17235" spans="1:1" x14ac:dyDescent="0.2">
      <c r="A17235" t="s">
        <v>1652</v>
      </c>
    </row>
    <row r="17236" spans="1:1" x14ac:dyDescent="0.2">
      <c r="A17236" t="s">
        <v>1673</v>
      </c>
    </row>
    <row r="17237" spans="1:1" x14ac:dyDescent="0.2">
      <c r="A17237" t="s">
        <v>3319</v>
      </c>
    </row>
    <row r="17238" spans="1:1" x14ac:dyDescent="0.2">
      <c r="A17238" t="s">
        <v>1600</v>
      </c>
    </row>
    <row r="17239" spans="1:1" x14ac:dyDescent="0.2">
      <c r="A17239" t="s">
        <v>1639</v>
      </c>
    </row>
    <row r="17240" spans="1:1" x14ac:dyDescent="0.2">
      <c r="A17240" t="s">
        <v>1634</v>
      </c>
    </row>
    <row r="17241" spans="1:1" x14ac:dyDescent="0.2">
      <c r="A17241" t="s">
        <v>1693</v>
      </c>
    </row>
    <row r="17242" spans="1:1" x14ac:dyDescent="0.2">
      <c r="A17242" t="s">
        <v>1604</v>
      </c>
    </row>
    <row r="17243" spans="1:1" x14ac:dyDescent="0.2">
      <c r="A17243" t="s">
        <v>1605</v>
      </c>
    </row>
    <row r="17244" spans="1:1" x14ac:dyDescent="0.2">
      <c r="A17244" t="s">
        <v>1606</v>
      </c>
    </row>
    <row r="17245" spans="1:1" x14ac:dyDescent="0.2">
      <c r="A17245" t="s">
        <v>3569</v>
      </c>
    </row>
    <row r="17246" spans="1:1" x14ac:dyDescent="0.2">
      <c r="A17246" t="s">
        <v>1676</v>
      </c>
    </row>
    <row r="17247" spans="1:1" x14ac:dyDescent="0.2">
      <c r="A17247" t="s">
        <v>1677</v>
      </c>
    </row>
    <row r="17248" spans="1:1" x14ac:dyDescent="0.2">
      <c r="A17248" t="s">
        <v>1610</v>
      </c>
    </row>
    <row r="17249" spans="1:1" x14ac:dyDescent="0.2">
      <c r="A17249" t="s">
        <v>3570</v>
      </c>
    </row>
    <row r="17250" spans="1:1" x14ac:dyDescent="0.2">
      <c r="A17250" t="s">
        <v>3571</v>
      </c>
    </row>
    <row r="17251" spans="1:1" x14ac:dyDescent="0.2">
      <c r="A17251" t="s">
        <v>3572</v>
      </c>
    </row>
    <row r="17252" spans="1:1" x14ac:dyDescent="0.2">
      <c r="A17252" t="s">
        <v>3573</v>
      </c>
    </row>
    <row r="17253" spans="1:1" x14ac:dyDescent="0.2">
      <c r="A17253" t="s">
        <v>3574</v>
      </c>
    </row>
    <row r="17254" spans="1:1" x14ac:dyDescent="0.2">
      <c r="A17254" t="s">
        <v>3575</v>
      </c>
    </row>
    <row r="17255" spans="1:1" x14ac:dyDescent="0.2">
      <c r="A17255" t="s">
        <v>3576</v>
      </c>
    </row>
    <row r="17256" spans="1:1" x14ac:dyDescent="0.2">
      <c r="A17256" t="s">
        <v>3577</v>
      </c>
    </row>
    <row r="17257" spans="1:1" x14ac:dyDescent="0.2">
      <c r="A17257" t="s">
        <v>3578</v>
      </c>
    </row>
    <row r="17258" spans="1:1" x14ac:dyDescent="0.2">
      <c r="A17258" t="s">
        <v>3579</v>
      </c>
    </row>
    <row r="17259" spans="1:1" x14ac:dyDescent="0.2">
      <c r="A17259" t="s">
        <v>3580</v>
      </c>
    </row>
    <row r="17260" spans="1:1" x14ac:dyDescent="0.2">
      <c r="A17260" t="s">
        <v>3581</v>
      </c>
    </row>
    <row r="17261" spans="1:1" x14ac:dyDescent="0.2">
      <c r="A17261" t="s">
        <v>3582</v>
      </c>
    </row>
    <row r="17262" spans="1:1" x14ac:dyDescent="0.2">
      <c r="A17262" t="s">
        <v>3583</v>
      </c>
    </row>
    <row r="17263" spans="1:1" x14ac:dyDescent="0.2">
      <c r="A17263" t="s">
        <v>3584</v>
      </c>
    </row>
    <row r="17264" spans="1:1" x14ac:dyDescent="0.2">
      <c r="A17264" t="s">
        <v>3585</v>
      </c>
    </row>
    <row r="17265" spans="1:1" x14ac:dyDescent="0.2">
      <c r="A17265" t="s">
        <v>3586</v>
      </c>
    </row>
    <row r="17266" spans="1:1" x14ac:dyDescent="0.2">
      <c r="A17266" t="s">
        <v>3588</v>
      </c>
    </row>
    <row r="17267" spans="1:1" x14ac:dyDescent="0.2">
      <c r="A17267" t="s">
        <v>1594</v>
      </c>
    </row>
    <row r="17268" spans="1:1" x14ac:dyDescent="0.2">
      <c r="A17268" t="s">
        <v>3472</v>
      </c>
    </row>
    <row r="17269" spans="1:1" x14ac:dyDescent="0.2">
      <c r="A17269" t="s">
        <v>3568</v>
      </c>
    </row>
    <row r="17270" spans="1:1" x14ac:dyDescent="0.2">
      <c r="A17270" t="s">
        <v>1652</v>
      </c>
    </row>
    <row r="17271" spans="1:1" x14ac:dyDescent="0.2">
      <c r="A17271" t="s">
        <v>1673</v>
      </c>
    </row>
    <row r="17272" spans="1:1" x14ac:dyDescent="0.2">
      <c r="A17272" t="s">
        <v>3319</v>
      </c>
    </row>
    <row r="17273" spans="1:1" x14ac:dyDescent="0.2">
      <c r="A17273" t="s">
        <v>1600</v>
      </c>
    </row>
    <row r="17274" spans="1:1" x14ac:dyDescent="0.2">
      <c r="A17274" t="s">
        <v>1601</v>
      </c>
    </row>
    <row r="17275" spans="1:1" x14ac:dyDescent="0.2">
      <c r="A17275" t="s">
        <v>1634</v>
      </c>
    </row>
    <row r="17276" spans="1:1" x14ac:dyDescent="0.2">
      <c r="A17276" t="s">
        <v>1693</v>
      </c>
    </row>
    <row r="17277" spans="1:1" x14ac:dyDescent="0.2">
      <c r="A17277" t="s">
        <v>1604</v>
      </c>
    </row>
    <row r="17278" spans="1:1" x14ac:dyDescent="0.2">
      <c r="A17278" t="s">
        <v>1605</v>
      </c>
    </row>
    <row r="17279" spans="1:1" x14ac:dyDescent="0.2">
      <c r="A17279" t="s">
        <v>1606</v>
      </c>
    </row>
    <row r="17280" spans="1:1" x14ac:dyDescent="0.2">
      <c r="A17280" t="s">
        <v>3569</v>
      </c>
    </row>
    <row r="17281" spans="1:1" x14ac:dyDescent="0.2">
      <c r="A17281" t="s">
        <v>1676</v>
      </c>
    </row>
    <row r="17282" spans="1:1" x14ac:dyDescent="0.2">
      <c r="A17282" t="s">
        <v>1677</v>
      </c>
    </row>
    <row r="17283" spans="1:1" x14ac:dyDescent="0.2">
      <c r="A17283" t="s">
        <v>1610</v>
      </c>
    </row>
    <row r="17284" spans="1:1" x14ac:dyDescent="0.2">
      <c r="A17284" t="s">
        <v>3570</v>
      </c>
    </row>
    <row r="17285" spans="1:1" x14ac:dyDescent="0.2">
      <c r="A17285" t="s">
        <v>3571</v>
      </c>
    </row>
    <row r="17286" spans="1:1" x14ac:dyDescent="0.2">
      <c r="A17286" t="s">
        <v>3572</v>
      </c>
    </row>
    <row r="17287" spans="1:1" x14ac:dyDescent="0.2">
      <c r="A17287" t="s">
        <v>3573</v>
      </c>
    </row>
    <row r="17288" spans="1:1" x14ac:dyDescent="0.2">
      <c r="A17288" t="s">
        <v>3574</v>
      </c>
    </row>
    <row r="17289" spans="1:1" x14ac:dyDescent="0.2">
      <c r="A17289" t="s">
        <v>3575</v>
      </c>
    </row>
    <row r="17290" spans="1:1" x14ac:dyDescent="0.2">
      <c r="A17290" t="s">
        <v>3576</v>
      </c>
    </row>
    <row r="17291" spans="1:1" x14ac:dyDescent="0.2">
      <c r="A17291" t="s">
        <v>3577</v>
      </c>
    </row>
    <row r="17292" spans="1:1" x14ac:dyDescent="0.2">
      <c r="A17292" t="s">
        <v>3578</v>
      </c>
    </row>
    <row r="17293" spans="1:1" x14ac:dyDescent="0.2">
      <c r="A17293" t="s">
        <v>3579</v>
      </c>
    </row>
    <row r="17294" spans="1:1" x14ac:dyDescent="0.2">
      <c r="A17294" t="s">
        <v>3580</v>
      </c>
    </row>
    <row r="17295" spans="1:1" x14ac:dyDescent="0.2">
      <c r="A17295" t="s">
        <v>3581</v>
      </c>
    </row>
    <row r="17296" spans="1:1" x14ac:dyDescent="0.2">
      <c r="A17296" t="s">
        <v>3582</v>
      </c>
    </row>
    <row r="17297" spans="1:1" x14ac:dyDescent="0.2">
      <c r="A17297" t="s">
        <v>3583</v>
      </c>
    </row>
    <row r="17298" spans="1:1" x14ac:dyDescent="0.2">
      <c r="A17298" t="s">
        <v>3584</v>
      </c>
    </row>
    <row r="17299" spans="1:1" x14ac:dyDescent="0.2">
      <c r="A17299" t="s">
        <v>3585</v>
      </c>
    </row>
    <row r="17300" spans="1:1" x14ac:dyDescent="0.2">
      <c r="A17300" t="s">
        <v>3586</v>
      </c>
    </row>
    <row r="17301" spans="1:1" x14ac:dyDescent="0.2">
      <c r="A17301" t="s">
        <v>3589</v>
      </c>
    </row>
    <row r="17302" spans="1:1" x14ac:dyDescent="0.2">
      <c r="A17302" t="s">
        <v>1594</v>
      </c>
    </row>
    <row r="17303" spans="1:1" x14ac:dyDescent="0.2">
      <c r="A17303" t="s">
        <v>3472</v>
      </c>
    </row>
    <row r="17304" spans="1:1" x14ac:dyDescent="0.2">
      <c r="A17304" t="s">
        <v>3590</v>
      </c>
    </row>
    <row r="17305" spans="1:1" x14ac:dyDescent="0.2">
      <c r="A17305" t="s">
        <v>1652</v>
      </c>
    </row>
    <row r="17306" spans="1:1" x14ac:dyDescent="0.2">
      <c r="A17306" t="s">
        <v>1673</v>
      </c>
    </row>
    <row r="17307" spans="1:1" x14ac:dyDescent="0.2">
      <c r="A17307" t="s">
        <v>3319</v>
      </c>
    </row>
    <row r="17308" spans="1:1" x14ac:dyDescent="0.2">
      <c r="A17308" t="s">
        <v>1600</v>
      </c>
    </row>
    <row r="17309" spans="1:1" x14ac:dyDescent="0.2">
      <c r="A17309" t="s">
        <v>1633</v>
      </c>
    </row>
    <row r="17310" spans="1:1" x14ac:dyDescent="0.2">
      <c r="A17310" t="s">
        <v>1634</v>
      </c>
    </row>
    <row r="17311" spans="1:1" x14ac:dyDescent="0.2">
      <c r="A17311" t="s">
        <v>1693</v>
      </c>
    </row>
    <row r="17312" spans="1:1" x14ac:dyDescent="0.2">
      <c r="A17312" t="s">
        <v>1604</v>
      </c>
    </row>
    <row r="17313" spans="1:1" x14ac:dyDescent="0.2">
      <c r="A17313" t="s">
        <v>1605</v>
      </c>
    </row>
    <row r="17314" spans="1:1" x14ac:dyDescent="0.2">
      <c r="A17314" t="s">
        <v>1606</v>
      </c>
    </row>
    <row r="17315" spans="1:1" x14ac:dyDescent="0.2">
      <c r="A17315" t="s">
        <v>3569</v>
      </c>
    </row>
    <row r="17316" spans="1:1" x14ac:dyDescent="0.2">
      <c r="A17316" t="s">
        <v>1676</v>
      </c>
    </row>
    <row r="17317" spans="1:1" x14ac:dyDescent="0.2">
      <c r="A17317" t="s">
        <v>1677</v>
      </c>
    </row>
    <row r="17318" spans="1:1" x14ac:dyDescent="0.2">
      <c r="A17318" t="s">
        <v>1610</v>
      </c>
    </row>
    <row r="17319" spans="1:1" x14ac:dyDescent="0.2">
      <c r="A17319" t="s">
        <v>3591</v>
      </c>
    </row>
    <row r="17320" spans="1:1" x14ac:dyDescent="0.2">
      <c r="A17320" t="s">
        <v>3592</v>
      </c>
    </row>
    <row r="17321" spans="1:1" x14ac:dyDescent="0.2">
      <c r="A17321" t="s">
        <v>3593</v>
      </c>
    </row>
    <row r="17322" spans="1:1" x14ac:dyDescent="0.2">
      <c r="A17322" t="s">
        <v>3594</v>
      </c>
    </row>
    <row r="17323" spans="1:1" x14ac:dyDescent="0.2">
      <c r="A17323" t="s">
        <v>3595</v>
      </c>
    </row>
    <row r="17324" spans="1:1" x14ac:dyDescent="0.2">
      <c r="A17324" t="s">
        <v>3596</v>
      </c>
    </row>
    <row r="17325" spans="1:1" x14ac:dyDescent="0.2">
      <c r="A17325" t="s">
        <v>3597</v>
      </c>
    </row>
    <row r="17326" spans="1:1" x14ac:dyDescent="0.2">
      <c r="A17326" t="s">
        <v>3598</v>
      </c>
    </row>
    <row r="17327" spans="1:1" x14ac:dyDescent="0.2">
      <c r="A17327" t="s">
        <v>3599</v>
      </c>
    </row>
    <row r="17328" spans="1:1" x14ac:dyDescent="0.2">
      <c r="A17328" t="s">
        <v>3600</v>
      </c>
    </row>
    <row r="17329" spans="1:1" x14ac:dyDescent="0.2">
      <c r="A17329" t="s">
        <v>3580</v>
      </c>
    </row>
    <row r="17330" spans="1:1" x14ac:dyDescent="0.2">
      <c r="A17330" t="s">
        <v>3601</v>
      </c>
    </row>
    <row r="17331" spans="1:1" x14ac:dyDescent="0.2">
      <c r="A17331" t="s">
        <v>3602</v>
      </c>
    </row>
    <row r="17332" spans="1:1" x14ac:dyDescent="0.2">
      <c r="A17332" t="s">
        <v>3603</v>
      </c>
    </row>
    <row r="17333" spans="1:1" x14ac:dyDescent="0.2">
      <c r="A17333" t="s">
        <v>3604</v>
      </c>
    </row>
    <row r="17334" spans="1:1" x14ac:dyDescent="0.2">
      <c r="A17334" t="s">
        <v>3585</v>
      </c>
    </row>
    <row r="17335" spans="1:1" x14ac:dyDescent="0.2">
      <c r="A17335" t="s">
        <v>3586</v>
      </c>
    </row>
    <row r="17336" spans="1:1" x14ac:dyDescent="0.2">
      <c r="A17336" t="s">
        <v>3605</v>
      </c>
    </row>
    <row r="17337" spans="1:1" x14ac:dyDescent="0.2">
      <c r="A17337" t="s">
        <v>1594</v>
      </c>
    </row>
    <row r="17338" spans="1:1" x14ac:dyDescent="0.2">
      <c r="A17338" t="s">
        <v>3472</v>
      </c>
    </row>
    <row r="17339" spans="1:1" x14ac:dyDescent="0.2">
      <c r="A17339" t="s">
        <v>3590</v>
      </c>
    </row>
    <row r="17340" spans="1:1" x14ac:dyDescent="0.2">
      <c r="A17340" t="s">
        <v>1652</v>
      </c>
    </row>
    <row r="17341" spans="1:1" x14ac:dyDescent="0.2">
      <c r="A17341" t="s">
        <v>1673</v>
      </c>
    </row>
    <row r="17342" spans="1:1" x14ac:dyDescent="0.2">
      <c r="A17342" t="s">
        <v>3319</v>
      </c>
    </row>
    <row r="17343" spans="1:1" x14ac:dyDescent="0.2">
      <c r="A17343" t="s">
        <v>1600</v>
      </c>
    </row>
    <row r="17344" spans="1:1" x14ac:dyDescent="0.2">
      <c r="A17344" t="s">
        <v>1639</v>
      </c>
    </row>
    <row r="17345" spans="1:1" x14ac:dyDescent="0.2">
      <c r="A17345" t="s">
        <v>1634</v>
      </c>
    </row>
    <row r="17346" spans="1:1" x14ac:dyDescent="0.2">
      <c r="A17346" t="s">
        <v>1693</v>
      </c>
    </row>
    <row r="17347" spans="1:1" x14ac:dyDescent="0.2">
      <c r="A17347" t="s">
        <v>1604</v>
      </c>
    </row>
    <row r="17348" spans="1:1" x14ac:dyDescent="0.2">
      <c r="A17348" t="s">
        <v>1605</v>
      </c>
    </row>
    <row r="17349" spans="1:1" x14ac:dyDescent="0.2">
      <c r="A17349" t="s">
        <v>1606</v>
      </c>
    </row>
    <row r="17350" spans="1:1" x14ac:dyDescent="0.2">
      <c r="A17350" t="s">
        <v>3569</v>
      </c>
    </row>
    <row r="17351" spans="1:1" x14ac:dyDescent="0.2">
      <c r="A17351" t="s">
        <v>1676</v>
      </c>
    </row>
    <row r="17352" spans="1:1" x14ac:dyDescent="0.2">
      <c r="A17352" t="s">
        <v>1677</v>
      </c>
    </row>
    <row r="17353" spans="1:1" x14ac:dyDescent="0.2">
      <c r="A17353" t="s">
        <v>1610</v>
      </c>
    </row>
    <row r="17354" spans="1:1" x14ac:dyDescent="0.2">
      <c r="A17354" t="s">
        <v>3591</v>
      </c>
    </row>
    <row r="17355" spans="1:1" x14ac:dyDescent="0.2">
      <c r="A17355" t="s">
        <v>3592</v>
      </c>
    </row>
    <row r="17356" spans="1:1" x14ac:dyDescent="0.2">
      <c r="A17356" t="s">
        <v>3593</v>
      </c>
    </row>
    <row r="17357" spans="1:1" x14ac:dyDescent="0.2">
      <c r="A17357" t="s">
        <v>3594</v>
      </c>
    </row>
    <row r="17358" spans="1:1" x14ac:dyDescent="0.2">
      <c r="A17358" t="s">
        <v>3595</v>
      </c>
    </row>
    <row r="17359" spans="1:1" x14ac:dyDescent="0.2">
      <c r="A17359" t="s">
        <v>3596</v>
      </c>
    </row>
    <row r="17360" spans="1:1" x14ac:dyDescent="0.2">
      <c r="A17360" t="s">
        <v>3597</v>
      </c>
    </row>
    <row r="17361" spans="1:1" x14ac:dyDescent="0.2">
      <c r="A17361" t="s">
        <v>3598</v>
      </c>
    </row>
    <row r="17362" spans="1:1" x14ac:dyDescent="0.2">
      <c r="A17362" t="s">
        <v>3599</v>
      </c>
    </row>
    <row r="17363" spans="1:1" x14ac:dyDescent="0.2">
      <c r="A17363" t="s">
        <v>3600</v>
      </c>
    </row>
    <row r="17364" spans="1:1" x14ac:dyDescent="0.2">
      <c r="A17364" t="s">
        <v>3580</v>
      </c>
    </row>
    <row r="17365" spans="1:1" x14ac:dyDescent="0.2">
      <c r="A17365" t="s">
        <v>3601</v>
      </c>
    </row>
    <row r="17366" spans="1:1" x14ac:dyDescent="0.2">
      <c r="A17366" t="s">
        <v>3602</v>
      </c>
    </row>
    <row r="17367" spans="1:1" x14ac:dyDescent="0.2">
      <c r="A17367" t="s">
        <v>3603</v>
      </c>
    </row>
    <row r="17368" spans="1:1" x14ac:dyDescent="0.2">
      <c r="A17368" t="s">
        <v>3604</v>
      </c>
    </row>
    <row r="17369" spans="1:1" x14ac:dyDescent="0.2">
      <c r="A17369" t="s">
        <v>3585</v>
      </c>
    </row>
    <row r="17370" spans="1:1" x14ac:dyDescent="0.2">
      <c r="A17370" t="s">
        <v>3586</v>
      </c>
    </row>
    <row r="17371" spans="1:1" x14ac:dyDescent="0.2">
      <c r="A17371" t="s">
        <v>3606</v>
      </c>
    </row>
    <row r="17372" spans="1:1" x14ac:dyDescent="0.2">
      <c r="A17372" t="s">
        <v>1594</v>
      </c>
    </row>
    <row r="17373" spans="1:1" x14ac:dyDescent="0.2">
      <c r="A17373" t="s">
        <v>3472</v>
      </c>
    </row>
    <row r="17374" spans="1:1" x14ac:dyDescent="0.2">
      <c r="A17374" t="s">
        <v>3590</v>
      </c>
    </row>
    <row r="17375" spans="1:1" x14ac:dyDescent="0.2">
      <c r="A17375" t="s">
        <v>1652</v>
      </c>
    </row>
    <row r="17376" spans="1:1" x14ac:dyDescent="0.2">
      <c r="A17376" t="s">
        <v>1673</v>
      </c>
    </row>
    <row r="17377" spans="1:1" x14ac:dyDescent="0.2">
      <c r="A17377" t="s">
        <v>3319</v>
      </c>
    </row>
    <row r="17378" spans="1:1" x14ac:dyDescent="0.2">
      <c r="A17378" t="s">
        <v>1600</v>
      </c>
    </row>
    <row r="17379" spans="1:1" x14ac:dyDescent="0.2">
      <c r="A17379" t="s">
        <v>1601</v>
      </c>
    </row>
    <row r="17380" spans="1:1" x14ac:dyDescent="0.2">
      <c r="A17380" t="s">
        <v>1634</v>
      </c>
    </row>
    <row r="17381" spans="1:1" x14ac:dyDescent="0.2">
      <c r="A17381" t="s">
        <v>1693</v>
      </c>
    </row>
    <row r="17382" spans="1:1" x14ac:dyDescent="0.2">
      <c r="A17382" t="s">
        <v>1604</v>
      </c>
    </row>
    <row r="17383" spans="1:1" x14ac:dyDescent="0.2">
      <c r="A17383" t="s">
        <v>1605</v>
      </c>
    </row>
    <row r="17384" spans="1:1" x14ac:dyDescent="0.2">
      <c r="A17384" t="s">
        <v>1606</v>
      </c>
    </row>
    <row r="17385" spans="1:1" x14ac:dyDescent="0.2">
      <c r="A17385" t="s">
        <v>3569</v>
      </c>
    </row>
    <row r="17386" spans="1:1" x14ac:dyDescent="0.2">
      <c r="A17386" t="s">
        <v>1676</v>
      </c>
    </row>
    <row r="17387" spans="1:1" x14ac:dyDescent="0.2">
      <c r="A17387" t="s">
        <v>1677</v>
      </c>
    </row>
    <row r="17388" spans="1:1" x14ac:dyDescent="0.2">
      <c r="A17388" t="s">
        <v>1610</v>
      </c>
    </row>
    <row r="17389" spans="1:1" x14ac:dyDescent="0.2">
      <c r="A17389" t="s">
        <v>3591</v>
      </c>
    </row>
    <row r="17390" spans="1:1" x14ac:dyDescent="0.2">
      <c r="A17390" t="s">
        <v>3592</v>
      </c>
    </row>
    <row r="17391" spans="1:1" x14ac:dyDescent="0.2">
      <c r="A17391" t="s">
        <v>3593</v>
      </c>
    </row>
    <row r="17392" spans="1:1" x14ac:dyDescent="0.2">
      <c r="A17392" t="s">
        <v>3594</v>
      </c>
    </row>
    <row r="17393" spans="1:1" x14ac:dyDescent="0.2">
      <c r="A17393" t="s">
        <v>3595</v>
      </c>
    </row>
    <row r="17394" spans="1:1" x14ac:dyDescent="0.2">
      <c r="A17394" t="s">
        <v>3596</v>
      </c>
    </row>
    <row r="17395" spans="1:1" x14ac:dyDescent="0.2">
      <c r="A17395" t="s">
        <v>3597</v>
      </c>
    </row>
    <row r="17396" spans="1:1" x14ac:dyDescent="0.2">
      <c r="A17396" t="s">
        <v>3598</v>
      </c>
    </row>
    <row r="17397" spans="1:1" x14ac:dyDescent="0.2">
      <c r="A17397" t="s">
        <v>3599</v>
      </c>
    </row>
    <row r="17398" spans="1:1" x14ac:dyDescent="0.2">
      <c r="A17398" t="s">
        <v>3600</v>
      </c>
    </row>
    <row r="17399" spans="1:1" x14ac:dyDescent="0.2">
      <c r="A17399" t="s">
        <v>3580</v>
      </c>
    </row>
    <row r="17400" spans="1:1" x14ac:dyDescent="0.2">
      <c r="A17400" t="s">
        <v>3601</v>
      </c>
    </row>
    <row r="17401" spans="1:1" x14ac:dyDescent="0.2">
      <c r="A17401" t="s">
        <v>3602</v>
      </c>
    </row>
    <row r="17402" spans="1:1" x14ac:dyDescent="0.2">
      <c r="A17402" t="s">
        <v>3603</v>
      </c>
    </row>
    <row r="17403" spans="1:1" x14ac:dyDescent="0.2">
      <c r="A17403" t="s">
        <v>3604</v>
      </c>
    </row>
    <row r="17404" spans="1:1" x14ac:dyDescent="0.2">
      <c r="A17404" t="s">
        <v>3585</v>
      </c>
    </row>
    <row r="17405" spans="1:1" x14ac:dyDescent="0.2">
      <c r="A17405" t="s">
        <v>3586</v>
      </c>
    </row>
    <row r="17406" spans="1:1" x14ac:dyDescent="0.2">
      <c r="A17406" t="s">
        <v>3607</v>
      </c>
    </row>
    <row r="17407" spans="1:1" x14ac:dyDescent="0.2">
      <c r="A17407" t="s">
        <v>1594</v>
      </c>
    </row>
    <row r="17408" spans="1:1" x14ac:dyDescent="0.2">
      <c r="A17408" t="s">
        <v>3509</v>
      </c>
    </row>
    <row r="17409" spans="1:1" x14ac:dyDescent="0.2">
      <c r="A17409" t="s">
        <v>3608</v>
      </c>
    </row>
    <row r="17410" spans="1:1" x14ac:dyDescent="0.2">
      <c r="A17410" t="s">
        <v>1664</v>
      </c>
    </row>
    <row r="17411" spans="1:1" x14ac:dyDescent="0.2">
      <c r="A17411" t="s">
        <v>1673</v>
      </c>
    </row>
    <row r="17412" spans="1:1" x14ac:dyDescent="0.2">
      <c r="A17412" t="s">
        <v>3319</v>
      </c>
    </row>
    <row r="17413" spans="1:1" x14ac:dyDescent="0.2">
      <c r="A17413" t="s">
        <v>1600</v>
      </c>
    </row>
    <row r="17414" spans="1:1" x14ac:dyDescent="0.2">
      <c r="A17414" t="s">
        <v>1601</v>
      </c>
    </row>
    <row r="17415" spans="1:1" x14ac:dyDescent="0.2">
      <c r="A17415" t="s">
        <v>1602</v>
      </c>
    </row>
    <row r="17416" spans="1:1" x14ac:dyDescent="0.2">
      <c r="A17416" t="s">
        <v>1603</v>
      </c>
    </row>
    <row r="17417" spans="1:1" x14ac:dyDescent="0.2">
      <c r="A17417" t="s">
        <v>1604</v>
      </c>
    </row>
    <row r="17418" spans="1:1" x14ac:dyDescent="0.2">
      <c r="A17418" t="s">
        <v>1605</v>
      </c>
    </row>
    <row r="17419" spans="1:1" x14ac:dyDescent="0.2">
      <c r="A17419" t="s">
        <v>1606</v>
      </c>
    </row>
    <row r="17420" spans="1:1" x14ac:dyDescent="0.2">
      <c r="A17420" t="s">
        <v>3609</v>
      </c>
    </row>
    <row r="17421" spans="1:1" x14ac:dyDescent="0.2">
      <c r="A17421" t="s">
        <v>1608</v>
      </c>
    </row>
    <row r="17422" spans="1:1" x14ac:dyDescent="0.2">
      <c r="A17422" t="s">
        <v>1609</v>
      </c>
    </row>
    <row r="17423" spans="1:1" x14ac:dyDescent="0.2">
      <c r="A17423" t="s">
        <v>1610</v>
      </c>
    </row>
    <row r="17424" spans="1:1" x14ac:dyDescent="0.2">
      <c r="A17424" t="s">
        <v>3610</v>
      </c>
    </row>
    <row r="17425" spans="1:1" x14ac:dyDescent="0.2">
      <c r="A17425" t="s">
        <v>3611</v>
      </c>
    </row>
    <row r="17426" spans="1:1" x14ac:dyDescent="0.2">
      <c r="A17426" t="s">
        <v>3612</v>
      </c>
    </row>
    <row r="17427" spans="1:1" x14ac:dyDescent="0.2">
      <c r="A17427" t="s">
        <v>3613</v>
      </c>
    </row>
    <row r="17428" spans="1:1" x14ac:dyDescent="0.2">
      <c r="A17428" t="s">
        <v>3614</v>
      </c>
    </row>
    <row r="17429" spans="1:1" x14ac:dyDescent="0.2">
      <c r="A17429" t="s">
        <v>3615</v>
      </c>
    </row>
    <row r="17430" spans="1:1" x14ac:dyDescent="0.2">
      <c r="A17430" t="s">
        <v>3616</v>
      </c>
    </row>
    <row r="17431" spans="1:1" x14ac:dyDescent="0.2">
      <c r="A17431" t="s">
        <v>3617</v>
      </c>
    </row>
    <row r="17432" spans="1:1" x14ac:dyDescent="0.2">
      <c r="A17432" t="s">
        <v>3618</v>
      </c>
    </row>
    <row r="17433" spans="1:1" x14ac:dyDescent="0.2">
      <c r="A17433" t="s">
        <v>3619</v>
      </c>
    </row>
    <row r="17434" spans="1:1" x14ac:dyDescent="0.2">
      <c r="A17434" t="s">
        <v>3620</v>
      </c>
    </row>
    <row r="17435" spans="1:1" x14ac:dyDescent="0.2">
      <c r="A17435" t="s">
        <v>3621</v>
      </c>
    </row>
    <row r="17436" spans="1:1" x14ac:dyDescent="0.2">
      <c r="A17436" t="s">
        <v>3622</v>
      </c>
    </row>
    <row r="17437" spans="1:1" x14ac:dyDescent="0.2">
      <c r="A17437" t="s">
        <v>3623</v>
      </c>
    </row>
    <row r="17438" spans="1:1" x14ac:dyDescent="0.2">
      <c r="A17438" t="s">
        <v>3624</v>
      </c>
    </row>
    <row r="17439" spans="1:1" x14ac:dyDescent="0.2">
      <c r="A17439" t="s">
        <v>3585</v>
      </c>
    </row>
    <row r="17440" spans="1:1" x14ac:dyDescent="0.2">
      <c r="A17440" t="s">
        <v>3586</v>
      </c>
    </row>
    <row r="17441" spans="1:1" x14ac:dyDescent="0.2">
      <c r="A17441" t="s">
        <v>3625</v>
      </c>
    </row>
    <row r="17442" spans="1:1" x14ac:dyDescent="0.2">
      <c r="A17442" t="s">
        <v>1594</v>
      </c>
    </row>
    <row r="17443" spans="1:1" x14ac:dyDescent="0.2">
      <c r="A17443" t="s">
        <v>1595</v>
      </c>
    </row>
    <row r="17444" spans="1:1" x14ac:dyDescent="0.2">
      <c r="A17444" t="s">
        <v>1596</v>
      </c>
    </row>
    <row r="17445" spans="1:1" x14ac:dyDescent="0.2">
      <c r="A17445" t="s">
        <v>1597</v>
      </c>
    </row>
    <row r="17446" spans="1:1" x14ac:dyDescent="0.2">
      <c r="A17446" t="s">
        <v>1598</v>
      </c>
    </row>
    <row r="17447" spans="1:1" x14ac:dyDescent="0.2">
      <c r="A17447" t="s">
        <v>1599</v>
      </c>
    </row>
    <row r="17448" spans="1:1" x14ac:dyDescent="0.2">
      <c r="A17448" t="s">
        <v>1600</v>
      </c>
    </row>
    <row r="17449" spans="1:1" x14ac:dyDescent="0.2">
      <c r="A17449" t="s">
        <v>1601</v>
      </c>
    </row>
    <row r="17450" spans="1:1" x14ac:dyDescent="0.2">
      <c r="A17450" t="s">
        <v>1602</v>
      </c>
    </row>
    <row r="17451" spans="1:1" x14ac:dyDescent="0.2">
      <c r="A17451" t="s">
        <v>1603</v>
      </c>
    </row>
    <row r="17452" spans="1:1" x14ac:dyDescent="0.2">
      <c r="A17452" t="s">
        <v>1604</v>
      </c>
    </row>
    <row r="17453" spans="1:1" x14ac:dyDescent="0.2">
      <c r="A17453" t="s">
        <v>1605</v>
      </c>
    </row>
    <row r="17454" spans="1:1" x14ac:dyDescent="0.2">
      <c r="A17454" t="s">
        <v>1606</v>
      </c>
    </row>
    <row r="17455" spans="1:1" x14ac:dyDescent="0.2">
      <c r="A17455" t="s">
        <v>1607</v>
      </c>
    </row>
    <row r="17456" spans="1:1" x14ac:dyDescent="0.2">
      <c r="A17456" t="s">
        <v>1608</v>
      </c>
    </row>
    <row r="17457" spans="1:1" x14ac:dyDescent="0.2">
      <c r="A17457" t="s">
        <v>1609</v>
      </c>
    </row>
    <row r="17458" spans="1:1" x14ac:dyDescent="0.2">
      <c r="A17458" t="s">
        <v>1610</v>
      </c>
    </row>
    <row r="17459" spans="1:1" x14ac:dyDescent="0.2">
      <c r="A17459" t="s">
        <v>1611</v>
      </c>
    </row>
    <row r="17460" spans="1:1" x14ac:dyDescent="0.2">
      <c r="A17460" t="s">
        <v>1612</v>
      </c>
    </row>
    <row r="17461" spans="1:1" x14ac:dyDescent="0.2">
      <c r="A17461" t="s">
        <v>1613</v>
      </c>
    </row>
    <row r="17462" spans="1:1" x14ac:dyDescent="0.2">
      <c r="A17462" t="s">
        <v>1614</v>
      </c>
    </row>
    <row r="17463" spans="1:1" x14ac:dyDescent="0.2">
      <c r="A17463" t="s">
        <v>1615</v>
      </c>
    </row>
    <row r="17464" spans="1:1" x14ac:dyDescent="0.2">
      <c r="A17464" t="s">
        <v>1616</v>
      </c>
    </row>
    <row r="17465" spans="1:1" x14ac:dyDescent="0.2">
      <c r="A17465" t="s">
        <v>1617</v>
      </c>
    </row>
    <row r="17466" spans="1:1" x14ac:dyDescent="0.2">
      <c r="A17466" t="s">
        <v>1618</v>
      </c>
    </row>
    <row r="17467" spans="1:1" x14ac:dyDescent="0.2">
      <c r="A17467" t="s">
        <v>1619</v>
      </c>
    </row>
    <row r="17468" spans="1:1" x14ac:dyDescent="0.2">
      <c r="A17468" t="s">
        <v>1620</v>
      </c>
    </row>
    <row r="17469" spans="1:1" x14ac:dyDescent="0.2">
      <c r="A17469" t="s">
        <v>1621</v>
      </c>
    </row>
    <row r="17470" spans="1:1" x14ac:dyDescent="0.2">
      <c r="A17470" t="s">
        <v>1622</v>
      </c>
    </row>
    <row r="17471" spans="1:1" x14ac:dyDescent="0.2">
      <c r="A17471" t="s">
        <v>1623</v>
      </c>
    </row>
    <row r="17472" spans="1:1" x14ac:dyDescent="0.2">
      <c r="A17472" t="s">
        <v>1624</v>
      </c>
    </row>
    <row r="17473" spans="1:1" x14ac:dyDescent="0.2">
      <c r="A17473" t="s">
        <v>1625</v>
      </c>
    </row>
    <row r="17474" spans="1:1" x14ac:dyDescent="0.2">
      <c r="A17474" t="s">
        <v>1626</v>
      </c>
    </row>
    <row r="17475" spans="1:1" x14ac:dyDescent="0.2">
      <c r="A17475" t="s">
        <v>1627</v>
      </c>
    </row>
    <row r="17476" spans="1:1" x14ac:dyDescent="0.2">
      <c r="A17476" t="s">
        <v>3626</v>
      </c>
    </row>
    <row r="17477" spans="1:1" x14ac:dyDescent="0.2">
      <c r="A17477" t="s">
        <v>1594</v>
      </c>
    </row>
    <row r="17478" spans="1:1" x14ac:dyDescent="0.2">
      <c r="A17478" t="s">
        <v>1595</v>
      </c>
    </row>
    <row r="17479" spans="1:1" x14ac:dyDescent="0.2">
      <c r="A17479" t="s">
        <v>3627</v>
      </c>
    </row>
    <row r="17480" spans="1:1" x14ac:dyDescent="0.2">
      <c r="A17480" t="s">
        <v>1597</v>
      </c>
    </row>
    <row r="17481" spans="1:1" x14ac:dyDescent="0.2">
      <c r="A17481" t="s">
        <v>1598</v>
      </c>
    </row>
    <row r="17482" spans="1:1" x14ac:dyDescent="0.2">
      <c r="A17482" t="s">
        <v>1599</v>
      </c>
    </row>
    <row r="17483" spans="1:1" x14ac:dyDescent="0.2">
      <c r="A17483" t="s">
        <v>1600</v>
      </c>
    </row>
    <row r="17484" spans="1:1" x14ac:dyDescent="0.2">
      <c r="A17484" t="s">
        <v>1601</v>
      </c>
    </row>
    <row r="17485" spans="1:1" x14ac:dyDescent="0.2">
      <c r="A17485" t="s">
        <v>1602</v>
      </c>
    </row>
    <row r="17486" spans="1:1" x14ac:dyDescent="0.2">
      <c r="A17486" t="s">
        <v>1603</v>
      </c>
    </row>
    <row r="17487" spans="1:1" x14ac:dyDescent="0.2">
      <c r="A17487" t="s">
        <v>1604</v>
      </c>
    </row>
    <row r="17488" spans="1:1" x14ac:dyDescent="0.2">
      <c r="A17488" t="s">
        <v>1605</v>
      </c>
    </row>
    <row r="17489" spans="1:1" x14ac:dyDescent="0.2">
      <c r="A17489" t="s">
        <v>1606</v>
      </c>
    </row>
    <row r="17490" spans="1:1" x14ac:dyDescent="0.2">
      <c r="A17490" t="s">
        <v>1607</v>
      </c>
    </row>
    <row r="17491" spans="1:1" x14ac:dyDescent="0.2">
      <c r="A17491" t="s">
        <v>1608</v>
      </c>
    </row>
    <row r="17492" spans="1:1" x14ac:dyDescent="0.2">
      <c r="A17492" t="s">
        <v>1609</v>
      </c>
    </row>
    <row r="17493" spans="1:1" x14ac:dyDescent="0.2">
      <c r="A17493" t="s">
        <v>1610</v>
      </c>
    </row>
    <row r="17494" spans="1:1" x14ac:dyDescent="0.2">
      <c r="A17494" t="s">
        <v>1611</v>
      </c>
    </row>
    <row r="17495" spans="1:1" x14ac:dyDescent="0.2">
      <c r="A17495" t="s">
        <v>1612</v>
      </c>
    </row>
    <row r="17496" spans="1:1" x14ac:dyDescent="0.2">
      <c r="A17496" t="s">
        <v>1613</v>
      </c>
    </row>
    <row r="17497" spans="1:1" x14ac:dyDescent="0.2">
      <c r="A17497" t="s">
        <v>1614</v>
      </c>
    </row>
    <row r="17498" spans="1:1" x14ac:dyDescent="0.2">
      <c r="A17498" t="s">
        <v>1615</v>
      </c>
    </row>
    <row r="17499" spans="1:1" x14ac:dyDescent="0.2">
      <c r="A17499" t="s">
        <v>1616</v>
      </c>
    </row>
    <row r="17500" spans="1:1" x14ac:dyDescent="0.2">
      <c r="A17500" t="s">
        <v>1617</v>
      </c>
    </row>
    <row r="17501" spans="1:1" x14ac:dyDescent="0.2">
      <c r="A17501" t="s">
        <v>1618</v>
      </c>
    </row>
    <row r="17502" spans="1:1" x14ac:dyDescent="0.2">
      <c r="A17502" t="s">
        <v>1619</v>
      </c>
    </row>
    <row r="17503" spans="1:1" x14ac:dyDescent="0.2">
      <c r="A17503" t="s">
        <v>1620</v>
      </c>
    </row>
    <row r="17504" spans="1:1" x14ac:dyDescent="0.2">
      <c r="A17504" t="s">
        <v>1621</v>
      </c>
    </row>
    <row r="17505" spans="1:1" x14ac:dyDescent="0.2">
      <c r="A17505" t="s">
        <v>1622</v>
      </c>
    </row>
    <row r="17506" spans="1:1" x14ac:dyDescent="0.2">
      <c r="A17506" t="s">
        <v>1623</v>
      </c>
    </row>
    <row r="17507" spans="1:1" x14ac:dyDescent="0.2">
      <c r="A17507" t="s">
        <v>1624</v>
      </c>
    </row>
    <row r="17508" spans="1:1" x14ac:dyDescent="0.2">
      <c r="A17508" t="s">
        <v>1625</v>
      </c>
    </row>
    <row r="17509" spans="1:1" x14ac:dyDescent="0.2">
      <c r="A17509" t="s">
        <v>1626</v>
      </c>
    </row>
    <row r="17510" spans="1:1" x14ac:dyDescent="0.2">
      <c r="A17510" t="s">
        <v>1627</v>
      </c>
    </row>
    <row r="17511" spans="1:1" x14ac:dyDescent="0.2">
      <c r="A17511" t="s">
        <v>3628</v>
      </c>
    </row>
    <row r="17512" spans="1:1" x14ac:dyDescent="0.2">
      <c r="A17512" t="s">
        <v>1594</v>
      </c>
    </row>
    <row r="17513" spans="1:1" x14ac:dyDescent="0.2">
      <c r="A17513" t="s">
        <v>3629</v>
      </c>
    </row>
    <row r="17514" spans="1:1" x14ac:dyDescent="0.2">
      <c r="A17514" t="s">
        <v>3630</v>
      </c>
    </row>
    <row r="17515" spans="1:1" x14ac:dyDescent="0.2">
      <c r="A17515" t="s">
        <v>1631</v>
      </c>
    </row>
    <row r="17516" spans="1:1" x14ac:dyDescent="0.2">
      <c r="A17516" t="s">
        <v>3318</v>
      </c>
    </row>
    <row r="17517" spans="1:1" x14ac:dyDescent="0.2">
      <c r="A17517" t="s">
        <v>3631</v>
      </c>
    </row>
    <row r="17518" spans="1:1" x14ac:dyDescent="0.2">
      <c r="A17518" t="s">
        <v>1600</v>
      </c>
    </row>
    <row r="17519" spans="1:1" x14ac:dyDescent="0.2">
      <c r="A17519" t="s">
        <v>1633</v>
      </c>
    </row>
    <row r="17520" spans="1:1" x14ac:dyDescent="0.2">
      <c r="A17520" t="s">
        <v>3403</v>
      </c>
    </row>
    <row r="17521" spans="1:1" x14ac:dyDescent="0.2">
      <c r="A17521" t="s">
        <v>1635</v>
      </c>
    </row>
    <row r="17522" spans="1:1" x14ac:dyDescent="0.2">
      <c r="A17522" t="s">
        <v>3321</v>
      </c>
    </row>
    <row r="17523" spans="1:1" x14ac:dyDescent="0.2">
      <c r="A17523" t="s">
        <v>1605</v>
      </c>
    </row>
    <row r="17524" spans="1:1" x14ac:dyDescent="0.2">
      <c r="A17524" t="s">
        <v>1606</v>
      </c>
    </row>
    <row r="17525" spans="1:1" x14ac:dyDescent="0.2">
      <c r="A17525" t="s">
        <v>1607</v>
      </c>
    </row>
    <row r="17526" spans="1:1" x14ac:dyDescent="0.2">
      <c r="A17526" t="s">
        <v>1676</v>
      </c>
    </row>
    <row r="17527" spans="1:1" x14ac:dyDescent="0.2">
      <c r="A17527" t="s">
        <v>1677</v>
      </c>
    </row>
    <row r="17528" spans="1:1" x14ac:dyDescent="0.2">
      <c r="A17528" t="s">
        <v>1610</v>
      </c>
    </row>
    <row r="17529" spans="1:1" x14ac:dyDescent="0.2">
      <c r="A17529" t="s">
        <v>3632</v>
      </c>
    </row>
    <row r="17530" spans="1:1" x14ac:dyDescent="0.2">
      <c r="A17530" t="s">
        <v>3633</v>
      </c>
    </row>
    <row r="17531" spans="1:1" x14ac:dyDescent="0.2">
      <c r="A17531" t="s">
        <v>3634</v>
      </c>
    </row>
    <row r="17532" spans="1:1" x14ac:dyDescent="0.2">
      <c r="A17532" t="s">
        <v>3635</v>
      </c>
    </row>
    <row r="17533" spans="1:1" x14ac:dyDescent="0.2">
      <c r="A17533" t="s">
        <v>3636</v>
      </c>
    </row>
    <row r="17534" spans="1:1" x14ac:dyDescent="0.2">
      <c r="A17534" t="s">
        <v>3637</v>
      </c>
    </row>
    <row r="17535" spans="1:1" x14ac:dyDescent="0.2">
      <c r="A17535" t="s">
        <v>3638</v>
      </c>
    </row>
    <row r="17536" spans="1:1" x14ac:dyDescent="0.2">
      <c r="A17536" t="s">
        <v>3639</v>
      </c>
    </row>
    <row r="17537" spans="1:1" x14ac:dyDescent="0.2">
      <c r="A17537" t="s">
        <v>3640</v>
      </c>
    </row>
    <row r="17538" spans="1:1" x14ac:dyDescent="0.2">
      <c r="A17538" t="s">
        <v>3641</v>
      </c>
    </row>
    <row r="17539" spans="1:1" x14ac:dyDescent="0.2">
      <c r="A17539" t="s">
        <v>3642</v>
      </c>
    </row>
    <row r="17540" spans="1:1" x14ac:dyDescent="0.2">
      <c r="A17540" t="s">
        <v>3643</v>
      </c>
    </row>
    <row r="17541" spans="1:1" x14ac:dyDescent="0.2">
      <c r="A17541" t="s">
        <v>3644</v>
      </c>
    </row>
    <row r="17542" spans="1:1" x14ac:dyDescent="0.2">
      <c r="A17542" t="s">
        <v>3645</v>
      </c>
    </row>
    <row r="17543" spans="1:1" x14ac:dyDescent="0.2">
      <c r="A17543" t="s">
        <v>3646</v>
      </c>
    </row>
    <row r="17544" spans="1:1" x14ac:dyDescent="0.2">
      <c r="A17544" t="s">
        <v>3647</v>
      </c>
    </row>
    <row r="17545" spans="1:1" x14ac:dyDescent="0.2">
      <c r="A17545" t="s">
        <v>3648</v>
      </c>
    </row>
    <row r="17546" spans="1:1" x14ac:dyDescent="0.2">
      <c r="A17546" t="s">
        <v>3649</v>
      </c>
    </row>
    <row r="17547" spans="1:1" x14ac:dyDescent="0.2">
      <c r="A17547" t="s">
        <v>1594</v>
      </c>
    </row>
    <row r="17548" spans="1:1" x14ac:dyDescent="0.2">
      <c r="A17548" t="s">
        <v>3629</v>
      </c>
    </row>
    <row r="17549" spans="1:1" x14ac:dyDescent="0.2">
      <c r="A17549" t="s">
        <v>3630</v>
      </c>
    </row>
    <row r="17550" spans="1:1" x14ac:dyDescent="0.2">
      <c r="A17550" t="s">
        <v>1631</v>
      </c>
    </row>
    <row r="17551" spans="1:1" x14ac:dyDescent="0.2">
      <c r="A17551" t="s">
        <v>3318</v>
      </c>
    </row>
    <row r="17552" spans="1:1" x14ac:dyDescent="0.2">
      <c r="A17552" t="s">
        <v>3631</v>
      </c>
    </row>
    <row r="17553" spans="1:1" x14ac:dyDescent="0.2">
      <c r="A17553" t="s">
        <v>1600</v>
      </c>
    </row>
    <row r="17554" spans="1:1" x14ac:dyDescent="0.2">
      <c r="A17554" t="s">
        <v>1639</v>
      </c>
    </row>
    <row r="17555" spans="1:1" x14ac:dyDescent="0.2">
      <c r="A17555" t="s">
        <v>3403</v>
      </c>
    </row>
    <row r="17556" spans="1:1" x14ac:dyDescent="0.2">
      <c r="A17556" t="s">
        <v>1635</v>
      </c>
    </row>
    <row r="17557" spans="1:1" x14ac:dyDescent="0.2">
      <c r="A17557" t="s">
        <v>3321</v>
      </c>
    </row>
    <row r="17558" spans="1:1" x14ac:dyDescent="0.2">
      <c r="A17558" t="s">
        <v>1605</v>
      </c>
    </row>
    <row r="17559" spans="1:1" x14ac:dyDescent="0.2">
      <c r="A17559" t="s">
        <v>1606</v>
      </c>
    </row>
    <row r="17560" spans="1:1" x14ac:dyDescent="0.2">
      <c r="A17560" t="s">
        <v>1607</v>
      </c>
    </row>
    <row r="17561" spans="1:1" x14ac:dyDescent="0.2">
      <c r="A17561" t="s">
        <v>1676</v>
      </c>
    </row>
    <row r="17562" spans="1:1" x14ac:dyDescent="0.2">
      <c r="A17562" t="s">
        <v>1677</v>
      </c>
    </row>
    <row r="17563" spans="1:1" x14ac:dyDescent="0.2">
      <c r="A17563" t="s">
        <v>1610</v>
      </c>
    </row>
    <row r="17564" spans="1:1" x14ac:dyDescent="0.2">
      <c r="A17564" t="s">
        <v>3632</v>
      </c>
    </row>
    <row r="17565" spans="1:1" x14ac:dyDescent="0.2">
      <c r="A17565" t="s">
        <v>3633</v>
      </c>
    </row>
    <row r="17566" spans="1:1" x14ac:dyDescent="0.2">
      <c r="A17566" t="s">
        <v>3634</v>
      </c>
    </row>
    <row r="17567" spans="1:1" x14ac:dyDescent="0.2">
      <c r="A17567" t="s">
        <v>3635</v>
      </c>
    </row>
    <row r="17568" spans="1:1" x14ac:dyDescent="0.2">
      <c r="A17568" t="s">
        <v>3636</v>
      </c>
    </row>
    <row r="17569" spans="1:1" x14ac:dyDescent="0.2">
      <c r="A17569" t="s">
        <v>3637</v>
      </c>
    </row>
    <row r="17570" spans="1:1" x14ac:dyDescent="0.2">
      <c r="A17570" t="s">
        <v>3638</v>
      </c>
    </row>
    <row r="17571" spans="1:1" x14ac:dyDescent="0.2">
      <c r="A17571" t="s">
        <v>3639</v>
      </c>
    </row>
    <row r="17572" spans="1:1" x14ac:dyDescent="0.2">
      <c r="A17572" t="s">
        <v>3640</v>
      </c>
    </row>
    <row r="17573" spans="1:1" x14ac:dyDescent="0.2">
      <c r="A17573" t="s">
        <v>3641</v>
      </c>
    </row>
    <row r="17574" spans="1:1" x14ac:dyDescent="0.2">
      <c r="A17574" t="s">
        <v>3642</v>
      </c>
    </row>
    <row r="17575" spans="1:1" x14ac:dyDescent="0.2">
      <c r="A17575" t="s">
        <v>3643</v>
      </c>
    </row>
    <row r="17576" spans="1:1" x14ac:dyDescent="0.2">
      <c r="A17576" t="s">
        <v>3644</v>
      </c>
    </row>
    <row r="17577" spans="1:1" x14ac:dyDescent="0.2">
      <c r="A17577" t="s">
        <v>3645</v>
      </c>
    </row>
    <row r="17578" spans="1:1" x14ac:dyDescent="0.2">
      <c r="A17578" t="s">
        <v>3646</v>
      </c>
    </row>
    <row r="17579" spans="1:1" x14ac:dyDescent="0.2">
      <c r="A17579" t="s">
        <v>3647</v>
      </c>
    </row>
    <row r="17580" spans="1:1" x14ac:dyDescent="0.2">
      <c r="A17580" t="s">
        <v>3648</v>
      </c>
    </row>
    <row r="17581" spans="1:1" x14ac:dyDescent="0.2">
      <c r="A17581" t="s">
        <v>3650</v>
      </c>
    </row>
    <row r="17582" spans="1:1" x14ac:dyDescent="0.2">
      <c r="A17582" t="s">
        <v>1594</v>
      </c>
    </row>
    <row r="17583" spans="1:1" x14ac:dyDescent="0.2">
      <c r="A17583" t="s">
        <v>3629</v>
      </c>
    </row>
    <row r="17584" spans="1:1" x14ac:dyDescent="0.2">
      <c r="A17584" t="s">
        <v>3630</v>
      </c>
    </row>
    <row r="17585" spans="1:1" x14ac:dyDescent="0.2">
      <c r="A17585" t="s">
        <v>1631</v>
      </c>
    </row>
    <row r="17586" spans="1:1" x14ac:dyDescent="0.2">
      <c r="A17586" t="s">
        <v>3318</v>
      </c>
    </row>
    <row r="17587" spans="1:1" x14ac:dyDescent="0.2">
      <c r="A17587" t="s">
        <v>3631</v>
      </c>
    </row>
    <row r="17588" spans="1:1" x14ac:dyDescent="0.2">
      <c r="A17588" t="s">
        <v>1600</v>
      </c>
    </row>
    <row r="17589" spans="1:1" x14ac:dyDescent="0.2">
      <c r="A17589" t="s">
        <v>1601</v>
      </c>
    </row>
    <row r="17590" spans="1:1" x14ac:dyDescent="0.2">
      <c r="A17590" t="s">
        <v>3403</v>
      </c>
    </row>
    <row r="17591" spans="1:1" x14ac:dyDescent="0.2">
      <c r="A17591" t="s">
        <v>1635</v>
      </c>
    </row>
    <row r="17592" spans="1:1" x14ac:dyDescent="0.2">
      <c r="A17592" t="s">
        <v>3321</v>
      </c>
    </row>
    <row r="17593" spans="1:1" x14ac:dyDescent="0.2">
      <c r="A17593" t="s">
        <v>1605</v>
      </c>
    </row>
    <row r="17594" spans="1:1" x14ac:dyDescent="0.2">
      <c r="A17594" t="s">
        <v>1606</v>
      </c>
    </row>
    <row r="17595" spans="1:1" x14ac:dyDescent="0.2">
      <c r="A17595" t="s">
        <v>1607</v>
      </c>
    </row>
    <row r="17596" spans="1:1" x14ac:dyDescent="0.2">
      <c r="A17596" t="s">
        <v>1676</v>
      </c>
    </row>
    <row r="17597" spans="1:1" x14ac:dyDescent="0.2">
      <c r="A17597" t="s">
        <v>1677</v>
      </c>
    </row>
    <row r="17598" spans="1:1" x14ac:dyDescent="0.2">
      <c r="A17598" t="s">
        <v>1610</v>
      </c>
    </row>
    <row r="17599" spans="1:1" x14ac:dyDescent="0.2">
      <c r="A17599" t="s">
        <v>3632</v>
      </c>
    </row>
    <row r="17600" spans="1:1" x14ac:dyDescent="0.2">
      <c r="A17600" t="s">
        <v>3633</v>
      </c>
    </row>
    <row r="17601" spans="1:1" x14ac:dyDescent="0.2">
      <c r="A17601" t="s">
        <v>3634</v>
      </c>
    </row>
    <row r="17602" spans="1:1" x14ac:dyDescent="0.2">
      <c r="A17602" t="s">
        <v>3635</v>
      </c>
    </row>
    <row r="17603" spans="1:1" x14ac:dyDescent="0.2">
      <c r="A17603" t="s">
        <v>3636</v>
      </c>
    </row>
    <row r="17604" spans="1:1" x14ac:dyDescent="0.2">
      <c r="A17604" t="s">
        <v>3637</v>
      </c>
    </row>
    <row r="17605" spans="1:1" x14ac:dyDescent="0.2">
      <c r="A17605" t="s">
        <v>3638</v>
      </c>
    </row>
    <row r="17606" spans="1:1" x14ac:dyDescent="0.2">
      <c r="A17606" t="s">
        <v>3639</v>
      </c>
    </row>
    <row r="17607" spans="1:1" x14ac:dyDescent="0.2">
      <c r="A17607" t="s">
        <v>3640</v>
      </c>
    </row>
    <row r="17608" spans="1:1" x14ac:dyDescent="0.2">
      <c r="A17608" t="s">
        <v>3641</v>
      </c>
    </row>
    <row r="17609" spans="1:1" x14ac:dyDescent="0.2">
      <c r="A17609" t="s">
        <v>3642</v>
      </c>
    </row>
    <row r="17610" spans="1:1" x14ac:dyDescent="0.2">
      <c r="A17610" t="s">
        <v>3643</v>
      </c>
    </row>
    <row r="17611" spans="1:1" x14ac:dyDescent="0.2">
      <c r="A17611" t="s">
        <v>3644</v>
      </c>
    </row>
    <row r="17612" spans="1:1" x14ac:dyDescent="0.2">
      <c r="A17612" t="s">
        <v>3645</v>
      </c>
    </row>
    <row r="17613" spans="1:1" x14ac:dyDescent="0.2">
      <c r="A17613" t="s">
        <v>3646</v>
      </c>
    </row>
    <row r="17614" spans="1:1" x14ac:dyDescent="0.2">
      <c r="A17614" t="s">
        <v>3647</v>
      </c>
    </row>
    <row r="17615" spans="1:1" x14ac:dyDescent="0.2">
      <c r="A17615" t="s">
        <v>3648</v>
      </c>
    </row>
    <row r="17616" spans="1:1" x14ac:dyDescent="0.2">
      <c r="A17616" t="s">
        <v>3651</v>
      </c>
    </row>
    <row r="17617" spans="1:1" x14ac:dyDescent="0.2">
      <c r="A17617" t="s">
        <v>1594</v>
      </c>
    </row>
    <row r="17618" spans="1:1" x14ac:dyDescent="0.2">
      <c r="A17618" t="s">
        <v>3317</v>
      </c>
    </row>
    <row r="17619" spans="1:1" x14ac:dyDescent="0.2">
      <c r="A17619" t="s">
        <v>3652</v>
      </c>
    </row>
    <row r="17620" spans="1:1" x14ac:dyDescent="0.2">
      <c r="A17620" t="s">
        <v>1631</v>
      </c>
    </row>
    <row r="17621" spans="1:1" x14ac:dyDescent="0.2">
      <c r="A17621" t="s">
        <v>3318</v>
      </c>
    </row>
    <row r="17622" spans="1:1" x14ac:dyDescent="0.2">
      <c r="A17622" t="s">
        <v>3631</v>
      </c>
    </row>
    <row r="17623" spans="1:1" x14ac:dyDescent="0.2">
      <c r="A17623" t="s">
        <v>1600</v>
      </c>
    </row>
    <row r="17624" spans="1:1" x14ac:dyDescent="0.2">
      <c r="A17624" t="s">
        <v>1633</v>
      </c>
    </row>
    <row r="17625" spans="1:1" x14ac:dyDescent="0.2">
      <c r="A17625" t="s">
        <v>3403</v>
      </c>
    </row>
    <row r="17626" spans="1:1" x14ac:dyDescent="0.2">
      <c r="A17626" t="s">
        <v>1635</v>
      </c>
    </row>
    <row r="17627" spans="1:1" x14ac:dyDescent="0.2">
      <c r="A17627" t="s">
        <v>1675</v>
      </c>
    </row>
    <row r="17628" spans="1:1" x14ac:dyDescent="0.2">
      <c r="A17628" t="s">
        <v>1605</v>
      </c>
    </row>
    <row r="17629" spans="1:1" x14ac:dyDescent="0.2">
      <c r="A17629" t="s">
        <v>1606</v>
      </c>
    </row>
    <row r="17630" spans="1:1" x14ac:dyDescent="0.2">
      <c r="A17630" t="s">
        <v>1607</v>
      </c>
    </row>
    <row r="17631" spans="1:1" x14ac:dyDescent="0.2">
      <c r="A17631" t="s">
        <v>1676</v>
      </c>
    </row>
    <row r="17632" spans="1:1" x14ac:dyDescent="0.2">
      <c r="A17632" t="s">
        <v>1677</v>
      </c>
    </row>
    <row r="17633" spans="1:1" x14ac:dyDescent="0.2">
      <c r="A17633" t="s">
        <v>1610</v>
      </c>
    </row>
    <row r="17634" spans="1:1" x14ac:dyDescent="0.2">
      <c r="A17634" t="s">
        <v>3653</v>
      </c>
    </row>
    <row r="17635" spans="1:1" x14ac:dyDescent="0.2">
      <c r="A17635" t="s">
        <v>3654</v>
      </c>
    </row>
    <row r="17636" spans="1:1" x14ac:dyDescent="0.2">
      <c r="A17636" t="s">
        <v>3655</v>
      </c>
    </row>
    <row r="17637" spans="1:1" x14ac:dyDescent="0.2">
      <c r="A17637" t="s">
        <v>3656</v>
      </c>
    </row>
    <row r="17638" spans="1:1" x14ac:dyDescent="0.2">
      <c r="A17638" t="s">
        <v>3657</v>
      </c>
    </row>
    <row r="17639" spans="1:1" x14ac:dyDescent="0.2">
      <c r="A17639" t="s">
        <v>3658</v>
      </c>
    </row>
    <row r="17640" spans="1:1" x14ac:dyDescent="0.2">
      <c r="A17640" t="s">
        <v>3659</v>
      </c>
    </row>
    <row r="17641" spans="1:1" x14ac:dyDescent="0.2">
      <c r="A17641" t="s">
        <v>3660</v>
      </c>
    </row>
    <row r="17642" spans="1:1" x14ac:dyDescent="0.2">
      <c r="A17642" t="s">
        <v>3661</v>
      </c>
    </row>
    <row r="17643" spans="1:1" x14ac:dyDescent="0.2">
      <c r="A17643" t="s">
        <v>3662</v>
      </c>
    </row>
    <row r="17644" spans="1:1" x14ac:dyDescent="0.2">
      <c r="A17644" t="s">
        <v>3663</v>
      </c>
    </row>
    <row r="17645" spans="1:1" x14ac:dyDescent="0.2">
      <c r="A17645" t="s">
        <v>3664</v>
      </c>
    </row>
    <row r="17646" spans="1:1" x14ac:dyDescent="0.2">
      <c r="A17646" t="s">
        <v>3665</v>
      </c>
    </row>
    <row r="17647" spans="1:1" x14ac:dyDescent="0.2">
      <c r="A17647" t="s">
        <v>3666</v>
      </c>
    </row>
    <row r="17648" spans="1:1" x14ac:dyDescent="0.2">
      <c r="A17648" t="s">
        <v>3667</v>
      </c>
    </row>
    <row r="17649" spans="1:1" x14ac:dyDescent="0.2">
      <c r="A17649" t="s">
        <v>3647</v>
      </c>
    </row>
    <row r="17650" spans="1:1" x14ac:dyDescent="0.2">
      <c r="A17650" t="s">
        <v>3648</v>
      </c>
    </row>
    <row r="17651" spans="1:1" x14ac:dyDescent="0.2">
      <c r="A17651" t="s">
        <v>3668</v>
      </c>
    </row>
    <row r="17652" spans="1:1" x14ac:dyDescent="0.2">
      <c r="A17652" t="s">
        <v>1594</v>
      </c>
    </row>
    <row r="17653" spans="1:1" x14ac:dyDescent="0.2">
      <c r="A17653" t="s">
        <v>3317</v>
      </c>
    </row>
    <row r="17654" spans="1:1" x14ac:dyDescent="0.2">
      <c r="A17654" t="s">
        <v>3652</v>
      </c>
    </row>
    <row r="17655" spans="1:1" x14ac:dyDescent="0.2">
      <c r="A17655" t="s">
        <v>1631</v>
      </c>
    </row>
    <row r="17656" spans="1:1" x14ac:dyDescent="0.2">
      <c r="A17656" t="s">
        <v>3318</v>
      </c>
    </row>
    <row r="17657" spans="1:1" x14ac:dyDescent="0.2">
      <c r="A17657" t="s">
        <v>3631</v>
      </c>
    </row>
    <row r="17658" spans="1:1" x14ac:dyDescent="0.2">
      <c r="A17658" t="s">
        <v>1600</v>
      </c>
    </row>
    <row r="17659" spans="1:1" x14ac:dyDescent="0.2">
      <c r="A17659" t="s">
        <v>1639</v>
      </c>
    </row>
    <row r="17660" spans="1:1" x14ac:dyDescent="0.2">
      <c r="A17660" t="s">
        <v>3403</v>
      </c>
    </row>
    <row r="17661" spans="1:1" x14ac:dyDescent="0.2">
      <c r="A17661" t="s">
        <v>1635</v>
      </c>
    </row>
    <row r="17662" spans="1:1" x14ac:dyDescent="0.2">
      <c r="A17662" t="s">
        <v>1675</v>
      </c>
    </row>
    <row r="17663" spans="1:1" x14ac:dyDescent="0.2">
      <c r="A17663" t="s">
        <v>1605</v>
      </c>
    </row>
    <row r="17664" spans="1:1" x14ac:dyDescent="0.2">
      <c r="A17664" t="s">
        <v>1606</v>
      </c>
    </row>
    <row r="17665" spans="1:1" x14ac:dyDescent="0.2">
      <c r="A17665" t="s">
        <v>1607</v>
      </c>
    </row>
    <row r="17666" spans="1:1" x14ac:dyDescent="0.2">
      <c r="A17666" t="s">
        <v>1676</v>
      </c>
    </row>
    <row r="17667" spans="1:1" x14ac:dyDescent="0.2">
      <c r="A17667" t="s">
        <v>1677</v>
      </c>
    </row>
    <row r="17668" spans="1:1" x14ac:dyDescent="0.2">
      <c r="A17668" t="s">
        <v>1610</v>
      </c>
    </row>
    <row r="17669" spans="1:1" x14ac:dyDescent="0.2">
      <c r="A17669" t="s">
        <v>3653</v>
      </c>
    </row>
    <row r="17670" spans="1:1" x14ac:dyDescent="0.2">
      <c r="A17670" t="s">
        <v>3654</v>
      </c>
    </row>
    <row r="17671" spans="1:1" x14ac:dyDescent="0.2">
      <c r="A17671" t="s">
        <v>3655</v>
      </c>
    </row>
    <row r="17672" spans="1:1" x14ac:dyDescent="0.2">
      <c r="A17672" t="s">
        <v>3656</v>
      </c>
    </row>
    <row r="17673" spans="1:1" x14ac:dyDescent="0.2">
      <c r="A17673" t="s">
        <v>3657</v>
      </c>
    </row>
    <row r="17674" spans="1:1" x14ac:dyDescent="0.2">
      <c r="A17674" t="s">
        <v>3658</v>
      </c>
    </row>
    <row r="17675" spans="1:1" x14ac:dyDescent="0.2">
      <c r="A17675" t="s">
        <v>3659</v>
      </c>
    </row>
    <row r="17676" spans="1:1" x14ac:dyDescent="0.2">
      <c r="A17676" t="s">
        <v>3660</v>
      </c>
    </row>
    <row r="17677" spans="1:1" x14ac:dyDescent="0.2">
      <c r="A17677" t="s">
        <v>3661</v>
      </c>
    </row>
    <row r="17678" spans="1:1" x14ac:dyDescent="0.2">
      <c r="A17678" t="s">
        <v>3662</v>
      </c>
    </row>
    <row r="17679" spans="1:1" x14ac:dyDescent="0.2">
      <c r="A17679" t="s">
        <v>3663</v>
      </c>
    </row>
    <row r="17680" spans="1:1" x14ac:dyDescent="0.2">
      <c r="A17680" t="s">
        <v>3664</v>
      </c>
    </row>
    <row r="17681" spans="1:1" x14ac:dyDescent="0.2">
      <c r="A17681" t="s">
        <v>3665</v>
      </c>
    </row>
    <row r="17682" spans="1:1" x14ac:dyDescent="0.2">
      <c r="A17682" t="s">
        <v>3666</v>
      </c>
    </row>
    <row r="17683" spans="1:1" x14ac:dyDescent="0.2">
      <c r="A17683" t="s">
        <v>3667</v>
      </c>
    </row>
    <row r="17684" spans="1:1" x14ac:dyDescent="0.2">
      <c r="A17684" t="s">
        <v>3647</v>
      </c>
    </row>
    <row r="17685" spans="1:1" x14ac:dyDescent="0.2">
      <c r="A17685" t="s">
        <v>3648</v>
      </c>
    </row>
    <row r="17686" spans="1:1" x14ac:dyDescent="0.2">
      <c r="A17686" t="s">
        <v>3669</v>
      </c>
    </row>
    <row r="17687" spans="1:1" x14ac:dyDescent="0.2">
      <c r="A17687" t="s">
        <v>1594</v>
      </c>
    </row>
    <row r="17688" spans="1:1" x14ac:dyDescent="0.2">
      <c r="A17688" t="s">
        <v>3317</v>
      </c>
    </row>
    <row r="17689" spans="1:1" x14ac:dyDescent="0.2">
      <c r="A17689" t="s">
        <v>3652</v>
      </c>
    </row>
    <row r="17690" spans="1:1" x14ac:dyDescent="0.2">
      <c r="A17690" t="s">
        <v>1631</v>
      </c>
    </row>
    <row r="17691" spans="1:1" x14ac:dyDescent="0.2">
      <c r="A17691" t="s">
        <v>3318</v>
      </c>
    </row>
    <row r="17692" spans="1:1" x14ac:dyDescent="0.2">
      <c r="A17692" t="s">
        <v>3631</v>
      </c>
    </row>
    <row r="17693" spans="1:1" x14ac:dyDescent="0.2">
      <c r="A17693" t="s">
        <v>1600</v>
      </c>
    </row>
    <row r="17694" spans="1:1" x14ac:dyDescent="0.2">
      <c r="A17694" t="s">
        <v>1601</v>
      </c>
    </row>
    <row r="17695" spans="1:1" x14ac:dyDescent="0.2">
      <c r="A17695" t="s">
        <v>3403</v>
      </c>
    </row>
    <row r="17696" spans="1:1" x14ac:dyDescent="0.2">
      <c r="A17696" t="s">
        <v>1635</v>
      </c>
    </row>
    <row r="17697" spans="1:1" x14ac:dyDescent="0.2">
      <c r="A17697" t="s">
        <v>1675</v>
      </c>
    </row>
    <row r="17698" spans="1:1" x14ac:dyDescent="0.2">
      <c r="A17698" t="s">
        <v>1605</v>
      </c>
    </row>
    <row r="17699" spans="1:1" x14ac:dyDescent="0.2">
      <c r="A17699" t="s">
        <v>1606</v>
      </c>
    </row>
    <row r="17700" spans="1:1" x14ac:dyDescent="0.2">
      <c r="A17700" t="s">
        <v>1607</v>
      </c>
    </row>
    <row r="17701" spans="1:1" x14ac:dyDescent="0.2">
      <c r="A17701" t="s">
        <v>1676</v>
      </c>
    </row>
    <row r="17702" spans="1:1" x14ac:dyDescent="0.2">
      <c r="A17702" t="s">
        <v>1677</v>
      </c>
    </row>
    <row r="17703" spans="1:1" x14ac:dyDescent="0.2">
      <c r="A17703" t="s">
        <v>1610</v>
      </c>
    </row>
    <row r="17704" spans="1:1" x14ac:dyDescent="0.2">
      <c r="A17704" t="s">
        <v>3653</v>
      </c>
    </row>
    <row r="17705" spans="1:1" x14ac:dyDescent="0.2">
      <c r="A17705" t="s">
        <v>3654</v>
      </c>
    </row>
    <row r="17706" spans="1:1" x14ac:dyDescent="0.2">
      <c r="A17706" t="s">
        <v>3655</v>
      </c>
    </row>
    <row r="17707" spans="1:1" x14ac:dyDescent="0.2">
      <c r="A17707" t="s">
        <v>3656</v>
      </c>
    </row>
    <row r="17708" spans="1:1" x14ac:dyDescent="0.2">
      <c r="A17708" t="s">
        <v>3657</v>
      </c>
    </row>
    <row r="17709" spans="1:1" x14ac:dyDescent="0.2">
      <c r="A17709" t="s">
        <v>3658</v>
      </c>
    </row>
    <row r="17710" spans="1:1" x14ac:dyDescent="0.2">
      <c r="A17710" t="s">
        <v>3659</v>
      </c>
    </row>
    <row r="17711" spans="1:1" x14ac:dyDescent="0.2">
      <c r="A17711" t="s">
        <v>3660</v>
      </c>
    </row>
    <row r="17712" spans="1:1" x14ac:dyDescent="0.2">
      <c r="A17712" t="s">
        <v>3661</v>
      </c>
    </row>
    <row r="17713" spans="1:1" x14ac:dyDescent="0.2">
      <c r="A17713" t="s">
        <v>3662</v>
      </c>
    </row>
    <row r="17714" spans="1:1" x14ac:dyDescent="0.2">
      <c r="A17714" t="s">
        <v>3663</v>
      </c>
    </row>
    <row r="17715" spans="1:1" x14ac:dyDescent="0.2">
      <c r="A17715" t="s">
        <v>3664</v>
      </c>
    </row>
    <row r="17716" spans="1:1" x14ac:dyDescent="0.2">
      <c r="A17716" t="s">
        <v>3665</v>
      </c>
    </row>
    <row r="17717" spans="1:1" x14ac:dyDescent="0.2">
      <c r="A17717" t="s">
        <v>3666</v>
      </c>
    </row>
    <row r="17718" spans="1:1" x14ac:dyDescent="0.2">
      <c r="A17718" t="s">
        <v>3667</v>
      </c>
    </row>
    <row r="17719" spans="1:1" x14ac:dyDescent="0.2">
      <c r="A17719" t="s">
        <v>3647</v>
      </c>
    </row>
    <row r="17720" spans="1:1" x14ac:dyDescent="0.2">
      <c r="A17720" t="s">
        <v>3648</v>
      </c>
    </row>
    <row r="17721" spans="1:1" x14ac:dyDescent="0.2">
      <c r="A17721" t="s">
        <v>3670</v>
      </c>
    </row>
    <row r="17722" spans="1:1" x14ac:dyDescent="0.2">
      <c r="A17722" t="s">
        <v>1594</v>
      </c>
    </row>
    <row r="17723" spans="1:1" x14ac:dyDescent="0.2">
      <c r="A17723" t="s">
        <v>3317</v>
      </c>
    </row>
    <row r="17724" spans="1:1" x14ac:dyDescent="0.2">
      <c r="A17724" t="s">
        <v>3671</v>
      </c>
    </row>
    <row r="17725" spans="1:1" x14ac:dyDescent="0.2">
      <c r="A17725" t="s">
        <v>1631</v>
      </c>
    </row>
    <row r="17726" spans="1:1" x14ac:dyDescent="0.2">
      <c r="A17726" t="s">
        <v>3318</v>
      </c>
    </row>
    <row r="17727" spans="1:1" x14ac:dyDescent="0.2">
      <c r="A17727" t="s">
        <v>3631</v>
      </c>
    </row>
    <row r="17728" spans="1:1" x14ac:dyDescent="0.2">
      <c r="A17728" t="s">
        <v>1600</v>
      </c>
    </row>
    <row r="17729" spans="1:1" x14ac:dyDescent="0.2">
      <c r="A17729" t="s">
        <v>1633</v>
      </c>
    </row>
    <row r="17730" spans="1:1" x14ac:dyDescent="0.2">
      <c r="A17730" t="s">
        <v>3403</v>
      </c>
    </row>
    <row r="17731" spans="1:1" x14ac:dyDescent="0.2">
      <c r="A17731" t="s">
        <v>1635</v>
      </c>
    </row>
    <row r="17732" spans="1:1" x14ac:dyDescent="0.2">
      <c r="A17732" t="s">
        <v>3672</v>
      </c>
    </row>
    <row r="17733" spans="1:1" x14ac:dyDescent="0.2">
      <c r="A17733" t="s">
        <v>1605</v>
      </c>
    </row>
    <row r="17734" spans="1:1" x14ac:dyDescent="0.2">
      <c r="A17734" t="s">
        <v>1606</v>
      </c>
    </row>
    <row r="17735" spans="1:1" x14ac:dyDescent="0.2">
      <c r="A17735" t="s">
        <v>1607</v>
      </c>
    </row>
    <row r="17736" spans="1:1" x14ac:dyDescent="0.2">
      <c r="A17736" t="s">
        <v>1676</v>
      </c>
    </row>
    <row r="17737" spans="1:1" x14ac:dyDescent="0.2">
      <c r="A17737" t="s">
        <v>1677</v>
      </c>
    </row>
    <row r="17738" spans="1:1" x14ac:dyDescent="0.2">
      <c r="A17738" t="s">
        <v>1610</v>
      </c>
    </row>
    <row r="17739" spans="1:1" x14ac:dyDescent="0.2">
      <c r="A17739" t="s">
        <v>3673</v>
      </c>
    </row>
    <row r="17740" spans="1:1" x14ac:dyDescent="0.2">
      <c r="A17740" t="s">
        <v>3674</v>
      </c>
    </row>
    <row r="17741" spans="1:1" x14ac:dyDescent="0.2">
      <c r="A17741" t="s">
        <v>3675</v>
      </c>
    </row>
    <row r="17742" spans="1:1" x14ac:dyDescent="0.2">
      <c r="A17742" t="s">
        <v>3676</v>
      </c>
    </row>
    <row r="17743" spans="1:1" x14ac:dyDescent="0.2">
      <c r="A17743" t="s">
        <v>3677</v>
      </c>
    </row>
    <row r="17744" spans="1:1" x14ac:dyDescent="0.2">
      <c r="A17744" t="s">
        <v>3678</v>
      </c>
    </row>
    <row r="17745" spans="1:1" x14ac:dyDescent="0.2">
      <c r="A17745" t="s">
        <v>3679</v>
      </c>
    </row>
    <row r="17746" spans="1:1" x14ac:dyDescent="0.2">
      <c r="A17746" t="s">
        <v>3680</v>
      </c>
    </row>
    <row r="17747" spans="1:1" x14ac:dyDescent="0.2">
      <c r="A17747" t="s">
        <v>3681</v>
      </c>
    </row>
    <row r="17748" spans="1:1" x14ac:dyDescent="0.2">
      <c r="A17748" t="s">
        <v>3682</v>
      </c>
    </row>
    <row r="17749" spans="1:1" x14ac:dyDescent="0.2">
      <c r="A17749" t="s">
        <v>3683</v>
      </c>
    </row>
    <row r="17750" spans="1:1" x14ac:dyDescent="0.2">
      <c r="A17750" t="s">
        <v>3684</v>
      </c>
    </row>
    <row r="17751" spans="1:1" x14ac:dyDescent="0.2">
      <c r="A17751" t="s">
        <v>3685</v>
      </c>
    </row>
    <row r="17752" spans="1:1" x14ac:dyDescent="0.2">
      <c r="A17752" t="s">
        <v>3686</v>
      </c>
    </row>
    <row r="17753" spans="1:1" x14ac:dyDescent="0.2">
      <c r="A17753" t="s">
        <v>3687</v>
      </c>
    </row>
    <row r="17754" spans="1:1" x14ac:dyDescent="0.2">
      <c r="A17754" t="s">
        <v>3647</v>
      </c>
    </row>
    <row r="17755" spans="1:1" x14ac:dyDescent="0.2">
      <c r="A17755" t="s">
        <v>3648</v>
      </c>
    </row>
    <row r="17756" spans="1:1" x14ac:dyDescent="0.2">
      <c r="A17756" t="s">
        <v>3688</v>
      </c>
    </row>
    <row r="17757" spans="1:1" x14ac:dyDescent="0.2">
      <c r="A17757" t="s">
        <v>1594</v>
      </c>
    </row>
    <row r="17758" spans="1:1" x14ac:dyDescent="0.2">
      <c r="A17758" t="s">
        <v>3317</v>
      </c>
    </row>
    <row r="17759" spans="1:1" x14ac:dyDescent="0.2">
      <c r="A17759" t="s">
        <v>3671</v>
      </c>
    </row>
    <row r="17760" spans="1:1" x14ac:dyDescent="0.2">
      <c r="A17760" t="s">
        <v>1631</v>
      </c>
    </row>
    <row r="17761" spans="1:1" x14ac:dyDescent="0.2">
      <c r="A17761" t="s">
        <v>3318</v>
      </c>
    </row>
    <row r="17762" spans="1:1" x14ac:dyDescent="0.2">
      <c r="A17762" t="s">
        <v>3631</v>
      </c>
    </row>
    <row r="17763" spans="1:1" x14ac:dyDescent="0.2">
      <c r="A17763" t="s">
        <v>1600</v>
      </c>
    </row>
    <row r="17764" spans="1:1" x14ac:dyDescent="0.2">
      <c r="A17764" t="s">
        <v>1639</v>
      </c>
    </row>
    <row r="17765" spans="1:1" x14ac:dyDescent="0.2">
      <c r="A17765" t="s">
        <v>3403</v>
      </c>
    </row>
    <row r="17766" spans="1:1" x14ac:dyDescent="0.2">
      <c r="A17766" t="s">
        <v>1635</v>
      </c>
    </row>
    <row r="17767" spans="1:1" x14ac:dyDescent="0.2">
      <c r="A17767" t="s">
        <v>3672</v>
      </c>
    </row>
    <row r="17768" spans="1:1" x14ac:dyDescent="0.2">
      <c r="A17768" t="s">
        <v>1605</v>
      </c>
    </row>
    <row r="17769" spans="1:1" x14ac:dyDescent="0.2">
      <c r="A17769" t="s">
        <v>1606</v>
      </c>
    </row>
    <row r="17770" spans="1:1" x14ac:dyDescent="0.2">
      <c r="A17770" t="s">
        <v>1607</v>
      </c>
    </row>
    <row r="17771" spans="1:1" x14ac:dyDescent="0.2">
      <c r="A17771" t="s">
        <v>1676</v>
      </c>
    </row>
    <row r="17772" spans="1:1" x14ac:dyDescent="0.2">
      <c r="A17772" t="s">
        <v>1677</v>
      </c>
    </row>
    <row r="17773" spans="1:1" x14ac:dyDescent="0.2">
      <c r="A17773" t="s">
        <v>1610</v>
      </c>
    </row>
    <row r="17774" spans="1:1" x14ac:dyDescent="0.2">
      <c r="A17774" t="s">
        <v>3673</v>
      </c>
    </row>
    <row r="17775" spans="1:1" x14ac:dyDescent="0.2">
      <c r="A17775" t="s">
        <v>3674</v>
      </c>
    </row>
    <row r="17776" spans="1:1" x14ac:dyDescent="0.2">
      <c r="A17776" t="s">
        <v>3675</v>
      </c>
    </row>
    <row r="17777" spans="1:1" x14ac:dyDescent="0.2">
      <c r="A17777" t="s">
        <v>3676</v>
      </c>
    </row>
    <row r="17778" spans="1:1" x14ac:dyDescent="0.2">
      <c r="A17778" t="s">
        <v>3677</v>
      </c>
    </row>
    <row r="17779" spans="1:1" x14ac:dyDescent="0.2">
      <c r="A17779" t="s">
        <v>3678</v>
      </c>
    </row>
    <row r="17780" spans="1:1" x14ac:dyDescent="0.2">
      <c r="A17780" t="s">
        <v>3679</v>
      </c>
    </row>
    <row r="17781" spans="1:1" x14ac:dyDescent="0.2">
      <c r="A17781" t="s">
        <v>3680</v>
      </c>
    </row>
    <row r="17782" spans="1:1" x14ac:dyDescent="0.2">
      <c r="A17782" t="s">
        <v>3681</v>
      </c>
    </row>
    <row r="17783" spans="1:1" x14ac:dyDescent="0.2">
      <c r="A17783" t="s">
        <v>3682</v>
      </c>
    </row>
    <row r="17784" spans="1:1" x14ac:dyDescent="0.2">
      <c r="A17784" t="s">
        <v>3683</v>
      </c>
    </row>
    <row r="17785" spans="1:1" x14ac:dyDescent="0.2">
      <c r="A17785" t="s">
        <v>3684</v>
      </c>
    </row>
    <row r="17786" spans="1:1" x14ac:dyDescent="0.2">
      <c r="A17786" t="s">
        <v>3685</v>
      </c>
    </row>
    <row r="17787" spans="1:1" x14ac:dyDescent="0.2">
      <c r="A17787" t="s">
        <v>3686</v>
      </c>
    </row>
    <row r="17788" spans="1:1" x14ac:dyDescent="0.2">
      <c r="A17788" t="s">
        <v>3687</v>
      </c>
    </row>
    <row r="17789" spans="1:1" x14ac:dyDescent="0.2">
      <c r="A17789" t="s">
        <v>3647</v>
      </c>
    </row>
    <row r="17790" spans="1:1" x14ac:dyDescent="0.2">
      <c r="A17790" t="s">
        <v>3648</v>
      </c>
    </row>
    <row r="17791" spans="1:1" x14ac:dyDescent="0.2">
      <c r="A17791" t="s">
        <v>3689</v>
      </c>
    </row>
    <row r="17792" spans="1:1" x14ac:dyDescent="0.2">
      <c r="A17792" t="s">
        <v>1594</v>
      </c>
    </row>
    <row r="17793" spans="1:1" x14ac:dyDescent="0.2">
      <c r="A17793" t="s">
        <v>3317</v>
      </c>
    </row>
    <row r="17794" spans="1:1" x14ac:dyDescent="0.2">
      <c r="A17794" t="s">
        <v>3671</v>
      </c>
    </row>
    <row r="17795" spans="1:1" x14ac:dyDescent="0.2">
      <c r="A17795" t="s">
        <v>1631</v>
      </c>
    </row>
    <row r="17796" spans="1:1" x14ac:dyDescent="0.2">
      <c r="A17796" t="s">
        <v>3318</v>
      </c>
    </row>
    <row r="17797" spans="1:1" x14ac:dyDescent="0.2">
      <c r="A17797" t="s">
        <v>3631</v>
      </c>
    </row>
    <row r="17798" spans="1:1" x14ac:dyDescent="0.2">
      <c r="A17798" t="s">
        <v>1600</v>
      </c>
    </row>
    <row r="17799" spans="1:1" x14ac:dyDescent="0.2">
      <c r="A17799" t="s">
        <v>1601</v>
      </c>
    </row>
    <row r="17800" spans="1:1" x14ac:dyDescent="0.2">
      <c r="A17800" t="s">
        <v>3403</v>
      </c>
    </row>
    <row r="17801" spans="1:1" x14ac:dyDescent="0.2">
      <c r="A17801" t="s">
        <v>1635</v>
      </c>
    </row>
    <row r="17802" spans="1:1" x14ac:dyDescent="0.2">
      <c r="A17802" t="s">
        <v>3672</v>
      </c>
    </row>
    <row r="17803" spans="1:1" x14ac:dyDescent="0.2">
      <c r="A17803" t="s">
        <v>1605</v>
      </c>
    </row>
    <row r="17804" spans="1:1" x14ac:dyDescent="0.2">
      <c r="A17804" t="s">
        <v>1606</v>
      </c>
    </row>
    <row r="17805" spans="1:1" x14ac:dyDescent="0.2">
      <c r="A17805" t="s">
        <v>1607</v>
      </c>
    </row>
    <row r="17806" spans="1:1" x14ac:dyDescent="0.2">
      <c r="A17806" t="s">
        <v>1676</v>
      </c>
    </row>
    <row r="17807" spans="1:1" x14ac:dyDescent="0.2">
      <c r="A17807" t="s">
        <v>1677</v>
      </c>
    </row>
    <row r="17808" spans="1:1" x14ac:dyDescent="0.2">
      <c r="A17808" t="s">
        <v>1610</v>
      </c>
    </row>
    <row r="17809" spans="1:1" x14ac:dyDescent="0.2">
      <c r="A17809" t="s">
        <v>3673</v>
      </c>
    </row>
    <row r="17810" spans="1:1" x14ac:dyDescent="0.2">
      <c r="A17810" t="s">
        <v>3674</v>
      </c>
    </row>
    <row r="17811" spans="1:1" x14ac:dyDescent="0.2">
      <c r="A17811" t="s">
        <v>3675</v>
      </c>
    </row>
    <row r="17812" spans="1:1" x14ac:dyDescent="0.2">
      <c r="A17812" t="s">
        <v>3676</v>
      </c>
    </row>
    <row r="17813" spans="1:1" x14ac:dyDescent="0.2">
      <c r="A17813" t="s">
        <v>3677</v>
      </c>
    </row>
    <row r="17814" spans="1:1" x14ac:dyDescent="0.2">
      <c r="A17814" t="s">
        <v>3678</v>
      </c>
    </row>
    <row r="17815" spans="1:1" x14ac:dyDescent="0.2">
      <c r="A17815" t="s">
        <v>3679</v>
      </c>
    </row>
    <row r="17816" spans="1:1" x14ac:dyDescent="0.2">
      <c r="A17816" t="s">
        <v>3680</v>
      </c>
    </row>
    <row r="17817" spans="1:1" x14ac:dyDescent="0.2">
      <c r="A17817" t="s">
        <v>3681</v>
      </c>
    </row>
    <row r="17818" spans="1:1" x14ac:dyDescent="0.2">
      <c r="A17818" t="s">
        <v>3682</v>
      </c>
    </row>
    <row r="17819" spans="1:1" x14ac:dyDescent="0.2">
      <c r="A17819" t="s">
        <v>3683</v>
      </c>
    </row>
    <row r="17820" spans="1:1" x14ac:dyDescent="0.2">
      <c r="A17820" t="s">
        <v>3684</v>
      </c>
    </row>
    <row r="17821" spans="1:1" x14ac:dyDescent="0.2">
      <c r="A17821" t="s">
        <v>3685</v>
      </c>
    </row>
    <row r="17822" spans="1:1" x14ac:dyDescent="0.2">
      <c r="A17822" t="s">
        <v>3686</v>
      </c>
    </row>
    <row r="17823" spans="1:1" x14ac:dyDescent="0.2">
      <c r="A17823" t="s">
        <v>3687</v>
      </c>
    </row>
    <row r="17824" spans="1:1" x14ac:dyDescent="0.2">
      <c r="A17824" t="s">
        <v>3647</v>
      </c>
    </row>
    <row r="17825" spans="1:1" x14ac:dyDescent="0.2">
      <c r="A17825" t="s">
        <v>3648</v>
      </c>
    </row>
    <row r="17826" spans="1:1" x14ac:dyDescent="0.2">
      <c r="A17826" t="s">
        <v>3690</v>
      </c>
    </row>
    <row r="17827" spans="1:1" x14ac:dyDescent="0.2">
      <c r="A17827" t="s">
        <v>1594</v>
      </c>
    </row>
    <row r="17828" spans="1:1" x14ac:dyDescent="0.2">
      <c r="A17828" t="s">
        <v>3691</v>
      </c>
    </row>
    <row r="17829" spans="1:1" x14ac:dyDescent="0.2">
      <c r="A17829" t="s">
        <v>3692</v>
      </c>
    </row>
    <row r="17830" spans="1:1" x14ac:dyDescent="0.2">
      <c r="A17830" t="s">
        <v>1631</v>
      </c>
    </row>
    <row r="17831" spans="1:1" x14ac:dyDescent="0.2">
      <c r="A17831" t="s">
        <v>1673</v>
      </c>
    </row>
    <row r="17832" spans="1:1" x14ac:dyDescent="0.2">
      <c r="A17832" t="s">
        <v>3631</v>
      </c>
    </row>
    <row r="17833" spans="1:1" x14ac:dyDescent="0.2">
      <c r="A17833" t="s">
        <v>1600</v>
      </c>
    </row>
    <row r="17834" spans="1:1" x14ac:dyDescent="0.2">
      <c r="A17834" t="s">
        <v>1633</v>
      </c>
    </row>
    <row r="17835" spans="1:1" x14ac:dyDescent="0.2">
      <c r="A17835" t="s">
        <v>3403</v>
      </c>
    </row>
    <row r="17836" spans="1:1" x14ac:dyDescent="0.2">
      <c r="A17836" t="s">
        <v>1635</v>
      </c>
    </row>
    <row r="17837" spans="1:1" x14ac:dyDescent="0.2">
      <c r="A17837" t="s">
        <v>3321</v>
      </c>
    </row>
    <row r="17838" spans="1:1" x14ac:dyDescent="0.2">
      <c r="A17838" t="s">
        <v>1605</v>
      </c>
    </row>
    <row r="17839" spans="1:1" x14ac:dyDescent="0.2">
      <c r="A17839" t="s">
        <v>1606</v>
      </c>
    </row>
    <row r="17840" spans="1:1" x14ac:dyDescent="0.2">
      <c r="A17840" t="s">
        <v>1607</v>
      </c>
    </row>
    <row r="17841" spans="1:1" x14ac:dyDescent="0.2">
      <c r="A17841" t="s">
        <v>1676</v>
      </c>
    </row>
    <row r="17842" spans="1:1" x14ac:dyDescent="0.2">
      <c r="A17842" t="s">
        <v>1677</v>
      </c>
    </row>
    <row r="17843" spans="1:1" x14ac:dyDescent="0.2">
      <c r="A17843" t="s">
        <v>1610</v>
      </c>
    </row>
    <row r="17844" spans="1:1" x14ac:dyDescent="0.2">
      <c r="A17844" t="s">
        <v>3693</v>
      </c>
    </row>
    <row r="17845" spans="1:1" x14ac:dyDescent="0.2">
      <c r="A17845" t="s">
        <v>3694</v>
      </c>
    </row>
    <row r="17846" spans="1:1" x14ac:dyDescent="0.2">
      <c r="A17846" t="s">
        <v>3695</v>
      </c>
    </row>
    <row r="17847" spans="1:1" x14ac:dyDescent="0.2">
      <c r="A17847" t="s">
        <v>3696</v>
      </c>
    </row>
    <row r="17848" spans="1:1" x14ac:dyDescent="0.2">
      <c r="A17848" t="s">
        <v>3697</v>
      </c>
    </row>
    <row r="17849" spans="1:1" x14ac:dyDescent="0.2">
      <c r="A17849" t="s">
        <v>3698</v>
      </c>
    </row>
    <row r="17850" spans="1:1" x14ac:dyDescent="0.2">
      <c r="A17850" t="s">
        <v>3699</v>
      </c>
    </row>
    <row r="17851" spans="1:1" x14ac:dyDescent="0.2">
      <c r="A17851" t="s">
        <v>3700</v>
      </c>
    </row>
    <row r="17852" spans="1:1" x14ac:dyDescent="0.2">
      <c r="A17852" t="s">
        <v>3701</v>
      </c>
    </row>
    <row r="17853" spans="1:1" x14ac:dyDescent="0.2">
      <c r="A17853" t="s">
        <v>3702</v>
      </c>
    </row>
    <row r="17854" spans="1:1" x14ac:dyDescent="0.2">
      <c r="A17854" t="s">
        <v>3703</v>
      </c>
    </row>
    <row r="17855" spans="1:1" x14ac:dyDescent="0.2">
      <c r="A17855" t="s">
        <v>3704</v>
      </c>
    </row>
    <row r="17856" spans="1:1" x14ac:dyDescent="0.2">
      <c r="A17856" t="s">
        <v>3705</v>
      </c>
    </row>
    <row r="17857" spans="1:1" x14ac:dyDescent="0.2">
      <c r="A17857" t="s">
        <v>3706</v>
      </c>
    </row>
    <row r="17858" spans="1:1" x14ac:dyDescent="0.2">
      <c r="A17858" t="s">
        <v>3707</v>
      </c>
    </row>
    <row r="17859" spans="1:1" x14ac:dyDescent="0.2">
      <c r="A17859" t="s">
        <v>3647</v>
      </c>
    </row>
    <row r="17860" spans="1:1" x14ac:dyDescent="0.2">
      <c r="A17860" t="s">
        <v>3648</v>
      </c>
    </row>
    <row r="17861" spans="1:1" x14ac:dyDescent="0.2">
      <c r="A17861" t="s">
        <v>3708</v>
      </c>
    </row>
    <row r="17862" spans="1:1" x14ac:dyDescent="0.2">
      <c r="A17862" t="s">
        <v>1594</v>
      </c>
    </row>
    <row r="17863" spans="1:1" x14ac:dyDescent="0.2">
      <c r="A17863" t="s">
        <v>3691</v>
      </c>
    </row>
    <row r="17864" spans="1:1" x14ac:dyDescent="0.2">
      <c r="A17864" t="s">
        <v>3692</v>
      </c>
    </row>
    <row r="17865" spans="1:1" x14ac:dyDescent="0.2">
      <c r="A17865" t="s">
        <v>1631</v>
      </c>
    </row>
    <row r="17866" spans="1:1" x14ac:dyDescent="0.2">
      <c r="A17866" t="s">
        <v>1673</v>
      </c>
    </row>
    <row r="17867" spans="1:1" x14ac:dyDescent="0.2">
      <c r="A17867" t="s">
        <v>3631</v>
      </c>
    </row>
    <row r="17868" spans="1:1" x14ac:dyDescent="0.2">
      <c r="A17868" t="s">
        <v>1600</v>
      </c>
    </row>
    <row r="17869" spans="1:1" x14ac:dyDescent="0.2">
      <c r="A17869" t="s">
        <v>1639</v>
      </c>
    </row>
    <row r="17870" spans="1:1" x14ac:dyDescent="0.2">
      <c r="A17870" t="s">
        <v>3403</v>
      </c>
    </row>
    <row r="17871" spans="1:1" x14ac:dyDescent="0.2">
      <c r="A17871" t="s">
        <v>1635</v>
      </c>
    </row>
    <row r="17872" spans="1:1" x14ac:dyDescent="0.2">
      <c r="A17872" t="s">
        <v>3321</v>
      </c>
    </row>
    <row r="17873" spans="1:1" x14ac:dyDescent="0.2">
      <c r="A17873" t="s">
        <v>1605</v>
      </c>
    </row>
    <row r="17874" spans="1:1" x14ac:dyDescent="0.2">
      <c r="A17874" t="s">
        <v>1606</v>
      </c>
    </row>
    <row r="17875" spans="1:1" x14ac:dyDescent="0.2">
      <c r="A17875" t="s">
        <v>1607</v>
      </c>
    </row>
    <row r="17876" spans="1:1" x14ac:dyDescent="0.2">
      <c r="A17876" t="s">
        <v>1676</v>
      </c>
    </row>
    <row r="17877" spans="1:1" x14ac:dyDescent="0.2">
      <c r="A17877" t="s">
        <v>1677</v>
      </c>
    </row>
    <row r="17878" spans="1:1" x14ac:dyDescent="0.2">
      <c r="A17878" t="s">
        <v>1610</v>
      </c>
    </row>
    <row r="17879" spans="1:1" x14ac:dyDescent="0.2">
      <c r="A17879" t="s">
        <v>3693</v>
      </c>
    </row>
    <row r="17880" spans="1:1" x14ac:dyDescent="0.2">
      <c r="A17880" t="s">
        <v>3694</v>
      </c>
    </row>
    <row r="17881" spans="1:1" x14ac:dyDescent="0.2">
      <c r="A17881" t="s">
        <v>3695</v>
      </c>
    </row>
    <row r="17882" spans="1:1" x14ac:dyDescent="0.2">
      <c r="A17882" t="s">
        <v>3696</v>
      </c>
    </row>
    <row r="17883" spans="1:1" x14ac:dyDescent="0.2">
      <c r="A17883" t="s">
        <v>3697</v>
      </c>
    </row>
    <row r="17884" spans="1:1" x14ac:dyDescent="0.2">
      <c r="A17884" t="s">
        <v>3698</v>
      </c>
    </row>
    <row r="17885" spans="1:1" x14ac:dyDescent="0.2">
      <c r="A17885" t="s">
        <v>3699</v>
      </c>
    </row>
    <row r="17886" spans="1:1" x14ac:dyDescent="0.2">
      <c r="A17886" t="s">
        <v>3700</v>
      </c>
    </row>
    <row r="17887" spans="1:1" x14ac:dyDescent="0.2">
      <c r="A17887" t="s">
        <v>3701</v>
      </c>
    </row>
    <row r="17888" spans="1:1" x14ac:dyDescent="0.2">
      <c r="A17888" t="s">
        <v>3702</v>
      </c>
    </row>
    <row r="17889" spans="1:1" x14ac:dyDescent="0.2">
      <c r="A17889" t="s">
        <v>3703</v>
      </c>
    </row>
    <row r="17890" spans="1:1" x14ac:dyDescent="0.2">
      <c r="A17890" t="s">
        <v>3704</v>
      </c>
    </row>
    <row r="17891" spans="1:1" x14ac:dyDescent="0.2">
      <c r="A17891" t="s">
        <v>3705</v>
      </c>
    </row>
    <row r="17892" spans="1:1" x14ac:dyDescent="0.2">
      <c r="A17892" t="s">
        <v>3706</v>
      </c>
    </row>
    <row r="17893" spans="1:1" x14ac:dyDescent="0.2">
      <c r="A17893" t="s">
        <v>3707</v>
      </c>
    </row>
    <row r="17894" spans="1:1" x14ac:dyDescent="0.2">
      <c r="A17894" t="s">
        <v>3647</v>
      </c>
    </row>
    <row r="17895" spans="1:1" x14ac:dyDescent="0.2">
      <c r="A17895" t="s">
        <v>3648</v>
      </c>
    </row>
    <row r="17896" spans="1:1" x14ac:dyDescent="0.2">
      <c r="A17896" t="s">
        <v>3709</v>
      </c>
    </row>
    <row r="17897" spans="1:1" x14ac:dyDescent="0.2">
      <c r="A17897" t="s">
        <v>1594</v>
      </c>
    </row>
    <row r="17898" spans="1:1" x14ac:dyDescent="0.2">
      <c r="A17898" t="s">
        <v>3691</v>
      </c>
    </row>
    <row r="17899" spans="1:1" x14ac:dyDescent="0.2">
      <c r="A17899" t="s">
        <v>3692</v>
      </c>
    </row>
    <row r="17900" spans="1:1" x14ac:dyDescent="0.2">
      <c r="A17900" t="s">
        <v>1631</v>
      </c>
    </row>
    <row r="17901" spans="1:1" x14ac:dyDescent="0.2">
      <c r="A17901" t="s">
        <v>1673</v>
      </c>
    </row>
    <row r="17902" spans="1:1" x14ac:dyDescent="0.2">
      <c r="A17902" t="s">
        <v>3631</v>
      </c>
    </row>
    <row r="17903" spans="1:1" x14ac:dyDescent="0.2">
      <c r="A17903" t="s">
        <v>1600</v>
      </c>
    </row>
    <row r="17904" spans="1:1" x14ac:dyDescent="0.2">
      <c r="A17904" t="s">
        <v>1601</v>
      </c>
    </row>
    <row r="17905" spans="1:1" x14ac:dyDescent="0.2">
      <c r="A17905" t="s">
        <v>3403</v>
      </c>
    </row>
    <row r="17906" spans="1:1" x14ac:dyDescent="0.2">
      <c r="A17906" t="s">
        <v>1635</v>
      </c>
    </row>
    <row r="17907" spans="1:1" x14ac:dyDescent="0.2">
      <c r="A17907" t="s">
        <v>3321</v>
      </c>
    </row>
    <row r="17908" spans="1:1" x14ac:dyDescent="0.2">
      <c r="A17908" t="s">
        <v>1605</v>
      </c>
    </row>
    <row r="17909" spans="1:1" x14ac:dyDescent="0.2">
      <c r="A17909" t="s">
        <v>1606</v>
      </c>
    </row>
    <row r="17910" spans="1:1" x14ac:dyDescent="0.2">
      <c r="A17910" t="s">
        <v>1607</v>
      </c>
    </row>
    <row r="17911" spans="1:1" x14ac:dyDescent="0.2">
      <c r="A17911" t="s">
        <v>1676</v>
      </c>
    </row>
    <row r="17912" spans="1:1" x14ac:dyDescent="0.2">
      <c r="A17912" t="s">
        <v>1677</v>
      </c>
    </row>
    <row r="17913" spans="1:1" x14ac:dyDescent="0.2">
      <c r="A17913" t="s">
        <v>1610</v>
      </c>
    </row>
    <row r="17914" spans="1:1" x14ac:dyDescent="0.2">
      <c r="A17914" t="s">
        <v>3693</v>
      </c>
    </row>
    <row r="17915" spans="1:1" x14ac:dyDescent="0.2">
      <c r="A17915" t="s">
        <v>3694</v>
      </c>
    </row>
    <row r="17916" spans="1:1" x14ac:dyDescent="0.2">
      <c r="A17916" t="s">
        <v>3695</v>
      </c>
    </row>
    <row r="17917" spans="1:1" x14ac:dyDescent="0.2">
      <c r="A17917" t="s">
        <v>3696</v>
      </c>
    </row>
    <row r="17918" spans="1:1" x14ac:dyDescent="0.2">
      <c r="A17918" t="s">
        <v>3697</v>
      </c>
    </row>
    <row r="17919" spans="1:1" x14ac:dyDescent="0.2">
      <c r="A17919" t="s">
        <v>3698</v>
      </c>
    </row>
    <row r="17920" spans="1:1" x14ac:dyDescent="0.2">
      <c r="A17920" t="s">
        <v>3699</v>
      </c>
    </row>
    <row r="17921" spans="1:1" x14ac:dyDescent="0.2">
      <c r="A17921" t="s">
        <v>3700</v>
      </c>
    </row>
    <row r="17922" spans="1:1" x14ac:dyDescent="0.2">
      <c r="A17922" t="s">
        <v>3701</v>
      </c>
    </row>
    <row r="17923" spans="1:1" x14ac:dyDescent="0.2">
      <c r="A17923" t="s">
        <v>3702</v>
      </c>
    </row>
    <row r="17924" spans="1:1" x14ac:dyDescent="0.2">
      <c r="A17924" t="s">
        <v>3703</v>
      </c>
    </row>
    <row r="17925" spans="1:1" x14ac:dyDescent="0.2">
      <c r="A17925" t="s">
        <v>3704</v>
      </c>
    </row>
    <row r="17926" spans="1:1" x14ac:dyDescent="0.2">
      <c r="A17926" t="s">
        <v>3705</v>
      </c>
    </row>
    <row r="17927" spans="1:1" x14ac:dyDescent="0.2">
      <c r="A17927" t="s">
        <v>3706</v>
      </c>
    </row>
    <row r="17928" spans="1:1" x14ac:dyDescent="0.2">
      <c r="A17928" t="s">
        <v>3707</v>
      </c>
    </row>
    <row r="17929" spans="1:1" x14ac:dyDescent="0.2">
      <c r="A17929" t="s">
        <v>3647</v>
      </c>
    </row>
    <row r="17930" spans="1:1" x14ac:dyDescent="0.2">
      <c r="A17930" t="s">
        <v>3648</v>
      </c>
    </row>
    <row r="17931" spans="1:1" x14ac:dyDescent="0.2">
      <c r="A17931" t="s">
        <v>3710</v>
      </c>
    </row>
    <row r="17932" spans="1:1" x14ac:dyDescent="0.2">
      <c r="A17932" t="s">
        <v>1663</v>
      </c>
    </row>
    <row r="17933" spans="1:1" x14ac:dyDescent="0.2">
      <c r="A17933" t="s">
        <v>3711</v>
      </c>
    </row>
    <row r="17934" spans="1:1" x14ac:dyDescent="0.2">
      <c r="A17934" t="s">
        <v>3712</v>
      </c>
    </row>
    <row r="17935" spans="1:1" x14ac:dyDescent="0.2">
      <c r="A17935" t="s">
        <v>1631</v>
      </c>
    </row>
    <row r="17936" spans="1:1" x14ac:dyDescent="0.2">
      <c r="A17936" t="s">
        <v>1673</v>
      </c>
    </row>
    <row r="17937" spans="1:1" x14ac:dyDescent="0.2">
      <c r="A17937" t="s">
        <v>3631</v>
      </c>
    </row>
    <row r="17938" spans="1:1" x14ac:dyDescent="0.2">
      <c r="A17938" t="s">
        <v>1600</v>
      </c>
    </row>
    <row r="17939" spans="1:1" x14ac:dyDescent="0.2">
      <c r="A17939" t="s">
        <v>1633</v>
      </c>
    </row>
    <row r="17940" spans="1:1" x14ac:dyDescent="0.2">
      <c r="A17940" t="s">
        <v>3403</v>
      </c>
    </row>
    <row r="17941" spans="1:1" x14ac:dyDescent="0.2">
      <c r="A17941" t="s">
        <v>1635</v>
      </c>
    </row>
    <row r="17942" spans="1:1" x14ac:dyDescent="0.2">
      <c r="A17942" t="s">
        <v>3321</v>
      </c>
    </row>
    <row r="17943" spans="1:1" x14ac:dyDescent="0.2">
      <c r="A17943" t="s">
        <v>3404</v>
      </c>
    </row>
    <row r="17944" spans="1:1" x14ac:dyDescent="0.2">
      <c r="A17944" t="s">
        <v>3421</v>
      </c>
    </row>
    <row r="17945" spans="1:1" x14ac:dyDescent="0.2">
      <c r="A17945" t="s">
        <v>1607</v>
      </c>
    </row>
    <row r="17946" spans="1:1" x14ac:dyDescent="0.2">
      <c r="A17946" t="s">
        <v>1676</v>
      </c>
    </row>
    <row r="17947" spans="1:1" x14ac:dyDescent="0.2">
      <c r="A17947" t="s">
        <v>1677</v>
      </c>
    </row>
    <row r="17948" spans="1:1" x14ac:dyDescent="0.2">
      <c r="A17948" t="s">
        <v>1610</v>
      </c>
    </row>
    <row r="17949" spans="1:1" x14ac:dyDescent="0.2">
      <c r="A17949" t="s">
        <v>3713</v>
      </c>
    </row>
    <row r="17950" spans="1:1" x14ac:dyDescent="0.2">
      <c r="A17950" t="s">
        <v>3714</v>
      </c>
    </row>
    <row r="17951" spans="1:1" x14ac:dyDescent="0.2">
      <c r="A17951" t="s">
        <v>3715</v>
      </c>
    </row>
    <row r="17952" spans="1:1" x14ac:dyDescent="0.2">
      <c r="A17952" t="s">
        <v>3716</v>
      </c>
    </row>
    <row r="17953" spans="1:1" x14ac:dyDescent="0.2">
      <c r="A17953" t="s">
        <v>3717</v>
      </c>
    </row>
    <row r="17954" spans="1:1" x14ac:dyDescent="0.2">
      <c r="A17954" t="s">
        <v>3718</v>
      </c>
    </row>
    <row r="17955" spans="1:1" x14ac:dyDescent="0.2">
      <c r="A17955" t="s">
        <v>3719</v>
      </c>
    </row>
    <row r="17956" spans="1:1" x14ac:dyDescent="0.2">
      <c r="A17956" t="s">
        <v>3720</v>
      </c>
    </row>
    <row r="17957" spans="1:1" x14ac:dyDescent="0.2">
      <c r="A17957" t="s">
        <v>3721</v>
      </c>
    </row>
    <row r="17958" spans="1:1" x14ac:dyDescent="0.2">
      <c r="A17958" t="s">
        <v>3722</v>
      </c>
    </row>
    <row r="17959" spans="1:1" x14ac:dyDescent="0.2">
      <c r="A17959" t="s">
        <v>3723</v>
      </c>
    </row>
    <row r="17960" spans="1:1" x14ac:dyDescent="0.2">
      <c r="A17960" t="s">
        <v>3724</v>
      </c>
    </row>
    <row r="17961" spans="1:1" x14ac:dyDescent="0.2">
      <c r="A17961" t="s">
        <v>3725</v>
      </c>
    </row>
    <row r="17962" spans="1:1" x14ac:dyDescent="0.2">
      <c r="A17962" t="s">
        <v>3726</v>
      </c>
    </row>
    <row r="17963" spans="1:1" x14ac:dyDescent="0.2">
      <c r="A17963" t="s">
        <v>3727</v>
      </c>
    </row>
    <row r="17964" spans="1:1" x14ac:dyDescent="0.2">
      <c r="A17964" t="s">
        <v>3647</v>
      </c>
    </row>
    <row r="17965" spans="1:1" x14ac:dyDescent="0.2">
      <c r="A17965" t="s">
        <v>3648</v>
      </c>
    </row>
    <row r="17966" spans="1:1" x14ac:dyDescent="0.2">
      <c r="A17966" t="s">
        <v>3728</v>
      </c>
    </row>
    <row r="17967" spans="1:1" x14ac:dyDescent="0.2">
      <c r="A17967" t="s">
        <v>1663</v>
      </c>
    </row>
    <row r="17968" spans="1:1" x14ac:dyDescent="0.2">
      <c r="A17968" t="s">
        <v>3711</v>
      </c>
    </row>
    <row r="17969" spans="1:1" x14ac:dyDescent="0.2">
      <c r="A17969" t="s">
        <v>3712</v>
      </c>
    </row>
    <row r="17970" spans="1:1" x14ac:dyDescent="0.2">
      <c r="A17970" t="s">
        <v>1631</v>
      </c>
    </row>
    <row r="17971" spans="1:1" x14ac:dyDescent="0.2">
      <c r="A17971" t="s">
        <v>1673</v>
      </c>
    </row>
    <row r="17972" spans="1:1" x14ac:dyDescent="0.2">
      <c r="A17972" t="s">
        <v>3631</v>
      </c>
    </row>
    <row r="17973" spans="1:1" x14ac:dyDescent="0.2">
      <c r="A17973" t="s">
        <v>1600</v>
      </c>
    </row>
    <row r="17974" spans="1:1" x14ac:dyDescent="0.2">
      <c r="A17974" t="s">
        <v>1639</v>
      </c>
    </row>
    <row r="17975" spans="1:1" x14ac:dyDescent="0.2">
      <c r="A17975" t="s">
        <v>3403</v>
      </c>
    </row>
    <row r="17976" spans="1:1" x14ac:dyDescent="0.2">
      <c r="A17976" t="s">
        <v>1635</v>
      </c>
    </row>
    <row r="17977" spans="1:1" x14ac:dyDescent="0.2">
      <c r="A17977" t="s">
        <v>3321</v>
      </c>
    </row>
    <row r="17978" spans="1:1" x14ac:dyDescent="0.2">
      <c r="A17978" t="s">
        <v>3729</v>
      </c>
    </row>
    <row r="17979" spans="1:1" x14ac:dyDescent="0.2">
      <c r="A17979" t="s">
        <v>3421</v>
      </c>
    </row>
    <row r="17980" spans="1:1" x14ac:dyDescent="0.2">
      <c r="A17980" t="s">
        <v>1607</v>
      </c>
    </row>
    <row r="17981" spans="1:1" x14ac:dyDescent="0.2">
      <c r="A17981" t="s">
        <v>1676</v>
      </c>
    </row>
    <row r="17982" spans="1:1" x14ac:dyDescent="0.2">
      <c r="A17982" t="s">
        <v>1677</v>
      </c>
    </row>
    <row r="17983" spans="1:1" x14ac:dyDescent="0.2">
      <c r="A17983" t="s">
        <v>1610</v>
      </c>
    </row>
    <row r="17984" spans="1:1" x14ac:dyDescent="0.2">
      <c r="A17984" t="s">
        <v>3713</v>
      </c>
    </row>
    <row r="17985" spans="1:1" x14ac:dyDescent="0.2">
      <c r="A17985" t="s">
        <v>3714</v>
      </c>
    </row>
    <row r="17986" spans="1:1" x14ac:dyDescent="0.2">
      <c r="A17986" t="s">
        <v>3715</v>
      </c>
    </row>
    <row r="17987" spans="1:1" x14ac:dyDescent="0.2">
      <c r="A17987" t="s">
        <v>3716</v>
      </c>
    </row>
    <row r="17988" spans="1:1" x14ac:dyDescent="0.2">
      <c r="A17988" t="s">
        <v>3717</v>
      </c>
    </row>
    <row r="17989" spans="1:1" x14ac:dyDescent="0.2">
      <c r="A17989" t="s">
        <v>3718</v>
      </c>
    </row>
    <row r="17990" spans="1:1" x14ac:dyDescent="0.2">
      <c r="A17990" t="s">
        <v>3719</v>
      </c>
    </row>
    <row r="17991" spans="1:1" x14ac:dyDescent="0.2">
      <c r="A17991" t="s">
        <v>3720</v>
      </c>
    </row>
    <row r="17992" spans="1:1" x14ac:dyDescent="0.2">
      <c r="A17992" t="s">
        <v>3721</v>
      </c>
    </row>
    <row r="17993" spans="1:1" x14ac:dyDescent="0.2">
      <c r="A17993" t="s">
        <v>3722</v>
      </c>
    </row>
    <row r="17994" spans="1:1" x14ac:dyDescent="0.2">
      <c r="A17994" t="s">
        <v>3723</v>
      </c>
    </row>
    <row r="17995" spans="1:1" x14ac:dyDescent="0.2">
      <c r="A17995" t="s">
        <v>3724</v>
      </c>
    </row>
    <row r="17996" spans="1:1" x14ac:dyDescent="0.2">
      <c r="A17996" t="s">
        <v>3725</v>
      </c>
    </row>
    <row r="17997" spans="1:1" x14ac:dyDescent="0.2">
      <c r="A17997" t="s">
        <v>3726</v>
      </c>
    </row>
    <row r="17998" spans="1:1" x14ac:dyDescent="0.2">
      <c r="A17998" t="s">
        <v>3727</v>
      </c>
    </row>
    <row r="17999" spans="1:1" x14ac:dyDescent="0.2">
      <c r="A17999" t="s">
        <v>3647</v>
      </c>
    </row>
    <row r="18000" spans="1:1" x14ac:dyDescent="0.2">
      <c r="A18000" t="s">
        <v>3648</v>
      </c>
    </row>
    <row r="18001" spans="1:1" x14ac:dyDescent="0.2">
      <c r="A18001" t="s">
        <v>3730</v>
      </c>
    </row>
    <row r="18002" spans="1:1" x14ac:dyDescent="0.2">
      <c r="A18002" t="s">
        <v>1663</v>
      </c>
    </row>
    <row r="18003" spans="1:1" x14ac:dyDescent="0.2">
      <c r="A18003" t="s">
        <v>3711</v>
      </c>
    </row>
    <row r="18004" spans="1:1" x14ac:dyDescent="0.2">
      <c r="A18004" t="s">
        <v>3712</v>
      </c>
    </row>
    <row r="18005" spans="1:1" x14ac:dyDescent="0.2">
      <c r="A18005" t="s">
        <v>1631</v>
      </c>
    </row>
    <row r="18006" spans="1:1" x14ac:dyDescent="0.2">
      <c r="A18006" t="s">
        <v>1673</v>
      </c>
    </row>
    <row r="18007" spans="1:1" x14ac:dyDescent="0.2">
      <c r="A18007" t="s">
        <v>3631</v>
      </c>
    </row>
    <row r="18008" spans="1:1" x14ac:dyDescent="0.2">
      <c r="A18008" t="s">
        <v>1600</v>
      </c>
    </row>
    <row r="18009" spans="1:1" x14ac:dyDescent="0.2">
      <c r="A18009" t="s">
        <v>1601</v>
      </c>
    </row>
    <row r="18010" spans="1:1" x14ac:dyDescent="0.2">
      <c r="A18010" t="s">
        <v>3403</v>
      </c>
    </row>
    <row r="18011" spans="1:1" x14ac:dyDescent="0.2">
      <c r="A18011" t="s">
        <v>1635</v>
      </c>
    </row>
    <row r="18012" spans="1:1" x14ac:dyDescent="0.2">
      <c r="A18012" t="s">
        <v>3321</v>
      </c>
    </row>
    <row r="18013" spans="1:1" x14ac:dyDescent="0.2">
      <c r="A18013" t="s">
        <v>3729</v>
      </c>
    </row>
    <row r="18014" spans="1:1" x14ac:dyDescent="0.2">
      <c r="A18014" t="s">
        <v>3421</v>
      </c>
    </row>
    <row r="18015" spans="1:1" x14ac:dyDescent="0.2">
      <c r="A18015" t="s">
        <v>1607</v>
      </c>
    </row>
    <row r="18016" spans="1:1" x14ac:dyDescent="0.2">
      <c r="A18016" t="s">
        <v>1676</v>
      </c>
    </row>
    <row r="18017" spans="1:1" x14ac:dyDescent="0.2">
      <c r="A18017" t="s">
        <v>1677</v>
      </c>
    </row>
    <row r="18018" spans="1:1" x14ac:dyDescent="0.2">
      <c r="A18018" t="s">
        <v>1610</v>
      </c>
    </row>
    <row r="18019" spans="1:1" x14ac:dyDescent="0.2">
      <c r="A18019" t="s">
        <v>3713</v>
      </c>
    </row>
    <row r="18020" spans="1:1" x14ac:dyDescent="0.2">
      <c r="A18020" t="s">
        <v>3714</v>
      </c>
    </row>
    <row r="18021" spans="1:1" x14ac:dyDescent="0.2">
      <c r="A18021" t="s">
        <v>3715</v>
      </c>
    </row>
    <row r="18022" spans="1:1" x14ac:dyDescent="0.2">
      <c r="A18022" t="s">
        <v>3716</v>
      </c>
    </row>
    <row r="18023" spans="1:1" x14ac:dyDescent="0.2">
      <c r="A18023" t="s">
        <v>3717</v>
      </c>
    </row>
    <row r="18024" spans="1:1" x14ac:dyDescent="0.2">
      <c r="A18024" t="s">
        <v>3718</v>
      </c>
    </row>
    <row r="18025" spans="1:1" x14ac:dyDescent="0.2">
      <c r="A18025" t="s">
        <v>3719</v>
      </c>
    </row>
    <row r="18026" spans="1:1" x14ac:dyDescent="0.2">
      <c r="A18026" t="s">
        <v>3720</v>
      </c>
    </row>
    <row r="18027" spans="1:1" x14ac:dyDescent="0.2">
      <c r="A18027" t="s">
        <v>3721</v>
      </c>
    </row>
    <row r="18028" spans="1:1" x14ac:dyDescent="0.2">
      <c r="A18028" t="s">
        <v>3722</v>
      </c>
    </row>
    <row r="18029" spans="1:1" x14ac:dyDescent="0.2">
      <c r="A18029" t="s">
        <v>3723</v>
      </c>
    </row>
    <row r="18030" spans="1:1" x14ac:dyDescent="0.2">
      <c r="A18030" t="s">
        <v>3724</v>
      </c>
    </row>
    <row r="18031" spans="1:1" x14ac:dyDescent="0.2">
      <c r="A18031" t="s">
        <v>3725</v>
      </c>
    </row>
    <row r="18032" spans="1:1" x14ac:dyDescent="0.2">
      <c r="A18032" t="s">
        <v>3726</v>
      </c>
    </row>
    <row r="18033" spans="1:1" x14ac:dyDescent="0.2">
      <c r="A18033" t="s">
        <v>3727</v>
      </c>
    </row>
    <row r="18034" spans="1:1" x14ac:dyDescent="0.2">
      <c r="A18034" t="s">
        <v>3647</v>
      </c>
    </row>
    <row r="18035" spans="1:1" x14ac:dyDescent="0.2">
      <c r="A18035" t="s">
        <v>3648</v>
      </c>
    </row>
    <row r="18036" spans="1:1" x14ac:dyDescent="0.2">
      <c r="A18036" t="s">
        <v>3731</v>
      </c>
    </row>
    <row r="18037" spans="1:1" x14ac:dyDescent="0.2">
      <c r="A18037" t="s">
        <v>1663</v>
      </c>
    </row>
    <row r="18038" spans="1:1" x14ac:dyDescent="0.2">
      <c r="A18038" t="s">
        <v>3691</v>
      </c>
    </row>
    <row r="18039" spans="1:1" x14ac:dyDescent="0.2">
      <c r="A18039" t="s">
        <v>3732</v>
      </c>
    </row>
    <row r="18040" spans="1:1" x14ac:dyDescent="0.2">
      <c r="A18040" t="s">
        <v>1631</v>
      </c>
    </row>
    <row r="18041" spans="1:1" x14ac:dyDescent="0.2">
      <c r="A18041" t="s">
        <v>1673</v>
      </c>
    </row>
    <row r="18042" spans="1:1" x14ac:dyDescent="0.2">
      <c r="A18042" t="s">
        <v>3631</v>
      </c>
    </row>
    <row r="18043" spans="1:1" x14ac:dyDescent="0.2">
      <c r="A18043" t="s">
        <v>1600</v>
      </c>
    </row>
    <row r="18044" spans="1:1" x14ac:dyDescent="0.2">
      <c r="A18044" t="s">
        <v>1633</v>
      </c>
    </row>
    <row r="18045" spans="1:1" x14ac:dyDescent="0.2">
      <c r="A18045" t="s">
        <v>3403</v>
      </c>
    </row>
    <row r="18046" spans="1:1" x14ac:dyDescent="0.2">
      <c r="A18046" t="s">
        <v>1635</v>
      </c>
    </row>
    <row r="18047" spans="1:1" x14ac:dyDescent="0.2">
      <c r="A18047" t="s">
        <v>3321</v>
      </c>
    </row>
    <row r="18048" spans="1:1" x14ac:dyDescent="0.2">
      <c r="A18048" t="s">
        <v>3729</v>
      </c>
    </row>
    <row r="18049" spans="1:1" x14ac:dyDescent="0.2">
      <c r="A18049" t="s">
        <v>3421</v>
      </c>
    </row>
    <row r="18050" spans="1:1" x14ac:dyDescent="0.2">
      <c r="A18050" t="s">
        <v>1607</v>
      </c>
    </row>
    <row r="18051" spans="1:1" x14ac:dyDescent="0.2">
      <c r="A18051" t="s">
        <v>1676</v>
      </c>
    </row>
    <row r="18052" spans="1:1" x14ac:dyDescent="0.2">
      <c r="A18052" t="s">
        <v>1677</v>
      </c>
    </row>
    <row r="18053" spans="1:1" x14ac:dyDescent="0.2">
      <c r="A18053" t="s">
        <v>1610</v>
      </c>
    </row>
    <row r="18054" spans="1:1" x14ac:dyDescent="0.2">
      <c r="A18054" t="s">
        <v>3733</v>
      </c>
    </row>
    <row r="18055" spans="1:1" x14ac:dyDescent="0.2">
      <c r="A18055" t="s">
        <v>3734</v>
      </c>
    </row>
    <row r="18056" spans="1:1" x14ac:dyDescent="0.2">
      <c r="A18056" t="s">
        <v>3612</v>
      </c>
    </row>
    <row r="18057" spans="1:1" x14ac:dyDescent="0.2">
      <c r="A18057" t="s">
        <v>3656</v>
      </c>
    </row>
    <row r="18058" spans="1:1" x14ac:dyDescent="0.2">
      <c r="A18058" t="s">
        <v>3735</v>
      </c>
    </row>
    <row r="18059" spans="1:1" x14ac:dyDescent="0.2">
      <c r="A18059" t="s">
        <v>3736</v>
      </c>
    </row>
    <row r="18060" spans="1:1" x14ac:dyDescent="0.2">
      <c r="A18060" t="s">
        <v>3737</v>
      </c>
    </row>
    <row r="18061" spans="1:1" x14ac:dyDescent="0.2">
      <c r="A18061" t="s">
        <v>3738</v>
      </c>
    </row>
    <row r="18062" spans="1:1" x14ac:dyDescent="0.2">
      <c r="A18062" t="s">
        <v>3739</v>
      </c>
    </row>
    <row r="18063" spans="1:1" x14ac:dyDescent="0.2">
      <c r="A18063" t="s">
        <v>3740</v>
      </c>
    </row>
    <row r="18064" spans="1:1" x14ac:dyDescent="0.2">
      <c r="A18064" t="s">
        <v>3741</v>
      </c>
    </row>
    <row r="18065" spans="1:1" x14ac:dyDescent="0.2">
      <c r="A18065" t="s">
        <v>3742</v>
      </c>
    </row>
    <row r="18066" spans="1:1" x14ac:dyDescent="0.2">
      <c r="A18066" t="s">
        <v>3743</v>
      </c>
    </row>
    <row r="18067" spans="1:1" x14ac:dyDescent="0.2">
      <c r="A18067" t="s">
        <v>3744</v>
      </c>
    </row>
    <row r="18068" spans="1:1" x14ac:dyDescent="0.2">
      <c r="A18068" t="s">
        <v>3745</v>
      </c>
    </row>
    <row r="18069" spans="1:1" x14ac:dyDescent="0.2">
      <c r="A18069" t="s">
        <v>3647</v>
      </c>
    </row>
    <row r="18070" spans="1:1" x14ac:dyDescent="0.2">
      <c r="A18070" t="s">
        <v>3648</v>
      </c>
    </row>
    <row r="18071" spans="1:1" x14ac:dyDescent="0.2">
      <c r="A18071" t="s">
        <v>3746</v>
      </c>
    </row>
    <row r="18072" spans="1:1" x14ac:dyDescent="0.2">
      <c r="A18072" t="s">
        <v>1663</v>
      </c>
    </row>
    <row r="18073" spans="1:1" x14ac:dyDescent="0.2">
      <c r="A18073" t="s">
        <v>3691</v>
      </c>
    </row>
    <row r="18074" spans="1:1" x14ac:dyDescent="0.2">
      <c r="A18074" t="s">
        <v>3732</v>
      </c>
    </row>
    <row r="18075" spans="1:1" x14ac:dyDescent="0.2">
      <c r="A18075" t="s">
        <v>1631</v>
      </c>
    </row>
    <row r="18076" spans="1:1" x14ac:dyDescent="0.2">
      <c r="A18076" t="s">
        <v>1673</v>
      </c>
    </row>
    <row r="18077" spans="1:1" x14ac:dyDescent="0.2">
      <c r="A18077" t="s">
        <v>3631</v>
      </c>
    </row>
    <row r="18078" spans="1:1" x14ac:dyDescent="0.2">
      <c r="A18078" t="s">
        <v>1600</v>
      </c>
    </row>
    <row r="18079" spans="1:1" x14ac:dyDescent="0.2">
      <c r="A18079" t="s">
        <v>1639</v>
      </c>
    </row>
    <row r="18080" spans="1:1" x14ac:dyDescent="0.2">
      <c r="A18080" t="s">
        <v>3403</v>
      </c>
    </row>
    <row r="18081" spans="1:1" x14ac:dyDescent="0.2">
      <c r="A18081" t="s">
        <v>1635</v>
      </c>
    </row>
    <row r="18082" spans="1:1" x14ac:dyDescent="0.2">
      <c r="A18082" t="s">
        <v>3321</v>
      </c>
    </row>
    <row r="18083" spans="1:1" x14ac:dyDescent="0.2">
      <c r="A18083" t="s">
        <v>3404</v>
      </c>
    </row>
    <row r="18084" spans="1:1" x14ac:dyDescent="0.2">
      <c r="A18084" t="s">
        <v>3421</v>
      </c>
    </row>
    <row r="18085" spans="1:1" x14ac:dyDescent="0.2">
      <c r="A18085" t="s">
        <v>1607</v>
      </c>
    </row>
    <row r="18086" spans="1:1" x14ac:dyDescent="0.2">
      <c r="A18086" t="s">
        <v>1676</v>
      </c>
    </row>
    <row r="18087" spans="1:1" x14ac:dyDescent="0.2">
      <c r="A18087" t="s">
        <v>1677</v>
      </c>
    </row>
    <row r="18088" spans="1:1" x14ac:dyDescent="0.2">
      <c r="A18088" t="s">
        <v>1610</v>
      </c>
    </row>
    <row r="18089" spans="1:1" x14ac:dyDescent="0.2">
      <c r="A18089" t="s">
        <v>3733</v>
      </c>
    </row>
    <row r="18090" spans="1:1" x14ac:dyDescent="0.2">
      <c r="A18090" t="s">
        <v>3734</v>
      </c>
    </row>
    <row r="18091" spans="1:1" x14ac:dyDescent="0.2">
      <c r="A18091" t="s">
        <v>3612</v>
      </c>
    </row>
    <row r="18092" spans="1:1" x14ac:dyDescent="0.2">
      <c r="A18092" t="s">
        <v>3656</v>
      </c>
    </row>
    <row r="18093" spans="1:1" x14ac:dyDescent="0.2">
      <c r="A18093" t="s">
        <v>3735</v>
      </c>
    </row>
    <row r="18094" spans="1:1" x14ac:dyDescent="0.2">
      <c r="A18094" t="s">
        <v>3736</v>
      </c>
    </row>
    <row r="18095" spans="1:1" x14ac:dyDescent="0.2">
      <c r="A18095" t="s">
        <v>3737</v>
      </c>
    </row>
    <row r="18096" spans="1:1" x14ac:dyDescent="0.2">
      <c r="A18096" t="s">
        <v>3738</v>
      </c>
    </row>
    <row r="18097" spans="1:1" x14ac:dyDescent="0.2">
      <c r="A18097" t="s">
        <v>3739</v>
      </c>
    </row>
    <row r="18098" spans="1:1" x14ac:dyDescent="0.2">
      <c r="A18098" t="s">
        <v>3740</v>
      </c>
    </row>
    <row r="18099" spans="1:1" x14ac:dyDescent="0.2">
      <c r="A18099" t="s">
        <v>3741</v>
      </c>
    </row>
    <row r="18100" spans="1:1" x14ac:dyDescent="0.2">
      <c r="A18100" t="s">
        <v>3742</v>
      </c>
    </row>
    <row r="18101" spans="1:1" x14ac:dyDescent="0.2">
      <c r="A18101" t="s">
        <v>3743</v>
      </c>
    </row>
    <row r="18102" spans="1:1" x14ac:dyDescent="0.2">
      <c r="A18102" t="s">
        <v>3744</v>
      </c>
    </row>
    <row r="18103" spans="1:1" x14ac:dyDescent="0.2">
      <c r="A18103" t="s">
        <v>3745</v>
      </c>
    </row>
    <row r="18104" spans="1:1" x14ac:dyDescent="0.2">
      <c r="A18104" t="s">
        <v>3647</v>
      </c>
    </row>
    <row r="18105" spans="1:1" x14ac:dyDescent="0.2">
      <c r="A18105" t="s">
        <v>3648</v>
      </c>
    </row>
    <row r="18106" spans="1:1" x14ac:dyDescent="0.2">
      <c r="A18106" t="s">
        <v>3747</v>
      </c>
    </row>
    <row r="18107" spans="1:1" x14ac:dyDescent="0.2">
      <c r="A18107" t="s">
        <v>1663</v>
      </c>
    </row>
    <row r="18108" spans="1:1" x14ac:dyDescent="0.2">
      <c r="A18108" t="s">
        <v>3691</v>
      </c>
    </row>
    <row r="18109" spans="1:1" x14ac:dyDescent="0.2">
      <c r="A18109" t="s">
        <v>3732</v>
      </c>
    </row>
    <row r="18110" spans="1:1" x14ac:dyDescent="0.2">
      <c r="A18110" t="s">
        <v>1631</v>
      </c>
    </row>
    <row r="18111" spans="1:1" x14ac:dyDescent="0.2">
      <c r="A18111" t="s">
        <v>1673</v>
      </c>
    </row>
    <row r="18112" spans="1:1" x14ac:dyDescent="0.2">
      <c r="A18112" t="s">
        <v>3631</v>
      </c>
    </row>
    <row r="18113" spans="1:1" x14ac:dyDescent="0.2">
      <c r="A18113" t="s">
        <v>1600</v>
      </c>
    </row>
    <row r="18114" spans="1:1" x14ac:dyDescent="0.2">
      <c r="A18114" t="s">
        <v>1601</v>
      </c>
    </row>
    <row r="18115" spans="1:1" x14ac:dyDescent="0.2">
      <c r="A18115" t="s">
        <v>3403</v>
      </c>
    </row>
    <row r="18116" spans="1:1" x14ac:dyDescent="0.2">
      <c r="A18116" t="s">
        <v>1635</v>
      </c>
    </row>
    <row r="18117" spans="1:1" x14ac:dyDescent="0.2">
      <c r="A18117" t="s">
        <v>3321</v>
      </c>
    </row>
    <row r="18118" spans="1:1" x14ac:dyDescent="0.2">
      <c r="A18118" t="s">
        <v>3404</v>
      </c>
    </row>
    <row r="18119" spans="1:1" x14ac:dyDescent="0.2">
      <c r="A18119" t="s">
        <v>3421</v>
      </c>
    </row>
    <row r="18120" spans="1:1" x14ac:dyDescent="0.2">
      <c r="A18120" t="s">
        <v>1607</v>
      </c>
    </row>
    <row r="18121" spans="1:1" x14ac:dyDescent="0.2">
      <c r="A18121" t="s">
        <v>1676</v>
      </c>
    </row>
    <row r="18122" spans="1:1" x14ac:dyDescent="0.2">
      <c r="A18122" t="s">
        <v>1677</v>
      </c>
    </row>
    <row r="18123" spans="1:1" x14ac:dyDescent="0.2">
      <c r="A18123" t="s">
        <v>1610</v>
      </c>
    </row>
    <row r="18124" spans="1:1" x14ac:dyDescent="0.2">
      <c r="A18124" t="s">
        <v>3733</v>
      </c>
    </row>
    <row r="18125" spans="1:1" x14ac:dyDescent="0.2">
      <c r="A18125" t="s">
        <v>3734</v>
      </c>
    </row>
    <row r="18126" spans="1:1" x14ac:dyDescent="0.2">
      <c r="A18126" t="s">
        <v>3612</v>
      </c>
    </row>
    <row r="18127" spans="1:1" x14ac:dyDescent="0.2">
      <c r="A18127" t="s">
        <v>3656</v>
      </c>
    </row>
    <row r="18128" spans="1:1" x14ac:dyDescent="0.2">
      <c r="A18128" t="s">
        <v>3735</v>
      </c>
    </row>
    <row r="18129" spans="1:1" x14ac:dyDescent="0.2">
      <c r="A18129" t="s">
        <v>3736</v>
      </c>
    </row>
    <row r="18130" spans="1:1" x14ac:dyDescent="0.2">
      <c r="A18130" t="s">
        <v>3737</v>
      </c>
    </row>
    <row r="18131" spans="1:1" x14ac:dyDescent="0.2">
      <c r="A18131" t="s">
        <v>3738</v>
      </c>
    </row>
    <row r="18132" spans="1:1" x14ac:dyDescent="0.2">
      <c r="A18132" t="s">
        <v>3739</v>
      </c>
    </row>
    <row r="18133" spans="1:1" x14ac:dyDescent="0.2">
      <c r="A18133" t="s">
        <v>3740</v>
      </c>
    </row>
    <row r="18134" spans="1:1" x14ac:dyDescent="0.2">
      <c r="A18134" t="s">
        <v>3741</v>
      </c>
    </row>
    <row r="18135" spans="1:1" x14ac:dyDescent="0.2">
      <c r="A18135" t="s">
        <v>3742</v>
      </c>
    </row>
    <row r="18136" spans="1:1" x14ac:dyDescent="0.2">
      <c r="A18136" t="s">
        <v>3743</v>
      </c>
    </row>
    <row r="18137" spans="1:1" x14ac:dyDescent="0.2">
      <c r="A18137" t="s">
        <v>3744</v>
      </c>
    </row>
    <row r="18138" spans="1:1" x14ac:dyDescent="0.2">
      <c r="A18138" t="s">
        <v>3745</v>
      </c>
    </row>
    <row r="18139" spans="1:1" x14ac:dyDescent="0.2">
      <c r="A18139" t="s">
        <v>3647</v>
      </c>
    </row>
    <row r="18140" spans="1:1" x14ac:dyDescent="0.2">
      <c r="A18140" t="s">
        <v>3648</v>
      </c>
    </row>
    <row r="18141" spans="1:1" x14ac:dyDescent="0.2">
      <c r="A18141" t="s">
        <v>3748</v>
      </c>
    </row>
    <row r="18142" spans="1:1" x14ac:dyDescent="0.2">
      <c r="A18142" t="s">
        <v>1594</v>
      </c>
    </row>
    <row r="18143" spans="1:1" x14ac:dyDescent="0.2">
      <c r="A18143" t="s">
        <v>1595</v>
      </c>
    </row>
    <row r="18144" spans="1:1" x14ac:dyDescent="0.2">
      <c r="A18144" t="s">
        <v>3439</v>
      </c>
    </row>
    <row r="18145" spans="1:1" x14ac:dyDescent="0.2">
      <c r="A18145" t="s">
        <v>1597</v>
      </c>
    </row>
    <row r="18146" spans="1:1" x14ac:dyDescent="0.2">
      <c r="A18146" t="s">
        <v>1598</v>
      </c>
    </row>
    <row r="18147" spans="1:1" x14ac:dyDescent="0.2">
      <c r="A18147" t="s">
        <v>1599</v>
      </c>
    </row>
    <row r="18148" spans="1:1" x14ac:dyDescent="0.2">
      <c r="A18148" t="s">
        <v>1600</v>
      </c>
    </row>
    <row r="18149" spans="1:1" x14ac:dyDescent="0.2">
      <c r="A18149" t="s">
        <v>1601</v>
      </c>
    </row>
    <row r="18150" spans="1:1" x14ac:dyDescent="0.2">
      <c r="A18150" t="s">
        <v>1602</v>
      </c>
    </row>
    <row r="18151" spans="1:1" x14ac:dyDescent="0.2">
      <c r="A18151" t="s">
        <v>1603</v>
      </c>
    </row>
    <row r="18152" spans="1:1" x14ac:dyDescent="0.2">
      <c r="A18152" t="s">
        <v>1604</v>
      </c>
    </row>
    <row r="18153" spans="1:1" x14ac:dyDescent="0.2">
      <c r="A18153" t="s">
        <v>1605</v>
      </c>
    </row>
    <row r="18154" spans="1:1" x14ac:dyDescent="0.2">
      <c r="A18154" t="s">
        <v>1606</v>
      </c>
    </row>
    <row r="18155" spans="1:1" x14ac:dyDescent="0.2">
      <c r="A18155" t="s">
        <v>1607</v>
      </c>
    </row>
    <row r="18156" spans="1:1" x14ac:dyDescent="0.2">
      <c r="A18156" t="s">
        <v>1608</v>
      </c>
    </row>
    <row r="18157" spans="1:1" x14ac:dyDescent="0.2">
      <c r="A18157" t="s">
        <v>1609</v>
      </c>
    </row>
    <row r="18158" spans="1:1" x14ac:dyDescent="0.2">
      <c r="A18158" t="s">
        <v>1610</v>
      </c>
    </row>
    <row r="18159" spans="1:1" x14ac:dyDescent="0.2">
      <c r="A18159" t="s">
        <v>1611</v>
      </c>
    </row>
    <row r="18160" spans="1:1" x14ac:dyDescent="0.2">
      <c r="A18160" t="s">
        <v>1612</v>
      </c>
    </row>
    <row r="18161" spans="1:1" x14ac:dyDescent="0.2">
      <c r="A18161" t="s">
        <v>1613</v>
      </c>
    </row>
    <row r="18162" spans="1:1" x14ac:dyDescent="0.2">
      <c r="A18162" t="s">
        <v>1614</v>
      </c>
    </row>
    <row r="18163" spans="1:1" x14ac:dyDescent="0.2">
      <c r="A18163" t="s">
        <v>1615</v>
      </c>
    </row>
    <row r="18164" spans="1:1" x14ac:dyDescent="0.2">
      <c r="A18164" t="s">
        <v>1616</v>
      </c>
    </row>
    <row r="18165" spans="1:1" x14ac:dyDescent="0.2">
      <c r="A18165" t="s">
        <v>1617</v>
      </c>
    </row>
    <row r="18166" spans="1:1" x14ac:dyDescent="0.2">
      <c r="A18166" t="s">
        <v>1618</v>
      </c>
    </row>
    <row r="18167" spans="1:1" x14ac:dyDescent="0.2">
      <c r="A18167" t="s">
        <v>1619</v>
      </c>
    </row>
    <row r="18168" spans="1:1" x14ac:dyDescent="0.2">
      <c r="A18168" t="s">
        <v>1620</v>
      </c>
    </row>
    <row r="18169" spans="1:1" x14ac:dyDescent="0.2">
      <c r="A18169" t="s">
        <v>1621</v>
      </c>
    </row>
    <row r="18170" spans="1:1" x14ac:dyDescent="0.2">
      <c r="A18170" t="s">
        <v>1622</v>
      </c>
    </row>
    <row r="18171" spans="1:1" x14ac:dyDescent="0.2">
      <c r="A18171" t="s">
        <v>1623</v>
      </c>
    </row>
    <row r="18172" spans="1:1" x14ac:dyDescent="0.2">
      <c r="A18172" t="s">
        <v>1624</v>
      </c>
    </row>
    <row r="18173" spans="1:1" x14ac:dyDescent="0.2">
      <c r="A18173" t="s">
        <v>1625</v>
      </c>
    </row>
    <row r="18174" spans="1:1" x14ac:dyDescent="0.2">
      <c r="A18174" t="s">
        <v>1626</v>
      </c>
    </row>
    <row r="18175" spans="1:1" x14ac:dyDescent="0.2">
      <c r="A18175" t="s">
        <v>1627</v>
      </c>
    </row>
    <row r="18176" spans="1:1" x14ac:dyDescent="0.2">
      <c r="A18176" t="s">
        <v>3749</v>
      </c>
    </row>
    <row r="18177" spans="1:1" x14ac:dyDescent="0.2">
      <c r="A18177" t="s">
        <v>1663</v>
      </c>
    </row>
    <row r="18178" spans="1:1" x14ac:dyDescent="0.2">
      <c r="A18178" t="s">
        <v>1642</v>
      </c>
    </row>
    <row r="18179" spans="1:1" x14ac:dyDescent="0.2">
      <c r="A18179" t="s">
        <v>1683</v>
      </c>
    </row>
    <row r="18180" spans="1:1" x14ac:dyDescent="0.2">
      <c r="A18180" t="s">
        <v>1652</v>
      </c>
    </row>
    <row r="18181" spans="1:1" x14ac:dyDescent="0.2">
      <c r="A18181" t="s">
        <v>1673</v>
      </c>
    </row>
    <row r="18182" spans="1:1" x14ac:dyDescent="0.2">
      <c r="A18182" t="s">
        <v>3631</v>
      </c>
    </row>
    <row r="18183" spans="1:1" x14ac:dyDescent="0.2">
      <c r="A18183" t="s">
        <v>1600</v>
      </c>
    </row>
    <row r="18184" spans="1:1" x14ac:dyDescent="0.2">
      <c r="A18184" t="s">
        <v>1633</v>
      </c>
    </row>
    <row r="18185" spans="1:1" x14ac:dyDescent="0.2">
      <c r="A18185" t="s">
        <v>3403</v>
      </c>
    </row>
    <row r="18186" spans="1:1" x14ac:dyDescent="0.2">
      <c r="A18186" t="s">
        <v>1635</v>
      </c>
    </row>
    <row r="18187" spans="1:1" x14ac:dyDescent="0.2">
      <c r="A18187" t="s">
        <v>3321</v>
      </c>
    </row>
    <row r="18188" spans="1:1" x14ac:dyDescent="0.2">
      <c r="A18188" t="s">
        <v>3750</v>
      </c>
    </row>
    <row r="18189" spans="1:1" x14ac:dyDescent="0.2">
      <c r="A18189" t="s">
        <v>3421</v>
      </c>
    </row>
    <row r="18190" spans="1:1" x14ac:dyDescent="0.2">
      <c r="A18190" t="s">
        <v>1607</v>
      </c>
    </row>
    <row r="18191" spans="1:1" x14ac:dyDescent="0.2">
      <c r="A18191" t="s">
        <v>1676</v>
      </c>
    </row>
    <row r="18192" spans="1:1" x14ac:dyDescent="0.2">
      <c r="A18192" t="s">
        <v>1677</v>
      </c>
    </row>
    <row r="18193" spans="1:1" x14ac:dyDescent="0.2">
      <c r="A18193" t="s">
        <v>1610</v>
      </c>
    </row>
    <row r="18194" spans="1:1" x14ac:dyDescent="0.2">
      <c r="A18194" t="s">
        <v>3751</v>
      </c>
    </row>
    <row r="18195" spans="1:1" x14ac:dyDescent="0.2">
      <c r="A18195" t="s">
        <v>3752</v>
      </c>
    </row>
    <row r="18196" spans="1:1" x14ac:dyDescent="0.2">
      <c r="A18196" t="s">
        <v>3753</v>
      </c>
    </row>
    <row r="18197" spans="1:1" x14ac:dyDescent="0.2">
      <c r="A18197" t="s">
        <v>3754</v>
      </c>
    </row>
    <row r="18198" spans="1:1" x14ac:dyDescent="0.2">
      <c r="A18198" t="s">
        <v>3755</v>
      </c>
    </row>
    <row r="18199" spans="1:1" x14ac:dyDescent="0.2">
      <c r="A18199" t="s">
        <v>3756</v>
      </c>
    </row>
    <row r="18200" spans="1:1" x14ac:dyDescent="0.2">
      <c r="A18200" t="s">
        <v>3757</v>
      </c>
    </row>
    <row r="18201" spans="1:1" x14ac:dyDescent="0.2">
      <c r="A18201" t="s">
        <v>3758</v>
      </c>
    </row>
    <row r="18202" spans="1:1" x14ac:dyDescent="0.2">
      <c r="A18202" t="s">
        <v>3759</v>
      </c>
    </row>
    <row r="18203" spans="1:1" x14ac:dyDescent="0.2">
      <c r="A18203" t="s">
        <v>3760</v>
      </c>
    </row>
    <row r="18204" spans="1:1" x14ac:dyDescent="0.2">
      <c r="A18204" t="s">
        <v>3580</v>
      </c>
    </row>
    <row r="18205" spans="1:1" x14ac:dyDescent="0.2">
      <c r="A18205" t="s">
        <v>1685</v>
      </c>
    </row>
    <row r="18206" spans="1:1" x14ac:dyDescent="0.2">
      <c r="A18206" t="s">
        <v>1686</v>
      </c>
    </row>
    <row r="18207" spans="1:1" x14ac:dyDescent="0.2">
      <c r="A18207" t="s">
        <v>1687</v>
      </c>
    </row>
    <row r="18208" spans="1:1" x14ac:dyDescent="0.2">
      <c r="A18208" t="s">
        <v>1688</v>
      </c>
    </row>
    <row r="18209" spans="1:1" x14ac:dyDescent="0.2">
      <c r="A18209" t="s">
        <v>3647</v>
      </c>
    </row>
    <row r="18210" spans="1:1" x14ac:dyDescent="0.2">
      <c r="A18210" t="s">
        <v>3648</v>
      </c>
    </row>
    <row r="18211" spans="1:1" x14ac:dyDescent="0.2">
      <c r="A18211" t="s">
        <v>3761</v>
      </c>
    </row>
    <row r="18212" spans="1:1" x14ac:dyDescent="0.2">
      <c r="A18212" t="s">
        <v>1663</v>
      </c>
    </row>
    <row r="18213" spans="1:1" x14ac:dyDescent="0.2">
      <c r="A18213" t="s">
        <v>1642</v>
      </c>
    </row>
    <row r="18214" spans="1:1" x14ac:dyDescent="0.2">
      <c r="A18214" t="s">
        <v>1683</v>
      </c>
    </row>
    <row r="18215" spans="1:1" x14ac:dyDescent="0.2">
      <c r="A18215" t="s">
        <v>1652</v>
      </c>
    </row>
    <row r="18216" spans="1:1" x14ac:dyDescent="0.2">
      <c r="A18216" t="s">
        <v>1673</v>
      </c>
    </row>
    <row r="18217" spans="1:1" x14ac:dyDescent="0.2">
      <c r="A18217" t="s">
        <v>3631</v>
      </c>
    </row>
    <row r="18218" spans="1:1" x14ac:dyDescent="0.2">
      <c r="A18218" t="s">
        <v>1600</v>
      </c>
    </row>
    <row r="18219" spans="1:1" x14ac:dyDescent="0.2">
      <c r="A18219" t="s">
        <v>1639</v>
      </c>
    </row>
    <row r="18220" spans="1:1" x14ac:dyDescent="0.2">
      <c r="A18220" t="s">
        <v>3403</v>
      </c>
    </row>
    <row r="18221" spans="1:1" x14ac:dyDescent="0.2">
      <c r="A18221" t="s">
        <v>1635</v>
      </c>
    </row>
    <row r="18222" spans="1:1" x14ac:dyDescent="0.2">
      <c r="A18222" t="s">
        <v>3321</v>
      </c>
    </row>
    <row r="18223" spans="1:1" x14ac:dyDescent="0.2">
      <c r="A18223" t="s">
        <v>3750</v>
      </c>
    </row>
    <row r="18224" spans="1:1" x14ac:dyDescent="0.2">
      <c r="A18224" t="s">
        <v>3421</v>
      </c>
    </row>
    <row r="18225" spans="1:1" x14ac:dyDescent="0.2">
      <c r="A18225" t="s">
        <v>1607</v>
      </c>
    </row>
    <row r="18226" spans="1:1" x14ac:dyDescent="0.2">
      <c r="A18226" t="s">
        <v>1676</v>
      </c>
    </row>
    <row r="18227" spans="1:1" x14ac:dyDescent="0.2">
      <c r="A18227" t="s">
        <v>1677</v>
      </c>
    </row>
    <row r="18228" spans="1:1" x14ac:dyDescent="0.2">
      <c r="A18228" t="s">
        <v>1610</v>
      </c>
    </row>
    <row r="18229" spans="1:1" x14ac:dyDescent="0.2">
      <c r="A18229" t="s">
        <v>3751</v>
      </c>
    </row>
    <row r="18230" spans="1:1" x14ac:dyDescent="0.2">
      <c r="A18230" t="s">
        <v>3752</v>
      </c>
    </row>
    <row r="18231" spans="1:1" x14ac:dyDescent="0.2">
      <c r="A18231" t="s">
        <v>3753</v>
      </c>
    </row>
    <row r="18232" spans="1:1" x14ac:dyDescent="0.2">
      <c r="A18232" t="s">
        <v>3754</v>
      </c>
    </row>
    <row r="18233" spans="1:1" x14ac:dyDescent="0.2">
      <c r="A18233" t="s">
        <v>3755</v>
      </c>
    </row>
    <row r="18234" spans="1:1" x14ac:dyDescent="0.2">
      <c r="A18234" t="s">
        <v>3756</v>
      </c>
    </row>
    <row r="18235" spans="1:1" x14ac:dyDescent="0.2">
      <c r="A18235" t="s">
        <v>3757</v>
      </c>
    </row>
    <row r="18236" spans="1:1" x14ac:dyDescent="0.2">
      <c r="A18236" t="s">
        <v>3758</v>
      </c>
    </row>
    <row r="18237" spans="1:1" x14ac:dyDescent="0.2">
      <c r="A18237" t="s">
        <v>3759</v>
      </c>
    </row>
    <row r="18238" spans="1:1" x14ac:dyDescent="0.2">
      <c r="A18238" t="s">
        <v>3760</v>
      </c>
    </row>
    <row r="18239" spans="1:1" x14ac:dyDescent="0.2">
      <c r="A18239" t="s">
        <v>3580</v>
      </c>
    </row>
    <row r="18240" spans="1:1" x14ac:dyDescent="0.2">
      <c r="A18240" t="s">
        <v>1685</v>
      </c>
    </row>
    <row r="18241" spans="1:1" x14ac:dyDescent="0.2">
      <c r="A18241" t="s">
        <v>1686</v>
      </c>
    </row>
    <row r="18242" spans="1:1" x14ac:dyDescent="0.2">
      <c r="A18242" t="s">
        <v>1687</v>
      </c>
    </row>
    <row r="18243" spans="1:1" x14ac:dyDescent="0.2">
      <c r="A18243" t="s">
        <v>1688</v>
      </c>
    </row>
    <row r="18244" spans="1:1" x14ac:dyDescent="0.2">
      <c r="A18244" t="s">
        <v>3647</v>
      </c>
    </row>
    <row r="18245" spans="1:1" x14ac:dyDescent="0.2">
      <c r="A18245" t="s">
        <v>3648</v>
      </c>
    </row>
    <row r="18246" spans="1:1" x14ac:dyDescent="0.2">
      <c r="A18246" t="s">
        <v>3762</v>
      </c>
    </row>
    <row r="18247" spans="1:1" x14ac:dyDescent="0.2">
      <c r="A18247" t="s">
        <v>1663</v>
      </c>
    </row>
    <row r="18248" spans="1:1" x14ac:dyDescent="0.2">
      <c r="A18248" t="s">
        <v>1642</v>
      </c>
    </row>
    <row r="18249" spans="1:1" x14ac:dyDescent="0.2">
      <c r="A18249" t="s">
        <v>1683</v>
      </c>
    </row>
    <row r="18250" spans="1:1" x14ac:dyDescent="0.2">
      <c r="A18250" t="s">
        <v>1652</v>
      </c>
    </row>
    <row r="18251" spans="1:1" x14ac:dyDescent="0.2">
      <c r="A18251" t="s">
        <v>1673</v>
      </c>
    </row>
    <row r="18252" spans="1:1" x14ac:dyDescent="0.2">
      <c r="A18252" t="s">
        <v>3631</v>
      </c>
    </row>
    <row r="18253" spans="1:1" x14ac:dyDescent="0.2">
      <c r="A18253" t="s">
        <v>1600</v>
      </c>
    </row>
    <row r="18254" spans="1:1" x14ac:dyDescent="0.2">
      <c r="A18254" t="s">
        <v>1601</v>
      </c>
    </row>
    <row r="18255" spans="1:1" x14ac:dyDescent="0.2">
      <c r="A18255" t="s">
        <v>3403</v>
      </c>
    </row>
    <row r="18256" spans="1:1" x14ac:dyDescent="0.2">
      <c r="A18256" t="s">
        <v>1635</v>
      </c>
    </row>
    <row r="18257" spans="1:1" x14ac:dyDescent="0.2">
      <c r="A18257" t="s">
        <v>3321</v>
      </c>
    </row>
    <row r="18258" spans="1:1" x14ac:dyDescent="0.2">
      <c r="A18258" t="s">
        <v>3750</v>
      </c>
    </row>
    <row r="18259" spans="1:1" x14ac:dyDescent="0.2">
      <c r="A18259" t="s">
        <v>3421</v>
      </c>
    </row>
    <row r="18260" spans="1:1" x14ac:dyDescent="0.2">
      <c r="A18260" t="s">
        <v>1607</v>
      </c>
    </row>
    <row r="18261" spans="1:1" x14ac:dyDescent="0.2">
      <c r="A18261" t="s">
        <v>1676</v>
      </c>
    </row>
    <row r="18262" spans="1:1" x14ac:dyDescent="0.2">
      <c r="A18262" t="s">
        <v>1677</v>
      </c>
    </row>
    <row r="18263" spans="1:1" x14ac:dyDescent="0.2">
      <c r="A18263" t="s">
        <v>1610</v>
      </c>
    </row>
    <row r="18264" spans="1:1" x14ac:dyDescent="0.2">
      <c r="A18264" t="s">
        <v>3751</v>
      </c>
    </row>
    <row r="18265" spans="1:1" x14ac:dyDescent="0.2">
      <c r="A18265" t="s">
        <v>3752</v>
      </c>
    </row>
    <row r="18266" spans="1:1" x14ac:dyDescent="0.2">
      <c r="A18266" t="s">
        <v>3753</v>
      </c>
    </row>
    <row r="18267" spans="1:1" x14ac:dyDescent="0.2">
      <c r="A18267" t="s">
        <v>3754</v>
      </c>
    </row>
    <row r="18268" spans="1:1" x14ac:dyDescent="0.2">
      <c r="A18268" t="s">
        <v>3755</v>
      </c>
    </row>
    <row r="18269" spans="1:1" x14ac:dyDescent="0.2">
      <c r="A18269" t="s">
        <v>3756</v>
      </c>
    </row>
    <row r="18270" spans="1:1" x14ac:dyDescent="0.2">
      <c r="A18270" t="s">
        <v>3757</v>
      </c>
    </row>
    <row r="18271" spans="1:1" x14ac:dyDescent="0.2">
      <c r="A18271" t="s">
        <v>3758</v>
      </c>
    </row>
    <row r="18272" spans="1:1" x14ac:dyDescent="0.2">
      <c r="A18272" t="s">
        <v>3759</v>
      </c>
    </row>
    <row r="18273" spans="1:1" x14ac:dyDescent="0.2">
      <c r="A18273" t="s">
        <v>3760</v>
      </c>
    </row>
    <row r="18274" spans="1:1" x14ac:dyDescent="0.2">
      <c r="A18274" t="s">
        <v>3580</v>
      </c>
    </row>
    <row r="18275" spans="1:1" x14ac:dyDescent="0.2">
      <c r="A18275" t="s">
        <v>1685</v>
      </c>
    </row>
    <row r="18276" spans="1:1" x14ac:dyDescent="0.2">
      <c r="A18276" t="s">
        <v>1686</v>
      </c>
    </row>
    <row r="18277" spans="1:1" x14ac:dyDescent="0.2">
      <c r="A18277" t="s">
        <v>1687</v>
      </c>
    </row>
    <row r="18278" spans="1:1" x14ac:dyDescent="0.2">
      <c r="A18278" t="s">
        <v>1688</v>
      </c>
    </row>
    <row r="18279" spans="1:1" x14ac:dyDescent="0.2">
      <c r="A18279" t="s">
        <v>3647</v>
      </c>
    </row>
    <row r="18280" spans="1:1" x14ac:dyDescent="0.2">
      <c r="A18280" t="s">
        <v>3648</v>
      </c>
    </row>
    <row r="18281" spans="1:1" x14ac:dyDescent="0.2">
      <c r="A18281" t="s">
        <v>3763</v>
      </c>
    </row>
    <row r="18282" spans="1:1" x14ac:dyDescent="0.2">
      <c r="A18282" t="s">
        <v>1594</v>
      </c>
    </row>
    <row r="18283" spans="1:1" x14ac:dyDescent="0.2">
      <c r="A18283" t="s">
        <v>1642</v>
      </c>
    </row>
    <row r="18284" spans="1:1" x14ac:dyDescent="0.2">
      <c r="A18284" t="s">
        <v>3764</v>
      </c>
    </row>
    <row r="18285" spans="1:1" x14ac:dyDescent="0.2">
      <c r="A18285" t="s">
        <v>1652</v>
      </c>
    </row>
    <row r="18286" spans="1:1" x14ac:dyDescent="0.2">
      <c r="A18286" t="s">
        <v>3318</v>
      </c>
    </row>
    <row r="18287" spans="1:1" x14ac:dyDescent="0.2">
      <c r="A18287" t="s">
        <v>3631</v>
      </c>
    </row>
    <row r="18288" spans="1:1" x14ac:dyDescent="0.2">
      <c r="A18288" t="s">
        <v>1600</v>
      </c>
    </row>
    <row r="18289" spans="1:1" x14ac:dyDescent="0.2">
      <c r="A18289" t="s">
        <v>1633</v>
      </c>
    </row>
    <row r="18290" spans="1:1" x14ac:dyDescent="0.2">
      <c r="A18290" t="s">
        <v>3403</v>
      </c>
    </row>
    <row r="18291" spans="1:1" x14ac:dyDescent="0.2">
      <c r="A18291" t="s">
        <v>1635</v>
      </c>
    </row>
    <row r="18292" spans="1:1" x14ac:dyDescent="0.2">
      <c r="A18292" t="s">
        <v>3321</v>
      </c>
    </row>
    <row r="18293" spans="1:1" x14ac:dyDescent="0.2">
      <c r="A18293" t="s">
        <v>1605</v>
      </c>
    </row>
    <row r="18294" spans="1:1" x14ac:dyDescent="0.2">
      <c r="A18294" t="s">
        <v>1606</v>
      </c>
    </row>
    <row r="18295" spans="1:1" x14ac:dyDescent="0.2">
      <c r="A18295" t="s">
        <v>1607</v>
      </c>
    </row>
    <row r="18296" spans="1:1" x14ac:dyDescent="0.2">
      <c r="A18296" t="s">
        <v>1676</v>
      </c>
    </row>
    <row r="18297" spans="1:1" x14ac:dyDescent="0.2">
      <c r="A18297" t="s">
        <v>1677</v>
      </c>
    </row>
    <row r="18298" spans="1:1" x14ac:dyDescent="0.2">
      <c r="A18298" t="s">
        <v>1610</v>
      </c>
    </row>
    <row r="18299" spans="1:1" x14ac:dyDescent="0.2">
      <c r="A18299" t="s">
        <v>3765</v>
      </c>
    </row>
    <row r="18300" spans="1:1" x14ac:dyDescent="0.2">
      <c r="A18300" t="s">
        <v>3766</v>
      </c>
    </row>
    <row r="18301" spans="1:1" x14ac:dyDescent="0.2">
      <c r="A18301" t="s">
        <v>3767</v>
      </c>
    </row>
    <row r="18302" spans="1:1" x14ac:dyDescent="0.2">
      <c r="A18302" t="s">
        <v>3768</v>
      </c>
    </row>
    <row r="18303" spans="1:1" x14ac:dyDescent="0.2">
      <c r="A18303" t="s">
        <v>3769</v>
      </c>
    </row>
    <row r="18304" spans="1:1" x14ac:dyDescent="0.2">
      <c r="A18304" t="s">
        <v>3770</v>
      </c>
    </row>
    <row r="18305" spans="1:1" x14ac:dyDescent="0.2">
      <c r="A18305" t="s">
        <v>3771</v>
      </c>
    </row>
    <row r="18306" spans="1:1" x14ac:dyDescent="0.2">
      <c r="A18306" t="s">
        <v>3772</v>
      </c>
    </row>
    <row r="18307" spans="1:1" x14ac:dyDescent="0.2">
      <c r="A18307" t="s">
        <v>3773</v>
      </c>
    </row>
    <row r="18308" spans="1:1" x14ac:dyDescent="0.2">
      <c r="A18308" t="s">
        <v>3774</v>
      </c>
    </row>
    <row r="18309" spans="1:1" x14ac:dyDescent="0.2">
      <c r="A18309" t="s">
        <v>3580</v>
      </c>
    </row>
    <row r="18310" spans="1:1" x14ac:dyDescent="0.2">
      <c r="A18310" t="s">
        <v>3775</v>
      </c>
    </row>
    <row r="18311" spans="1:1" x14ac:dyDescent="0.2">
      <c r="A18311" t="s">
        <v>3776</v>
      </c>
    </row>
    <row r="18312" spans="1:1" x14ac:dyDescent="0.2">
      <c r="A18312" t="s">
        <v>3777</v>
      </c>
    </row>
    <row r="18313" spans="1:1" x14ac:dyDescent="0.2">
      <c r="A18313" t="s">
        <v>3778</v>
      </c>
    </row>
    <row r="18314" spans="1:1" x14ac:dyDescent="0.2">
      <c r="A18314" t="s">
        <v>3647</v>
      </c>
    </row>
    <row r="18315" spans="1:1" x14ac:dyDescent="0.2">
      <c r="A18315" t="s">
        <v>3648</v>
      </c>
    </row>
    <row r="18316" spans="1:1" x14ac:dyDescent="0.2">
      <c r="A18316" t="s">
        <v>3779</v>
      </c>
    </row>
    <row r="18317" spans="1:1" x14ac:dyDescent="0.2">
      <c r="A18317" t="s">
        <v>1594</v>
      </c>
    </row>
    <row r="18318" spans="1:1" x14ac:dyDescent="0.2">
      <c r="A18318" t="s">
        <v>1642</v>
      </c>
    </row>
    <row r="18319" spans="1:1" x14ac:dyDescent="0.2">
      <c r="A18319" t="s">
        <v>3764</v>
      </c>
    </row>
    <row r="18320" spans="1:1" x14ac:dyDescent="0.2">
      <c r="A18320" t="s">
        <v>1652</v>
      </c>
    </row>
    <row r="18321" spans="1:1" x14ac:dyDescent="0.2">
      <c r="A18321" t="s">
        <v>3318</v>
      </c>
    </row>
    <row r="18322" spans="1:1" x14ac:dyDescent="0.2">
      <c r="A18322" t="s">
        <v>3631</v>
      </c>
    </row>
    <row r="18323" spans="1:1" x14ac:dyDescent="0.2">
      <c r="A18323" t="s">
        <v>1600</v>
      </c>
    </row>
    <row r="18324" spans="1:1" x14ac:dyDescent="0.2">
      <c r="A18324" t="s">
        <v>1639</v>
      </c>
    </row>
    <row r="18325" spans="1:1" x14ac:dyDescent="0.2">
      <c r="A18325" t="s">
        <v>3403</v>
      </c>
    </row>
    <row r="18326" spans="1:1" x14ac:dyDescent="0.2">
      <c r="A18326" t="s">
        <v>1635</v>
      </c>
    </row>
    <row r="18327" spans="1:1" x14ac:dyDescent="0.2">
      <c r="A18327" t="s">
        <v>3321</v>
      </c>
    </row>
    <row r="18328" spans="1:1" x14ac:dyDescent="0.2">
      <c r="A18328" t="s">
        <v>1605</v>
      </c>
    </row>
    <row r="18329" spans="1:1" x14ac:dyDescent="0.2">
      <c r="A18329" t="s">
        <v>1606</v>
      </c>
    </row>
    <row r="18330" spans="1:1" x14ac:dyDescent="0.2">
      <c r="A18330" t="s">
        <v>1607</v>
      </c>
    </row>
    <row r="18331" spans="1:1" x14ac:dyDescent="0.2">
      <c r="A18331" t="s">
        <v>1676</v>
      </c>
    </row>
    <row r="18332" spans="1:1" x14ac:dyDescent="0.2">
      <c r="A18332" t="s">
        <v>1677</v>
      </c>
    </row>
    <row r="18333" spans="1:1" x14ac:dyDescent="0.2">
      <c r="A18333" t="s">
        <v>1610</v>
      </c>
    </row>
    <row r="18334" spans="1:1" x14ac:dyDescent="0.2">
      <c r="A18334" t="s">
        <v>3765</v>
      </c>
    </row>
    <row r="18335" spans="1:1" x14ac:dyDescent="0.2">
      <c r="A18335" t="s">
        <v>3766</v>
      </c>
    </row>
    <row r="18336" spans="1:1" x14ac:dyDescent="0.2">
      <c r="A18336" t="s">
        <v>3767</v>
      </c>
    </row>
    <row r="18337" spans="1:1" x14ac:dyDescent="0.2">
      <c r="A18337" t="s">
        <v>3768</v>
      </c>
    </row>
    <row r="18338" spans="1:1" x14ac:dyDescent="0.2">
      <c r="A18338" t="s">
        <v>3769</v>
      </c>
    </row>
    <row r="18339" spans="1:1" x14ac:dyDescent="0.2">
      <c r="A18339" t="s">
        <v>3770</v>
      </c>
    </row>
    <row r="18340" spans="1:1" x14ac:dyDescent="0.2">
      <c r="A18340" t="s">
        <v>3771</v>
      </c>
    </row>
    <row r="18341" spans="1:1" x14ac:dyDescent="0.2">
      <c r="A18341" t="s">
        <v>3772</v>
      </c>
    </row>
    <row r="18342" spans="1:1" x14ac:dyDescent="0.2">
      <c r="A18342" t="s">
        <v>3773</v>
      </c>
    </row>
    <row r="18343" spans="1:1" x14ac:dyDescent="0.2">
      <c r="A18343" t="s">
        <v>3774</v>
      </c>
    </row>
    <row r="18344" spans="1:1" x14ac:dyDescent="0.2">
      <c r="A18344" t="s">
        <v>3580</v>
      </c>
    </row>
    <row r="18345" spans="1:1" x14ac:dyDescent="0.2">
      <c r="A18345" t="s">
        <v>3775</v>
      </c>
    </row>
    <row r="18346" spans="1:1" x14ac:dyDescent="0.2">
      <c r="A18346" t="s">
        <v>3776</v>
      </c>
    </row>
    <row r="18347" spans="1:1" x14ac:dyDescent="0.2">
      <c r="A18347" t="s">
        <v>3777</v>
      </c>
    </row>
    <row r="18348" spans="1:1" x14ac:dyDescent="0.2">
      <c r="A18348" t="s">
        <v>3778</v>
      </c>
    </row>
    <row r="18349" spans="1:1" x14ac:dyDescent="0.2">
      <c r="A18349" t="s">
        <v>3647</v>
      </c>
    </row>
    <row r="18350" spans="1:1" x14ac:dyDescent="0.2">
      <c r="A18350" t="s">
        <v>3648</v>
      </c>
    </row>
    <row r="18351" spans="1:1" x14ac:dyDescent="0.2">
      <c r="A18351" t="s">
        <v>3780</v>
      </c>
    </row>
    <row r="18352" spans="1:1" x14ac:dyDescent="0.2">
      <c r="A18352" t="s">
        <v>1594</v>
      </c>
    </row>
    <row r="18353" spans="1:1" x14ac:dyDescent="0.2">
      <c r="A18353" t="s">
        <v>1642</v>
      </c>
    </row>
    <row r="18354" spans="1:1" x14ac:dyDescent="0.2">
      <c r="A18354" t="s">
        <v>3764</v>
      </c>
    </row>
    <row r="18355" spans="1:1" x14ac:dyDescent="0.2">
      <c r="A18355" t="s">
        <v>1652</v>
      </c>
    </row>
    <row r="18356" spans="1:1" x14ac:dyDescent="0.2">
      <c r="A18356" t="s">
        <v>3318</v>
      </c>
    </row>
    <row r="18357" spans="1:1" x14ac:dyDescent="0.2">
      <c r="A18357" t="s">
        <v>3631</v>
      </c>
    </row>
    <row r="18358" spans="1:1" x14ac:dyDescent="0.2">
      <c r="A18358" t="s">
        <v>1600</v>
      </c>
    </row>
    <row r="18359" spans="1:1" x14ac:dyDescent="0.2">
      <c r="A18359" t="s">
        <v>1601</v>
      </c>
    </row>
    <row r="18360" spans="1:1" x14ac:dyDescent="0.2">
      <c r="A18360" t="s">
        <v>3403</v>
      </c>
    </row>
    <row r="18361" spans="1:1" x14ac:dyDescent="0.2">
      <c r="A18361" t="s">
        <v>1635</v>
      </c>
    </row>
    <row r="18362" spans="1:1" x14ac:dyDescent="0.2">
      <c r="A18362" t="s">
        <v>3321</v>
      </c>
    </row>
    <row r="18363" spans="1:1" x14ac:dyDescent="0.2">
      <c r="A18363" t="s">
        <v>1605</v>
      </c>
    </row>
    <row r="18364" spans="1:1" x14ac:dyDescent="0.2">
      <c r="A18364" t="s">
        <v>1606</v>
      </c>
    </row>
    <row r="18365" spans="1:1" x14ac:dyDescent="0.2">
      <c r="A18365" t="s">
        <v>1607</v>
      </c>
    </row>
    <row r="18366" spans="1:1" x14ac:dyDescent="0.2">
      <c r="A18366" t="s">
        <v>1676</v>
      </c>
    </row>
    <row r="18367" spans="1:1" x14ac:dyDescent="0.2">
      <c r="A18367" t="s">
        <v>1677</v>
      </c>
    </row>
    <row r="18368" spans="1:1" x14ac:dyDescent="0.2">
      <c r="A18368" t="s">
        <v>1610</v>
      </c>
    </row>
    <row r="18369" spans="1:1" x14ac:dyDescent="0.2">
      <c r="A18369" t="s">
        <v>3765</v>
      </c>
    </row>
    <row r="18370" spans="1:1" x14ac:dyDescent="0.2">
      <c r="A18370" t="s">
        <v>3766</v>
      </c>
    </row>
    <row r="18371" spans="1:1" x14ac:dyDescent="0.2">
      <c r="A18371" t="s">
        <v>3767</v>
      </c>
    </row>
    <row r="18372" spans="1:1" x14ac:dyDescent="0.2">
      <c r="A18372" t="s">
        <v>3768</v>
      </c>
    </row>
    <row r="18373" spans="1:1" x14ac:dyDescent="0.2">
      <c r="A18373" t="s">
        <v>3769</v>
      </c>
    </row>
    <row r="18374" spans="1:1" x14ac:dyDescent="0.2">
      <c r="A18374" t="s">
        <v>3770</v>
      </c>
    </row>
    <row r="18375" spans="1:1" x14ac:dyDescent="0.2">
      <c r="A18375" t="s">
        <v>3771</v>
      </c>
    </row>
    <row r="18376" spans="1:1" x14ac:dyDescent="0.2">
      <c r="A18376" t="s">
        <v>3772</v>
      </c>
    </row>
    <row r="18377" spans="1:1" x14ac:dyDescent="0.2">
      <c r="A18377" t="s">
        <v>3773</v>
      </c>
    </row>
    <row r="18378" spans="1:1" x14ac:dyDescent="0.2">
      <c r="A18378" t="s">
        <v>3774</v>
      </c>
    </row>
    <row r="18379" spans="1:1" x14ac:dyDescent="0.2">
      <c r="A18379" t="s">
        <v>3580</v>
      </c>
    </row>
    <row r="18380" spans="1:1" x14ac:dyDescent="0.2">
      <c r="A18380" t="s">
        <v>3775</v>
      </c>
    </row>
    <row r="18381" spans="1:1" x14ac:dyDescent="0.2">
      <c r="A18381" t="s">
        <v>3776</v>
      </c>
    </row>
    <row r="18382" spans="1:1" x14ac:dyDescent="0.2">
      <c r="A18382" t="s">
        <v>3777</v>
      </c>
    </row>
    <row r="18383" spans="1:1" x14ac:dyDescent="0.2">
      <c r="A18383" t="s">
        <v>3778</v>
      </c>
    </row>
    <row r="18384" spans="1:1" x14ac:dyDescent="0.2">
      <c r="A18384" t="s">
        <v>3647</v>
      </c>
    </row>
    <row r="18385" spans="1:1" x14ac:dyDescent="0.2">
      <c r="A18385" t="s">
        <v>3648</v>
      </c>
    </row>
    <row r="18386" spans="1:1" x14ac:dyDescent="0.2">
      <c r="A18386" t="s">
        <v>3781</v>
      </c>
    </row>
    <row r="18387" spans="1:1" x14ac:dyDescent="0.2">
      <c r="A18387" t="s">
        <v>1594</v>
      </c>
    </row>
    <row r="18388" spans="1:1" x14ac:dyDescent="0.2">
      <c r="A18388" t="s">
        <v>1692</v>
      </c>
    </row>
    <row r="18389" spans="1:1" x14ac:dyDescent="0.2">
      <c r="A18389" t="s">
        <v>3782</v>
      </c>
    </row>
    <row r="18390" spans="1:1" x14ac:dyDescent="0.2">
      <c r="A18390" t="s">
        <v>1652</v>
      </c>
    </row>
    <row r="18391" spans="1:1" x14ac:dyDescent="0.2">
      <c r="A18391" t="s">
        <v>1673</v>
      </c>
    </row>
    <row r="18392" spans="1:1" x14ac:dyDescent="0.2">
      <c r="A18392" t="s">
        <v>3631</v>
      </c>
    </row>
    <row r="18393" spans="1:1" x14ac:dyDescent="0.2">
      <c r="A18393" t="s">
        <v>1674</v>
      </c>
    </row>
    <row r="18394" spans="1:1" x14ac:dyDescent="0.2">
      <c r="A18394" t="s">
        <v>1639</v>
      </c>
    </row>
    <row r="18395" spans="1:1" x14ac:dyDescent="0.2">
      <c r="A18395" t="s">
        <v>3403</v>
      </c>
    </row>
    <row r="18396" spans="1:1" x14ac:dyDescent="0.2">
      <c r="A18396" t="s">
        <v>1635</v>
      </c>
    </row>
    <row r="18397" spans="1:1" x14ac:dyDescent="0.2">
      <c r="A18397" t="s">
        <v>3321</v>
      </c>
    </row>
    <row r="18398" spans="1:1" x14ac:dyDescent="0.2">
      <c r="A18398" t="s">
        <v>1605</v>
      </c>
    </row>
    <row r="18399" spans="1:1" x14ac:dyDescent="0.2">
      <c r="A18399" t="s">
        <v>1606</v>
      </c>
    </row>
    <row r="18400" spans="1:1" x14ac:dyDescent="0.2">
      <c r="A18400" t="s">
        <v>1607</v>
      </c>
    </row>
    <row r="18401" spans="1:1" x14ac:dyDescent="0.2">
      <c r="A18401" t="s">
        <v>1676</v>
      </c>
    </row>
    <row r="18402" spans="1:1" x14ac:dyDescent="0.2">
      <c r="A18402" t="s">
        <v>1677</v>
      </c>
    </row>
    <row r="18403" spans="1:1" x14ac:dyDescent="0.2">
      <c r="A18403" t="s">
        <v>1610</v>
      </c>
    </row>
    <row r="18404" spans="1:1" x14ac:dyDescent="0.2">
      <c r="A18404" t="s">
        <v>3783</v>
      </c>
    </row>
    <row r="18405" spans="1:1" x14ac:dyDescent="0.2">
      <c r="A18405" t="s">
        <v>3784</v>
      </c>
    </row>
    <row r="18406" spans="1:1" x14ac:dyDescent="0.2">
      <c r="A18406" t="s">
        <v>3785</v>
      </c>
    </row>
    <row r="18407" spans="1:1" x14ac:dyDescent="0.2">
      <c r="A18407" t="s">
        <v>3786</v>
      </c>
    </row>
    <row r="18408" spans="1:1" x14ac:dyDescent="0.2">
      <c r="A18408" t="s">
        <v>3787</v>
      </c>
    </row>
    <row r="18409" spans="1:1" x14ac:dyDescent="0.2">
      <c r="A18409" t="s">
        <v>3788</v>
      </c>
    </row>
    <row r="18410" spans="1:1" x14ac:dyDescent="0.2">
      <c r="A18410" t="s">
        <v>3789</v>
      </c>
    </row>
    <row r="18411" spans="1:1" x14ac:dyDescent="0.2">
      <c r="A18411" t="s">
        <v>3790</v>
      </c>
    </row>
    <row r="18412" spans="1:1" x14ac:dyDescent="0.2">
      <c r="A18412" t="s">
        <v>3791</v>
      </c>
    </row>
    <row r="18413" spans="1:1" x14ac:dyDescent="0.2">
      <c r="A18413" t="s">
        <v>3792</v>
      </c>
    </row>
    <row r="18414" spans="1:1" x14ac:dyDescent="0.2">
      <c r="A18414" t="s">
        <v>3502</v>
      </c>
    </row>
    <row r="18415" spans="1:1" x14ac:dyDescent="0.2">
      <c r="A18415" t="s">
        <v>3793</v>
      </c>
    </row>
    <row r="18416" spans="1:1" x14ac:dyDescent="0.2">
      <c r="A18416" t="s">
        <v>3794</v>
      </c>
    </row>
    <row r="18417" spans="1:1" x14ac:dyDescent="0.2">
      <c r="A18417" t="s">
        <v>3795</v>
      </c>
    </row>
    <row r="18418" spans="1:1" x14ac:dyDescent="0.2">
      <c r="A18418" t="s">
        <v>3796</v>
      </c>
    </row>
    <row r="18419" spans="1:1" x14ac:dyDescent="0.2">
      <c r="A18419" t="s">
        <v>3647</v>
      </c>
    </row>
    <row r="18420" spans="1:1" x14ac:dyDescent="0.2">
      <c r="A18420" t="s">
        <v>3648</v>
      </c>
    </row>
    <row r="18421" spans="1:1" x14ac:dyDescent="0.2">
      <c r="A18421" t="s">
        <v>3797</v>
      </c>
    </row>
    <row r="18422" spans="1:1" x14ac:dyDescent="0.2">
      <c r="A18422" t="s">
        <v>1594</v>
      </c>
    </row>
    <row r="18423" spans="1:1" x14ac:dyDescent="0.2">
      <c r="A18423" t="s">
        <v>1692</v>
      </c>
    </row>
    <row r="18424" spans="1:1" x14ac:dyDescent="0.2">
      <c r="A18424" t="s">
        <v>3782</v>
      </c>
    </row>
    <row r="18425" spans="1:1" x14ac:dyDescent="0.2">
      <c r="A18425" t="s">
        <v>1652</v>
      </c>
    </row>
    <row r="18426" spans="1:1" x14ac:dyDescent="0.2">
      <c r="A18426" t="s">
        <v>1673</v>
      </c>
    </row>
    <row r="18427" spans="1:1" x14ac:dyDescent="0.2">
      <c r="A18427" t="s">
        <v>3631</v>
      </c>
    </row>
    <row r="18428" spans="1:1" x14ac:dyDescent="0.2">
      <c r="A18428" t="s">
        <v>1600</v>
      </c>
    </row>
    <row r="18429" spans="1:1" x14ac:dyDescent="0.2">
      <c r="A18429" t="s">
        <v>1601</v>
      </c>
    </row>
    <row r="18430" spans="1:1" x14ac:dyDescent="0.2">
      <c r="A18430" t="s">
        <v>3403</v>
      </c>
    </row>
    <row r="18431" spans="1:1" x14ac:dyDescent="0.2">
      <c r="A18431" t="s">
        <v>1635</v>
      </c>
    </row>
    <row r="18432" spans="1:1" x14ac:dyDescent="0.2">
      <c r="A18432" t="s">
        <v>1604</v>
      </c>
    </row>
    <row r="18433" spans="1:1" x14ac:dyDescent="0.2">
      <c r="A18433" t="s">
        <v>1605</v>
      </c>
    </row>
    <row r="18434" spans="1:1" x14ac:dyDescent="0.2">
      <c r="A18434" t="s">
        <v>1606</v>
      </c>
    </row>
    <row r="18435" spans="1:1" x14ac:dyDescent="0.2">
      <c r="A18435" t="s">
        <v>1607</v>
      </c>
    </row>
    <row r="18436" spans="1:1" x14ac:dyDescent="0.2">
      <c r="A18436" t="s">
        <v>1676</v>
      </c>
    </row>
    <row r="18437" spans="1:1" x14ac:dyDescent="0.2">
      <c r="A18437" t="s">
        <v>1677</v>
      </c>
    </row>
    <row r="18438" spans="1:1" x14ac:dyDescent="0.2">
      <c r="A18438" t="s">
        <v>1610</v>
      </c>
    </row>
    <row r="18439" spans="1:1" x14ac:dyDescent="0.2">
      <c r="A18439" t="s">
        <v>3783</v>
      </c>
    </row>
    <row r="18440" spans="1:1" x14ac:dyDescent="0.2">
      <c r="A18440" t="s">
        <v>3784</v>
      </c>
    </row>
    <row r="18441" spans="1:1" x14ac:dyDescent="0.2">
      <c r="A18441" t="s">
        <v>3785</v>
      </c>
    </row>
    <row r="18442" spans="1:1" x14ac:dyDescent="0.2">
      <c r="A18442" t="s">
        <v>3786</v>
      </c>
    </row>
    <row r="18443" spans="1:1" x14ac:dyDescent="0.2">
      <c r="A18443" t="s">
        <v>3787</v>
      </c>
    </row>
    <row r="18444" spans="1:1" x14ac:dyDescent="0.2">
      <c r="A18444" t="s">
        <v>3788</v>
      </c>
    </row>
    <row r="18445" spans="1:1" x14ac:dyDescent="0.2">
      <c r="A18445" t="s">
        <v>3789</v>
      </c>
    </row>
    <row r="18446" spans="1:1" x14ac:dyDescent="0.2">
      <c r="A18446" t="s">
        <v>3790</v>
      </c>
    </row>
    <row r="18447" spans="1:1" x14ac:dyDescent="0.2">
      <c r="A18447" t="s">
        <v>3791</v>
      </c>
    </row>
    <row r="18448" spans="1:1" x14ac:dyDescent="0.2">
      <c r="A18448" t="s">
        <v>3792</v>
      </c>
    </row>
    <row r="18449" spans="1:1" x14ac:dyDescent="0.2">
      <c r="A18449" t="s">
        <v>3502</v>
      </c>
    </row>
    <row r="18450" spans="1:1" x14ac:dyDescent="0.2">
      <c r="A18450" t="s">
        <v>3793</v>
      </c>
    </row>
    <row r="18451" spans="1:1" x14ac:dyDescent="0.2">
      <c r="A18451" t="s">
        <v>3794</v>
      </c>
    </row>
    <row r="18452" spans="1:1" x14ac:dyDescent="0.2">
      <c r="A18452" t="s">
        <v>3795</v>
      </c>
    </row>
    <row r="18453" spans="1:1" x14ac:dyDescent="0.2">
      <c r="A18453" t="s">
        <v>3796</v>
      </c>
    </row>
    <row r="18454" spans="1:1" x14ac:dyDescent="0.2">
      <c r="A18454" t="s">
        <v>3647</v>
      </c>
    </row>
    <row r="18455" spans="1:1" x14ac:dyDescent="0.2">
      <c r="A18455" t="s">
        <v>3648</v>
      </c>
    </row>
    <row r="18456" spans="1:1" x14ac:dyDescent="0.2">
      <c r="A18456" t="s">
        <v>3798</v>
      </c>
    </row>
    <row r="18457" spans="1:1" x14ac:dyDescent="0.2">
      <c r="A18457" t="s">
        <v>1594</v>
      </c>
    </row>
    <row r="18458" spans="1:1" x14ac:dyDescent="0.2">
      <c r="A18458" t="s">
        <v>1642</v>
      </c>
    </row>
    <row r="18459" spans="1:1" x14ac:dyDescent="0.2">
      <c r="A18459" t="s">
        <v>3799</v>
      </c>
    </row>
    <row r="18460" spans="1:1" x14ac:dyDescent="0.2">
      <c r="A18460" t="s">
        <v>1652</v>
      </c>
    </row>
    <row r="18461" spans="1:1" x14ac:dyDescent="0.2">
      <c r="A18461" t="s">
        <v>1673</v>
      </c>
    </row>
    <row r="18462" spans="1:1" x14ac:dyDescent="0.2">
      <c r="A18462" t="s">
        <v>3631</v>
      </c>
    </row>
    <row r="18463" spans="1:1" x14ac:dyDescent="0.2">
      <c r="A18463" t="s">
        <v>1600</v>
      </c>
    </row>
    <row r="18464" spans="1:1" x14ac:dyDescent="0.2">
      <c r="A18464" t="s">
        <v>1633</v>
      </c>
    </row>
    <row r="18465" spans="1:1" x14ac:dyDescent="0.2">
      <c r="A18465" t="s">
        <v>3403</v>
      </c>
    </row>
    <row r="18466" spans="1:1" x14ac:dyDescent="0.2">
      <c r="A18466" t="s">
        <v>1635</v>
      </c>
    </row>
    <row r="18467" spans="1:1" x14ac:dyDescent="0.2">
      <c r="A18467" t="s">
        <v>3321</v>
      </c>
    </row>
    <row r="18468" spans="1:1" x14ac:dyDescent="0.2">
      <c r="A18468" t="s">
        <v>1605</v>
      </c>
    </row>
    <row r="18469" spans="1:1" x14ac:dyDescent="0.2">
      <c r="A18469" t="s">
        <v>1606</v>
      </c>
    </row>
    <row r="18470" spans="1:1" x14ac:dyDescent="0.2">
      <c r="A18470" t="s">
        <v>1607</v>
      </c>
    </row>
    <row r="18471" spans="1:1" x14ac:dyDescent="0.2">
      <c r="A18471" t="s">
        <v>1676</v>
      </c>
    </row>
    <row r="18472" spans="1:1" x14ac:dyDescent="0.2">
      <c r="A18472" t="s">
        <v>1677</v>
      </c>
    </row>
    <row r="18473" spans="1:1" x14ac:dyDescent="0.2">
      <c r="A18473" t="s">
        <v>1610</v>
      </c>
    </row>
    <row r="18474" spans="1:1" x14ac:dyDescent="0.2">
      <c r="A18474" t="s">
        <v>3800</v>
      </c>
    </row>
    <row r="18475" spans="1:1" x14ac:dyDescent="0.2">
      <c r="A18475" t="s">
        <v>3801</v>
      </c>
    </row>
    <row r="18476" spans="1:1" x14ac:dyDescent="0.2">
      <c r="A18476" t="s">
        <v>3802</v>
      </c>
    </row>
    <row r="18477" spans="1:1" x14ac:dyDescent="0.2">
      <c r="A18477" t="s">
        <v>3803</v>
      </c>
    </row>
    <row r="18478" spans="1:1" x14ac:dyDescent="0.2">
      <c r="A18478" t="s">
        <v>3804</v>
      </c>
    </row>
    <row r="18479" spans="1:1" x14ac:dyDescent="0.2">
      <c r="A18479" t="s">
        <v>3805</v>
      </c>
    </row>
    <row r="18480" spans="1:1" x14ac:dyDescent="0.2">
      <c r="A18480" t="s">
        <v>3806</v>
      </c>
    </row>
    <row r="18481" spans="1:1" x14ac:dyDescent="0.2">
      <c r="A18481" t="s">
        <v>3807</v>
      </c>
    </row>
    <row r="18482" spans="1:1" x14ac:dyDescent="0.2">
      <c r="A18482" t="s">
        <v>3808</v>
      </c>
    </row>
    <row r="18483" spans="1:1" x14ac:dyDescent="0.2">
      <c r="A18483" t="s">
        <v>3809</v>
      </c>
    </row>
    <row r="18484" spans="1:1" x14ac:dyDescent="0.2">
      <c r="A18484" t="s">
        <v>3484</v>
      </c>
    </row>
    <row r="18485" spans="1:1" x14ac:dyDescent="0.2">
      <c r="A18485" t="s">
        <v>3810</v>
      </c>
    </row>
    <row r="18486" spans="1:1" x14ac:dyDescent="0.2">
      <c r="A18486" t="s">
        <v>3811</v>
      </c>
    </row>
    <row r="18487" spans="1:1" x14ac:dyDescent="0.2">
      <c r="A18487" t="s">
        <v>3812</v>
      </c>
    </row>
    <row r="18488" spans="1:1" x14ac:dyDescent="0.2">
      <c r="A18488" t="s">
        <v>3813</v>
      </c>
    </row>
    <row r="18489" spans="1:1" x14ac:dyDescent="0.2">
      <c r="A18489" t="s">
        <v>3647</v>
      </c>
    </row>
    <row r="18490" spans="1:1" x14ac:dyDescent="0.2">
      <c r="A18490" t="s">
        <v>3648</v>
      </c>
    </row>
    <row r="18491" spans="1:1" x14ac:dyDescent="0.2">
      <c r="A18491" t="s">
        <v>3814</v>
      </c>
    </row>
    <row r="18492" spans="1:1" x14ac:dyDescent="0.2">
      <c r="A18492" t="s">
        <v>1594</v>
      </c>
    </row>
    <row r="18493" spans="1:1" x14ac:dyDescent="0.2">
      <c r="A18493" t="s">
        <v>1642</v>
      </c>
    </row>
    <row r="18494" spans="1:1" x14ac:dyDescent="0.2">
      <c r="A18494" t="s">
        <v>3799</v>
      </c>
    </row>
    <row r="18495" spans="1:1" x14ac:dyDescent="0.2">
      <c r="A18495" t="s">
        <v>1652</v>
      </c>
    </row>
    <row r="18496" spans="1:1" x14ac:dyDescent="0.2">
      <c r="A18496" t="s">
        <v>1673</v>
      </c>
    </row>
    <row r="18497" spans="1:1" x14ac:dyDescent="0.2">
      <c r="A18497" t="s">
        <v>3631</v>
      </c>
    </row>
    <row r="18498" spans="1:1" x14ac:dyDescent="0.2">
      <c r="A18498" t="s">
        <v>1600</v>
      </c>
    </row>
    <row r="18499" spans="1:1" x14ac:dyDescent="0.2">
      <c r="A18499" t="s">
        <v>1639</v>
      </c>
    </row>
    <row r="18500" spans="1:1" x14ac:dyDescent="0.2">
      <c r="A18500" t="s">
        <v>3403</v>
      </c>
    </row>
    <row r="18501" spans="1:1" x14ac:dyDescent="0.2">
      <c r="A18501" t="s">
        <v>1635</v>
      </c>
    </row>
    <row r="18502" spans="1:1" x14ac:dyDescent="0.2">
      <c r="A18502" t="s">
        <v>3321</v>
      </c>
    </row>
    <row r="18503" spans="1:1" x14ac:dyDescent="0.2">
      <c r="A18503" t="s">
        <v>1605</v>
      </c>
    </row>
    <row r="18504" spans="1:1" x14ac:dyDescent="0.2">
      <c r="A18504" t="s">
        <v>1606</v>
      </c>
    </row>
    <row r="18505" spans="1:1" x14ac:dyDescent="0.2">
      <c r="A18505" t="s">
        <v>1607</v>
      </c>
    </row>
    <row r="18506" spans="1:1" x14ac:dyDescent="0.2">
      <c r="A18506" t="s">
        <v>1676</v>
      </c>
    </row>
    <row r="18507" spans="1:1" x14ac:dyDescent="0.2">
      <c r="A18507" t="s">
        <v>1677</v>
      </c>
    </row>
    <row r="18508" spans="1:1" x14ac:dyDescent="0.2">
      <c r="A18508" t="s">
        <v>1610</v>
      </c>
    </row>
    <row r="18509" spans="1:1" x14ac:dyDescent="0.2">
      <c r="A18509" t="s">
        <v>3800</v>
      </c>
    </row>
    <row r="18510" spans="1:1" x14ac:dyDescent="0.2">
      <c r="A18510" t="s">
        <v>3801</v>
      </c>
    </row>
    <row r="18511" spans="1:1" x14ac:dyDescent="0.2">
      <c r="A18511" t="s">
        <v>3802</v>
      </c>
    </row>
    <row r="18512" spans="1:1" x14ac:dyDescent="0.2">
      <c r="A18512" t="s">
        <v>3803</v>
      </c>
    </row>
    <row r="18513" spans="1:1" x14ac:dyDescent="0.2">
      <c r="A18513" t="s">
        <v>3804</v>
      </c>
    </row>
    <row r="18514" spans="1:1" x14ac:dyDescent="0.2">
      <c r="A18514" t="s">
        <v>3805</v>
      </c>
    </row>
    <row r="18515" spans="1:1" x14ac:dyDescent="0.2">
      <c r="A18515" t="s">
        <v>3806</v>
      </c>
    </row>
    <row r="18516" spans="1:1" x14ac:dyDescent="0.2">
      <c r="A18516" t="s">
        <v>3807</v>
      </c>
    </row>
    <row r="18517" spans="1:1" x14ac:dyDescent="0.2">
      <c r="A18517" t="s">
        <v>3808</v>
      </c>
    </row>
    <row r="18518" spans="1:1" x14ac:dyDescent="0.2">
      <c r="A18518" t="s">
        <v>3809</v>
      </c>
    </row>
    <row r="18519" spans="1:1" x14ac:dyDescent="0.2">
      <c r="A18519" t="s">
        <v>3484</v>
      </c>
    </row>
    <row r="18520" spans="1:1" x14ac:dyDescent="0.2">
      <c r="A18520" t="s">
        <v>3810</v>
      </c>
    </row>
    <row r="18521" spans="1:1" x14ac:dyDescent="0.2">
      <c r="A18521" t="s">
        <v>3811</v>
      </c>
    </row>
    <row r="18522" spans="1:1" x14ac:dyDescent="0.2">
      <c r="A18522" t="s">
        <v>3812</v>
      </c>
    </row>
    <row r="18523" spans="1:1" x14ac:dyDescent="0.2">
      <c r="A18523" t="s">
        <v>3813</v>
      </c>
    </row>
    <row r="18524" spans="1:1" x14ac:dyDescent="0.2">
      <c r="A18524" t="s">
        <v>3647</v>
      </c>
    </row>
    <row r="18525" spans="1:1" x14ac:dyDescent="0.2">
      <c r="A18525" t="s">
        <v>3648</v>
      </c>
    </row>
    <row r="18526" spans="1:1" x14ac:dyDescent="0.2">
      <c r="A18526" t="s">
        <v>3815</v>
      </c>
    </row>
    <row r="18527" spans="1:1" x14ac:dyDescent="0.2">
      <c r="A18527" t="s">
        <v>1594</v>
      </c>
    </row>
    <row r="18528" spans="1:1" x14ac:dyDescent="0.2">
      <c r="A18528" t="s">
        <v>1642</v>
      </c>
    </row>
    <row r="18529" spans="1:1" x14ac:dyDescent="0.2">
      <c r="A18529" t="s">
        <v>3799</v>
      </c>
    </row>
    <row r="18530" spans="1:1" x14ac:dyDescent="0.2">
      <c r="A18530" t="s">
        <v>1652</v>
      </c>
    </row>
    <row r="18531" spans="1:1" x14ac:dyDescent="0.2">
      <c r="A18531" t="s">
        <v>1673</v>
      </c>
    </row>
    <row r="18532" spans="1:1" x14ac:dyDescent="0.2">
      <c r="A18532" t="s">
        <v>3631</v>
      </c>
    </row>
    <row r="18533" spans="1:1" x14ac:dyDescent="0.2">
      <c r="A18533" t="s">
        <v>1600</v>
      </c>
    </row>
    <row r="18534" spans="1:1" x14ac:dyDescent="0.2">
      <c r="A18534" t="s">
        <v>1601</v>
      </c>
    </row>
    <row r="18535" spans="1:1" x14ac:dyDescent="0.2">
      <c r="A18535" t="s">
        <v>3403</v>
      </c>
    </row>
    <row r="18536" spans="1:1" x14ac:dyDescent="0.2">
      <c r="A18536" t="s">
        <v>1635</v>
      </c>
    </row>
    <row r="18537" spans="1:1" x14ac:dyDescent="0.2">
      <c r="A18537" t="s">
        <v>3321</v>
      </c>
    </row>
    <row r="18538" spans="1:1" x14ac:dyDescent="0.2">
      <c r="A18538" t="s">
        <v>1605</v>
      </c>
    </row>
    <row r="18539" spans="1:1" x14ac:dyDescent="0.2">
      <c r="A18539" t="s">
        <v>1606</v>
      </c>
    </row>
    <row r="18540" spans="1:1" x14ac:dyDescent="0.2">
      <c r="A18540" t="s">
        <v>1607</v>
      </c>
    </row>
    <row r="18541" spans="1:1" x14ac:dyDescent="0.2">
      <c r="A18541" t="s">
        <v>1676</v>
      </c>
    </row>
    <row r="18542" spans="1:1" x14ac:dyDescent="0.2">
      <c r="A18542" t="s">
        <v>1677</v>
      </c>
    </row>
    <row r="18543" spans="1:1" x14ac:dyDescent="0.2">
      <c r="A18543" t="s">
        <v>1610</v>
      </c>
    </row>
    <row r="18544" spans="1:1" x14ac:dyDescent="0.2">
      <c r="A18544" t="s">
        <v>3800</v>
      </c>
    </row>
    <row r="18545" spans="1:1" x14ac:dyDescent="0.2">
      <c r="A18545" t="s">
        <v>3801</v>
      </c>
    </row>
    <row r="18546" spans="1:1" x14ac:dyDescent="0.2">
      <c r="A18546" t="s">
        <v>3802</v>
      </c>
    </row>
    <row r="18547" spans="1:1" x14ac:dyDescent="0.2">
      <c r="A18547" t="s">
        <v>3803</v>
      </c>
    </row>
    <row r="18548" spans="1:1" x14ac:dyDescent="0.2">
      <c r="A18548" t="s">
        <v>3804</v>
      </c>
    </row>
    <row r="18549" spans="1:1" x14ac:dyDescent="0.2">
      <c r="A18549" t="s">
        <v>3805</v>
      </c>
    </row>
    <row r="18550" spans="1:1" x14ac:dyDescent="0.2">
      <c r="A18550" t="s">
        <v>3806</v>
      </c>
    </row>
    <row r="18551" spans="1:1" x14ac:dyDescent="0.2">
      <c r="A18551" t="s">
        <v>3807</v>
      </c>
    </row>
    <row r="18552" spans="1:1" x14ac:dyDescent="0.2">
      <c r="A18552" t="s">
        <v>3808</v>
      </c>
    </row>
    <row r="18553" spans="1:1" x14ac:dyDescent="0.2">
      <c r="A18553" t="s">
        <v>3809</v>
      </c>
    </row>
    <row r="18554" spans="1:1" x14ac:dyDescent="0.2">
      <c r="A18554" t="s">
        <v>3484</v>
      </c>
    </row>
    <row r="18555" spans="1:1" x14ac:dyDescent="0.2">
      <c r="A18555" t="s">
        <v>3810</v>
      </c>
    </row>
    <row r="18556" spans="1:1" x14ac:dyDescent="0.2">
      <c r="A18556" t="s">
        <v>3811</v>
      </c>
    </row>
    <row r="18557" spans="1:1" x14ac:dyDescent="0.2">
      <c r="A18557" t="s">
        <v>3812</v>
      </c>
    </row>
    <row r="18558" spans="1:1" x14ac:dyDescent="0.2">
      <c r="A18558" t="s">
        <v>3813</v>
      </c>
    </row>
    <row r="18559" spans="1:1" x14ac:dyDescent="0.2">
      <c r="A18559" t="s">
        <v>3647</v>
      </c>
    </row>
    <row r="18560" spans="1:1" x14ac:dyDescent="0.2">
      <c r="A18560" t="s">
        <v>3648</v>
      </c>
    </row>
    <row r="18561" spans="1:1" x14ac:dyDescent="0.2">
      <c r="A18561" t="s">
        <v>3816</v>
      </c>
    </row>
    <row r="18562" spans="1:1" x14ac:dyDescent="0.2">
      <c r="A18562" t="s">
        <v>1594</v>
      </c>
    </row>
    <row r="18563" spans="1:1" x14ac:dyDescent="0.2">
      <c r="A18563" t="s">
        <v>1642</v>
      </c>
    </row>
    <row r="18564" spans="1:1" x14ac:dyDescent="0.2">
      <c r="A18564" t="s">
        <v>3817</v>
      </c>
    </row>
    <row r="18565" spans="1:1" x14ac:dyDescent="0.2">
      <c r="A18565" t="s">
        <v>1652</v>
      </c>
    </row>
    <row r="18566" spans="1:1" x14ac:dyDescent="0.2">
      <c r="A18566" t="s">
        <v>1673</v>
      </c>
    </row>
    <row r="18567" spans="1:1" x14ac:dyDescent="0.2">
      <c r="A18567" t="s">
        <v>3631</v>
      </c>
    </row>
    <row r="18568" spans="1:1" x14ac:dyDescent="0.2">
      <c r="A18568" t="s">
        <v>1600</v>
      </c>
    </row>
    <row r="18569" spans="1:1" x14ac:dyDescent="0.2">
      <c r="A18569" t="s">
        <v>1633</v>
      </c>
    </row>
    <row r="18570" spans="1:1" x14ac:dyDescent="0.2">
      <c r="A18570" t="s">
        <v>3403</v>
      </c>
    </row>
    <row r="18571" spans="1:1" x14ac:dyDescent="0.2">
      <c r="A18571" t="s">
        <v>1635</v>
      </c>
    </row>
    <row r="18572" spans="1:1" x14ac:dyDescent="0.2">
      <c r="A18572" t="s">
        <v>3321</v>
      </c>
    </row>
    <row r="18573" spans="1:1" x14ac:dyDescent="0.2">
      <c r="A18573" t="s">
        <v>1605</v>
      </c>
    </row>
    <row r="18574" spans="1:1" x14ac:dyDescent="0.2">
      <c r="A18574" t="s">
        <v>1606</v>
      </c>
    </row>
    <row r="18575" spans="1:1" x14ac:dyDescent="0.2">
      <c r="A18575" t="s">
        <v>1607</v>
      </c>
    </row>
    <row r="18576" spans="1:1" x14ac:dyDescent="0.2">
      <c r="A18576" t="s">
        <v>1676</v>
      </c>
    </row>
    <row r="18577" spans="1:1" x14ac:dyDescent="0.2">
      <c r="A18577" t="s">
        <v>1677</v>
      </c>
    </row>
    <row r="18578" spans="1:1" x14ac:dyDescent="0.2">
      <c r="A18578" t="s">
        <v>1610</v>
      </c>
    </row>
    <row r="18579" spans="1:1" x14ac:dyDescent="0.2">
      <c r="A18579" t="s">
        <v>3818</v>
      </c>
    </row>
    <row r="18580" spans="1:1" x14ac:dyDescent="0.2">
      <c r="A18580" t="s">
        <v>3819</v>
      </c>
    </row>
    <row r="18581" spans="1:1" x14ac:dyDescent="0.2">
      <c r="A18581" t="s">
        <v>3820</v>
      </c>
    </row>
    <row r="18582" spans="1:1" x14ac:dyDescent="0.2">
      <c r="A18582" t="s">
        <v>3821</v>
      </c>
    </row>
    <row r="18583" spans="1:1" x14ac:dyDescent="0.2">
      <c r="A18583" t="s">
        <v>3822</v>
      </c>
    </row>
    <row r="18584" spans="1:1" x14ac:dyDescent="0.2">
      <c r="A18584" t="s">
        <v>3823</v>
      </c>
    </row>
    <row r="18585" spans="1:1" x14ac:dyDescent="0.2">
      <c r="A18585" t="s">
        <v>3824</v>
      </c>
    </row>
    <row r="18586" spans="1:1" x14ac:dyDescent="0.2">
      <c r="A18586" t="s">
        <v>3825</v>
      </c>
    </row>
    <row r="18587" spans="1:1" x14ac:dyDescent="0.2">
      <c r="A18587" t="s">
        <v>3826</v>
      </c>
    </row>
    <row r="18588" spans="1:1" x14ac:dyDescent="0.2">
      <c r="A18588" t="s">
        <v>3827</v>
      </c>
    </row>
    <row r="18589" spans="1:1" x14ac:dyDescent="0.2">
      <c r="A18589" t="s">
        <v>3484</v>
      </c>
    </row>
    <row r="18590" spans="1:1" x14ac:dyDescent="0.2">
      <c r="A18590" t="s">
        <v>3828</v>
      </c>
    </row>
    <row r="18591" spans="1:1" x14ac:dyDescent="0.2">
      <c r="A18591" t="s">
        <v>3829</v>
      </c>
    </row>
    <row r="18592" spans="1:1" x14ac:dyDescent="0.2">
      <c r="A18592" t="s">
        <v>3830</v>
      </c>
    </row>
    <row r="18593" spans="1:1" x14ac:dyDescent="0.2">
      <c r="A18593" t="s">
        <v>3831</v>
      </c>
    </row>
    <row r="18594" spans="1:1" x14ac:dyDescent="0.2">
      <c r="A18594" t="s">
        <v>3647</v>
      </c>
    </row>
    <row r="18595" spans="1:1" x14ac:dyDescent="0.2">
      <c r="A18595" t="s">
        <v>3648</v>
      </c>
    </row>
    <row r="18596" spans="1:1" x14ac:dyDescent="0.2">
      <c r="A18596" t="s">
        <v>3832</v>
      </c>
    </row>
    <row r="18597" spans="1:1" x14ac:dyDescent="0.2">
      <c r="A18597" t="s">
        <v>1594</v>
      </c>
    </row>
    <row r="18598" spans="1:1" x14ac:dyDescent="0.2">
      <c r="A18598" t="s">
        <v>1642</v>
      </c>
    </row>
    <row r="18599" spans="1:1" x14ac:dyDescent="0.2">
      <c r="A18599" t="s">
        <v>3817</v>
      </c>
    </row>
    <row r="18600" spans="1:1" x14ac:dyDescent="0.2">
      <c r="A18600" t="s">
        <v>1652</v>
      </c>
    </row>
    <row r="18601" spans="1:1" x14ac:dyDescent="0.2">
      <c r="A18601" t="s">
        <v>1673</v>
      </c>
    </row>
    <row r="18602" spans="1:1" x14ac:dyDescent="0.2">
      <c r="A18602" t="s">
        <v>3631</v>
      </c>
    </row>
    <row r="18603" spans="1:1" x14ac:dyDescent="0.2">
      <c r="A18603" t="s">
        <v>1600</v>
      </c>
    </row>
    <row r="18604" spans="1:1" x14ac:dyDescent="0.2">
      <c r="A18604" t="s">
        <v>1639</v>
      </c>
    </row>
    <row r="18605" spans="1:1" x14ac:dyDescent="0.2">
      <c r="A18605" t="s">
        <v>3403</v>
      </c>
    </row>
    <row r="18606" spans="1:1" x14ac:dyDescent="0.2">
      <c r="A18606" t="s">
        <v>1635</v>
      </c>
    </row>
    <row r="18607" spans="1:1" x14ac:dyDescent="0.2">
      <c r="A18607" t="s">
        <v>3321</v>
      </c>
    </row>
    <row r="18608" spans="1:1" x14ac:dyDescent="0.2">
      <c r="A18608" t="s">
        <v>1605</v>
      </c>
    </row>
    <row r="18609" spans="1:1" x14ac:dyDescent="0.2">
      <c r="A18609" t="s">
        <v>1606</v>
      </c>
    </row>
    <row r="18610" spans="1:1" x14ac:dyDescent="0.2">
      <c r="A18610" t="s">
        <v>1607</v>
      </c>
    </row>
    <row r="18611" spans="1:1" x14ac:dyDescent="0.2">
      <c r="A18611" t="s">
        <v>1676</v>
      </c>
    </row>
    <row r="18612" spans="1:1" x14ac:dyDescent="0.2">
      <c r="A18612" t="s">
        <v>1677</v>
      </c>
    </row>
    <row r="18613" spans="1:1" x14ac:dyDescent="0.2">
      <c r="A18613" t="s">
        <v>1610</v>
      </c>
    </row>
    <row r="18614" spans="1:1" x14ac:dyDescent="0.2">
      <c r="A18614" t="s">
        <v>3818</v>
      </c>
    </row>
    <row r="18615" spans="1:1" x14ac:dyDescent="0.2">
      <c r="A18615" t="s">
        <v>3819</v>
      </c>
    </row>
    <row r="18616" spans="1:1" x14ac:dyDescent="0.2">
      <c r="A18616" t="s">
        <v>3820</v>
      </c>
    </row>
    <row r="18617" spans="1:1" x14ac:dyDescent="0.2">
      <c r="A18617" t="s">
        <v>3821</v>
      </c>
    </row>
    <row r="18618" spans="1:1" x14ac:dyDescent="0.2">
      <c r="A18618" t="s">
        <v>3822</v>
      </c>
    </row>
    <row r="18619" spans="1:1" x14ac:dyDescent="0.2">
      <c r="A18619" t="s">
        <v>3823</v>
      </c>
    </row>
    <row r="18620" spans="1:1" x14ac:dyDescent="0.2">
      <c r="A18620" t="s">
        <v>3824</v>
      </c>
    </row>
    <row r="18621" spans="1:1" x14ac:dyDescent="0.2">
      <c r="A18621" t="s">
        <v>3825</v>
      </c>
    </row>
    <row r="18622" spans="1:1" x14ac:dyDescent="0.2">
      <c r="A18622" t="s">
        <v>3826</v>
      </c>
    </row>
    <row r="18623" spans="1:1" x14ac:dyDescent="0.2">
      <c r="A18623" t="s">
        <v>3827</v>
      </c>
    </row>
    <row r="18624" spans="1:1" x14ac:dyDescent="0.2">
      <c r="A18624" t="s">
        <v>3484</v>
      </c>
    </row>
    <row r="18625" spans="1:1" x14ac:dyDescent="0.2">
      <c r="A18625" t="s">
        <v>3828</v>
      </c>
    </row>
    <row r="18626" spans="1:1" x14ac:dyDescent="0.2">
      <c r="A18626" t="s">
        <v>3829</v>
      </c>
    </row>
    <row r="18627" spans="1:1" x14ac:dyDescent="0.2">
      <c r="A18627" t="s">
        <v>3830</v>
      </c>
    </row>
    <row r="18628" spans="1:1" x14ac:dyDescent="0.2">
      <c r="A18628" t="s">
        <v>3831</v>
      </c>
    </row>
    <row r="18629" spans="1:1" x14ac:dyDescent="0.2">
      <c r="A18629" t="s">
        <v>3647</v>
      </c>
    </row>
    <row r="18630" spans="1:1" x14ac:dyDescent="0.2">
      <c r="A18630" t="s">
        <v>3648</v>
      </c>
    </row>
    <row r="18631" spans="1:1" x14ac:dyDescent="0.2">
      <c r="A18631" t="s">
        <v>3833</v>
      </c>
    </row>
    <row r="18632" spans="1:1" x14ac:dyDescent="0.2">
      <c r="A18632" t="s">
        <v>1594</v>
      </c>
    </row>
    <row r="18633" spans="1:1" x14ac:dyDescent="0.2">
      <c r="A18633" t="s">
        <v>1642</v>
      </c>
    </row>
    <row r="18634" spans="1:1" x14ac:dyDescent="0.2">
      <c r="A18634" t="s">
        <v>3817</v>
      </c>
    </row>
    <row r="18635" spans="1:1" x14ac:dyDescent="0.2">
      <c r="A18635" t="s">
        <v>1652</v>
      </c>
    </row>
    <row r="18636" spans="1:1" x14ac:dyDescent="0.2">
      <c r="A18636" t="s">
        <v>1673</v>
      </c>
    </row>
    <row r="18637" spans="1:1" x14ac:dyDescent="0.2">
      <c r="A18637" t="s">
        <v>3631</v>
      </c>
    </row>
    <row r="18638" spans="1:1" x14ac:dyDescent="0.2">
      <c r="A18638" t="s">
        <v>1600</v>
      </c>
    </row>
    <row r="18639" spans="1:1" x14ac:dyDescent="0.2">
      <c r="A18639" t="s">
        <v>1601</v>
      </c>
    </row>
    <row r="18640" spans="1:1" x14ac:dyDescent="0.2">
      <c r="A18640" t="s">
        <v>3403</v>
      </c>
    </row>
    <row r="18641" spans="1:1" x14ac:dyDescent="0.2">
      <c r="A18641" t="s">
        <v>1635</v>
      </c>
    </row>
    <row r="18642" spans="1:1" x14ac:dyDescent="0.2">
      <c r="A18642" t="s">
        <v>3321</v>
      </c>
    </row>
    <row r="18643" spans="1:1" x14ac:dyDescent="0.2">
      <c r="A18643" t="s">
        <v>1605</v>
      </c>
    </row>
    <row r="18644" spans="1:1" x14ac:dyDescent="0.2">
      <c r="A18644" t="s">
        <v>1606</v>
      </c>
    </row>
    <row r="18645" spans="1:1" x14ac:dyDescent="0.2">
      <c r="A18645" t="s">
        <v>1607</v>
      </c>
    </row>
    <row r="18646" spans="1:1" x14ac:dyDescent="0.2">
      <c r="A18646" t="s">
        <v>1676</v>
      </c>
    </row>
    <row r="18647" spans="1:1" x14ac:dyDescent="0.2">
      <c r="A18647" t="s">
        <v>1677</v>
      </c>
    </row>
    <row r="18648" spans="1:1" x14ac:dyDescent="0.2">
      <c r="A18648" t="s">
        <v>1610</v>
      </c>
    </row>
    <row r="18649" spans="1:1" x14ac:dyDescent="0.2">
      <c r="A18649" t="s">
        <v>3818</v>
      </c>
    </row>
    <row r="18650" spans="1:1" x14ac:dyDescent="0.2">
      <c r="A18650" t="s">
        <v>3819</v>
      </c>
    </row>
    <row r="18651" spans="1:1" x14ac:dyDescent="0.2">
      <c r="A18651" t="s">
        <v>3820</v>
      </c>
    </row>
    <row r="18652" spans="1:1" x14ac:dyDescent="0.2">
      <c r="A18652" t="s">
        <v>3821</v>
      </c>
    </row>
    <row r="18653" spans="1:1" x14ac:dyDescent="0.2">
      <c r="A18653" t="s">
        <v>3822</v>
      </c>
    </row>
    <row r="18654" spans="1:1" x14ac:dyDescent="0.2">
      <c r="A18654" t="s">
        <v>3823</v>
      </c>
    </row>
    <row r="18655" spans="1:1" x14ac:dyDescent="0.2">
      <c r="A18655" t="s">
        <v>3824</v>
      </c>
    </row>
    <row r="18656" spans="1:1" x14ac:dyDescent="0.2">
      <c r="A18656" t="s">
        <v>3825</v>
      </c>
    </row>
    <row r="18657" spans="1:1" x14ac:dyDescent="0.2">
      <c r="A18657" t="s">
        <v>3826</v>
      </c>
    </row>
    <row r="18658" spans="1:1" x14ac:dyDescent="0.2">
      <c r="A18658" t="s">
        <v>3827</v>
      </c>
    </row>
    <row r="18659" spans="1:1" x14ac:dyDescent="0.2">
      <c r="A18659" t="s">
        <v>3484</v>
      </c>
    </row>
    <row r="18660" spans="1:1" x14ac:dyDescent="0.2">
      <c r="A18660" t="s">
        <v>3828</v>
      </c>
    </row>
    <row r="18661" spans="1:1" x14ac:dyDescent="0.2">
      <c r="A18661" t="s">
        <v>3829</v>
      </c>
    </row>
    <row r="18662" spans="1:1" x14ac:dyDescent="0.2">
      <c r="A18662" t="s">
        <v>3830</v>
      </c>
    </row>
    <row r="18663" spans="1:1" x14ac:dyDescent="0.2">
      <c r="A18663" t="s">
        <v>3831</v>
      </c>
    </row>
    <row r="18664" spans="1:1" x14ac:dyDescent="0.2">
      <c r="A18664" t="s">
        <v>3647</v>
      </c>
    </row>
    <row r="18665" spans="1:1" x14ac:dyDescent="0.2">
      <c r="A18665" t="s">
        <v>3648</v>
      </c>
    </row>
    <row r="18666" spans="1:1" x14ac:dyDescent="0.2">
      <c r="A18666" t="s">
        <v>3834</v>
      </c>
    </row>
    <row r="18667" spans="1:1" x14ac:dyDescent="0.2">
      <c r="A18667" t="s">
        <v>1594</v>
      </c>
    </row>
    <row r="18668" spans="1:1" x14ac:dyDescent="0.2">
      <c r="A18668" t="s">
        <v>1642</v>
      </c>
    </row>
    <row r="18669" spans="1:1" x14ac:dyDescent="0.2">
      <c r="A18669" t="s">
        <v>3835</v>
      </c>
    </row>
    <row r="18670" spans="1:1" x14ac:dyDescent="0.2">
      <c r="A18670" t="s">
        <v>1652</v>
      </c>
    </row>
    <row r="18671" spans="1:1" x14ac:dyDescent="0.2">
      <c r="A18671" t="s">
        <v>3318</v>
      </c>
    </row>
    <row r="18672" spans="1:1" x14ac:dyDescent="0.2">
      <c r="A18672" t="s">
        <v>3631</v>
      </c>
    </row>
    <row r="18673" spans="1:1" x14ac:dyDescent="0.2">
      <c r="A18673" t="s">
        <v>1600</v>
      </c>
    </row>
    <row r="18674" spans="1:1" x14ac:dyDescent="0.2">
      <c r="A18674" t="s">
        <v>1633</v>
      </c>
    </row>
    <row r="18675" spans="1:1" x14ac:dyDescent="0.2">
      <c r="A18675" t="s">
        <v>3403</v>
      </c>
    </row>
    <row r="18676" spans="1:1" x14ac:dyDescent="0.2">
      <c r="A18676" t="s">
        <v>1635</v>
      </c>
    </row>
    <row r="18677" spans="1:1" x14ac:dyDescent="0.2">
      <c r="A18677" t="s">
        <v>3321</v>
      </c>
    </row>
    <row r="18678" spans="1:1" x14ac:dyDescent="0.2">
      <c r="A18678" t="s">
        <v>1605</v>
      </c>
    </row>
    <row r="18679" spans="1:1" x14ac:dyDescent="0.2">
      <c r="A18679" t="s">
        <v>1606</v>
      </c>
    </row>
    <row r="18680" spans="1:1" x14ac:dyDescent="0.2">
      <c r="A18680" t="s">
        <v>1607</v>
      </c>
    </row>
    <row r="18681" spans="1:1" x14ac:dyDescent="0.2">
      <c r="A18681" t="s">
        <v>1676</v>
      </c>
    </row>
    <row r="18682" spans="1:1" x14ac:dyDescent="0.2">
      <c r="A18682" t="s">
        <v>1677</v>
      </c>
    </row>
    <row r="18683" spans="1:1" x14ac:dyDescent="0.2">
      <c r="A18683" t="s">
        <v>1610</v>
      </c>
    </row>
    <row r="18684" spans="1:1" x14ac:dyDescent="0.2">
      <c r="A18684" t="s">
        <v>3836</v>
      </c>
    </row>
    <row r="18685" spans="1:1" x14ac:dyDescent="0.2">
      <c r="A18685" t="s">
        <v>3837</v>
      </c>
    </row>
    <row r="18686" spans="1:1" x14ac:dyDescent="0.2">
      <c r="A18686" t="s">
        <v>3838</v>
      </c>
    </row>
    <row r="18687" spans="1:1" x14ac:dyDescent="0.2">
      <c r="A18687" t="s">
        <v>3839</v>
      </c>
    </row>
    <row r="18688" spans="1:1" x14ac:dyDescent="0.2">
      <c r="A18688" t="s">
        <v>3840</v>
      </c>
    </row>
    <row r="18689" spans="1:1" x14ac:dyDescent="0.2">
      <c r="A18689" t="s">
        <v>3841</v>
      </c>
    </row>
    <row r="18690" spans="1:1" x14ac:dyDescent="0.2">
      <c r="A18690" t="s">
        <v>3842</v>
      </c>
    </row>
    <row r="18691" spans="1:1" x14ac:dyDescent="0.2">
      <c r="A18691" t="s">
        <v>3843</v>
      </c>
    </row>
    <row r="18692" spans="1:1" x14ac:dyDescent="0.2">
      <c r="A18692" t="s">
        <v>3844</v>
      </c>
    </row>
    <row r="18693" spans="1:1" x14ac:dyDescent="0.2">
      <c r="A18693" t="s">
        <v>3845</v>
      </c>
    </row>
    <row r="18694" spans="1:1" x14ac:dyDescent="0.2">
      <c r="A18694" t="s">
        <v>3451</v>
      </c>
    </row>
    <row r="18695" spans="1:1" x14ac:dyDescent="0.2">
      <c r="A18695" t="s">
        <v>3846</v>
      </c>
    </row>
    <row r="18696" spans="1:1" x14ac:dyDescent="0.2">
      <c r="A18696" t="s">
        <v>3847</v>
      </c>
    </row>
    <row r="18697" spans="1:1" x14ac:dyDescent="0.2">
      <c r="A18697" t="s">
        <v>3848</v>
      </c>
    </row>
    <row r="18698" spans="1:1" x14ac:dyDescent="0.2">
      <c r="A18698" t="s">
        <v>3849</v>
      </c>
    </row>
    <row r="18699" spans="1:1" x14ac:dyDescent="0.2">
      <c r="A18699" t="s">
        <v>3647</v>
      </c>
    </row>
    <row r="18700" spans="1:1" x14ac:dyDescent="0.2">
      <c r="A18700" t="s">
        <v>3648</v>
      </c>
    </row>
    <row r="18701" spans="1:1" x14ac:dyDescent="0.2">
      <c r="A18701" t="s">
        <v>3850</v>
      </c>
    </row>
    <row r="18702" spans="1:1" x14ac:dyDescent="0.2">
      <c r="A18702" t="s">
        <v>1594</v>
      </c>
    </row>
    <row r="18703" spans="1:1" x14ac:dyDescent="0.2">
      <c r="A18703" t="s">
        <v>1642</v>
      </c>
    </row>
    <row r="18704" spans="1:1" x14ac:dyDescent="0.2">
      <c r="A18704" t="s">
        <v>3835</v>
      </c>
    </row>
    <row r="18705" spans="1:1" x14ac:dyDescent="0.2">
      <c r="A18705" t="s">
        <v>1652</v>
      </c>
    </row>
    <row r="18706" spans="1:1" x14ac:dyDescent="0.2">
      <c r="A18706" t="s">
        <v>3318</v>
      </c>
    </row>
    <row r="18707" spans="1:1" x14ac:dyDescent="0.2">
      <c r="A18707" t="s">
        <v>3631</v>
      </c>
    </row>
    <row r="18708" spans="1:1" x14ac:dyDescent="0.2">
      <c r="A18708" t="s">
        <v>1600</v>
      </c>
    </row>
    <row r="18709" spans="1:1" x14ac:dyDescent="0.2">
      <c r="A18709" t="s">
        <v>1639</v>
      </c>
    </row>
    <row r="18710" spans="1:1" x14ac:dyDescent="0.2">
      <c r="A18710" t="s">
        <v>3403</v>
      </c>
    </row>
    <row r="18711" spans="1:1" x14ac:dyDescent="0.2">
      <c r="A18711" t="s">
        <v>1635</v>
      </c>
    </row>
    <row r="18712" spans="1:1" x14ac:dyDescent="0.2">
      <c r="A18712" t="s">
        <v>3321</v>
      </c>
    </row>
    <row r="18713" spans="1:1" x14ac:dyDescent="0.2">
      <c r="A18713" t="s">
        <v>1605</v>
      </c>
    </row>
    <row r="18714" spans="1:1" x14ac:dyDescent="0.2">
      <c r="A18714" t="s">
        <v>1606</v>
      </c>
    </row>
    <row r="18715" spans="1:1" x14ac:dyDescent="0.2">
      <c r="A18715" t="s">
        <v>1607</v>
      </c>
    </row>
    <row r="18716" spans="1:1" x14ac:dyDescent="0.2">
      <c r="A18716" t="s">
        <v>1676</v>
      </c>
    </row>
    <row r="18717" spans="1:1" x14ac:dyDescent="0.2">
      <c r="A18717" t="s">
        <v>1677</v>
      </c>
    </row>
    <row r="18718" spans="1:1" x14ac:dyDescent="0.2">
      <c r="A18718" t="s">
        <v>1610</v>
      </c>
    </row>
    <row r="18719" spans="1:1" x14ac:dyDescent="0.2">
      <c r="A18719" t="s">
        <v>3836</v>
      </c>
    </row>
    <row r="18720" spans="1:1" x14ac:dyDescent="0.2">
      <c r="A18720" t="s">
        <v>3837</v>
      </c>
    </row>
    <row r="18721" spans="1:1" x14ac:dyDescent="0.2">
      <c r="A18721" t="s">
        <v>3838</v>
      </c>
    </row>
    <row r="18722" spans="1:1" x14ac:dyDescent="0.2">
      <c r="A18722" t="s">
        <v>3839</v>
      </c>
    </row>
    <row r="18723" spans="1:1" x14ac:dyDescent="0.2">
      <c r="A18723" t="s">
        <v>3840</v>
      </c>
    </row>
    <row r="18724" spans="1:1" x14ac:dyDescent="0.2">
      <c r="A18724" t="s">
        <v>3841</v>
      </c>
    </row>
    <row r="18725" spans="1:1" x14ac:dyDescent="0.2">
      <c r="A18725" t="s">
        <v>3842</v>
      </c>
    </row>
    <row r="18726" spans="1:1" x14ac:dyDescent="0.2">
      <c r="A18726" t="s">
        <v>3843</v>
      </c>
    </row>
    <row r="18727" spans="1:1" x14ac:dyDescent="0.2">
      <c r="A18727" t="s">
        <v>3844</v>
      </c>
    </row>
    <row r="18728" spans="1:1" x14ac:dyDescent="0.2">
      <c r="A18728" t="s">
        <v>3845</v>
      </c>
    </row>
    <row r="18729" spans="1:1" x14ac:dyDescent="0.2">
      <c r="A18729" t="s">
        <v>3451</v>
      </c>
    </row>
    <row r="18730" spans="1:1" x14ac:dyDescent="0.2">
      <c r="A18730" t="s">
        <v>3846</v>
      </c>
    </row>
    <row r="18731" spans="1:1" x14ac:dyDescent="0.2">
      <c r="A18731" t="s">
        <v>3847</v>
      </c>
    </row>
    <row r="18732" spans="1:1" x14ac:dyDescent="0.2">
      <c r="A18732" t="s">
        <v>3848</v>
      </c>
    </row>
    <row r="18733" spans="1:1" x14ac:dyDescent="0.2">
      <c r="A18733" t="s">
        <v>3849</v>
      </c>
    </row>
    <row r="18734" spans="1:1" x14ac:dyDescent="0.2">
      <c r="A18734" t="s">
        <v>3647</v>
      </c>
    </row>
    <row r="18735" spans="1:1" x14ac:dyDescent="0.2">
      <c r="A18735" t="s">
        <v>3648</v>
      </c>
    </row>
    <row r="18736" spans="1:1" x14ac:dyDescent="0.2">
      <c r="A18736" t="s">
        <v>3851</v>
      </c>
    </row>
    <row r="18737" spans="1:1" x14ac:dyDescent="0.2">
      <c r="A18737" t="s">
        <v>1594</v>
      </c>
    </row>
    <row r="18738" spans="1:1" x14ac:dyDescent="0.2">
      <c r="A18738" t="s">
        <v>1642</v>
      </c>
    </row>
    <row r="18739" spans="1:1" x14ac:dyDescent="0.2">
      <c r="A18739" t="s">
        <v>3835</v>
      </c>
    </row>
    <row r="18740" spans="1:1" x14ac:dyDescent="0.2">
      <c r="A18740" t="s">
        <v>1652</v>
      </c>
    </row>
    <row r="18741" spans="1:1" x14ac:dyDescent="0.2">
      <c r="A18741" t="s">
        <v>3318</v>
      </c>
    </row>
    <row r="18742" spans="1:1" x14ac:dyDescent="0.2">
      <c r="A18742" t="s">
        <v>3631</v>
      </c>
    </row>
    <row r="18743" spans="1:1" x14ac:dyDescent="0.2">
      <c r="A18743" t="s">
        <v>1600</v>
      </c>
    </row>
    <row r="18744" spans="1:1" x14ac:dyDescent="0.2">
      <c r="A18744" t="s">
        <v>1601</v>
      </c>
    </row>
    <row r="18745" spans="1:1" x14ac:dyDescent="0.2">
      <c r="A18745" t="s">
        <v>3403</v>
      </c>
    </row>
    <row r="18746" spans="1:1" x14ac:dyDescent="0.2">
      <c r="A18746" t="s">
        <v>1635</v>
      </c>
    </row>
    <row r="18747" spans="1:1" x14ac:dyDescent="0.2">
      <c r="A18747" t="s">
        <v>3321</v>
      </c>
    </row>
    <row r="18748" spans="1:1" x14ac:dyDescent="0.2">
      <c r="A18748" t="s">
        <v>1605</v>
      </c>
    </row>
    <row r="18749" spans="1:1" x14ac:dyDescent="0.2">
      <c r="A18749" t="s">
        <v>1606</v>
      </c>
    </row>
    <row r="18750" spans="1:1" x14ac:dyDescent="0.2">
      <c r="A18750" t="s">
        <v>1607</v>
      </c>
    </row>
    <row r="18751" spans="1:1" x14ac:dyDescent="0.2">
      <c r="A18751" t="s">
        <v>1676</v>
      </c>
    </row>
    <row r="18752" spans="1:1" x14ac:dyDescent="0.2">
      <c r="A18752" t="s">
        <v>1677</v>
      </c>
    </row>
    <row r="18753" spans="1:1" x14ac:dyDescent="0.2">
      <c r="A18753" t="s">
        <v>1610</v>
      </c>
    </row>
    <row r="18754" spans="1:1" x14ac:dyDescent="0.2">
      <c r="A18754" t="s">
        <v>3836</v>
      </c>
    </row>
    <row r="18755" spans="1:1" x14ac:dyDescent="0.2">
      <c r="A18755" t="s">
        <v>3837</v>
      </c>
    </row>
    <row r="18756" spans="1:1" x14ac:dyDescent="0.2">
      <c r="A18756" t="s">
        <v>3838</v>
      </c>
    </row>
    <row r="18757" spans="1:1" x14ac:dyDescent="0.2">
      <c r="A18757" t="s">
        <v>3839</v>
      </c>
    </row>
    <row r="18758" spans="1:1" x14ac:dyDescent="0.2">
      <c r="A18758" t="s">
        <v>3840</v>
      </c>
    </row>
    <row r="18759" spans="1:1" x14ac:dyDescent="0.2">
      <c r="A18759" t="s">
        <v>3841</v>
      </c>
    </row>
    <row r="18760" spans="1:1" x14ac:dyDescent="0.2">
      <c r="A18760" t="s">
        <v>3842</v>
      </c>
    </row>
    <row r="18761" spans="1:1" x14ac:dyDescent="0.2">
      <c r="A18761" t="s">
        <v>3843</v>
      </c>
    </row>
    <row r="18762" spans="1:1" x14ac:dyDescent="0.2">
      <c r="A18762" t="s">
        <v>3844</v>
      </c>
    </row>
    <row r="18763" spans="1:1" x14ac:dyDescent="0.2">
      <c r="A18763" t="s">
        <v>3845</v>
      </c>
    </row>
    <row r="18764" spans="1:1" x14ac:dyDescent="0.2">
      <c r="A18764" t="s">
        <v>3451</v>
      </c>
    </row>
    <row r="18765" spans="1:1" x14ac:dyDescent="0.2">
      <c r="A18765" t="s">
        <v>3846</v>
      </c>
    </row>
    <row r="18766" spans="1:1" x14ac:dyDescent="0.2">
      <c r="A18766" t="s">
        <v>3847</v>
      </c>
    </row>
    <row r="18767" spans="1:1" x14ac:dyDescent="0.2">
      <c r="A18767" t="s">
        <v>3848</v>
      </c>
    </row>
    <row r="18768" spans="1:1" x14ac:dyDescent="0.2">
      <c r="A18768" t="s">
        <v>3849</v>
      </c>
    </row>
    <row r="18769" spans="1:1" x14ac:dyDescent="0.2">
      <c r="A18769" t="s">
        <v>3647</v>
      </c>
    </row>
    <row r="18770" spans="1:1" x14ac:dyDescent="0.2">
      <c r="A18770" t="s">
        <v>3648</v>
      </c>
    </row>
    <row r="18771" spans="1:1" x14ac:dyDescent="0.2">
      <c r="A18771" t="s">
        <v>3852</v>
      </c>
    </row>
    <row r="18772" spans="1:1" x14ac:dyDescent="0.2">
      <c r="A18772" t="s">
        <v>1663</v>
      </c>
    </row>
    <row r="18773" spans="1:1" x14ac:dyDescent="0.2">
      <c r="A18773" t="s">
        <v>3853</v>
      </c>
    </row>
    <row r="18774" spans="1:1" x14ac:dyDescent="0.2">
      <c r="A18774" t="s">
        <v>3854</v>
      </c>
    </row>
    <row r="18775" spans="1:1" x14ac:dyDescent="0.2">
      <c r="A18775" t="s">
        <v>1652</v>
      </c>
    </row>
    <row r="18776" spans="1:1" x14ac:dyDescent="0.2">
      <c r="A18776" t="s">
        <v>1673</v>
      </c>
    </row>
    <row r="18777" spans="1:1" x14ac:dyDescent="0.2">
      <c r="A18777" t="s">
        <v>3631</v>
      </c>
    </row>
    <row r="18778" spans="1:1" x14ac:dyDescent="0.2">
      <c r="A18778" t="s">
        <v>1600</v>
      </c>
    </row>
    <row r="18779" spans="1:1" x14ac:dyDescent="0.2">
      <c r="A18779" t="s">
        <v>1633</v>
      </c>
    </row>
    <row r="18780" spans="1:1" x14ac:dyDescent="0.2">
      <c r="A18780" t="s">
        <v>3403</v>
      </c>
    </row>
    <row r="18781" spans="1:1" x14ac:dyDescent="0.2">
      <c r="A18781" t="s">
        <v>1635</v>
      </c>
    </row>
    <row r="18782" spans="1:1" x14ac:dyDescent="0.2">
      <c r="A18782" t="s">
        <v>3321</v>
      </c>
    </row>
    <row r="18783" spans="1:1" x14ac:dyDescent="0.2">
      <c r="A18783" t="s">
        <v>3423</v>
      </c>
    </row>
    <row r="18784" spans="1:1" x14ac:dyDescent="0.2">
      <c r="A18784" t="s">
        <v>3421</v>
      </c>
    </row>
    <row r="18785" spans="1:1" x14ac:dyDescent="0.2">
      <c r="A18785" t="s">
        <v>1607</v>
      </c>
    </row>
    <row r="18786" spans="1:1" x14ac:dyDescent="0.2">
      <c r="A18786" t="s">
        <v>1676</v>
      </c>
    </row>
    <row r="18787" spans="1:1" x14ac:dyDescent="0.2">
      <c r="A18787" t="s">
        <v>1677</v>
      </c>
    </row>
    <row r="18788" spans="1:1" x14ac:dyDescent="0.2">
      <c r="A18788" t="s">
        <v>1610</v>
      </c>
    </row>
    <row r="18789" spans="1:1" x14ac:dyDescent="0.2">
      <c r="A18789" t="s">
        <v>3855</v>
      </c>
    </row>
    <row r="18790" spans="1:1" x14ac:dyDescent="0.2">
      <c r="A18790" t="s">
        <v>3856</v>
      </c>
    </row>
    <row r="18791" spans="1:1" x14ac:dyDescent="0.2">
      <c r="A18791" t="s">
        <v>3857</v>
      </c>
    </row>
    <row r="18792" spans="1:1" x14ac:dyDescent="0.2">
      <c r="A18792" t="s">
        <v>3858</v>
      </c>
    </row>
    <row r="18793" spans="1:1" x14ac:dyDescent="0.2">
      <c r="A18793" t="s">
        <v>3859</v>
      </c>
    </row>
    <row r="18794" spans="1:1" x14ac:dyDescent="0.2">
      <c r="A18794" t="s">
        <v>3860</v>
      </c>
    </row>
    <row r="18795" spans="1:1" x14ac:dyDescent="0.2">
      <c r="A18795" t="s">
        <v>3861</v>
      </c>
    </row>
    <row r="18796" spans="1:1" x14ac:dyDescent="0.2">
      <c r="A18796" t="s">
        <v>3862</v>
      </c>
    </row>
    <row r="18797" spans="1:1" x14ac:dyDescent="0.2">
      <c r="A18797" t="s">
        <v>3863</v>
      </c>
    </row>
    <row r="18798" spans="1:1" x14ac:dyDescent="0.2">
      <c r="A18798" t="s">
        <v>3864</v>
      </c>
    </row>
    <row r="18799" spans="1:1" x14ac:dyDescent="0.2">
      <c r="A18799" t="s">
        <v>3502</v>
      </c>
    </row>
    <row r="18800" spans="1:1" x14ac:dyDescent="0.2">
      <c r="A18800" t="s">
        <v>3865</v>
      </c>
    </row>
    <row r="18801" spans="1:1" x14ac:dyDescent="0.2">
      <c r="A18801" t="s">
        <v>3866</v>
      </c>
    </row>
    <row r="18802" spans="1:1" x14ac:dyDescent="0.2">
      <c r="A18802" t="s">
        <v>3867</v>
      </c>
    </row>
    <row r="18803" spans="1:1" x14ac:dyDescent="0.2">
      <c r="A18803" t="s">
        <v>3868</v>
      </c>
    </row>
    <row r="18804" spans="1:1" x14ac:dyDescent="0.2">
      <c r="A18804" t="s">
        <v>3647</v>
      </c>
    </row>
    <row r="18805" spans="1:1" x14ac:dyDescent="0.2">
      <c r="A18805" t="s">
        <v>3648</v>
      </c>
    </row>
    <row r="18806" spans="1:1" x14ac:dyDescent="0.2">
      <c r="A18806" t="s">
        <v>3869</v>
      </c>
    </row>
    <row r="18807" spans="1:1" x14ac:dyDescent="0.2">
      <c r="A18807" t="s">
        <v>1663</v>
      </c>
    </row>
    <row r="18808" spans="1:1" x14ac:dyDescent="0.2">
      <c r="A18808" t="s">
        <v>3853</v>
      </c>
    </row>
    <row r="18809" spans="1:1" x14ac:dyDescent="0.2">
      <c r="A18809" t="s">
        <v>3854</v>
      </c>
    </row>
    <row r="18810" spans="1:1" x14ac:dyDescent="0.2">
      <c r="A18810" t="s">
        <v>1652</v>
      </c>
    </row>
    <row r="18811" spans="1:1" x14ac:dyDescent="0.2">
      <c r="A18811" t="s">
        <v>1673</v>
      </c>
    </row>
    <row r="18812" spans="1:1" x14ac:dyDescent="0.2">
      <c r="A18812" t="s">
        <v>3631</v>
      </c>
    </row>
    <row r="18813" spans="1:1" x14ac:dyDescent="0.2">
      <c r="A18813" t="s">
        <v>1600</v>
      </c>
    </row>
    <row r="18814" spans="1:1" x14ac:dyDescent="0.2">
      <c r="A18814" t="s">
        <v>1633</v>
      </c>
    </row>
    <row r="18815" spans="1:1" x14ac:dyDescent="0.2">
      <c r="A18815" t="s">
        <v>3403</v>
      </c>
    </row>
    <row r="18816" spans="1:1" x14ac:dyDescent="0.2">
      <c r="A18816" t="s">
        <v>1635</v>
      </c>
    </row>
    <row r="18817" spans="1:1" x14ac:dyDescent="0.2">
      <c r="A18817" t="s">
        <v>3321</v>
      </c>
    </row>
    <row r="18818" spans="1:1" x14ac:dyDescent="0.2">
      <c r="A18818" t="s">
        <v>3729</v>
      </c>
    </row>
    <row r="18819" spans="1:1" x14ac:dyDescent="0.2">
      <c r="A18819" t="s">
        <v>3421</v>
      </c>
    </row>
    <row r="18820" spans="1:1" x14ac:dyDescent="0.2">
      <c r="A18820" t="s">
        <v>1607</v>
      </c>
    </row>
    <row r="18821" spans="1:1" x14ac:dyDescent="0.2">
      <c r="A18821" t="s">
        <v>1676</v>
      </c>
    </row>
    <row r="18822" spans="1:1" x14ac:dyDescent="0.2">
      <c r="A18822" t="s">
        <v>1677</v>
      </c>
    </row>
    <row r="18823" spans="1:1" x14ac:dyDescent="0.2">
      <c r="A18823" t="s">
        <v>1610</v>
      </c>
    </row>
    <row r="18824" spans="1:1" x14ac:dyDescent="0.2">
      <c r="A18824" t="s">
        <v>3855</v>
      </c>
    </row>
    <row r="18825" spans="1:1" x14ac:dyDescent="0.2">
      <c r="A18825" t="s">
        <v>3856</v>
      </c>
    </row>
    <row r="18826" spans="1:1" x14ac:dyDescent="0.2">
      <c r="A18826" t="s">
        <v>3857</v>
      </c>
    </row>
    <row r="18827" spans="1:1" x14ac:dyDescent="0.2">
      <c r="A18827" t="s">
        <v>3858</v>
      </c>
    </row>
    <row r="18828" spans="1:1" x14ac:dyDescent="0.2">
      <c r="A18828" t="s">
        <v>3859</v>
      </c>
    </row>
    <row r="18829" spans="1:1" x14ac:dyDescent="0.2">
      <c r="A18829" t="s">
        <v>3860</v>
      </c>
    </row>
    <row r="18830" spans="1:1" x14ac:dyDescent="0.2">
      <c r="A18830" t="s">
        <v>3861</v>
      </c>
    </row>
    <row r="18831" spans="1:1" x14ac:dyDescent="0.2">
      <c r="A18831" t="s">
        <v>3862</v>
      </c>
    </row>
    <row r="18832" spans="1:1" x14ac:dyDescent="0.2">
      <c r="A18832" t="s">
        <v>3863</v>
      </c>
    </row>
    <row r="18833" spans="1:1" x14ac:dyDescent="0.2">
      <c r="A18833" t="s">
        <v>3864</v>
      </c>
    </row>
    <row r="18834" spans="1:1" x14ac:dyDescent="0.2">
      <c r="A18834" t="s">
        <v>3502</v>
      </c>
    </row>
    <row r="18835" spans="1:1" x14ac:dyDescent="0.2">
      <c r="A18835" t="s">
        <v>3865</v>
      </c>
    </row>
    <row r="18836" spans="1:1" x14ac:dyDescent="0.2">
      <c r="A18836" t="s">
        <v>3866</v>
      </c>
    </row>
    <row r="18837" spans="1:1" x14ac:dyDescent="0.2">
      <c r="A18837" t="s">
        <v>3867</v>
      </c>
    </row>
    <row r="18838" spans="1:1" x14ac:dyDescent="0.2">
      <c r="A18838" t="s">
        <v>3868</v>
      </c>
    </row>
    <row r="18839" spans="1:1" x14ac:dyDescent="0.2">
      <c r="A18839" t="s">
        <v>3647</v>
      </c>
    </row>
    <row r="18840" spans="1:1" x14ac:dyDescent="0.2">
      <c r="A18840" t="s">
        <v>3648</v>
      </c>
    </row>
    <row r="18841" spans="1:1" x14ac:dyDescent="0.2">
      <c r="A18841" t="s">
        <v>3870</v>
      </c>
    </row>
    <row r="18842" spans="1:1" x14ac:dyDescent="0.2">
      <c r="A18842" t="s">
        <v>1663</v>
      </c>
    </row>
    <row r="18843" spans="1:1" x14ac:dyDescent="0.2">
      <c r="A18843" t="s">
        <v>3853</v>
      </c>
    </row>
    <row r="18844" spans="1:1" x14ac:dyDescent="0.2">
      <c r="A18844" t="s">
        <v>3854</v>
      </c>
    </row>
    <row r="18845" spans="1:1" x14ac:dyDescent="0.2">
      <c r="A18845" t="s">
        <v>1652</v>
      </c>
    </row>
    <row r="18846" spans="1:1" x14ac:dyDescent="0.2">
      <c r="A18846" t="s">
        <v>1673</v>
      </c>
    </row>
    <row r="18847" spans="1:1" x14ac:dyDescent="0.2">
      <c r="A18847" t="s">
        <v>3631</v>
      </c>
    </row>
    <row r="18848" spans="1:1" x14ac:dyDescent="0.2">
      <c r="A18848" t="s">
        <v>1600</v>
      </c>
    </row>
    <row r="18849" spans="1:1" x14ac:dyDescent="0.2">
      <c r="A18849" t="s">
        <v>1601</v>
      </c>
    </row>
    <row r="18850" spans="1:1" x14ac:dyDescent="0.2">
      <c r="A18850" t="s">
        <v>3403</v>
      </c>
    </row>
    <row r="18851" spans="1:1" x14ac:dyDescent="0.2">
      <c r="A18851" t="s">
        <v>1635</v>
      </c>
    </row>
    <row r="18852" spans="1:1" x14ac:dyDescent="0.2">
      <c r="A18852" t="s">
        <v>3321</v>
      </c>
    </row>
    <row r="18853" spans="1:1" x14ac:dyDescent="0.2">
      <c r="A18853" t="s">
        <v>3750</v>
      </c>
    </row>
    <row r="18854" spans="1:1" x14ac:dyDescent="0.2">
      <c r="A18854" t="s">
        <v>3421</v>
      </c>
    </row>
    <row r="18855" spans="1:1" x14ac:dyDescent="0.2">
      <c r="A18855" t="s">
        <v>1607</v>
      </c>
    </row>
    <row r="18856" spans="1:1" x14ac:dyDescent="0.2">
      <c r="A18856" t="s">
        <v>1676</v>
      </c>
    </row>
    <row r="18857" spans="1:1" x14ac:dyDescent="0.2">
      <c r="A18857" t="s">
        <v>1677</v>
      </c>
    </row>
    <row r="18858" spans="1:1" x14ac:dyDescent="0.2">
      <c r="A18858" t="s">
        <v>1610</v>
      </c>
    </row>
    <row r="18859" spans="1:1" x14ac:dyDescent="0.2">
      <c r="A18859" t="s">
        <v>3855</v>
      </c>
    </row>
    <row r="18860" spans="1:1" x14ac:dyDescent="0.2">
      <c r="A18860" t="s">
        <v>3856</v>
      </c>
    </row>
    <row r="18861" spans="1:1" x14ac:dyDescent="0.2">
      <c r="A18861" t="s">
        <v>3857</v>
      </c>
    </row>
    <row r="18862" spans="1:1" x14ac:dyDescent="0.2">
      <c r="A18862" t="s">
        <v>3858</v>
      </c>
    </row>
    <row r="18863" spans="1:1" x14ac:dyDescent="0.2">
      <c r="A18863" t="s">
        <v>3859</v>
      </c>
    </row>
    <row r="18864" spans="1:1" x14ac:dyDescent="0.2">
      <c r="A18864" t="s">
        <v>3860</v>
      </c>
    </row>
    <row r="18865" spans="1:1" x14ac:dyDescent="0.2">
      <c r="A18865" t="s">
        <v>3861</v>
      </c>
    </row>
    <row r="18866" spans="1:1" x14ac:dyDescent="0.2">
      <c r="A18866" t="s">
        <v>3862</v>
      </c>
    </row>
    <row r="18867" spans="1:1" x14ac:dyDescent="0.2">
      <c r="A18867" t="s">
        <v>3863</v>
      </c>
    </row>
    <row r="18868" spans="1:1" x14ac:dyDescent="0.2">
      <c r="A18868" t="s">
        <v>3864</v>
      </c>
    </row>
    <row r="18869" spans="1:1" x14ac:dyDescent="0.2">
      <c r="A18869" t="s">
        <v>3502</v>
      </c>
    </row>
    <row r="18870" spans="1:1" x14ac:dyDescent="0.2">
      <c r="A18870" t="s">
        <v>3865</v>
      </c>
    </row>
    <row r="18871" spans="1:1" x14ac:dyDescent="0.2">
      <c r="A18871" t="s">
        <v>3866</v>
      </c>
    </row>
    <row r="18872" spans="1:1" x14ac:dyDescent="0.2">
      <c r="A18872" t="s">
        <v>3867</v>
      </c>
    </row>
    <row r="18873" spans="1:1" x14ac:dyDescent="0.2">
      <c r="A18873" t="s">
        <v>3868</v>
      </c>
    </row>
    <row r="18874" spans="1:1" x14ac:dyDescent="0.2">
      <c r="A18874" t="s">
        <v>3647</v>
      </c>
    </row>
    <row r="18875" spans="1:1" x14ac:dyDescent="0.2">
      <c r="A18875" t="s">
        <v>3648</v>
      </c>
    </row>
    <row r="18876" spans="1:1" x14ac:dyDescent="0.2">
      <c r="A18876" t="s">
        <v>3871</v>
      </c>
    </row>
    <row r="18877" spans="1:1" x14ac:dyDescent="0.2">
      <c r="A18877" t="s">
        <v>1594</v>
      </c>
    </row>
    <row r="18878" spans="1:1" x14ac:dyDescent="0.2">
      <c r="A18878" t="s">
        <v>1595</v>
      </c>
    </row>
    <row r="18879" spans="1:1" x14ac:dyDescent="0.2">
      <c r="A18879" t="s">
        <v>3439</v>
      </c>
    </row>
    <row r="18880" spans="1:1" x14ac:dyDescent="0.2">
      <c r="A18880" t="s">
        <v>1597</v>
      </c>
    </row>
    <row r="18881" spans="1:1" x14ac:dyDescent="0.2">
      <c r="A18881" t="s">
        <v>1598</v>
      </c>
    </row>
    <row r="18882" spans="1:1" x14ac:dyDescent="0.2">
      <c r="A18882" t="s">
        <v>1599</v>
      </c>
    </row>
    <row r="18883" spans="1:1" x14ac:dyDescent="0.2">
      <c r="A18883" t="s">
        <v>1600</v>
      </c>
    </row>
    <row r="18884" spans="1:1" x14ac:dyDescent="0.2">
      <c r="A18884" t="s">
        <v>1601</v>
      </c>
    </row>
    <row r="18885" spans="1:1" x14ac:dyDescent="0.2">
      <c r="A18885" t="s">
        <v>1602</v>
      </c>
    </row>
    <row r="18886" spans="1:1" x14ac:dyDescent="0.2">
      <c r="A18886" t="s">
        <v>1603</v>
      </c>
    </row>
    <row r="18887" spans="1:1" x14ac:dyDescent="0.2">
      <c r="A18887" t="s">
        <v>1604</v>
      </c>
    </row>
    <row r="18888" spans="1:1" x14ac:dyDescent="0.2">
      <c r="A18888" t="s">
        <v>1605</v>
      </c>
    </row>
    <row r="18889" spans="1:1" x14ac:dyDescent="0.2">
      <c r="A18889" t="s">
        <v>1606</v>
      </c>
    </row>
    <row r="18890" spans="1:1" x14ac:dyDescent="0.2">
      <c r="A18890" t="s">
        <v>1607</v>
      </c>
    </row>
    <row r="18891" spans="1:1" x14ac:dyDescent="0.2">
      <c r="A18891" t="s">
        <v>1608</v>
      </c>
    </row>
    <row r="18892" spans="1:1" x14ac:dyDescent="0.2">
      <c r="A18892" t="s">
        <v>1609</v>
      </c>
    </row>
    <row r="18893" spans="1:1" x14ac:dyDescent="0.2">
      <c r="A18893" t="s">
        <v>1610</v>
      </c>
    </row>
    <row r="18894" spans="1:1" x14ac:dyDescent="0.2">
      <c r="A18894" t="s">
        <v>1611</v>
      </c>
    </row>
    <row r="18895" spans="1:1" x14ac:dyDescent="0.2">
      <c r="A18895" t="s">
        <v>1612</v>
      </c>
    </row>
    <row r="18896" spans="1:1" x14ac:dyDescent="0.2">
      <c r="A18896" t="s">
        <v>1613</v>
      </c>
    </row>
    <row r="18897" spans="1:1" x14ac:dyDescent="0.2">
      <c r="A18897" t="s">
        <v>1614</v>
      </c>
    </row>
    <row r="18898" spans="1:1" x14ac:dyDescent="0.2">
      <c r="A18898" t="s">
        <v>1615</v>
      </c>
    </row>
    <row r="18899" spans="1:1" x14ac:dyDescent="0.2">
      <c r="A18899" t="s">
        <v>1616</v>
      </c>
    </row>
    <row r="18900" spans="1:1" x14ac:dyDescent="0.2">
      <c r="A18900" t="s">
        <v>1617</v>
      </c>
    </row>
    <row r="18901" spans="1:1" x14ac:dyDescent="0.2">
      <c r="A18901" t="s">
        <v>1618</v>
      </c>
    </row>
    <row r="18902" spans="1:1" x14ac:dyDescent="0.2">
      <c r="A18902" t="s">
        <v>1619</v>
      </c>
    </row>
    <row r="18903" spans="1:1" x14ac:dyDescent="0.2">
      <c r="A18903" t="s">
        <v>1620</v>
      </c>
    </row>
    <row r="18904" spans="1:1" x14ac:dyDescent="0.2">
      <c r="A18904" t="s">
        <v>1621</v>
      </c>
    </row>
    <row r="18905" spans="1:1" x14ac:dyDescent="0.2">
      <c r="A18905" t="s">
        <v>1622</v>
      </c>
    </row>
    <row r="18906" spans="1:1" x14ac:dyDescent="0.2">
      <c r="A18906" t="s">
        <v>1623</v>
      </c>
    </row>
    <row r="18907" spans="1:1" x14ac:dyDescent="0.2">
      <c r="A18907" t="s">
        <v>1624</v>
      </c>
    </row>
    <row r="18908" spans="1:1" x14ac:dyDescent="0.2">
      <c r="A18908" t="s">
        <v>1625</v>
      </c>
    </row>
    <row r="18909" spans="1:1" x14ac:dyDescent="0.2">
      <c r="A18909" t="s">
        <v>1626</v>
      </c>
    </row>
    <row r="18910" spans="1:1" x14ac:dyDescent="0.2">
      <c r="A18910" t="s">
        <v>1627</v>
      </c>
    </row>
    <row r="18911" spans="1:1" x14ac:dyDescent="0.2">
      <c r="A18911" t="s">
        <v>3872</v>
      </c>
    </row>
    <row r="18912" spans="1:1" x14ac:dyDescent="0.2">
      <c r="A18912" t="s">
        <v>1594</v>
      </c>
    </row>
    <row r="18913" spans="1:1" x14ac:dyDescent="0.2">
      <c r="A18913" t="s">
        <v>1595</v>
      </c>
    </row>
    <row r="18914" spans="1:1" x14ac:dyDescent="0.2">
      <c r="A18914" t="s">
        <v>3873</v>
      </c>
    </row>
    <row r="18915" spans="1:1" x14ac:dyDescent="0.2">
      <c r="A18915" t="s">
        <v>3491</v>
      </c>
    </row>
    <row r="18916" spans="1:1" x14ac:dyDescent="0.2">
      <c r="A18916" t="s">
        <v>1598</v>
      </c>
    </row>
    <row r="18917" spans="1:1" x14ac:dyDescent="0.2">
      <c r="A18917" t="s">
        <v>3874</v>
      </c>
    </row>
    <row r="18918" spans="1:1" x14ac:dyDescent="0.2">
      <c r="A18918" t="s">
        <v>1600</v>
      </c>
    </row>
    <row r="18919" spans="1:1" x14ac:dyDescent="0.2">
      <c r="A18919" t="s">
        <v>1633</v>
      </c>
    </row>
    <row r="18920" spans="1:1" x14ac:dyDescent="0.2">
      <c r="A18920" t="s">
        <v>3403</v>
      </c>
    </row>
    <row r="18921" spans="1:1" x14ac:dyDescent="0.2">
      <c r="A18921" t="s">
        <v>1635</v>
      </c>
    </row>
    <row r="18922" spans="1:1" x14ac:dyDescent="0.2">
      <c r="A18922" t="s">
        <v>3875</v>
      </c>
    </row>
    <row r="18923" spans="1:1" x14ac:dyDescent="0.2">
      <c r="A18923" t="s">
        <v>1605</v>
      </c>
    </row>
    <row r="18924" spans="1:1" x14ac:dyDescent="0.2">
      <c r="A18924" t="s">
        <v>1606</v>
      </c>
    </row>
    <row r="18925" spans="1:1" x14ac:dyDescent="0.2">
      <c r="A18925" t="s">
        <v>1607</v>
      </c>
    </row>
    <row r="18926" spans="1:1" x14ac:dyDescent="0.2">
      <c r="A18926" t="s">
        <v>3876</v>
      </c>
    </row>
    <row r="18927" spans="1:1" x14ac:dyDescent="0.2">
      <c r="A18927" t="s">
        <v>3877</v>
      </c>
    </row>
    <row r="18928" spans="1:1" x14ac:dyDescent="0.2">
      <c r="A18928" t="s">
        <v>1610</v>
      </c>
    </row>
    <row r="18929" spans="1:1" x14ac:dyDescent="0.2">
      <c r="A18929" t="s">
        <v>3878</v>
      </c>
    </row>
    <row r="18930" spans="1:1" x14ac:dyDescent="0.2">
      <c r="A18930" t="s">
        <v>3879</v>
      </c>
    </row>
    <row r="18931" spans="1:1" x14ac:dyDescent="0.2">
      <c r="A18931" t="s">
        <v>3880</v>
      </c>
    </row>
    <row r="18932" spans="1:1" x14ac:dyDescent="0.2">
      <c r="A18932" t="s">
        <v>3881</v>
      </c>
    </row>
    <row r="18933" spans="1:1" x14ac:dyDescent="0.2">
      <c r="A18933" t="s">
        <v>3882</v>
      </c>
    </row>
    <row r="18934" spans="1:1" x14ac:dyDescent="0.2">
      <c r="A18934" t="s">
        <v>3883</v>
      </c>
    </row>
    <row r="18935" spans="1:1" x14ac:dyDescent="0.2">
      <c r="A18935" t="s">
        <v>3884</v>
      </c>
    </row>
    <row r="18936" spans="1:1" x14ac:dyDescent="0.2">
      <c r="A18936" t="s">
        <v>3885</v>
      </c>
    </row>
    <row r="18937" spans="1:1" x14ac:dyDescent="0.2">
      <c r="A18937" t="s">
        <v>3886</v>
      </c>
    </row>
    <row r="18938" spans="1:1" x14ac:dyDescent="0.2">
      <c r="A18938" t="s">
        <v>3887</v>
      </c>
    </row>
    <row r="18939" spans="1:1" x14ac:dyDescent="0.2">
      <c r="A18939" t="s">
        <v>3642</v>
      </c>
    </row>
    <row r="18940" spans="1:1" x14ac:dyDescent="0.2">
      <c r="A18940" t="s">
        <v>3888</v>
      </c>
    </row>
    <row r="18941" spans="1:1" x14ac:dyDescent="0.2">
      <c r="A18941" t="s">
        <v>3889</v>
      </c>
    </row>
    <row r="18942" spans="1:1" x14ac:dyDescent="0.2">
      <c r="A18942" t="s">
        <v>3890</v>
      </c>
    </row>
    <row r="18943" spans="1:1" x14ac:dyDescent="0.2">
      <c r="A18943" t="s">
        <v>3891</v>
      </c>
    </row>
    <row r="18944" spans="1:1" x14ac:dyDescent="0.2">
      <c r="A18944" t="s">
        <v>3647</v>
      </c>
    </row>
    <row r="18945" spans="1:1" x14ac:dyDescent="0.2">
      <c r="A18945" t="s">
        <v>3648</v>
      </c>
    </row>
    <row r="18946" spans="1:1" x14ac:dyDescent="0.2">
      <c r="A18946" t="s">
        <v>3892</v>
      </c>
    </row>
    <row r="18947" spans="1:1" x14ac:dyDescent="0.2">
      <c r="A18947" t="s">
        <v>1594</v>
      </c>
    </row>
    <row r="18948" spans="1:1" x14ac:dyDescent="0.2">
      <c r="A18948" t="s">
        <v>1595</v>
      </c>
    </row>
    <row r="18949" spans="1:1" x14ac:dyDescent="0.2">
      <c r="A18949" t="s">
        <v>3873</v>
      </c>
    </row>
    <row r="18950" spans="1:1" x14ac:dyDescent="0.2">
      <c r="A18950" t="s">
        <v>3491</v>
      </c>
    </row>
    <row r="18951" spans="1:1" x14ac:dyDescent="0.2">
      <c r="A18951" t="s">
        <v>1598</v>
      </c>
    </row>
    <row r="18952" spans="1:1" x14ac:dyDescent="0.2">
      <c r="A18952" t="s">
        <v>3874</v>
      </c>
    </row>
    <row r="18953" spans="1:1" x14ac:dyDescent="0.2">
      <c r="A18953" t="s">
        <v>1600</v>
      </c>
    </row>
    <row r="18954" spans="1:1" x14ac:dyDescent="0.2">
      <c r="A18954" t="s">
        <v>1639</v>
      </c>
    </row>
    <row r="18955" spans="1:1" x14ac:dyDescent="0.2">
      <c r="A18955" t="s">
        <v>3403</v>
      </c>
    </row>
    <row r="18956" spans="1:1" x14ac:dyDescent="0.2">
      <c r="A18956" t="s">
        <v>1635</v>
      </c>
    </row>
    <row r="18957" spans="1:1" x14ac:dyDescent="0.2">
      <c r="A18957" t="s">
        <v>3875</v>
      </c>
    </row>
    <row r="18958" spans="1:1" x14ac:dyDescent="0.2">
      <c r="A18958" t="s">
        <v>1605</v>
      </c>
    </row>
    <row r="18959" spans="1:1" x14ac:dyDescent="0.2">
      <c r="A18959" t="s">
        <v>1606</v>
      </c>
    </row>
    <row r="18960" spans="1:1" x14ac:dyDescent="0.2">
      <c r="A18960" t="s">
        <v>1607</v>
      </c>
    </row>
    <row r="18961" spans="1:1" x14ac:dyDescent="0.2">
      <c r="A18961" t="s">
        <v>3876</v>
      </c>
    </row>
    <row r="18962" spans="1:1" x14ac:dyDescent="0.2">
      <c r="A18962" t="s">
        <v>3877</v>
      </c>
    </row>
    <row r="18963" spans="1:1" x14ac:dyDescent="0.2">
      <c r="A18963" t="s">
        <v>1610</v>
      </c>
    </row>
    <row r="18964" spans="1:1" x14ac:dyDescent="0.2">
      <c r="A18964" t="s">
        <v>3878</v>
      </c>
    </row>
    <row r="18965" spans="1:1" x14ac:dyDescent="0.2">
      <c r="A18965" t="s">
        <v>3879</v>
      </c>
    </row>
    <row r="18966" spans="1:1" x14ac:dyDescent="0.2">
      <c r="A18966" t="s">
        <v>3880</v>
      </c>
    </row>
    <row r="18967" spans="1:1" x14ac:dyDescent="0.2">
      <c r="A18967" t="s">
        <v>3881</v>
      </c>
    </row>
    <row r="18968" spans="1:1" x14ac:dyDescent="0.2">
      <c r="A18968" t="s">
        <v>3882</v>
      </c>
    </row>
    <row r="18969" spans="1:1" x14ac:dyDescent="0.2">
      <c r="A18969" t="s">
        <v>3883</v>
      </c>
    </row>
    <row r="18970" spans="1:1" x14ac:dyDescent="0.2">
      <c r="A18970" t="s">
        <v>3884</v>
      </c>
    </row>
    <row r="18971" spans="1:1" x14ac:dyDescent="0.2">
      <c r="A18971" t="s">
        <v>3885</v>
      </c>
    </row>
    <row r="18972" spans="1:1" x14ac:dyDescent="0.2">
      <c r="A18972" t="s">
        <v>3886</v>
      </c>
    </row>
    <row r="18973" spans="1:1" x14ac:dyDescent="0.2">
      <c r="A18973" t="s">
        <v>3887</v>
      </c>
    </row>
    <row r="18974" spans="1:1" x14ac:dyDescent="0.2">
      <c r="A18974" t="s">
        <v>3642</v>
      </c>
    </row>
    <row r="18975" spans="1:1" x14ac:dyDescent="0.2">
      <c r="A18975" t="s">
        <v>3888</v>
      </c>
    </row>
    <row r="18976" spans="1:1" x14ac:dyDescent="0.2">
      <c r="A18976" t="s">
        <v>3889</v>
      </c>
    </row>
    <row r="18977" spans="1:1" x14ac:dyDescent="0.2">
      <c r="A18977" t="s">
        <v>3890</v>
      </c>
    </row>
    <row r="18978" spans="1:1" x14ac:dyDescent="0.2">
      <c r="A18978" t="s">
        <v>3891</v>
      </c>
    </row>
    <row r="18979" spans="1:1" x14ac:dyDescent="0.2">
      <c r="A18979" t="s">
        <v>3647</v>
      </c>
    </row>
    <row r="18980" spans="1:1" x14ac:dyDescent="0.2">
      <c r="A18980" t="s">
        <v>3648</v>
      </c>
    </row>
    <row r="18981" spans="1:1" x14ac:dyDescent="0.2">
      <c r="A18981" t="s">
        <v>3893</v>
      </c>
    </row>
    <row r="18982" spans="1:1" x14ac:dyDescent="0.2">
      <c r="A18982" t="s">
        <v>1594</v>
      </c>
    </row>
    <row r="18983" spans="1:1" x14ac:dyDescent="0.2">
      <c r="A18983" t="s">
        <v>1595</v>
      </c>
    </row>
    <row r="18984" spans="1:1" x14ac:dyDescent="0.2">
      <c r="A18984" t="s">
        <v>3873</v>
      </c>
    </row>
    <row r="18985" spans="1:1" x14ac:dyDescent="0.2">
      <c r="A18985" t="s">
        <v>3491</v>
      </c>
    </row>
    <row r="18986" spans="1:1" x14ac:dyDescent="0.2">
      <c r="A18986" t="s">
        <v>1598</v>
      </c>
    </row>
    <row r="18987" spans="1:1" x14ac:dyDescent="0.2">
      <c r="A18987" t="s">
        <v>3874</v>
      </c>
    </row>
    <row r="18988" spans="1:1" x14ac:dyDescent="0.2">
      <c r="A18988" t="s">
        <v>1600</v>
      </c>
    </row>
    <row r="18989" spans="1:1" x14ac:dyDescent="0.2">
      <c r="A18989" t="s">
        <v>1601</v>
      </c>
    </row>
    <row r="18990" spans="1:1" x14ac:dyDescent="0.2">
      <c r="A18990" t="s">
        <v>3403</v>
      </c>
    </row>
    <row r="18991" spans="1:1" x14ac:dyDescent="0.2">
      <c r="A18991" t="s">
        <v>1635</v>
      </c>
    </row>
    <row r="18992" spans="1:1" x14ac:dyDescent="0.2">
      <c r="A18992" t="s">
        <v>3875</v>
      </c>
    </row>
    <row r="18993" spans="1:1" x14ac:dyDescent="0.2">
      <c r="A18993" t="s">
        <v>1605</v>
      </c>
    </row>
    <row r="18994" spans="1:1" x14ac:dyDescent="0.2">
      <c r="A18994" t="s">
        <v>1606</v>
      </c>
    </row>
    <row r="18995" spans="1:1" x14ac:dyDescent="0.2">
      <c r="A18995" t="s">
        <v>1607</v>
      </c>
    </row>
    <row r="18996" spans="1:1" x14ac:dyDescent="0.2">
      <c r="A18996" t="s">
        <v>3876</v>
      </c>
    </row>
    <row r="18997" spans="1:1" x14ac:dyDescent="0.2">
      <c r="A18997" t="s">
        <v>3877</v>
      </c>
    </row>
    <row r="18998" spans="1:1" x14ac:dyDescent="0.2">
      <c r="A18998" t="s">
        <v>1610</v>
      </c>
    </row>
    <row r="18999" spans="1:1" x14ac:dyDescent="0.2">
      <c r="A18999" t="s">
        <v>3878</v>
      </c>
    </row>
    <row r="19000" spans="1:1" x14ac:dyDescent="0.2">
      <c r="A19000" t="s">
        <v>3879</v>
      </c>
    </row>
    <row r="19001" spans="1:1" x14ac:dyDescent="0.2">
      <c r="A19001" t="s">
        <v>3880</v>
      </c>
    </row>
    <row r="19002" spans="1:1" x14ac:dyDescent="0.2">
      <c r="A19002" t="s">
        <v>3881</v>
      </c>
    </row>
    <row r="19003" spans="1:1" x14ac:dyDescent="0.2">
      <c r="A19003" t="s">
        <v>3882</v>
      </c>
    </row>
    <row r="19004" spans="1:1" x14ac:dyDescent="0.2">
      <c r="A19004" t="s">
        <v>3883</v>
      </c>
    </row>
    <row r="19005" spans="1:1" x14ac:dyDescent="0.2">
      <c r="A19005" t="s">
        <v>3884</v>
      </c>
    </row>
    <row r="19006" spans="1:1" x14ac:dyDescent="0.2">
      <c r="A19006" t="s">
        <v>3885</v>
      </c>
    </row>
    <row r="19007" spans="1:1" x14ac:dyDescent="0.2">
      <c r="A19007" t="s">
        <v>3886</v>
      </c>
    </row>
    <row r="19008" spans="1:1" x14ac:dyDescent="0.2">
      <c r="A19008" t="s">
        <v>3887</v>
      </c>
    </row>
    <row r="19009" spans="1:1" x14ac:dyDescent="0.2">
      <c r="A19009" t="s">
        <v>3642</v>
      </c>
    </row>
    <row r="19010" spans="1:1" x14ac:dyDescent="0.2">
      <c r="A19010" t="s">
        <v>3888</v>
      </c>
    </row>
    <row r="19011" spans="1:1" x14ac:dyDescent="0.2">
      <c r="A19011" t="s">
        <v>3889</v>
      </c>
    </row>
    <row r="19012" spans="1:1" x14ac:dyDescent="0.2">
      <c r="A19012" t="s">
        <v>3890</v>
      </c>
    </row>
    <row r="19013" spans="1:1" x14ac:dyDescent="0.2">
      <c r="A19013" t="s">
        <v>3891</v>
      </c>
    </row>
    <row r="19014" spans="1:1" x14ac:dyDescent="0.2">
      <c r="A19014" t="s">
        <v>3647</v>
      </c>
    </row>
    <row r="19015" spans="1:1" x14ac:dyDescent="0.2">
      <c r="A19015" t="s">
        <v>3648</v>
      </c>
    </row>
    <row r="19016" spans="1:1" x14ac:dyDescent="0.2">
      <c r="A19016" t="s">
        <v>3894</v>
      </c>
    </row>
    <row r="19017" spans="1:1" x14ac:dyDescent="0.2">
      <c r="A19017" t="s">
        <v>1594</v>
      </c>
    </row>
    <row r="19018" spans="1:1" x14ac:dyDescent="0.2">
      <c r="A19018" t="s">
        <v>3509</v>
      </c>
    </row>
    <row r="19019" spans="1:1" x14ac:dyDescent="0.2">
      <c r="A19019" t="s">
        <v>3895</v>
      </c>
    </row>
    <row r="19020" spans="1:1" x14ac:dyDescent="0.2">
      <c r="A19020" t="s">
        <v>1664</v>
      </c>
    </row>
    <row r="19021" spans="1:1" x14ac:dyDescent="0.2">
      <c r="A19021" t="s">
        <v>1673</v>
      </c>
    </row>
    <row r="19022" spans="1:1" x14ac:dyDescent="0.2">
      <c r="A19022" t="s">
        <v>3874</v>
      </c>
    </row>
    <row r="19023" spans="1:1" x14ac:dyDescent="0.2">
      <c r="A19023" t="s">
        <v>1600</v>
      </c>
    </row>
    <row r="19024" spans="1:1" x14ac:dyDescent="0.2">
      <c r="A19024" t="s">
        <v>1601</v>
      </c>
    </row>
    <row r="19025" spans="1:1" x14ac:dyDescent="0.2">
      <c r="A19025" t="s">
        <v>1602</v>
      </c>
    </row>
    <row r="19026" spans="1:1" x14ac:dyDescent="0.2">
      <c r="A19026" t="s">
        <v>1603</v>
      </c>
    </row>
    <row r="19027" spans="1:1" x14ac:dyDescent="0.2">
      <c r="A19027" t="s">
        <v>1604</v>
      </c>
    </row>
    <row r="19028" spans="1:1" x14ac:dyDescent="0.2">
      <c r="A19028" t="s">
        <v>1605</v>
      </c>
    </row>
    <row r="19029" spans="1:1" x14ac:dyDescent="0.2">
      <c r="A19029" t="s">
        <v>1606</v>
      </c>
    </row>
    <row r="19030" spans="1:1" x14ac:dyDescent="0.2">
      <c r="A19030" t="s">
        <v>3896</v>
      </c>
    </row>
    <row r="19031" spans="1:1" x14ac:dyDescent="0.2">
      <c r="A19031" t="s">
        <v>1608</v>
      </c>
    </row>
    <row r="19032" spans="1:1" x14ac:dyDescent="0.2">
      <c r="A19032" t="s">
        <v>1609</v>
      </c>
    </row>
    <row r="19033" spans="1:1" x14ac:dyDescent="0.2">
      <c r="A19033" t="s">
        <v>1610</v>
      </c>
    </row>
    <row r="19034" spans="1:1" x14ac:dyDescent="0.2">
      <c r="A19034" t="s">
        <v>3386</v>
      </c>
    </row>
    <row r="19035" spans="1:1" x14ac:dyDescent="0.2">
      <c r="A19035" t="s">
        <v>3897</v>
      </c>
    </row>
    <row r="19036" spans="1:1" x14ac:dyDescent="0.2">
      <c r="A19036" t="s">
        <v>3898</v>
      </c>
    </row>
    <row r="19037" spans="1:1" x14ac:dyDescent="0.2">
      <c r="A19037" t="s">
        <v>3899</v>
      </c>
    </row>
    <row r="19038" spans="1:1" x14ac:dyDescent="0.2">
      <c r="A19038" t="s">
        <v>3900</v>
      </c>
    </row>
    <row r="19039" spans="1:1" x14ac:dyDescent="0.2">
      <c r="A19039" t="s">
        <v>3901</v>
      </c>
    </row>
    <row r="19040" spans="1:1" x14ac:dyDescent="0.2">
      <c r="A19040" t="s">
        <v>3902</v>
      </c>
    </row>
    <row r="19041" spans="1:1" x14ac:dyDescent="0.2">
      <c r="A19041" t="s">
        <v>3903</v>
      </c>
    </row>
    <row r="19042" spans="1:1" x14ac:dyDescent="0.2">
      <c r="A19042" t="s">
        <v>3904</v>
      </c>
    </row>
    <row r="19043" spans="1:1" x14ac:dyDescent="0.2">
      <c r="A19043" t="s">
        <v>3905</v>
      </c>
    </row>
    <row r="19044" spans="1:1" x14ac:dyDescent="0.2">
      <c r="A19044" t="s">
        <v>3906</v>
      </c>
    </row>
    <row r="19045" spans="1:1" x14ac:dyDescent="0.2">
      <c r="A19045" t="s">
        <v>3907</v>
      </c>
    </row>
    <row r="19046" spans="1:1" x14ac:dyDescent="0.2">
      <c r="A19046" t="s">
        <v>3908</v>
      </c>
    </row>
    <row r="19047" spans="1:1" x14ac:dyDescent="0.2">
      <c r="A19047" t="s">
        <v>3909</v>
      </c>
    </row>
    <row r="19048" spans="1:1" x14ac:dyDescent="0.2">
      <c r="A19048" t="s">
        <v>3910</v>
      </c>
    </row>
    <row r="19049" spans="1:1" x14ac:dyDescent="0.2">
      <c r="A19049" t="s">
        <v>3647</v>
      </c>
    </row>
    <row r="19050" spans="1:1" x14ac:dyDescent="0.2">
      <c r="A19050" t="s">
        <v>3648</v>
      </c>
    </row>
    <row r="19051" spans="1:1" x14ac:dyDescent="0.2">
      <c r="A19051" t="s">
        <v>3911</v>
      </c>
    </row>
    <row r="19052" spans="1:1" x14ac:dyDescent="0.2">
      <c r="A19052" t="s">
        <v>1594</v>
      </c>
    </row>
    <row r="19053" spans="1:1" x14ac:dyDescent="0.2">
      <c r="A19053" t="s">
        <v>1595</v>
      </c>
    </row>
    <row r="19054" spans="1:1" x14ac:dyDescent="0.2">
      <c r="A19054" t="s">
        <v>1596</v>
      </c>
    </row>
    <row r="19055" spans="1:1" x14ac:dyDescent="0.2">
      <c r="A19055" t="s">
        <v>1597</v>
      </c>
    </row>
    <row r="19056" spans="1:1" x14ac:dyDescent="0.2">
      <c r="A19056" t="s">
        <v>1598</v>
      </c>
    </row>
    <row r="19057" spans="1:1" x14ac:dyDescent="0.2">
      <c r="A19057" t="s">
        <v>1599</v>
      </c>
    </row>
    <row r="19058" spans="1:1" x14ac:dyDescent="0.2">
      <c r="A19058" t="s">
        <v>1600</v>
      </c>
    </row>
    <row r="19059" spans="1:1" x14ac:dyDescent="0.2">
      <c r="A19059" t="s">
        <v>1601</v>
      </c>
    </row>
    <row r="19060" spans="1:1" x14ac:dyDescent="0.2">
      <c r="A19060" t="s">
        <v>1602</v>
      </c>
    </row>
    <row r="19061" spans="1:1" x14ac:dyDescent="0.2">
      <c r="A19061" t="s">
        <v>1603</v>
      </c>
    </row>
    <row r="19062" spans="1:1" x14ac:dyDescent="0.2">
      <c r="A19062" t="s">
        <v>1604</v>
      </c>
    </row>
    <row r="19063" spans="1:1" x14ac:dyDescent="0.2">
      <c r="A19063" t="s">
        <v>1605</v>
      </c>
    </row>
    <row r="19064" spans="1:1" x14ac:dyDescent="0.2">
      <c r="A19064" t="s">
        <v>1606</v>
      </c>
    </row>
    <row r="19065" spans="1:1" x14ac:dyDescent="0.2">
      <c r="A19065" t="s">
        <v>1607</v>
      </c>
    </row>
    <row r="19066" spans="1:1" x14ac:dyDescent="0.2">
      <c r="A19066" t="s">
        <v>1608</v>
      </c>
    </row>
    <row r="19067" spans="1:1" x14ac:dyDescent="0.2">
      <c r="A19067" t="s">
        <v>1609</v>
      </c>
    </row>
    <row r="19068" spans="1:1" x14ac:dyDescent="0.2">
      <c r="A19068" t="s">
        <v>1610</v>
      </c>
    </row>
    <row r="19069" spans="1:1" x14ac:dyDescent="0.2">
      <c r="A19069" t="s">
        <v>1611</v>
      </c>
    </row>
    <row r="19070" spans="1:1" x14ac:dyDescent="0.2">
      <c r="A19070" t="s">
        <v>1612</v>
      </c>
    </row>
    <row r="19071" spans="1:1" x14ac:dyDescent="0.2">
      <c r="A19071" t="s">
        <v>1613</v>
      </c>
    </row>
    <row r="19072" spans="1:1" x14ac:dyDescent="0.2">
      <c r="A19072" t="s">
        <v>1614</v>
      </c>
    </row>
    <row r="19073" spans="1:1" x14ac:dyDescent="0.2">
      <c r="A19073" t="s">
        <v>1615</v>
      </c>
    </row>
    <row r="19074" spans="1:1" x14ac:dyDescent="0.2">
      <c r="A19074" t="s">
        <v>1616</v>
      </c>
    </row>
    <row r="19075" spans="1:1" x14ac:dyDescent="0.2">
      <c r="A19075" t="s">
        <v>1617</v>
      </c>
    </row>
    <row r="19076" spans="1:1" x14ac:dyDescent="0.2">
      <c r="A19076" t="s">
        <v>1618</v>
      </c>
    </row>
    <row r="19077" spans="1:1" x14ac:dyDescent="0.2">
      <c r="A19077" t="s">
        <v>1619</v>
      </c>
    </row>
    <row r="19078" spans="1:1" x14ac:dyDescent="0.2">
      <c r="A19078" t="s">
        <v>1620</v>
      </c>
    </row>
    <row r="19079" spans="1:1" x14ac:dyDescent="0.2">
      <c r="A19079" t="s">
        <v>1621</v>
      </c>
    </row>
    <row r="19080" spans="1:1" x14ac:dyDescent="0.2">
      <c r="A19080" t="s">
        <v>1622</v>
      </c>
    </row>
    <row r="19081" spans="1:1" x14ac:dyDescent="0.2">
      <c r="A19081" t="s">
        <v>1623</v>
      </c>
    </row>
    <row r="19082" spans="1:1" x14ac:dyDescent="0.2">
      <c r="A19082" t="s">
        <v>1624</v>
      </c>
    </row>
    <row r="19083" spans="1:1" x14ac:dyDescent="0.2">
      <c r="A19083" t="s">
        <v>1625</v>
      </c>
    </row>
    <row r="19084" spans="1:1" x14ac:dyDescent="0.2">
      <c r="A19084" t="s">
        <v>1626</v>
      </c>
    </row>
    <row r="19085" spans="1:1" x14ac:dyDescent="0.2">
      <c r="A19085" t="s">
        <v>1627</v>
      </c>
    </row>
    <row r="19086" spans="1:1" x14ac:dyDescent="0.2">
      <c r="A19086" t="s">
        <v>3912</v>
      </c>
    </row>
    <row r="19087" spans="1:1" x14ac:dyDescent="0.2">
      <c r="A19087" t="s">
        <v>1594</v>
      </c>
    </row>
    <row r="19088" spans="1:1" x14ac:dyDescent="0.2">
      <c r="A19088" t="s">
        <v>1595</v>
      </c>
    </row>
    <row r="19089" spans="1:1" x14ac:dyDescent="0.2">
      <c r="A19089" t="s">
        <v>3913</v>
      </c>
    </row>
    <row r="19090" spans="1:1" x14ac:dyDescent="0.2">
      <c r="A19090" t="s">
        <v>1597</v>
      </c>
    </row>
    <row r="19091" spans="1:1" x14ac:dyDescent="0.2">
      <c r="A19091" t="s">
        <v>1598</v>
      </c>
    </row>
    <row r="19092" spans="1:1" x14ac:dyDescent="0.2">
      <c r="A19092" t="s">
        <v>1599</v>
      </c>
    </row>
    <row r="19093" spans="1:1" x14ac:dyDescent="0.2">
      <c r="A19093" t="s">
        <v>1600</v>
      </c>
    </row>
    <row r="19094" spans="1:1" x14ac:dyDescent="0.2">
      <c r="A19094" t="s">
        <v>1601</v>
      </c>
    </row>
    <row r="19095" spans="1:1" x14ac:dyDescent="0.2">
      <c r="A19095" t="s">
        <v>1602</v>
      </c>
    </row>
    <row r="19096" spans="1:1" x14ac:dyDescent="0.2">
      <c r="A19096" t="s">
        <v>1603</v>
      </c>
    </row>
    <row r="19097" spans="1:1" x14ac:dyDescent="0.2">
      <c r="A19097" t="s">
        <v>1604</v>
      </c>
    </row>
    <row r="19098" spans="1:1" x14ac:dyDescent="0.2">
      <c r="A19098" t="s">
        <v>1605</v>
      </c>
    </row>
    <row r="19099" spans="1:1" x14ac:dyDescent="0.2">
      <c r="A19099" t="s">
        <v>1606</v>
      </c>
    </row>
    <row r="19100" spans="1:1" x14ac:dyDescent="0.2">
      <c r="A19100" t="s">
        <v>1607</v>
      </c>
    </row>
    <row r="19101" spans="1:1" x14ac:dyDescent="0.2">
      <c r="A19101" t="s">
        <v>1608</v>
      </c>
    </row>
    <row r="19102" spans="1:1" x14ac:dyDescent="0.2">
      <c r="A19102" t="s">
        <v>1609</v>
      </c>
    </row>
    <row r="19103" spans="1:1" x14ac:dyDescent="0.2">
      <c r="A19103" t="s">
        <v>1610</v>
      </c>
    </row>
    <row r="19104" spans="1:1" x14ac:dyDescent="0.2">
      <c r="A19104" t="s">
        <v>1611</v>
      </c>
    </row>
    <row r="19105" spans="1:1" x14ac:dyDescent="0.2">
      <c r="A19105" t="s">
        <v>1612</v>
      </c>
    </row>
    <row r="19106" spans="1:1" x14ac:dyDescent="0.2">
      <c r="A19106" t="s">
        <v>1613</v>
      </c>
    </row>
    <row r="19107" spans="1:1" x14ac:dyDescent="0.2">
      <c r="A19107" t="s">
        <v>1614</v>
      </c>
    </row>
    <row r="19108" spans="1:1" x14ac:dyDescent="0.2">
      <c r="A19108" t="s">
        <v>1615</v>
      </c>
    </row>
    <row r="19109" spans="1:1" x14ac:dyDescent="0.2">
      <c r="A19109" t="s">
        <v>1616</v>
      </c>
    </row>
    <row r="19110" spans="1:1" x14ac:dyDescent="0.2">
      <c r="A19110" t="s">
        <v>1617</v>
      </c>
    </row>
    <row r="19111" spans="1:1" x14ac:dyDescent="0.2">
      <c r="A19111" t="s">
        <v>1618</v>
      </c>
    </row>
    <row r="19112" spans="1:1" x14ac:dyDescent="0.2">
      <c r="A19112" t="s">
        <v>1619</v>
      </c>
    </row>
    <row r="19113" spans="1:1" x14ac:dyDescent="0.2">
      <c r="A19113" t="s">
        <v>1620</v>
      </c>
    </row>
    <row r="19114" spans="1:1" x14ac:dyDescent="0.2">
      <c r="A19114" t="s">
        <v>1621</v>
      </c>
    </row>
    <row r="19115" spans="1:1" x14ac:dyDescent="0.2">
      <c r="A19115" t="s">
        <v>1622</v>
      </c>
    </row>
    <row r="19116" spans="1:1" x14ac:dyDescent="0.2">
      <c r="A19116" t="s">
        <v>1623</v>
      </c>
    </row>
    <row r="19117" spans="1:1" x14ac:dyDescent="0.2">
      <c r="A19117" t="s">
        <v>1624</v>
      </c>
    </row>
    <row r="19118" spans="1:1" x14ac:dyDescent="0.2">
      <c r="A19118" t="s">
        <v>1625</v>
      </c>
    </row>
    <row r="19119" spans="1:1" x14ac:dyDescent="0.2">
      <c r="A19119" t="s">
        <v>1626</v>
      </c>
    </row>
    <row r="19120" spans="1:1" x14ac:dyDescent="0.2">
      <c r="A19120" t="s">
        <v>1627</v>
      </c>
    </row>
    <row r="19121" spans="1:1" x14ac:dyDescent="0.2">
      <c r="A19121" t="s">
        <v>3914</v>
      </c>
    </row>
    <row r="19122" spans="1:1" x14ac:dyDescent="0.2">
      <c r="A19122" t="s">
        <v>1663</v>
      </c>
    </row>
    <row r="19123" spans="1:1" x14ac:dyDescent="0.2">
      <c r="A19123" t="s">
        <v>3317</v>
      </c>
    </row>
    <row r="19124" spans="1:1" x14ac:dyDescent="0.2">
      <c r="A19124" t="s">
        <v>3915</v>
      </c>
    </row>
    <row r="19125" spans="1:1" x14ac:dyDescent="0.2">
      <c r="A19125" t="s">
        <v>1631</v>
      </c>
    </row>
    <row r="19126" spans="1:1" x14ac:dyDescent="0.2">
      <c r="A19126" t="s">
        <v>1673</v>
      </c>
    </row>
    <row r="19127" spans="1:1" x14ac:dyDescent="0.2">
      <c r="A19127" t="s">
        <v>3402</v>
      </c>
    </row>
    <row r="19128" spans="1:1" x14ac:dyDescent="0.2">
      <c r="A19128" t="s">
        <v>1600</v>
      </c>
    </row>
    <row r="19129" spans="1:1" x14ac:dyDescent="0.2">
      <c r="A19129" t="s">
        <v>1633</v>
      </c>
    </row>
    <row r="19130" spans="1:1" x14ac:dyDescent="0.2">
      <c r="A19130" t="s">
        <v>3403</v>
      </c>
    </row>
    <row r="19131" spans="1:1" x14ac:dyDescent="0.2">
      <c r="A19131" t="s">
        <v>1635</v>
      </c>
    </row>
    <row r="19132" spans="1:1" x14ac:dyDescent="0.2">
      <c r="A19132" t="s">
        <v>1684</v>
      </c>
    </row>
    <row r="19133" spans="1:1" x14ac:dyDescent="0.2">
      <c r="A19133" t="s">
        <v>3750</v>
      </c>
    </row>
    <row r="19134" spans="1:1" x14ac:dyDescent="0.2">
      <c r="A19134" t="s">
        <v>1606</v>
      </c>
    </row>
    <row r="19135" spans="1:1" x14ac:dyDescent="0.2">
      <c r="A19135" t="s">
        <v>1607</v>
      </c>
    </row>
    <row r="19136" spans="1:1" x14ac:dyDescent="0.2">
      <c r="A19136" t="s">
        <v>1676</v>
      </c>
    </row>
    <row r="19137" spans="1:1" x14ac:dyDescent="0.2">
      <c r="A19137" t="s">
        <v>1677</v>
      </c>
    </row>
    <row r="19138" spans="1:1" x14ac:dyDescent="0.2">
      <c r="A19138" t="s">
        <v>1610</v>
      </c>
    </row>
    <row r="19139" spans="1:1" x14ac:dyDescent="0.2">
      <c r="A19139" t="s">
        <v>3916</v>
      </c>
    </row>
    <row r="19140" spans="1:1" x14ac:dyDescent="0.2">
      <c r="A19140" t="s">
        <v>3917</v>
      </c>
    </row>
    <row r="19141" spans="1:1" x14ac:dyDescent="0.2">
      <c r="A19141" t="s">
        <v>3918</v>
      </c>
    </row>
    <row r="19142" spans="1:1" x14ac:dyDescent="0.2">
      <c r="A19142" t="s">
        <v>3919</v>
      </c>
    </row>
    <row r="19143" spans="1:1" x14ac:dyDescent="0.2">
      <c r="A19143" t="s">
        <v>3920</v>
      </c>
    </row>
    <row r="19144" spans="1:1" x14ac:dyDescent="0.2">
      <c r="A19144" t="s">
        <v>3921</v>
      </c>
    </row>
    <row r="19145" spans="1:1" x14ac:dyDescent="0.2">
      <c r="A19145" t="s">
        <v>3922</v>
      </c>
    </row>
    <row r="19146" spans="1:1" x14ac:dyDescent="0.2">
      <c r="A19146" t="s">
        <v>3923</v>
      </c>
    </row>
    <row r="19147" spans="1:1" x14ac:dyDescent="0.2">
      <c r="A19147" t="s">
        <v>3924</v>
      </c>
    </row>
    <row r="19148" spans="1:1" x14ac:dyDescent="0.2">
      <c r="A19148" t="s">
        <v>3925</v>
      </c>
    </row>
    <row r="19149" spans="1:1" x14ac:dyDescent="0.2">
      <c r="A19149" t="s">
        <v>3926</v>
      </c>
    </row>
    <row r="19150" spans="1:1" x14ac:dyDescent="0.2">
      <c r="A19150" t="s">
        <v>3927</v>
      </c>
    </row>
    <row r="19151" spans="1:1" x14ac:dyDescent="0.2">
      <c r="A19151" t="s">
        <v>3928</v>
      </c>
    </row>
    <row r="19152" spans="1:1" x14ac:dyDescent="0.2">
      <c r="A19152" t="s">
        <v>3929</v>
      </c>
    </row>
    <row r="19153" spans="1:1" x14ac:dyDescent="0.2">
      <c r="A19153" t="s">
        <v>3930</v>
      </c>
    </row>
    <row r="19154" spans="1:1" x14ac:dyDescent="0.2">
      <c r="A19154" t="s">
        <v>3931</v>
      </c>
    </row>
    <row r="19155" spans="1:1" x14ac:dyDescent="0.2">
      <c r="A19155" t="s">
        <v>3932</v>
      </c>
    </row>
    <row r="19156" spans="1:1" x14ac:dyDescent="0.2">
      <c r="A19156" t="s">
        <v>3933</v>
      </c>
    </row>
    <row r="19157" spans="1:1" x14ac:dyDescent="0.2">
      <c r="A19157" t="s">
        <v>1663</v>
      </c>
    </row>
    <row r="19158" spans="1:1" x14ac:dyDescent="0.2">
      <c r="A19158" t="s">
        <v>3317</v>
      </c>
    </row>
    <row r="19159" spans="1:1" x14ac:dyDescent="0.2">
      <c r="A19159" t="s">
        <v>3915</v>
      </c>
    </row>
    <row r="19160" spans="1:1" x14ac:dyDescent="0.2">
      <c r="A19160" t="s">
        <v>1631</v>
      </c>
    </row>
    <row r="19161" spans="1:1" x14ac:dyDescent="0.2">
      <c r="A19161" t="s">
        <v>1673</v>
      </c>
    </row>
    <row r="19162" spans="1:1" x14ac:dyDescent="0.2">
      <c r="A19162" t="s">
        <v>3402</v>
      </c>
    </row>
    <row r="19163" spans="1:1" x14ac:dyDescent="0.2">
      <c r="A19163" t="s">
        <v>1600</v>
      </c>
    </row>
    <row r="19164" spans="1:1" x14ac:dyDescent="0.2">
      <c r="A19164" t="s">
        <v>1639</v>
      </c>
    </row>
    <row r="19165" spans="1:1" x14ac:dyDescent="0.2">
      <c r="A19165" t="s">
        <v>3403</v>
      </c>
    </row>
    <row r="19166" spans="1:1" x14ac:dyDescent="0.2">
      <c r="A19166" t="s">
        <v>1635</v>
      </c>
    </row>
    <row r="19167" spans="1:1" x14ac:dyDescent="0.2">
      <c r="A19167" t="s">
        <v>1684</v>
      </c>
    </row>
    <row r="19168" spans="1:1" x14ac:dyDescent="0.2">
      <c r="A19168" t="s">
        <v>3750</v>
      </c>
    </row>
    <row r="19169" spans="1:1" x14ac:dyDescent="0.2">
      <c r="A19169" t="s">
        <v>1606</v>
      </c>
    </row>
    <row r="19170" spans="1:1" x14ac:dyDescent="0.2">
      <c r="A19170" t="s">
        <v>1607</v>
      </c>
    </row>
    <row r="19171" spans="1:1" x14ac:dyDescent="0.2">
      <c r="A19171" t="s">
        <v>1676</v>
      </c>
    </row>
    <row r="19172" spans="1:1" x14ac:dyDescent="0.2">
      <c r="A19172" t="s">
        <v>1677</v>
      </c>
    </row>
    <row r="19173" spans="1:1" x14ac:dyDescent="0.2">
      <c r="A19173" t="s">
        <v>1610</v>
      </c>
    </row>
    <row r="19174" spans="1:1" x14ac:dyDescent="0.2">
      <c r="A19174" t="s">
        <v>3916</v>
      </c>
    </row>
    <row r="19175" spans="1:1" x14ac:dyDescent="0.2">
      <c r="A19175" t="s">
        <v>3917</v>
      </c>
    </row>
    <row r="19176" spans="1:1" x14ac:dyDescent="0.2">
      <c r="A19176" t="s">
        <v>3918</v>
      </c>
    </row>
    <row r="19177" spans="1:1" x14ac:dyDescent="0.2">
      <c r="A19177" t="s">
        <v>3919</v>
      </c>
    </row>
    <row r="19178" spans="1:1" x14ac:dyDescent="0.2">
      <c r="A19178" t="s">
        <v>3920</v>
      </c>
    </row>
    <row r="19179" spans="1:1" x14ac:dyDescent="0.2">
      <c r="A19179" t="s">
        <v>3921</v>
      </c>
    </row>
    <row r="19180" spans="1:1" x14ac:dyDescent="0.2">
      <c r="A19180" t="s">
        <v>3922</v>
      </c>
    </row>
    <row r="19181" spans="1:1" x14ac:dyDescent="0.2">
      <c r="A19181" t="s">
        <v>3923</v>
      </c>
    </row>
    <row r="19182" spans="1:1" x14ac:dyDescent="0.2">
      <c r="A19182" t="s">
        <v>3924</v>
      </c>
    </row>
    <row r="19183" spans="1:1" x14ac:dyDescent="0.2">
      <c r="A19183" t="s">
        <v>3925</v>
      </c>
    </row>
    <row r="19184" spans="1:1" x14ac:dyDescent="0.2">
      <c r="A19184" t="s">
        <v>3926</v>
      </c>
    </row>
    <row r="19185" spans="1:1" x14ac:dyDescent="0.2">
      <c r="A19185" t="s">
        <v>3927</v>
      </c>
    </row>
    <row r="19186" spans="1:1" x14ac:dyDescent="0.2">
      <c r="A19186" t="s">
        <v>3928</v>
      </c>
    </row>
    <row r="19187" spans="1:1" x14ac:dyDescent="0.2">
      <c r="A19187" t="s">
        <v>3929</v>
      </c>
    </row>
    <row r="19188" spans="1:1" x14ac:dyDescent="0.2">
      <c r="A19188" t="s">
        <v>3930</v>
      </c>
    </row>
    <row r="19189" spans="1:1" x14ac:dyDescent="0.2">
      <c r="A19189" t="s">
        <v>3931</v>
      </c>
    </row>
    <row r="19190" spans="1:1" x14ac:dyDescent="0.2">
      <c r="A19190" t="s">
        <v>3932</v>
      </c>
    </row>
    <row r="19191" spans="1:1" x14ac:dyDescent="0.2">
      <c r="A19191" t="s">
        <v>3934</v>
      </c>
    </row>
    <row r="19192" spans="1:1" x14ac:dyDescent="0.2">
      <c r="A19192" t="s">
        <v>1663</v>
      </c>
    </row>
    <row r="19193" spans="1:1" x14ac:dyDescent="0.2">
      <c r="A19193" t="s">
        <v>3317</v>
      </c>
    </row>
    <row r="19194" spans="1:1" x14ac:dyDescent="0.2">
      <c r="A19194" t="s">
        <v>3915</v>
      </c>
    </row>
    <row r="19195" spans="1:1" x14ac:dyDescent="0.2">
      <c r="A19195" t="s">
        <v>1631</v>
      </c>
    </row>
    <row r="19196" spans="1:1" x14ac:dyDescent="0.2">
      <c r="A19196" t="s">
        <v>1673</v>
      </c>
    </row>
    <row r="19197" spans="1:1" x14ac:dyDescent="0.2">
      <c r="A19197" t="s">
        <v>3402</v>
      </c>
    </row>
    <row r="19198" spans="1:1" x14ac:dyDescent="0.2">
      <c r="A19198" t="s">
        <v>1600</v>
      </c>
    </row>
    <row r="19199" spans="1:1" x14ac:dyDescent="0.2">
      <c r="A19199" t="s">
        <v>1601</v>
      </c>
    </row>
    <row r="19200" spans="1:1" x14ac:dyDescent="0.2">
      <c r="A19200" t="s">
        <v>3403</v>
      </c>
    </row>
    <row r="19201" spans="1:1" x14ac:dyDescent="0.2">
      <c r="A19201" t="s">
        <v>1635</v>
      </c>
    </row>
    <row r="19202" spans="1:1" x14ac:dyDescent="0.2">
      <c r="A19202" t="s">
        <v>1684</v>
      </c>
    </row>
    <row r="19203" spans="1:1" x14ac:dyDescent="0.2">
      <c r="A19203" t="s">
        <v>3750</v>
      </c>
    </row>
    <row r="19204" spans="1:1" x14ac:dyDescent="0.2">
      <c r="A19204" t="s">
        <v>1606</v>
      </c>
    </row>
    <row r="19205" spans="1:1" x14ac:dyDescent="0.2">
      <c r="A19205" t="s">
        <v>1607</v>
      </c>
    </row>
    <row r="19206" spans="1:1" x14ac:dyDescent="0.2">
      <c r="A19206" t="s">
        <v>1676</v>
      </c>
    </row>
    <row r="19207" spans="1:1" x14ac:dyDescent="0.2">
      <c r="A19207" t="s">
        <v>1677</v>
      </c>
    </row>
    <row r="19208" spans="1:1" x14ac:dyDescent="0.2">
      <c r="A19208" t="s">
        <v>1610</v>
      </c>
    </row>
    <row r="19209" spans="1:1" x14ac:dyDescent="0.2">
      <c r="A19209" t="s">
        <v>3916</v>
      </c>
    </row>
    <row r="19210" spans="1:1" x14ac:dyDescent="0.2">
      <c r="A19210" t="s">
        <v>3917</v>
      </c>
    </row>
    <row r="19211" spans="1:1" x14ac:dyDescent="0.2">
      <c r="A19211" t="s">
        <v>3918</v>
      </c>
    </row>
    <row r="19212" spans="1:1" x14ac:dyDescent="0.2">
      <c r="A19212" t="s">
        <v>3919</v>
      </c>
    </row>
    <row r="19213" spans="1:1" x14ac:dyDescent="0.2">
      <c r="A19213" t="s">
        <v>3920</v>
      </c>
    </row>
    <row r="19214" spans="1:1" x14ac:dyDescent="0.2">
      <c r="A19214" t="s">
        <v>3921</v>
      </c>
    </row>
    <row r="19215" spans="1:1" x14ac:dyDescent="0.2">
      <c r="A19215" t="s">
        <v>3922</v>
      </c>
    </row>
    <row r="19216" spans="1:1" x14ac:dyDescent="0.2">
      <c r="A19216" t="s">
        <v>3923</v>
      </c>
    </row>
    <row r="19217" spans="1:1" x14ac:dyDescent="0.2">
      <c r="A19217" t="s">
        <v>3924</v>
      </c>
    </row>
    <row r="19218" spans="1:1" x14ac:dyDescent="0.2">
      <c r="A19218" t="s">
        <v>3925</v>
      </c>
    </row>
    <row r="19219" spans="1:1" x14ac:dyDescent="0.2">
      <c r="A19219" t="s">
        <v>3926</v>
      </c>
    </row>
    <row r="19220" spans="1:1" x14ac:dyDescent="0.2">
      <c r="A19220" t="s">
        <v>3927</v>
      </c>
    </row>
    <row r="19221" spans="1:1" x14ac:dyDescent="0.2">
      <c r="A19221" t="s">
        <v>3928</v>
      </c>
    </row>
    <row r="19222" spans="1:1" x14ac:dyDescent="0.2">
      <c r="A19222" t="s">
        <v>3929</v>
      </c>
    </row>
    <row r="19223" spans="1:1" x14ac:dyDescent="0.2">
      <c r="A19223" t="s">
        <v>3930</v>
      </c>
    </row>
    <row r="19224" spans="1:1" x14ac:dyDescent="0.2">
      <c r="A19224" t="s">
        <v>3931</v>
      </c>
    </row>
    <row r="19225" spans="1:1" x14ac:dyDescent="0.2">
      <c r="A19225" t="s">
        <v>3932</v>
      </c>
    </row>
    <row r="19226" spans="1:1" x14ac:dyDescent="0.2">
      <c r="A19226" t="s">
        <v>3935</v>
      </c>
    </row>
    <row r="19227" spans="1:1" x14ac:dyDescent="0.2">
      <c r="A19227" t="s">
        <v>1663</v>
      </c>
    </row>
    <row r="19228" spans="1:1" x14ac:dyDescent="0.2">
      <c r="A19228" t="s">
        <v>3936</v>
      </c>
    </row>
    <row r="19229" spans="1:1" x14ac:dyDescent="0.2">
      <c r="A19229" t="s">
        <v>3937</v>
      </c>
    </row>
    <row r="19230" spans="1:1" x14ac:dyDescent="0.2">
      <c r="A19230" t="s">
        <v>1631</v>
      </c>
    </row>
    <row r="19231" spans="1:1" x14ac:dyDescent="0.2">
      <c r="A19231" t="s">
        <v>1673</v>
      </c>
    </row>
    <row r="19232" spans="1:1" x14ac:dyDescent="0.2">
      <c r="A19232" t="s">
        <v>3402</v>
      </c>
    </row>
    <row r="19233" spans="1:1" x14ac:dyDescent="0.2">
      <c r="A19233" t="s">
        <v>1600</v>
      </c>
    </row>
    <row r="19234" spans="1:1" x14ac:dyDescent="0.2">
      <c r="A19234" t="s">
        <v>1633</v>
      </c>
    </row>
    <row r="19235" spans="1:1" x14ac:dyDescent="0.2">
      <c r="A19235" t="s">
        <v>3403</v>
      </c>
    </row>
    <row r="19236" spans="1:1" x14ac:dyDescent="0.2">
      <c r="A19236" t="s">
        <v>1635</v>
      </c>
    </row>
    <row r="19237" spans="1:1" x14ac:dyDescent="0.2">
      <c r="A19237" t="s">
        <v>1684</v>
      </c>
    </row>
    <row r="19238" spans="1:1" x14ac:dyDescent="0.2">
      <c r="A19238" t="s">
        <v>1605</v>
      </c>
    </row>
    <row r="19239" spans="1:1" x14ac:dyDescent="0.2">
      <c r="A19239" t="s">
        <v>1606</v>
      </c>
    </row>
    <row r="19240" spans="1:1" x14ac:dyDescent="0.2">
      <c r="A19240" t="s">
        <v>1607</v>
      </c>
    </row>
    <row r="19241" spans="1:1" x14ac:dyDescent="0.2">
      <c r="A19241" t="s">
        <v>1676</v>
      </c>
    </row>
    <row r="19242" spans="1:1" x14ac:dyDescent="0.2">
      <c r="A19242" t="s">
        <v>1677</v>
      </c>
    </row>
    <row r="19243" spans="1:1" x14ac:dyDescent="0.2">
      <c r="A19243" t="s">
        <v>1610</v>
      </c>
    </row>
    <row r="19244" spans="1:1" x14ac:dyDescent="0.2">
      <c r="A19244" t="s">
        <v>3938</v>
      </c>
    </row>
    <row r="19245" spans="1:1" x14ac:dyDescent="0.2">
      <c r="A19245" t="s">
        <v>3939</v>
      </c>
    </row>
    <row r="19246" spans="1:1" x14ac:dyDescent="0.2">
      <c r="A19246" t="s">
        <v>3940</v>
      </c>
    </row>
    <row r="19247" spans="1:1" x14ac:dyDescent="0.2">
      <c r="A19247" t="s">
        <v>3941</v>
      </c>
    </row>
    <row r="19248" spans="1:1" x14ac:dyDescent="0.2">
      <c r="A19248" t="s">
        <v>3942</v>
      </c>
    </row>
    <row r="19249" spans="1:1" x14ac:dyDescent="0.2">
      <c r="A19249" t="s">
        <v>3943</v>
      </c>
    </row>
    <row r="19250" spans="1:1" x14ac:dyDescent="0.2">
      <c r="A19250" t="s">
        <v>3944</v>
      </c>
    </row>
    <row r="19251" spans="1:1" x14ac:dyDescent="0.2">
      <c r="A19251" t="s">
        <v>3945</v>
      </c>
    </row>
    <row r="19252" spans="1:1" x14ac:dyDescent="0.2">
      <c r="A19252" t="s">
        <v>3946</v>
      </c>
    </row>
    <row r="19253" spans="1:1" x14ac:dyDescent="0.2">
      <c r="A19253" t="s">
        <v>3947</v>
      </c>
    </row>
    <row r="19254" spans="1:1" x14ac:dyDescent="0.2">
      <c r="A19254" t="s">
        <v>3948</v>
      </c>
    </row>
    <row r="19255" spans="1:1" x14ac:dyDescent="0.2">
      <c r="A19255" t="s">
        <v>3949</v>
      </c>
    </row>
    <row r="19256" spans="1:1" x14ac:dyDescent="0.2">
      <c r="A19256" t="s">
        <v>3950</v>
      </c>
    </row>
    <row r="19257" spans="1:1" x14ac:dyDescent="0.2">
      <c r="A19257" t="s">
        <v>3951</v>
      </c>
    </row>
    <row r="19258" spans="1:1" x14ac:dyDescent="0.2">
      <c r="A19258" t="s">
        <v>3952</v>
      </c>
    </row>
    <row r="19259" spans="1:1" x14ac:dyDescent="0.2">
      <c r="A19259" t="s">
        <v>3931</v>
      </c>
    </row>
    <row r="19260" spans="1:1" x14ac:dyDescent="0.2">
      <c r="A19260" t="s">
        <v>3932</v>
      </c>
    </row>
    <row r="19261" spans="1:1" x14ac:dyDescent="0.2">
      <c r="A19261" t="s">
        <v>3953</v>
      </c>
    </row>
    <row r="19262" spans="1:1" x14ac:dyDescent="0.2">
      <c r="A19262" t="s">
        <v>1663</v>
      </c>
    </row>
    <row r="19263" spans="1:1" x14ac:dyDescent="0.2">
      <c r="A19263" t="s">
        <v>3936</v>
      </c>
    </row>
    <row r="19264" spans="1:1" x14ac:dyDescent="0.2">
      <c r="A19264" t="s">
        <v>3937</v>
      </c>
    </row>
    <row r="19265" spans="1:1" x14ac:dyDescent="0.2">
      <c r="A19265" t="s">
        <v>1631</v>
      </c>
    </row>
    <row r="19266" spans="1:1" x14ac:dyDescent="0.2">
      <c r="A19266" t="s">
        <v>1673</v>
      </c>
    </row>
    <row r="19267" spans="1:1" x14ac:dyDescent="0.2">
      <c r="A19267" t="s">
        <v>3402</v>
      </c>
    </row>
    <row r="19268" spans="1:1" x14ac:dyDescent="0.2">
      <c r="A19268" t="s">
        <v>1600</v>
      </c>
    </row>
    <row r="19269" spans="1:1" x14ac:dyDescent="0.2">
      <c r="A19269" t="s">
        <v>1639</v>
      </c>
    </row>
    <row r="19270" spans="1:1" x14ac:dyDescent="0.2">
      <c r="A19270" t="s">
        <v>3403</v>
      </c>
    </row>
    <row r="19271" spans="1:1" x14ac:dyDescent="0.2">
      <c r="A19271" t="s">
        <v>1635</v>
      </c>
    </row>
    <row r="19272" spans="1:1" x14ac:dyDescent="0.2">
      <c r="A19272" t="s">
        <v>1684</v>
      </c>
    </row>
    <row r="19273" spans="1:1" x14ac:dyDescent="0.2">
      <c r="A19273" t="s">
        <v>1605</v>
      </c>
    </row>
    <row r="19274" spans="1:1" x14ac:dyDescent="0.2">
      <c r="A19274" t="s">
        <v>1606</v>
      </c>
    </row>
    <row r="19275" spans="1:1" x14ac:dyDescent="0.2">
      <c r="A19275" t="s">
        <v>1607</v>
      </c>
    </row>
    <row r="19276" spans="1:1" x14ac:dyDescent="0.2">
      <c r="A19276" t="s">
        <v>1676</v>
      </c>
    </row>
    <row r="19277" spans="1:1" x14ac:dyDescent="0.2">
      <c r="A19277" t="s">
        <v>1677</v>
      </c>
    </row>
    <row r="19278" spans="1:1" x14ac:dyDescent="0.2">
      <c r="A19278" t="s">
        <v>1610</v>
      </c>
    </row>
    <row r="19279" spans="1:1" x14ac:dyDescent="0.2">
      <c r="A19279" t="s">
        <v>3938</v>
      </c>
    </row>
    <row r="19280" spans="1:1" x14ac:dyDescent="0.2">
      <c r="A19280" t="s">
        <v>3939</v>
      </c>
    </row>
    <row r="19281" spans="1:1" x14ac:dyDescent="0.2">
      <c r="A19281" t="s">
        <v>3940</v>
      </c>
    </row>
    <row r="19282" spans="1:1" x14ac:dyDescent="0.2">
      <c r="A19282" t="s">
        <v>3941</v>
      </c>
    </row>
    <row r="19283" spans="1:1" x14ac:dyDescent="0.2">
      <c r="A19283" t="s">
        <v>3942</v>
      </c>
    </row>
    <row r="19284" spans="1:1" x14ac:dyDescent="0.2">
      <c r="A19284" t="s">
        <v>3943</v>
      </c>
    </row>
    <row r="19285" spans="1:1" x14ac:dyDescent="0.2">
      <c r="A19285" t="s">
        <v>3944</v>
      </c>
    </row>
    <row r="19286" spans="1:1" x14ac:dyDescent="0.2">
      <c r="A19286" t="s">
        <v>3945</v>
      </c>
    </row>
    <row r="19287" spans="1:1" x14ac:dyDescent="0.2">
      <c r="A19287" t="s">
        <v>3946</v>
      </c>
    </row>
    <row r="19288" spans="1:1" x14ac:dyDescent="0.2">
      <c r="A19288" t="s">
        <v>3947</v>
      </c>
    </row>
    <row r="19289" spans="1:1" x14ac:dyDescent="0.2">
      <c r="A19289" t="s">
        <v>3948</v>
      </c>
    </row>
    <row r="19290" spans="1:1" x14ac:dyDescent="0.2">
      <c r="A19290" t="s">
        <v>3949</v>
      </c>
    </row>
    <row r="19291" spans="1:1" x14ac:dyDescent="0.2">
      <c r="A19291" t="s">
        <v>3950</v>
      </c>
    </row>
    <row r="19292" spans="1:1" x14ac:dyDescent="0.2">
      <c r="A19292" t="s">
        <v>3951</v>
      </c>
    </row>
    <row r="19293" spans="1:1" x14ac:dyDescent="0.2">
      <c r="A19293" t="s">
        <v>3952</v>
      </c>
    </row>
    <row r="19294" spans="1:1" x14ac:dyDescent="0.2">
      <c r="A19294" t="s">
        <v>3931</v>
      </c>
    </row>
    <row r="19295" spans="1:1" x14ac:dyDescent="0.2">
      <c r="A19295" t="s">
        <v>3932</v>
      </c>
    </row>
    <row r="19296" spans="1:1" x14ac:dyDescent="0.2">
      <c r="A19296" t="s">
        <v>3954</v>
      </c>
    </row>
    <row r="19297" spans="1:1" x14ac:dyDescent="0.2">
      <c r="A19297" t="s">
        <v>1663</v>
      </c>
    </row>
    <row r="19298" spans="1:1" x14ac:dyDescent="0.2">
      <c r="A19298" t="s">
        <v>3936</v>
      </c>
    </row>
    <row r="19299" spans="1:1" x14ac:dyDescent="0.2">
      <c r="A19299" t="s">
        <v>3937</v>
      </c>
    </row>
    <row r="19300" spans="1:1" x14ac:dyDescent="0.2">
      <c r="A19300" t="s">
        <v>1631</v>
      </c>
    </row>
    <row r="19301" spans="1:1" x14ac:dyDescent="0.2">
      <c r="A19301" t="s">
        <v>1673</v>
      </c>
    </row>
    <row r="19302" spans="1:1" x14ac:dyDescent="0.2">
      <c r="A19302" t="s">
        <v>3402</v>
      </c>
    </row>
    <row r="19303" spans="1:1" x14ac:dyDescent="0.2">
      <c r="A19303" t="s">
        <v>1600</v>
      </c>
    </row>
    <row r="19304" spans="1:1" x14ac:dyDescent="0.2">
      <c r="A19304" t="s">
        <v>1601</v>
      </c>
    </row>
    <row r="19305" spans="1:1" x14ac:dyDescent="0.2">
      <c r="A19305" t="s">
        <v>3403</v>
      </c>
    </row>
    <row r="19306" spans="1:1" x14ac:dyDescent="0.2">
      <c r="A19306" t="s">
        <v>1635</v>
      </c>
    </row>
    <row r="19307" spans="1:1" x14ac:dyDescent="0.2">
      <c r="A19307" t="s">
        <v>1684</v>
      </c>
    </row>
    <row r="19308" spans="1:1" x14ac:dyDescent="0.2">
      <c r="A19308" t="s">
        <v>1605</v>
      </c>
    </row>
    <row r="19309" spans="1:1" x14ac:dyDescent="0.2">
      <c r="A19309" t="s">
        <v>1606</v>
      </c>
    </row>
    <row r="19310" spans="1:1" x14ac:dyDescent="0.2">
      <c r="A19310" t="s">
        <v>1607</v>
      </c>
    </row>
    <row r="19311" spans="1:1" x14ac:dyDescent="0.2">
      <c r="A19311" t="s">
        <v>1676</v>
      </c>
    </row>
    <row r="19312" spans="1:1" x14ac:dyDescent="0.2">
      <c r="A19312" t="s">
        <v>1677</v>
      </c>
    </row>
    <row r="19313" spans="1:1" x14ac:dyDescent="0.2">
      <c r="A19313" t="s">
        <v>1610</v>
      </c>
    </row>
    <row r="19314" spans="1:1" x14ac:dyDescent="0.2">
      <c r="A19314" t="s">
        <v>3938</v>
      </c>
    </row>
    <row r="19315" spans="1:1" x14ac:dyDescent="0.2">
      <c r="A19315" t="s">
        <v>3939</v>
      </c>
    </row>
    <row r="19316" spans="1:1" x14ac:dyDescent="0.2">
      <c r="A19316" t="s">
        <v>3940</v>
      </c>
    </row>
    <row r="19317" spans="1:1" x14ac:dyDescent="0.2">
      <c r="A19317" t="s">
        <v>3941</v>
      </c>
    </row>
    <row r="19318" spans="1:1" x14ac:dyDescent="0.2">
      <c r="A19318" t="s">
        <v>3942</v>
      </c>
    </row>
    <row r="19319" spans="1:1" x14ac:dyDescent="0.2">
      <c r="A19319" t="s">
        <v>3943</v>
      </c>
    </row>
    <row r="19320" spans="1:1" x14ac:dyDescent="0.2">
      <c r="A19320" t="s">
        <v>3944</v>
      </c>
    </row>
    <row r="19321" spans="1:1" x14ac:dyDescent="0.2">
      <c r="A19321" t="s">
        <v>3945</v>
      </c>
    </row>
    <row r="19322" spans="1:1" x14ac:dyDescent="0.2">
      <c r="A19322" t="s">
        <v>3946</v>
      </c>
    </row>
    <row r="19323" spans="1:1" x14ac:dyDescent="0.2">
      <c r="A19323" t="s">
        <v>3947</v>
      </c>
    </row>
    <row r="19324" spans="1:1" x14ac:dyDescent="0.2">
      <c r="A19324" t="s">
        <v>3948</v>
      </c>
    </row>
    <row r="19325" spans="1:1" x14ac:dyDescent="0.2">
      <c r="A19325" t="s">
        <v>3949</v>
      </c>
    </row>
    <row r="19326" spans="1:1" x14ac:dyDescent="0.2">
      <c r="A19326" t="s">
        <v>3950</v>
      </c>
    </row>
    <row r="19327" spans="1:1" x14ac:dyDescent="0.2">
      <c r="A19327" t="s">
        <v>3951</v>
      </c>
    </row>
    <row r="19328" spans="1:1" x14ac:dyDescent="0.2">
      <c r="A19328" t="s">
        <v>3952</v>
      </c>
    </row>
    <row r="19329" spans="1:1" x14ac:dyDescent="0.2">
      <c r="A19329" t="s">
        <v>3931</v>
      </c>
    </row>
    <row r="19330" spans="1:1" x14ac:dyDescent="0.2">
      <c r="A19330" t="s">
        <v>3932</v>
      </c>
    </row>
    <row r="19331" spans="1:1" x14ac:dyDescent="0.2">
      <c r="A19331" t="s">
        <v>3955</v>
      </c>
    </row>
    <row r="19332" spans="1:1" x14ac:dyDescent="0.2">
      <c r="A19332" t="s">
        <v>1663</v>
      </c>
    </row>
    <row r="19333" spans="1:1" x14ac:dyDescent="0.2">
      <c r="A19333" t="s">
        <v>3317</v>
      </c>
    </row>
    <row r="19334" spans="1:1" x14ac:dyDescent="0.2">
      <c r="A19334" t="s">
        <v>3956</v>
      </c>
    </row>
    <row r="19335" spans="1:1" x14ac:dyDescent="0.2">
      <c r="A19335" t="s">
        <v>1631</v>
      </c>
    </row>
    <row r="19336" spans="1:1" x14ac:dyDescent="0.2">
      <c r="A19336" t="s">
        <v>1673</v>
      </c>
    </row>
    <row r="19337" spans="1:1" x14ac:dyDescent="0.2">
      <c r="A19337" t="s">
        <v>3402</v>
      </c>
    </row>
    <row r="19338" spans="1:1" x14ac:dyDescent="0.2">
      <c r="A19338" t="s">
        <v>1600</v>
      </c>
    </row>
    <row r="19339" spans="1:1" x14ac:dyDescent="0.2">
      <c r="A19339" t="s">
        <v>1633</v>
      </c>
    </row>
    <row r="19340" spans="1:1" x14ac:dyDescent="0.2">
      <c r="A19340" t="s">
        <v>3403</v>
      </c>
    </row>
    <row r="19341" spans="1:1" x14ac:dyDescent="0.2">
      <c r="A19341" t="s">
        <v>1635</v>
      </c>
    </row>
    <row r="19342" spans="1:1" x14ac:dyDescent="0.2">
      <c r="A19342" t="s">
        <v>1684</v>
      </c>
    </row>
    <row r="19343" spans="1:1" x14ac:dyDescent="0.2">
      <c r="A19343" t="s">
        <v>3729</v>
      </c>
    </row>
    <row r="19344" spans="1:1" x14ac:dyDescent="0.2">
      <c r="A19344" t="s">
        <v>1606</v>
      </c>
    </row>
    <row r="19345" spans="1:1" x14ac:dyDescent="0.2">
      <c r="A19345" t="s">
        <v>1607</v>
      </c>
    </row>
    <row r="19346" spans="1:1" x14ac:dyDescent="0.2">
      <c r="A19346" t="s">
        <v>1676</v>
      </c>
    </row>
    <row r="19347" spans="1:1" x14ac:dyDescent="0.2">
      <c r="A19347" t="s">
        <v>1677</v>
      </c>
    </row>
    <row r="19348" spans="1:1" x14ac:dyDescent="0.2">
      <c r="A19348" t="s">
        <v>1610</v>
      </c>
    </row>
    <row r="19349" spans="1:1" x14ac:dyDescent="0.2">
      <c r="A19349" t="s">
        <v>3916</v>
      </c>
    </row>
    <row r="19350" spans="1:1" x14ac:dyDescent="0.2">
      <c r="A19350" t="s">
        <v>3917</v>
      </c>
    </row>
    <row r="19351" spans="1:1" x14ac:dyDescent="0.2">
      <c r="A19351" t="s">
        <v>3918</v>
      </c>
    </row>
    <row r="19352" spans="1:1" x14ac:dyDescent="0.2">
      <c r="A19352" t="s">
        <v>3919</v>
      </c>
    </row>
    <row r="19353" spans="1:1" x14ac:dyDescent="0.2">
      <c r="A19353" t="s">
        <v>3920</v>
      </c>
    </row>
    <row r="19354" spans="1:1" x14ac:dyDescent="0.2">
      <c r="A19354" t="s">
        <v>3921</v>
      </c>
    </row>
    <row r="19355" spans="1:1" x14ac:dyDescent="0.2">
      <c r="A19355" t="s">
        <v>3922</v>
      </c>
    </row>
    <row r="19356" spans="1:1" x14ac:dyDescent="0.2">
      <c r="A19356" t="s">
        <v>3923</v>
      </c>
    </row>
    <row r="19357" spans="1:1" x14ac:dyDescent="0.2">
      <c r="A19357" t="s">
        <v>3924</v>
      </c>
    </row>
    <row r="19358" spans="1:1" x14ac:dyDescent="0.2">
      <c r="A19358" t="s">
        <v>3925</v>
      </c>
    </row>
    <row r="19359" spans="1:1" x14ac:dyDescent="0.2">
      <c r="A19359" t="s">
        <v>3957</v>
      </c>
    </row>
    <row r="19360" spans="1:1" x14ac:dyDescent="0.2">
      <c r="A19360" t="s">
        <v>3958</v>
      </c>
    </row>
    <row r="19361" spans="1:1" x14ac:dyDescent="0.2">
      <c r="A19361" t="s">
        <v>3959</v>
      </c>
    </row>
    <row r="19362" spans="1:1" x14ac:dyDescent="0.2">
      <c r="A19362" t="s">
        <v>3960</v>
      </c>
    </row>
    <row r="19363" spans="1:1" x14ac:dyDescent="0.2">
      <c r="A19363" t="s">
        <v>3961</v>
      </c>
    </row>
    <row r="19364" spans="1:1" x14ac:dyDescent="0.2">
      <c r="A19364" t="s">
        <v>3931</v>
      </c>
    </row>
    <row r="19365" spans="1:1" x14ac:dyDescent="0.2">
      <c r="A19365" t="s">
        <v>3932</v>
      </c>
    </row>
    <row r="19366" spans="1:1" x14ac:dyDescent="0.2">
      <c r="A19366" t="s">
        <v>3962</v>
      </c>
    </row>
    <row r="19367" spans="1:1" x14ac:dyDescent="0.2">
      <c r="A19367" t="s">
        <v>1663</v>
      </c>
    </row>
    <row r="19368" spans="1:1" x14ac:dyDescent="0.2">
      <c r="A19368" t="s">
        <v>3317</v>
      </c>
    </row>
    <row r="19369" spans="1:1" x14ac:dyDescent="0.2">
      <c r="A19369" t="s">
        <v>3956</v>
      </c>
    </row>
    <row r="19370" spans="1:1" x14ac:dyDescent="0.2">
      <c r="A19370" t="s">
        <v>1631</v>
      </c>
    </row>
    <row r="19371" spans="1:1" x14ac:dyDescent="0.2">
      <c r="A19371" t="s">
        <v>1673</v>
      </c>
    </row>
    <row r="19372" spans="1:1" x14ac:dyDescent="0.2">
      <c r="A19372" t="s">
        <v>3402</v>
      </c>
    </row>
    <row r="19373" spans="1:1" x14ac:dyDescent="0.2">
      <c r="A19373" t="s">
        <v>1600</v>
      </c>
    </row>
    <row r="19374" spans="1:1" x14ac:dyDescent="0.2">
      <c r="A19374" t="s">
        <v>1639</v>
      </c>
    </row>
    <row r="19375" spans="1:1" x14ac:dyDescent="0.2">
      <c r="A19375" t="s">
        <v>3403</v>
      </c>
    </row>
    <row r="19376" spans="1:1" x14ac:dyDescent="0.2">
      <c r="A19376" t="s">
        <v>1635</v>
      </c>
    </row>
    <row r="19377" spans="1:1" x14ac:dyDescent="0.2">
      <c r="A19377" t="s">
        <v>1684</v>
      </c>
    </row>
    <row r="19378" spans="1:1" x14ac:dyDescent="0.2">
      <c r="A19378" t="s">
        <v>3729</v>
      </c>
    </row>
    <row r="19379" spans="1:1" x14ac:dyDescent="0.2">
      <c r="A19379" t="s">
        <v>1606</v>
      </c>
    </row>
    <row r="19380" spans="1:1" x14ac:dyDescent="0.2">
      <c r="A19380" t="s">
        <v>1607</v>
      </c>
    </row>
    <row r="19381" spans="1:1" x14ac:dyDescent="0.2">
      <c r="A19381" t="s">
        <v>1676</v>
      </c>
    </row>
    <row r="19382" spans="1:1" x14ac:dyDescent="0.2">
      <c r="A19382" t="s">
        <v>1677</v>
      </c>
    </row>
    <row r="19383" spans="1:1" x14ac:dyDescent="0.2">
      <c r="A19383" t="s">
        <v>1610</v>
      </c>
    </row>
    <row r="19384" spans="1:1" x14ac:dyDescent="0.2">
      <c r="A19384" t="s">
        <v>3916</v>
      </c>
    </row>
    <row r="19385" spans="1:1" x14ac:dyDescent="0.2">
      <c r="A19385" t="s">
        <v>3917</v>
      </c>
    </row>
    <row r="19386" spans="1:1" x14ac:dyDescent="0.2">
      <c r="A19386" t="s">
        <v>3918</v>
      </c>
    </row>
    <row r="19387" spans="1:1" x14ac:dyDescent="0.2">
      <c r="A19387" t="s">
        <v>3919</v>
      </c>
    </row>
    <row r="19388" spans="1:1" x14ac:dyDescent="0.2">
      <c r="A19388" t="s">
        <v>3920</v>
      </c>
    </row>
    <row r="19389" spans="1:1" x14ac:dyDescent="0.2">
      <c r="A19389" t="s">
        <v>3921</v>
      </c>
    </row>
    <row r="19390" spans="1:1" x14ac:dyDescent="0.2">
      <c r="A19390" t="s">
        <v>3922</v>
      </c>
    </row>
    <row r="19391" spans="1:1" x14ac:dyDescent="0.2">
      <c r="A19391" t="s">
        <v>3923</v>
      </c>
    </row>
    <row r="19392" spans="1:1" x14ac:dyDescent="0.2">
      <c r="A19392" t="s">
        <v>3924</v>
      </c>
    </row>
    <row r="19393" spans="1:1" x14ac:dyDescent="0.2">
      <c r="A19393" t="s">
        <v>3925</v>
      </c>
    </row>
    <row r="19394" spans="1:1" x14ac:dyDescent="0.2">
      <c r="A19394" t="s">
        <v>3957</v>
      </c>
    </row>
    <row r="19395" spans="1:1" x14ac:dyDescent="0.2">
      <c r="A19395" t="s">
        <v>3958</v>
      </c>
    </row>
    <row r="19396" spans="1:1" x14ac:dyDescent="0.2">
      <c r="A19396" t="s">
        <v>3959</v>
      </c>
    </row>
    <row r="19397" spans="1:1" x14ac:dyDescent="0.2">
      <c r="A19397" t="s">
        <v>3960</v>
      </c>
    </row>
    <row r="19398" spans="1:1" x14ac:dyDescent="0.2">
      <c r="A19398" t="s">
        <v>3961</v>
      </c>
    </row>
    <row r="19399" spans="1:1" x14ac:dyDescent="0.2">
      <c r="A19399" t="s">
        <v>3931</v>
      </c>
    </row>
    <row r="19400" spans="1:1" x14ac:dyDescent="0.2">
      <c r="A19400" t="s">
        <v>3932</v>
      </c>
    </row>
    <row r="19401" spans="1:1" x14ac:dyDescent="0.2">
      <c r="A19401" t="s">
        <v>3963</v>
      </c>
    </row>
    <row r="19402" spans="1:1" x14ac:dyDescent="0.2">
      <c r="A19402" t="s">
        <v>1663</v>
      </c>
    </row>
    <row r="19403" spans="1:1" x14ac:dyDescent="0.2">
      <c r="A19403" t="s">
        <v>3317</v>
      </c>
    </row>
    <row r="19404" spans="1:1" x14ac:dyDescent="0.2">
      <c r="A19404" t="s">
        <v>3956</v>
      </c>
    </row>
    <row r="19405" spans="1:1" x14ac:dyDescent="0.2">
      <c r="A19405" t="s">
        <v>1631</v>
      </c>
    </row>
    <row r="19406" spans="1:1" x14ac:dyDescent="0.2">
      <c r="A19406" t="s">
        <v>1673</v>
      </c>
    </row>
    <row r="19407" spans="1:1" x14ac:dyDescent="0.2">
      <c r="A19407" t="s">
        <v>3402</v>
      </c>
    </row>
    <row r="19408" spans="1:1" x14ac:dyDescent="0.2">
      <c r="A19408" t="s">
        <v>1600</v>
      </c>
    </row>
    <row r="19409" spans="1:1" x14ac:dyDescent="0.2">
      <c r="A19409" t="s">
        <v>1601</v>
      </c>
    </row>
    <row r="19410" spans="1:1" x14ac:dyDescent="0.2">
      <c r="A19410" t="s">
        <v>3403</v>
      </c>
    </row>
    <row r="19411" spans="1:1" x14ac:dyDescent="0.2">
      <c r="A19411" t="s">
        <v>1635</v>
      </c>
    </row>
    <row r="19412" spans="1:1" x14ac:dyDescent="0.2">
      <c r="A19412" t="s">
        <v>1684</v>
      </c>
    </row>
    <row r="19413" spans="1:1" x14ac:dyDescent="0.2">
      <c r="A19413" t="s">
        <v>3729</v>
      </c>
    </row>
    <row r="19414" spans="1:1" x14ac:dyDescent="0.2">
      <c r="A19414" t="s">
        <v>1606</v>
      </c>
    </row>
    <row r="19415" spans="1:1" x14ac:dyDescent="0.2">
      <c r="A19415" t="s">
        <v>1607</v>
      </c>
    </row>
    <row r="19416" spans="1:1" x14ac:dyDescent="0.2">
      <c r="A19416" t="s">
        <v>1676</v>
      </c>
    </row>
    <row r="19417" spans="1:1" x14ac:dyDescent="0.2">
      <c r="A19417" t="s">
        <v>1677</v>
      </c>
    </row>
    <row r="19418" spans="1:1" x14ac:dyDescent="0.2">
      <c r="A19418" t="s">
        <v>1610</v>
      </c>
    </row>
    <row r="19419" spans="1:1" x14ac:dyDescent="0.2">
      <c r="A19419" t="s">
        <v>3916</v>
      </c>
    </row>
    <row r="19420" spans="1:1" x14ac:dyDescent="0.2">
      <c r="A19420" t="s">
        <v>3917</v>
      </c>
    </row>
    <row r="19421" spans="1:1" x14ac:dyDescent="0.2">
      <c r="A19421" t="s">
        <v>3918</v>
      </c>
    </row>
    <row r="19422" spans="1:1" x14ac:dyDescent="0.2">
      <c r="A19422" t="s">
        <v>3919</v>
      </c>
    </row>
    <row r="19423" spans="1:1" x14ac:dyDescent="0.2">
      <c r="A19423" t="s">
        <v>3920</v>
      </c>
    </row>
    <row r="19424" spans="1:1" x14ac:dyDescent="0.2">
      <c r="A19424" t="s">
        <v>3921</v>
      </c>
    </row>
    <row r="19425" spans="1:1" x14ac:dyDescent="0.2">
      <c r="A19425" t="s">
        <v>3922</v>
      </c>
    </row>
    <row r="19426" spans="1:1" x14ac:dyDescent="0.2">
      <c r="A19426" t="s">
        <v>3923</v>
      </c>
    </row>
    <row r="19427" spans="1:1" x14ac:dyDescent="0.2">
      <c r="A19427" t="s">
        <v>3924</v>
      </c>
    </row>
    <row r="19428" spans="1:1" x14ac:dyDescent="0.2">
      <c r="A19428" t="s">
        <v>3925</v>
      </c>
    </row>
    <row r="19429" spans="1:1" x14ac:dyDescent="0.2">
      <c r="A19429" t="s">
        <v>3957</v>
      </c>
    </row>
    <row r="19430" spans="1:1" x14ac:dyDescent="0.2">
      <c r="A19430" t="s">
        <v>3958</v>
      </c>
    </row>
    <row r="19431" spans="1:1" x14ac:dyDescent="0.2">
      <c r="A19431" t="s">
        <v>3959</v>
      </c>
    </row>
    <row r="19432" spans="1:1" x14ac:dyDescent="0.2">
      <c r="A19432" t="s">
        <v>3960</v>
      </c>
    </row>
    <row r="19433" spans="1:1" x14ac:dyDescent="0.2">
      <c r="A19433" t="s">
        <v>3961</v>
      </c>
    </row>
    <row r="19434" spans="1:1" x14ac:dyDescent="0.2">
      <c r="A19434" t="s">
        <v>3931</v>
      </c>
    </row>
    <row r="19435" spans="1:1" x14ac:dyDescent="0.2">
      <c r="A19435" t="s">
        <v>3932</v>
      </c>
    </row>
    <row r="19436" spans="1:1" x14ac:dyDescent="0.2">
      <c r="A19436" t="s">
        <v>3964</v>
      </c>
    </row>
    <row r="19437" spans="1:1" x14ac:dyDescent="0.2">
      <c r="A19437" t="s">
        <v>1594</v>
      </c>
    </row>
    <row r="19438" spans="1:1" x14ac:dyDescent="0.2">
      <c r="A19438" t="s">
        <v>1595</v>
      </c>
    </row>
    <row r="19439" spans="1:1" x14ac:dyDescent="0.2">
      <c r="A19439" t="s">
        <v>3439</v>
      </c>
    </row>
    <row r="19440" spans="1:1" x14ac:dyDescent="0.2">
      <c r="A19440" t="s">
        <v>1597</v>
      </c>
    </row>
    <row r="19441" spans="1:1" x14ac:dyDescent="0.2">
      <c r="A19441" t="s">
        <v>1598</v>
      </c>
    </row>
    <row r="19442" spans="1:1" x14ac:dyDescent="0.2">
      <c r="A19442" t="s">
        <v>1599</v>
      </c>
    </row>
    <row r="19443" spans="1:1" x14ac:dyDescent="0.2">
      <c r="A19443" t="s">
        <v>1600</v>
      </c>
    </row>
    <row r="19444" spans="1:1" x14ac:dyDescent="0.2">
      <c r="A19444" t="s">
        <v>1601</v>
      </c>
    </row>
    <row r="19445" spans="1:1" x14ac:dyDescent="0.2">
      <c r="A19445" t="s">
        <v>1602</v>
      </c>
    </row>
    <row r="19446" spans="1:1" x14ac:dyDescent="0.2">
      <c r="A19446" t="s">
        <v>1603</v>
      </c>
    </row>
    <row r="19447" spans="1:1" x14ac:dyDescent="0.2">
      <c r="A19447" t="s">
        <v>1604</v>
      </c>
    </row>
    <row r="19448" spans="1:1" x14ac:dyDescent="0.2">
      <c r="A19448" t="s">
        <v>1605</v>
      </c>
    </row>
    <row r="19449" spans="1:1" x14ac:dyDescent="0.2">
      <c r="A19449" t="s">
        <v>1606</v>
      </c>
    </row>
    <row r="19450" spans="1:1" x14ac:dyDescent="0.2">
      <c r="A19450" t="s">
        <v>1607</v>
      </c>
    </row>
    <row r="19451" spans="1:1" x14ac:dyDescent="0.2">
      <c r="A19451" t="s">
        <v>1608</v>
      </c>
    </row>
    <row r="19452" spans="1:1" x14ac:dyDescent="0.2">
      <c r="A19452" t="s">
        <v>1609</v>
      </c>
    </row>
    <row r="19453" spans="1:1" x14ac:dyDescent="0.2">
      <c r="A19453" t="s">
        <v>1610</v>
      </c>
    </row>
    <row r="19454" spans="1:1" x14ac:dyDescent="0.2">
      <c r="A19454" t="s">
        <v>1611</v>
      </c>
    </row>
    <row r="19455" spans="1:1" x14ac:dyDescent="0.2">
      <c r="A19455" t="s">
        <v>1612</v>
      </c>
    </row>
    <row r="19456" spans="1:1" x14ac:dyDescent="0.2">
      <c r="A19456" t="s">
        <v>1613</v>
      </c>
    </row>
    <row r="19457" spans="1:1" x14ac:dyDescent="0.2">
      <c r="A19457" t="s">
        <v>1614</v>
      </c>
    </row>
    <row r="19458" spans="1:1" x14ac:dyDescent="0.2">
      <c r="A19458" t="s">
        <v>1615</v>
      </c>
    </row>
    <row r="19459" spans="1:1" x14ac:dyDescent="0.2">
      <c r="A19459" t="s">
        <v>1616</v>
      </c>
    </row>
    <row r="19460" spans="1:1" x14ac:dyDescent="0.2">
      <c r="A19460" t="s">
        <v>1617</v>
      </c>
    </row>
    <row r="19461" spans="1:1" x14ac:dyDescent="0.2">
      <c r="A19461" t="s">
        <v>1618</v>
      </c>
    </row>
    <row r="19462" spans="1:1" x14ac:dyDescent="0.2">
      <c r="A19462" t="s">
        <v>1619</v>
      </c>
    </row>
    <row r="19463" spans="1:1" x14ac:dyDescent="0.2">
      <c r="A19463" t="s">
        <v>1620</v>
      </c>
    </row>
    <row r="19464" spans="1:1" x14ac:dyDescent="0.2">
      <c r="A19464" t="s">
        <v>1621</v>
      </c>
    </row>
    <row r="19465" spans="1:1" x14ac:dyDescent="0.2">
      <c r="A19465" t="s">
        <v>1622</v>
      </c>
    </row>
    <row r="19466" spans="1:1" x14ac:dyDescent="0.2">
      <c r="A19466" t="s">
        <v>1623</v>
      </c>
    </row>
    <row r="19467" spans="1:1" x14ac:dyDescent="0.2">
      <c r="A19467" t="s">
        <v>1624</v>
      </c>
    </row>
    <row r="19468" spans="1:1" x14ac:dyDescent="0.2">
      <c r="A19468" t="s">
        <v>1625</v>
      </c>
    </row>
    <row r="19469" spans="1:1" x14ac:dyDescent="0.2">
      <c r="A19469" t="s">
        <v>1626</v>
      </c>
    </row>
    <row r="19470" spans="1:1" x14ac:dyDescent="0.2">
      <c r="A19470" t="s">
        <v>1627</v>
      </c>
    </row>
    <row r="19471" spans="1:1" x14ac:dyDescent="0.2">
      <c r="A19471" t="s">
        <v>3965</v>
      </c>
    </row>
    <row r="19472" spans="1:1" x14ac:dyDescent="0.2">
      <c r="A19472" t="s">
        <v>1663</v>
      </c>
    </row>
    <row r="19473" spans="1:1" x14ac:dyDescent="0.2">
      <c r="A19473" t="s">
        <v>1642</v>
      </c>
    </row>
    <row r="19474" spans="1:1" x14ac:dyDescent="0.2">
      <c r="A19474" t="s">
        <v>3966</v>
      </c>
    </row>
    <row r="19475" spans="1:1" x14ac:dyDescent="0.2">
      <c r="A19475" t="s">
        <v>1652</v>
      </c>
    </row>
    <row r="19476" spans="1:1" x14ac:dyDescent="0.2">
      <c r="A19476" t="s">
        <v>1673</v>
      </c>
    </row>
    <row r="19477" spans="1:1" x14ac:dyDescent="0.2">
      <c r="A19477" t="s">
        <v>3402</v>
      </c>
    </row>
    <row r="19478" spans="1:1" x14ac:dyDescent="0.2">
      <c r="A19478" t="s">
        <v>1600</v>
      </c>
    </row>
    <row r="19479" spans="1:1" x14ac:dyDescent="0.2">
      <c r="A19479" t="s">
        <v>1633</v>
      </c>
    </row>
    <row r="19480" spans="1:1" x14ac:dyDescent="0.2">
      <c r="A19480" t="s">
        <v>3403</v>
      </c>
    </row>
    <row r="19481" spans="1:1" x14ac:dyDescent="0.2">
      <c r="A19481" t="s">
        <v>1635</v>
      </c>
    </row>
    <row r="19482" spans="1:1" x14ac:dyDescent="0.2">
      <c r="A19482" t="s">
        <v>1684</v>
      </c>
    </row>
    <row r="19483" spans="1:1" x14ac:dyDescent="0.2">
      <c r="A19483" t="s">
        <v>3750</v>
      </c>
    </row>
    <row r="19484" spans="1:1" x14ac:dyDescent="0.2">
      <c r="A19484" t="s">
        <v>1606</v>
      </c>
    </row>
    <row r="19485" spans="1:1" x14ac:dyDescent="0.2">
      <c r="A19485" t="s">
        <v>1607</v>
      </c>
    </row>
    <row r="19486" spans="1:1" x14ac:dyDescent="0.2">
      <c r="A19486" t="s">
        <v>1676</v>
      </c>
    </row>
    <row r="19487" spans="1:1" x14ac:dyDescent="0.2">
      <c r="A19487" t="s">
        <v>1677</v>
      </c>
    </row>
    <row r="19488" spans="1:1" x14ac:dyDescent="0.2">
      <c r="A19488" t="s">
        <v>1610</v>
      </c>
    </row>
    <row r="19489" spans="1:1" x14ac:dyDescent="0.2">
      <c r="A19489" t="s">
        <v>3967</v>
      </c>
    </row>
    <row r="19490" spans="1:1" x14ac:dyDescent="0.2">
      <c r="A19490" t="s">
        <v>3968</v>
      </c>
    </row>
    <row r="19491" spans="1:1" x14ac:dyDescent="0.2">
      <c r="A19491" t="s">
        <v>3969</v>
      </c>
    </row>
    <row r="19492" spans="1:1" x14ac:dyDescent="0.2">
      <c r="A19492" t="s">
        <v>3970</v>
      </c>
    </row>
    <row r="19493" spans="1:1" x14ac:dyDescent="0.2">
      <c r="A19493" t="s">
        <v>3971</v>
      </c>
    </row>
    <row r="19494" spans="1:1" x14ac:dyDescent="0.2">
      <c r="A19494" t="s">
        <v>3972</v>
      </c>
    </row>
    <row r="19495" spans="1:1" x14ac:dyDescent="0.2">
      <c r="A19495" t="s">
        <v>3973</v>
      </c>
    </row>
    <row r="19496" spans="1:1" x14ac:dyDescent="0.2">
      <c r="A19496" t="s">
        <v>3974</v>
      </c>
    </row>
    <row r="19497" spans="1:1" x14ac:dyDescent="0.2">
      <c r="A19497" t="s">
        <v>3975</v>
      </c>
    </row>
    <row r="19498" spans="1:1" x14ac:dyDescent="0.2">
      <c r="A19498" t="s">
        <v>3976</v>
      </c>
    </row>
    <row r="19499" spans="1:1" x14ac:dyDescent="0.2">
      <c r="A19499" t="s">
        <v>3977</v>
      </c>
    </row>
    <row r="19500" spans="1:1" x14ac:dyDescent="0.2">
      <c r="A19500" t="s">
        <v>3978</v>
      </c>
    </row>
    <row r="19501" spans="1:1" x14ac:dyDescent="0.2">
      <c r="A19501" t="s">
        <v>3979</v>
      </c>
    </row>
    <row r="19502" spans="1:1" x14ac:dyDescent="0.2">
      <c r="A19502" t="s">
        <v>3980</v>
      </c>
    </row>
    <row r="19503" spans="1:1" x14ac:dyDescent="0.2">
      <c r="A19503" t="s">
        <v>3981</v>
      </c>
    </row>
    <row r="19504" spans="1:1" x14ac:dyDescent="0.2">
      <c r="A19504" t="s">
        <v>3931</v>
      </c>
    </row>
    <row r="19505" spans="1:1" x14ac:dyDescent="0.2">
      <c r="A19505" t="s">
        <v>3932</v>
      </c>
    </row>
    <row r="19506" spans="1:1" x14ac:dyDescent="0.2">
      <c r="A19506" t="s">
        <v>3982</v>
      </c>
    </row>
    <row r="19507" spans="1:1" x14ac:dyDescent="0.2">
      <c r="A19507" t="s">
        <v>1663</v>
      </c>
    </row>
    <row r="19508" spans="1:1" x14ac:dyDescent="0.2">
      <c r="A19508" t="s">
        <v>1642</v>
      </c>
    </row>
    <row r="19509" spans="1:1" x14ac:dyDescent="0.2">
      <c r="A19509" t="s">
        <v>3966</v>
      </c>
    </row>
    <row r="19510" spans="1:1" x14ac:dyDescent="0.2">
      <c r="A19510" t="s">
        <v>1652</v>
      </c>
    </row>
    <row r="19511" spans="1:1" x14ac:dyDescent="0.2">
      <c r="A19511" t="s">
        <v>1673</v>
      </c>
    </row>
    <row r="19512" spans="1:1" x14ac:dyDescent="0.2">
      <c r="A19512" t="s">
        <v>3402</v>
      </c>
    </row>
    <row r="19513" spans="1:1" x14ac:dyDescent="0.2">
      <c r="A19513" t="s">
        <v>1600</v>
      </c>
    </row>
    <row r="19514" spans="1:1" x14ac:dyDescent="0.2">
      <c r="A19514" t="s">
        <v>1639</v>
      </c>
    </row>
    <row r="19515" spans="1:1" x14ac:dyDescent="0.2">
      <c r="A19515" t="s">
        <v>3403</v>
      </c>
    </row>
    <row r="19516" spans="1:1" x14ac:dyDescent="0.2">
      <c r="A19516" t="s">
        <v>1635</v>
      </c>
    </row>
    <row r="19517" spans="1:1" x14ac:dyDescent="0.2">
      <c r="A19517" t="s">
        <v>1684</v>
      </c>
    </row>
    <row r="19518" spans="1:1" x14ac:dyDescent="0.2">
      <c r="A19518" t="s">
        <v>1605</v>
      </c>
    </row>
    <row r="19519" spans="1:1" x14ac:dyDescent="0.2">
      <c r="A19519" t="s">
        <v>1606</v>
      </c>
    </row>
    <row r="19520" spans="1:1" x14ac:dyDescent="0.2">
      <c r="A19520" t="s">
        <v>1607</v>
      </c>
    </row>
    <row r="19521" spans="1:1" x14ac:dyDescent="0.2">
      <c r="A19521" t="s">
        <v>1676</v>
      </c>
    </row>
    <row r="19522" spans="1:1" x14ac:dyDescent="0.2">
      <c r="A19522" t="s">
        <v>1677</v>
      </c>
    </row>
    <row r="19523" spans="1:1" x14ac:dyDescent="0.2">
      <c r="A19523" t="s">
        <v>1610</v>
      </c>
    </row>
    <row r="19524" spans="1:1" x14ac:dyDescent="0.2">
      <c r="A19524" t="s">
        <v>3967</v>
      </c>
    </row>
    <row r="19525" spans="1:1" x14ac:dyDescent="0.2">
      <c r="A19525" t="s">
        <v>3968</v>
      </c>
    </row>
    <row r="19526" spans="1:1" x14ac:dyDescent="0.2">
      <c r="A19526" t="s">
        <v>3969</v>
      </c>
    </row>
    <row r="19527" spans="1:1" x14ac:dyDescent="0.2">
      <c r="A19527" t="s">
        <v>3970</v>
      </c>
    </row>
    <row r="19528" spans="1:1" x14ac:dyDescent="0.2">
      <c r="A19528" t="s">
        <v>3971</v>
      </c>
    </row>
    <row r="19529" spans="1:1" x14ac:dyDescent="0.2">
      <c r="A19529" t="s">
        <v>3972</v>
      </c>
    </row>
    <row r="19530" spans="1:1" x14ac:dyDescent="0.2">
      <c r="A19530" t="s">
        <v>3973</v>
      </c>
    </row>
    <row r="19531" spans="1:1" x14ac:dyDescent="0.2">
      <c r="A19531" t="s">
        <v>3974</v>
      </c>
    </row>
    <row r="19532" spans="1:1" x14ac:dyDescent="0.2">
      <c r="A19532" t="s">
        <v>3975</v>
      </c>
    </row>
    <row r="19533" spans="1:1" x14ac:dyDescent="0.2">
      <c r="A19533" t="s">
        <v>3976</v>
      </c>
    </row>
    <row r="19534" spans="1:1" x14ac:dyDescent="0.2">
      <c r="A19534" t="s">
        <v>3977</v>
      </c>
    </row>
    <row r="19535" spans="1:1" x14ac:dyDescent="0.2">
      <c r="A19535" t="s">
        <v>3978</v>
      </c>
    </row>
    <row r="19536" spans="1:1" x14ac:dyDescent="0.2">
      <c r="A19536" t="s">
        <v>3979</v>
      </c>
    </row>
    <row r="19537" spans="1:1" x14ac:dyDescent="0.2">
      <c r="A19537" t="s">
        <v>3980</v>
      </c>
    </row>
    <row r="19538" spans="1:1" x14ac:dyDescent="0.2">
      <c r="A19538" t="s">
        <v>3981</v>
      </c>
    </row>
    <row r="19539" spans="1:1" x14ac:dyDescent="0.2">
      <c r="A19539" t="s">
        <v>3931</v>
      </c>
    </row>
    <row r="19540" spans="1:1" x14ac:dyDescent="0.2">
      <c r="A19540" t="s">
        <v>3932</v>
      </c>
    </row>
    <row r="19541" spans="1:1" x14ac:dyDescent="0.2">
      <c r="A19541" t="s">
        <v>3983</v>
      </c>
    </row>
    <row r="19542" spans="1:1" x14ac:dyDescent="0.2">
      <c r="A19542" t="s">
        <v>1663</v>
      </c>
    </row>
    <row r="19543" spans="1:1" x14ac:dyDescent="0.2">
      <c r="A19543" t="s">
        <v>1642</v>
      </c>
    </row>
    <row r="19544" spans="1:1" x14ac:dyDescent="0.2">
      <c r="A19544" t="s">
        <v>3966</v>
      </c>
    </row>
    <row r="19545" spans="1:1" x14ac:dyDescent="0.2">
      <c r="A19545" t="s">
        <v>1652</v>
      </c>
    </row>
    <row r="19546" spans="1:1" x14ac:dyDescent="0.2">
      <c r="A19546" t="s">
        <v>1673</v>
      </c>
    </row>
    <row r="19547" spans="1:1" x14ac:dyDescent="0.2">
      <c r="A19547" t="s">
        <v>3402</v>
      </c>
    </row>
    <row r="19548" spans="1:1" x14ac:dyDescent="0.2">
      <c r="A19548" t="s">
        <v>1600</v>
      </c>
    </row>
    <row r="19549" spans="1:1" x14ac:dyDescent="0.2">
      <c r="A19549" t="s">
        <v>1601</v>
      </c>
    </row>
    <row r="19550" spans="1:1" x14ac:dyDescent="0.2">
      <c r="A19550" t="s">
        <v>3403</v>
      </c>
    </row>
    <row r="19551" spans="1:1" x14ac:dyDescent="0.2">
      <c r="A19551" t="s">
        <v>1635</v>
      </c>
    </row>
    <row r="19552" spans="1:1" x14ac:dyDescent="0.2">
      <c r="A19552" t="s">
        <v>1684</v>
      </c>
    </row>
    <row r="19553" spans="1:1" x14ac:dyDescent="0.2">
      <c r="A19553" t="s">
        <v>3729</v>
      </c>
    </row>
    <row r="19554" spans="1:1" x14ac:dyDescent="0.2">
      <c r="A19554" t="s">
        <v>1606</v>
      </c>
    </row>
    <row r="19555" spans="1:1" x14ac:dyDescent="0.2">
      <c r="A19555" t="s">
        <v>1607</v>
      </c>
    </row>
    <row r="19556" spans="1:1" x14ac:dyDescent="0.2">
      <c r="A19556" t="s">
        <v>1676</v>
      </c>
    </row>
    <row r="19557" spans="1:1" x14ac:dyDescent="0.2">
      <c r="A19557" t="s">
        <v>1677</v>
      </c>
    </row>
    <row r="19558" spans="1:1" x14ac:dyDescent="0.2">
      <c r="A19558" t="s">
        <v>1610</v>
      </c>
    </row>
    <row r="19559" spans="1:1" x14ac:dyDescent="0.2">
      <c r="A19559" t="s">
        <v>3967</v>
      </c>
    </row>
    <row r="19560" spans="1:1" x14ac:dyDescent="0.2">
      <c r="A19560" t="s">
        <v>3968</v>
      </c>
    </row>
    <row r="19561" spans="1:1" x14ac:dyDescent="0.2">
      <c r="A19561" t="s">
        <v>3969</v>
      </c>
    </row>
    <row r="19562" spans="1:1" x14ac:dyDescent="0.2">
      <c r="A19562" t="s">
        <v>3970</v>
      </c>
    </row>
    <row r="19563" spans="1:1" x14ac:dyDescent="0.2">
      <c r="A19563" t="s">
        <v>3971</v>
      </c>
    </row>
    <row r="19564" spans="1:1" x14ac:dyDescent="0.2">
      <c r="A19564" t="s">
        <v>3972</v>
      </c>
    </row>
    <row r="19565" spans="1:1" x14ac:dyDescent="0.2">
      <c r="A19565" t="s">
        <v>3973</v>
      </c>
    </row>
    <row r="19566" spans="1:1" x14ac:dyDescent="0.2">
      <c r="A19566" t="s">
        <v>3974</v>
      </c>
    </row>
    <row r="19567" spans="1:1" x14ac:dyDescent="0.2">
      <c r="A19567" t="s">
        <v>3975</v>
      </c>
    </row>
    <row r="19568" spans="1:1" x14ac:dyDescent="0.2">
      <c r="A19568" t="s">
        <v>3976</v>
      </c>
    </row>
    <row r="19569" spans="1:1" x14ac:dyDescent="0.2">
      <c r="A19569" t="s">
        <v>3977</v>
      </c>
    </row>
    <row r="19570" spans="1:1" x14ac:dyDescent="0.2">
      <c r="A19570" t="s">
        <v>3978</v>
      </c>
    </row>
    <row r="19571" spans="1:1" x14ac:dyDescent="0.2">
      <c r="A19571" t="s">
        <v>3979</v>
      </c>
    </row>
    <row r="19572" spans="1:1" x14ac:dyDescent="0.2">
      <c r="A19572" t="s">
        <v>3980</v>
      </c>
    </row>
    <row r="19573" spans="1:1" x14ac:dyDescent="0.2">
      <c r="A19573" t="s">
        <v>3981</v>
      </c>
    </row>
    <row r="19574" spans="1:1" x14ac:dyDescent="0.2">
      <c r="A19574" t="s">
        <v>3931</v>
      </c>
    </row>
    <row r="19575" spans="1:1" x14ac:dyDescent="0.2">
      <c r="A19575" t="s">
        <v>3932</v>
      </c>
    </row>
    <row r="19576" spans="1:1" x14ac:dyDescent="0.2">
      <c r="A19576" t="s">
        <v>3984</v>
      </c>
    </row>
    <row r="19577" spans="1:1" x14ac:dyDescent="0.2">
      <c r="A19577" t="s">
        <v>1663</v>
      </c>
    </row>
    <row r="19578" spans="1:1" x14ac:dyDescent="0.2">
      <c r="A19578" t="s">
        <v>1642</v>
      </c>
    </row>
    <row r="19579" spans="1:1" x14ac:dyDescent="0.2">
      <c r="A19579" t="s">
        <v>3985</v>
      </c>
    </row>
    <row r="19580" spans="1:1" x14ac:dyDescent="0.2">
      <c r="A19580" t="s">
        <v>1652</v>
      </c>
    </row>
    <row r="19581" spans="1:1" x14ac:dyDescent="0.2">
      <c r="A19581" t="s">
        <v>1673</v>
      </c>
    </row>
    <row r="19582" spans="1:1" x14ac:dyDescent="0.2">
      <c r="A19582" t="s">
        <v>3402</v>
      </c>
    </row>
    <row r="19583" spans="1:1" x14ac:dyDescent="0.2">
      <c r="A19583" t="s">
        <v>1600</v>
      </c>
    </row>
    <row r="19584" spans="1:1" x14ac:dyDescent="0.2">
      <c r="A19584" t="s">
        <v>1633</v>
      </c>
    </row>
    <row r="19585" spans="1:1" x14ac:dyDescent="0.2">
      <c r="A19585" t="s">
        <v>3403</v>
      </c>
    </row>
    <row r="19586" spans="1:1" x14ac:dyDescent="0.2">
      <c r="A19586" t="s">
        <v>1635</v>
      </c>
    </row>
    <row r="19587" spans="1:1" x14ac:dyDescent="0.2">
      <c r="A19587" t="s">
        <v>1684</v>
      </c>
    </row>
    <row r="19588" spans="1:1" x14ac:dyDescent="0.2">
      <c r="A19588" t="s">
        <v>1605</v>
      </c>
    </row>
    <row r="19589" spans="1:1" x14ac:dyDescent="0.2">
      <c r="A19589" t="s">
        <v>1606</v>
      </c>
    </row>
    <row r="19590" spans="1:1" x14ac:dyDescent="0.2">
      <c r="A19590" t="s">
        <v>1607</v>
      </c>
    </row>
    <row r="19591" spans="1:1" x14ac:dyDescent="0.2">
      <c r="A19591" t="s">
        <v>1676</v>
      </c>
    </row>
    <row r="19592" spans="1:1" x14ac:dyDescent="0.2">
      <c r="A19592" t="s">
        <v>1677</v>
      </c>
    </row>
    <row r="19593" spans="1:1" x14ac:dyDescent="0.2">
      <c r="A19593" t="s">
        <v>1610</v>
      </c>
    </row>
    <row r="19594" spans="1:1" x14ac:dyDescent="0.2">
      <c r="A19594" t="s">
        <v>3986</v>
      </c>
    </row>
    <row r="19595" spans="1:1" x14ac:dyDescent="0.2">
      <c r="A19595" t="s">
        <v>3987</v>
      </c>
    </row>
    <row r="19596" spans="1:1" x14ac:dyDescent="0.2">
      <c r="A19596" t="s">
        <v>3988</v>
      </c>
    </row>
    <row r="19597" spans="1:1" x14ac:dyDescent="0.2">
      <c r="A19597" t="s">
        <v>3989</v>
      </c>
    </row>
    <row r="19598" spans="1:1" x14ac:dyDescent="0.2">
      <c r="A19598" t="s">
        <v>3990</v>
      </c>
    </row>
    <row r="19599" spans="1:1" x14ac:dyDescent="0.2">
      <c r="A19599" t="s">
        <v>3991</v>
      </c>
    </row>
    <row r="19600" spans="1:1" x14ac:dyDescent="0.2">
      <c r="A19600" t="s">
        <v>3992</v>
      </c>
    </row>
    <row r="19601" spans="1:1" x14ac:dyDescent="0.2">
      <c r="A19601" t="s">
        <v>3993</v>
      </c>
    </row>
    <row r="19602" spans="1:1" x14ac:dyDescent="0.2">
      <c r="A19602" t="s">
        <v>3994</v>
      </c>
    </row>
    <row r="19603" spans="1:1" x14ac:dyDescent="0.2">
      <c r="A19603" t="s">
        <v>3995</v>
      </c>
    </row>
    <row r="19604" spans="1:1" x14ac:dyDescent="0.2">
      <c r="A19604" t="s">
        <v>3996</v>
      </c>
    </row>
    <row r="19605" spans="1:1" x14ac:dyDescent="0.2">
      <c r="A19605" t="s">
        <v>3997</v>
      </c>
    </row>
    <row r="19606" spans="1:1" x14ac:dyDescent="0.2">
      <c r="A19606" t="s">
        <v>3998</v>
      </c>
    </row>
    <row r="19607" spans="1:1" x14ac:dyDescent="0.2">
      <c r="A19607" t="s">
        <v>3999</v>
      </c>
    </row>
    <row r="19608" spans="1:1" x14ac:dyDescent="0.2">
      <c r="A19608" t="s">
        <v>4000</v>
      </c>
    </row>
    <row r="19609" spans="1:1" x14ac:dyDescent="0.2">
      <c r="A19609" t="s">
        <v>3931</v>
      </c>
    </row>
    <row r="19610" spans="1:1" x14ac:dyDescent="0.2">
      <c r="A19610" t="s">
        <v>3932</v>
      </c>
    </row>
    <row r="19611" spans="1:1" x14ac:dyDescent="0.2">
      <c r="A19611" t="s">
        <v>4001</v>
      </c>
    </row>
    <row r="19612" spans="1:1" x14ac:dyDescent="0.2">
      <c r="A19612" t="s">
        <v>1663</v>
      </c>
    </row>
    <row r="19613" spans="1:1" x14ac:dyDescent="0.2">
      <c r="A19613" t="s">
        <v>1642</v>
      </c>
    </row>
    <row r="19614" spans="1:1" x14ac:dyDescent="0.2">
      <c r="A19614" t="s">
        <v>3985</v>
      </c>
    </row>
    <row r="19615" spans="1:1" x14ac:dyDescent="0.2">
      <c r="A19615" t="s">
        <v>1652</v>
      </c>
    </row>
    <row r="19616" spans="1:1" x14ac:dyDescent="0.2">
      <c r="A19616" t="s">
        <v>1673</v>
      </c>
    </row>
    <row r="19617" spans="1:1" x14ac:dyDescent="0.2">
      <c r="A19617" t="s">
        <v>3402</v>
      </c>
    </row>
    <row r="19618" spans="1:1" x14ac:dyDescent="0.2">
      <c r="A19618" t="s">
        <v>1600</v>
      </c>
    </row>
    <row r="19619" spans="1:1" x14ac:dyDescent="0.2">
      <c r="A19619" t="s">
        <v>1639</v>
      </c>
    </row>
    <row r="19620" spans="1:1" x14ac:dyDescent="0.2">
      <c r="A19620" t="s">
        <v>3403</v>
      </c>
    </row>
    <row r="19621" spans="1:1" x14ac:dyDescent="0.2">
      <c r="A19621" t="s">
        <v>1635</v>
      </c>
    </row>
    <row r="19622" spans="1:1" x14ac:dyDescent="0.2">
      <c r="A19622" t="s">
        <v>1684</v>
      </c>
    </row>
    <row r="19623" spans="1:1" x14ac:dyDescent="0.2">
      <c r="A19623" t="s">
        <v>3729</v>
      </c>
    </row>
    <row r="19624" spans="1:1" x14ac:dyDescent="0.2">
      <c r="A19624" t="s">
        <v>1606</v>
      </c>
    </row>
    <row r="19625" spans="1:1" x14ac:dyDescent="0.2">
      <c r="A19625" t="s">
        <v>1607</v>
      </c>
    </row>
    <row r="19626" spans="1:1" x14ac:dyDescent="0.2">
      <c r="A19626" t="s">
        <v>1676</v>
      </c>
    </row>
    <row r="19627" spans="1:1" x14ac:dyDescent="0.2">
      <c r="A19627" t="s">
        <v>1677</v>
      </c>
    </row>
    <row r="19628" spans="1:1" x14ac:dyDescent="0.2">
      <c r="A19628" t="s">
        <v>1610</v>
      </c>
    </row>
    <row r="19629" spans="1:1" x14ac:dyDescent="0.2">
      <c r="A19629" t="s">
        <v>3986</v>
      </c>
    </row>
    <row r="19630" spans="1:1" x14ac:dyDescent="0.2">
      <c r="A19630" t="s">
        <v>3987</v>
      </c>
    </row>
    <row r="19631" spans="1:1" x14ac:dyDescent="0.2">
      <c r="A19631" t="s">
        <v>3988</v>
      </c>
    </row>
    <row r="19632" spans="1:1" x14ac:dyDescent="0.2">
      <c r="A19632" t="s">
        <v>3989</v>
      </c>
    </row>
    <row r="19633" spans="1:1" x14ac:dyDescent="0.2">
      <c r="A19633" t="s">
        <v>3990</v>
      </c>
    </row>
    <row r="19634" spans="1:1" x14ac:dyDescent="0.2">
      <c r="A19634" t="s">
        <v>3991</v>
      </c>
    </row>
    <row r="19635" spans="1:1" x14ac:dyDescent="0.2">
      <c r="A19635" t="s">
        <v>3992</v>
      </c>
    </row>
    <row r="19636" spans="1:1" x14ac:dyDescent="0.2">
      <c r="A19636" t="s">
        <v>3993</v>
      </c>
    </row>
    <row r="19637" spans="1:1" x14ac:dyDescent="0.2">
      <c r="A19637" t="s">
        <v>3994</v>
      </c>
    </row>
    <row r="19638" spans="1:1" x14ac:dyDescent="0.2">
      <c r="A19638" t="s">
        <v>3995</v>
      </c>
    </row>
    <row r="19639" spans="1:1" x14ac:dyDescent="0.2">
      <c r="A19639" t="s">
        <v>3996</v>
      </c>
    </row>
    <row r="19640" spans="1:1" x14ac:dyDescent="0.2">
      <c r="A19640" t="s">
        <v>3997</v>
      </c>
    </row>
    <row r="19641" spans="1:1" x14ac:dyDescent="0.2">
      <c r="A19641" t="s">
        <v>3998</v>
      </c>
    </row>
    <row r="19642" spans="1:1" x14ac:dyDescent="0.2">
      <c r="A19642" t="s">
        <v>3999</v>
      </c>
    </row>
    <row r="19643" spans="1:1" x14ac:dyDescent="0.2">
      <c r="A19643" t="s">
        <v>4000</v>
      </c>
    </row>
    <row r="19644" spans="1:1" x14ac:dyDescent="0.2">
      <c r="A19644" t="s">
        <v>3931</v>
      </c>
    </row>
    <row r="19645" spans="1:1" x14ac:dyDescent="0.2">
      <c r="A19645" t="s">
        <v>3932</v>
      </c>
    </row>
    <row r="19646" spans="1:1" x14ac:dyDescent="0.2">
      <c r="A19646" t="s">
        <v>4002</v>
      </c>
    </row>
    <row r="19647" spans="1:1" x14ac:dyDescent="0.2">
      <c r="A19647" t="s">
        <v>1663</v>
      </c>
    </row>
    <row r="19648" spans="1:1" x14ac:dyDescent="0.2">
      <c r="A19648" t="s">
        <v>1642</v>
      </c>
    </row>
    <row r="19649" spans="1:1" x14ac:dyDescent="0.2">
      <c r="A19649" t="s">
        <v>3985</v>
      </c>
    </row>
    <row r="19650" spans="1:1" x14ac:dyDescent="0.2">
      <c r="A19650" t="s">
        <v>1652</v>
      </c>
    </row>
    <row r="19651" spans="1:1" x14ac:dyDescent="0.2">
      <c r="A19651" t="s">
        <v>1673</v>
      </c>
    </row>
    <row r="19652" spans="1:1" x14ac:dyDescent="0.2">
      <c r="A19652" t="s">
        <v>3402</v>
      </c>
    </row>
    <row r="19653" spans="1:1" x14ac:dyDescent="0.2">
      <c r="A19653" t="s">
        <v>1600</v>
      </c>
    </row>
    <row r="19654" spans="1:1" x14ac:dyDescent="0.2">
      <c r="A19654" t="s">
        <v>1601</v>
      </c>
    </row>
    <row r="19655" spans="1:1" x14ac:dyDescent="0.2">
      <c r="A19655" t="s">
        <v>3403</v>
      </c>
    </row>
    <row r="19656" spans="1:1" x14ac:dyDescent="0.2">
      <c r="A19656" t="s">
        <v>1635</v>
      </c>
    </row>
    <row r="19657" spans="1:1" x14ac:dyDescent="0.2">
      <c r="A19657" t="s">
        <v>1684</v>
      </c>
    </row>
    <row r="19658" spans="1:1" x14ac:dyDescent="0.2">
      <c r="A19658" t="s">
        <v>1605</v>
      </c>
    </row>
    <row r="19659" spans="1:1" x14ac:dyDescent="0.2">
      <c r="A19659" t="s">
        <v>1606</v>
      </c>
    </row>
    <row r="19660" spans="1:1" x14ac:dyDescent="0.2">
      <c r="A19660" t="s">
        <v>1607</v>
      </c>
    </row>
    <row r="19661" spans="1:1" x14ac:dyDescent="0.2">
      <c r="A19661" t="s">
        <v>1676</v>
      </c>
    </row>
    <row r="19662" spans="1:1" x14ac:dyDescent="0.2">
      <c r="A19662" t="s">
        <v>1677</v>
      </c>
    </row>
    <row r="19663" spans="1:1" x14ac:dyDescent="0.2">
      <c r="A19663" t="s">
        <v>1610</v>
      </c>
    </row>
    <row r="19664" spans="1:1" x14ac:dyDescent="0.2">
      <c r="A19664" t="s">
        <v>3986</v>
      </c>
    </row>
    <row r="19665" spans="1:1" x14ac:dyDescent="0.2">
      <c r="A19665" t="s">
        <v>3987</v>
      </c>
    </row>
    <row r="19666" spans="1:1" x14ac:dyDescent="0.2">
      <c r="A19666" t="s">
        <v>3988</v>
      </c>
    </row>
    <row r="19667" spans="1:1" x14ac:dyDescent="0.2">
      <c r="A19667" t="s">
        <v>3989</v>
      </c>
    </row>
    <row r="19668" spans="1:1" x14ac:dyDescent="0.2">
      <c r="A19668" t="s">
        <v>3990</v>
      </c>
    </row>
    <row r="19669" spans="1:1" x14ac:dyDescent="0.2">
      <c r="A19669" t="s">
        <v>3991</v>
      </c>
    </row>
    <row r="19670" spans="1:1" x14ac:dyDescent="0.2">
      <c r="A19670" t="s">
        <v>3992</v>
      </c>
    </row>
    <row r="19671" spans="1:1" x14ac:dyDescent="0.2">
      <c r="A19671" t="s">
        <v>3993</v>
      </c>
    </row>
    <row r="19672" spans="1:1" x14ac:dyDescent="0.2">
      <c r="A19672" t="s">
        <v>3994</v>
      </c>
    </row>
    <row r="19673" spans="1:1" x14ac:dyDescent="0.2">
      <c r="A19673" t="s">
        <v>3995</v>
      </c>
    </row>
    <row r="19674" spans="1:1" x14ac:dyDescent="0.2">
      <c r="A19674" t="s">
        <v>3996</v>
      </c>
    </row>
    <row r="19675" spans="1:1" x14ac:dyDescent="0.2">
      <c r="A19675" t="s">
        <v>3997</v>
      </c>
    </row>
    <row r="19676" spans="1:1" x14ac:dyDescent="0.2">
      <c r="A19676" t="s">
        <v>3998</v>
      </c>
    </row>
    <row r="19677" spans="1:1" x14ac:dyDescent="0.2">
      <c r="A19677" t="s">
        <v>3999</v>
      </c>
    </row>
    <row r="19678" spans="1:1" x14ac:dyDescent="0.2">
      <c r="A19678" t="s">
        <v>4000</v>
      </c>
    </row>
    <row r="19679" spans="1:1" x14ac:dyDescent="0.2">
      <c r="A19679" t="s">
        <v>3931</v>
      </c>
    </row>
    <row r="19680" spans="1:1" x14ac:dyDescent="0.2">
      <c r="A19680" t="s">
        <v>3932</v>
      </c>
    </row>
    <row r="19681" spans="1:1" x14ac:dyDescent="0.2">
      <c r="A19681" t="s">
        <v>4003</v>
      </c>
    </row>
    <row r="19682" spans="1:1" x14ac:dyDescent="0.2">
      <c r="A19682" t="s">
        <v>1594</v>
      </c>
    </row>
    <row r="19683" spans="1:1" x14ac:dyDescent="0.2">
      <c r="A19683" t="s">
        <v>1595</v>
      </c>
    </row>
    <row r="19684" spans="1:1" x14ac:dyDescent="0.2">
      <c r="A19684" t="s">
        <v>3439</v>
      </c>
    </row>
    <row r="19685" spans="1:1" x14ac:dyDescent="0.2">
      <c r="A19685" t="s">
        <v>1597</v>
      </c>
    </row>
    <row r="19686" spans="1:1" x14ac:dyDescent="0.2">
      <c r="A19686" t="s">
        <v>1598</v>
      </c>
    </row>
    <row r="19687" spans="1:1" x14ac:dyDescent="0.2">
      <c r="A19687" t="s">
        <v>1599</v>
      </c>
    </row>
    <row r="19688" spans="1:1" x14ac:dyDescent="0.2">
      <c r="A19688" t="s">
        <v>1600</v>
      </c>
    </row>
    <row r="19689" spans="1:1" x14ac:dyDescent="0.2">
      <c r="A19689" t="s">
        <v>1601</v>
      </c>
    </row>
    <row r="19690" spans="1:1" x14ac:dyDescent="0.2">
      <c r="A19690" t="s">
        <v>1602</v>
      </c>
    </row>
    <row r="19691" spans="1:1" x14ac:dyDescent="0.2">
      <c r="A19691" t="s">
        <v>1603</v>
      </c>
    </row>
    <row r="19692" spans="1:1" x14ac:dyDescent="0.2">
      <c r="A19692" t="s">
        <v>1604</v>
      </c>
    </row>
    <row r="19693" spans="1:1" x14ac:dyDescent="0.2">
      <c r="A19693" t="s">
        <v>1605</v>
      </c>
    </row>
    <row r="19694" spans="1:1" x14ac:dyDescent="0.2">
      <c r="A19694" t="s">
        <v>1606</v>
      </c>
    </row>
    <row r="19695" spans="1:1" x14ac:dyDescent="0.2">
      <c r="A19695" t="s">
        <v>1607</v>
      </c>
    </row>
    <row r="19696" spans="1:1" x14ac:dyDescent="0.2">
      <c r="A19696" t="s">
        <v>1608</v>
      </c>
    </row>
    <row r="19697" spans="1:1" x14ac:dyDescent="0.2">
      <c r="A19697" t="s">
        <v>1609</v>
      </c>
    </row>
    <row r="19698" spans="1:1" x14ac:dyDescent="0.2">
      <c r="A19698" t="s">
        <v>1610</v>
      </c>
    </row>
    <row r="19699" spans="1:1" x14ac:dyDescent="0.2">
      <c r="A19699" t="s">
        <v>1611</v>
      </c>
    </row>
    <row r="19700" spans="1:1" x14ac:dyDescent="0.2">
      <c r="A19700" t="s">
        <v>1612</v>
      </c>
    </row>
    <row r="19701" spans="1:1" x14ac:dyDescent="0.2">
      <c r="A19701" t="s">
        <v>1613</v>
      </c>
    </row>
    <row r="19702" spans="1:1" x14ac:dyDescent="0.2">
      <c r="A19702" t="s">
        <v>1614</v>
      </c>
    </row>
    <row r="19703" spans="1:1" x14ac:dyDescent="0.2">
      <c r="A19703" t="s">
        <v>1615</v>
      </c>
    </row>
    <row r="19704" spans="1:1" x14ac:dyDescent="0.2">
      <c r="A19704" t="s">
        <v>1616</v>
      </c>
    </row>
    <row r="19705" spans="1:1" x14ac:dyDescent="0.2">
      <c r="A19705" t="s">
        <v>1617</v>
      </c>
    </row>
    <row r="19706" spans="1:1" x14ac:dyDescent="0.2">
      <c r="A19706" t="s">
        <v>1618</v>
      </c>
    </row>
    <row r="19707" spans="1:1" x14ac:dyDescent="0.2">
      <c r="A19707" t="s">
        <v>1619</v>
      </c>
    </row>
    <row r="19708" spans="1:1" x14ac:dyDescent="0.2">
      <c r="A19708" t="s">
        <v>1620</v>
      </c>
    </row>
    <row r="19709" spans="1:1" x14ac:dyDescent="0.2">
      <c r="A19709" t="s">
        <v>1621</v>
      </c>
    </row>
    <row r="19710" spans="1:1" x14ac:dyDescent="0.2">
      <c r="A19710" t="s">
        <v>1622</v>
      </c>
    </row>
    <row r="19711" spans="1:1" x14ac:dyDescent="0.2">
      <c r="A19711" t="s">
        <v>1623</v>
      </c>
    </row>
    <row r="19712" spans="1:1" x14ac:dyDescent="0.2">
      <c r="A19712" t="s">
        <v>1624</v>
      </c>
    </row>
    <row r="19713" spans="1:1" x14ac:dyDescent="0.2">
      <c r="A19713" t="s">
        <v>1625</v>
      </c>
    </row>
    <row r="19714" spans="1:1" x14ac:dyDescent="0.2">
      <c r="A19714" t="s">
        <v>1626</v>
      </c>
    </row>
    <row r="19715" spans="1:1" x14ac:dyDescent="0.2">
      <c r="A19715" t="s">
        <v>1627</v>
      </c>
    </row>
    <row r="19716" spans="1:1" x14ac:dyDescent="0.2">
      <c r="A19716" t="s">
        <v>4004</v>
      </c>
    </row>
    <row r="19717" spans="1:1" x14ac:dyDescent="0.2">
      <c r="A19717" t="s">
        <v>1663</v>
      </c>
    </row>
    <row r="19718" spans="1:1" x14ac:dyDescent="0.2">
      <c r="A19718" t="s">
        <v>3489</v>
      </c>
    </row>
    <row r="19719" spans="1:1" x14ac:dyDescent="0.2">
      <c r="A19719" t="s">
        <v>3490</v>
      </c>
    </row>
    <row r="19720" spans="1:1" x14ac:dyDescent="0.2">
      <c r="A19720" t="s">
        <v>3491</v>
      </c>
    </row>
    <row r="19721" spans="1:1" x14ac:dyDescent="0.2">
      <c r="A19721" t="s">
        <v>1598</v>
      </c>
    </row>
    <row r="19722" spans="1:1" x14ac:dyDescent="0.2">
      <c r="A19722" t="s">
        <v>3402</v>
      </c>
    </row>
    <row r="19723" spans="1:1" x14ac:dyDescent="0.2">
      <c r="A19723" t="s">
        <v>1600</v>
      </c>
    </row>
    <row r="19724" spans="1:1" x14ac:dyDescent="0.2">
      <c r="A19724" t="s">
        <v>1633</v>
      </c>
    </row>
    <row r="19725" spans="1:1" x14ac:dyDescent="0.2">
      <c r="A19725" t="s">
        <v>3403</v>
      </c>
    </row>
    <row r="19726" spans="1:1" x14ac:dyDescent="0.2">
      <c r="A19726" t="s">
        <v>1635</v>
      </c>
    </row>
    <row r="19727" spans="1:1" x14ac:dyDescent="0.2">
      <c r="A19727" t="s">
        <v>1604</v>
      </c>
    </row>
    <row r="19728" spans="1:1" x14ac:dyDescent="0.2">
      <c r="A19728" t="s">
        <v>1605</v>
      </c>
    </row>
    <row r="19729" spans="1:1" x14ac:dyDescent="0.2">
      <c r="A19729" t="s">
        <v>1606</v>
      </c>
    </row>
    <row r="19730" spans="1:1" x14ac:dyDescent="0.2">
      <c r="A19730" t="s">
        <v>1607</v>
      </c>
    </row>
    <row r="19731" spans="1:1" x14ac:dyDescent="0.2">
      <c r="A19731" t="s">
        <v>1676</v>
      </c>
    </row>
    <row r="19732" spans="1:1" x14ac:dyDescent="0.2">
      <c r="A19732" t="s">
        <v>1677</v>
      </c>
    </row>
    <row r="19733" spans="1:1" x14ac:dyDescent="0.2">
      <c r="A19733" t="s">
        <v>1610</v>
      </c>
    </row>
    <row r="19734" spans="1:1" x14ac:dyDescent="0.2">
      <c r="A19734" t="s">
        <v>3492</v>
      </c>
    </row>
    <row r="19735" spans="1:1" x14ac:dyDescent="0.2">
      <c r="A19735" t="s">
        <v>3493</v>
      </c>
    </row>
    <row r="19736" spans="1:1" x14ac:dyDescent="0.2">
      <c r="A19736" t="s">
        <v>3494</v>
      </c>
    </row>
    <row r="19737" spans="1:1" x14ac:dyDescent="0.2">
      <c r="A19737" t="s">
        <v>3495</v>
      </c>
    </row>
    <row r="19738" spans="1:1" x14ac:dyDescent="0.2">
      <c r="A19738" t="s">
        <v>3496</v>
      </c>
    </row>
    <row r="19739" spans="1:1" x14ac:dyDescent="0.2">
      <c r="A19739" t="s">
        <v>3497</v>
      </c>
    </row>
    <row r="19740" spans="1:1" x14ac:dyDescent="0.2">
      <c r="A19740" t="s">
        <v>3498</v>
      </c>
    </row>
    <row r="19741" spans="1:1" x14ac:dyDescent="0.2">
      <c r="A19741" t="s">
        <v>3499</v>
      </c>
    </row>
    <row r="19742" spans="1:1" x14ac:dyDescent="0.2">
      <c r="A19742" t="s">
        <v>3500</v>
      </c>
    </row>
    <row r="19743" spans="1:1" x14ac:dyDescent="0.2">
      <c r="A19743" t="s">
        <v>3501</v>
      </c>
    </row>
    <row r="19744" spans="1:1" x14ac:dyDescent="0.2">
      <c r="A19744" t="s">
        <v>3502</v>
      </c>
    </row>
    <row r="19745" spans="1:1" x14ac:dyDescent="0.2">
      <c r="A19745" t="s">
        <v>3503</v>
      </c>
    </row>
    <row r="19746" spans="1:1" x14ac:dyDescent="0.2">
      <c r="A19746" t="s">
        <v>3504</v>
      </c>
    </row>
    <row r="19747" spans="1:1" x14ac:dyDescent="0.2">
      <c r="A19747" t="s">
        <v>3505</v>
      </c>
    </row>
    <row r="19748" spans="1:1" x14ac:dyDescent="0.2">
      <c r="A19748" t="s">
        <v>3506</v>
      </c>
    </row>
    <row r="19749" spans="1:1" x14ac:dyDescent="0.2">
      <c r="A19749" t="s">
        <v>3931</v>
      </c>
    </row>
    <row r="19750" spans="1:1" x14ac:dyDescent="0.2">
      <c r="A19750" t="s">
        <v>3932</v>
      </c>
    </row>
    <row r="19751" spans="1:1" x14ac:dyDescent="0.2">
      <c r="A19751" t="s">
        <v>4005</v>
      </c>
    </row>
    <row r="19752" spans="1:1" x14ac:dyDescent="0.2">
      <c r="A19752" t="s">
        <v>1663</v>
      </c>
    </row>
    <row r="19753" spans="1:1" x14ac:dyDescent="0.2">
      <c r="A19753" t="s">
        <v>3489</v>
      </c>
    </row>
    <row r="19754" spans="1:1" x14ac:dyDescent="0.2">
      <c r="A19754" t="s">
        <v>3490</v>
      </c>
    </row>
    <row r="19755" spans="1:1" x14ac:dyDescent="0.2">
      <c r="A19755" t="s">
        <v>3491</v>
      </c>
    </row>
    <row r="19756" spans="1:1" x14ac:dyDescent="0.2">
      <c r="A19756" t="s">
        <v>1598</v>
      </c>
    </row>
    <row r="19757" spans="1:1" x14ac:dyDescent="0.2">
      <c r="A19757" t="s">
        <v>3402</v>
      </c>
    </row>
    <row r="19758" spans="1:1" x14ac:dyDescent="0.2">
      <c r="A19758" t="s">
        <v>1600</v>
      </c>
    </row>
    <row r="19759" spans="1:1" x14ac:dyDescent="0.2">
      <c r="A19759" t="s">
        <v>1639</v>
      </c>
    </row>
    <row r="19760" spans="1:1" x14ac:dyDescent="0.2">
      <c r="A19760" t="s">
        <v>3403</v>
      </c>
    </row>
    <row r="19761" spans="1:1" x14ac:dyDescent="0.2">
      <c r="A19761" t="s">
        <v>1635</v>
      </c>
    </row>
    <row r="19762" spans="1:1" x14ac:dyDescent="0.2">
      <c r="A19762" t="s">
        <v>1604</v>
      </c>
    </row>
    <row r="19763" spans="1:1" x14ac:dyDescent="0.2">
      <c r="A19763" t="s">
        <v>1605</v>
      </c>
    </row>
    <row r="19764" spans="1:1" x14ac:dyDescent="0.2">
      <c r="A19764" t="s">
        <v>1606</v>
      </c>
    </row>
    <row r="19765" spans="1:1" x14ac:dyDescent="0.2">
      <c r="A19765" t="s">
        <v>1607</v>
      </c>
    </row>
    <row r="19766" spans="1:1" x14ac:dyDescent="0.2">
      <c r="A19766" t="s">
        <v>1676</v>
      </c>
    </row>
    <row r="19767" spans="1:1" x14ac:dyDescent="0.2">
      <c r="A19767" t="s">
        <v>1677</v>
      </c>
    </row>
    <row r="19768" spans="1:1" x14ac:dyDescent="0.2">
      <c r="A19768" t="s">
        <v>1610</v>
      </c>
    </row>
    <row r="19769" spans="1:1" x14ac:dyDescent="0.2">
      <c r="A19769" t="s">
        <v>3492</v>
      </c>
    </row>
    <row r="19770" spans="1:1" x14ac:dyDescent="0.2">
      <c r="A19770" t="s">
        <v>3493</v>
      </c>
    </row>
    <row r="19771" spans="1:1" x14ac:dyDescent="0.2">
      <c r="A19771" t="s">
        <v>3494</v>
      </c>
    </row>
    <row r="19772" spans="1:1" x14ac:dyDescent="0.2">
      <c r="A19772" t="s">
        <v>3495</v>
      </c>
    </row>
    <row r="19773" spans="1:1" x14ac:dyDescent="0.2">
      <c r="A19773" t="s">
        <v>3496</v>
      </c>
    </row>
    <row r="19774" spans="1:1" x14ac:dyDescent="0.2">
      <c r="A19774" t="s">
        <v>3497</v>
      </c>
    </row>
    <row r="19775" spans="1:1" x14ac:dyDescent="0.2">
      <c r="A19775" t="s">
        <v>3498</v>
      </c>
    </row>
    <row r="19776" spans="1:1" x14ac:dyDescent="0.2">
      <c r="A19776" t="s">
        <v>3499</v>
      </c>
    </row>
    <row r="19777" spans="1:1" x14ac:dyDescent="0.2">
      <c r="A19777" t="s">
        <v>3500</v>
      </c>
    </row>
    <row r="19778" spans="1:1" x14ac:dyDescent="0.2">
      <c r="A19778" t="s">
        <v>3501</v>
      </c>
    </row>
    <row r="19779" spans="1:1" x14ac:dyDescent="0.2">
      <c r="A19779" t="s">
        <v>3502</v>
      </c>
    </row>
    <row r="19780" spans="1:1" x14ac:dyDescent="0.2">
      <c r="A19780" t="s">
        <v>3503</v>
      </c>
    </row>
    <row r="19781" spans="1:1" x14ac:dyDescent="0.2">
      <c r="A19781" t="s">
        <v>3504</v>
      </c>
    </row>
    <row r="19782" spans="1:1" x14ac:dyDescent="0.2">
      <c r="A19782" t="s">
        <v>3505</v>
      </c>
    </row>
    <row r="19783" spans="1:1" x14ac:dyDescent="0.2">
      <c r="A19783" t="s">
        <v>3506</v>
      </c>
    </row>
    <row r="19784" spans="1:1" x14ac:dyDescent="0.2">
      <c r="A19784" t="s">
        <v>3931</v>
      </c>
    </row>
    <row r="19785" spans="1:1" x14ac:dyDescent="0.2">
      <c r="A19785" t="s">
        <v>3932</v>
      </c>
    </row>
    <row r="19786" spans="1:1" x14ac:dyDescent="0.2">
      <c r="A19786" t="s">
        <v>4006</v>
      </c>
    </row>
    <row r="19787" spans="1:1" x14ac:dyDescent="0.2">
      <c r="A19787" t="s">
        <v>1663</v>
      </c>
    </row>
    <row r="19788" spans="1:1" x14ac:dyDescent="0.2">
      <c r="A19788" t="s">
        <v>3489</v>
      </c>
    </row>
    <row r="19789" spans="1:1" x14ac:dyDescent="0.2">
      <c r="A19789" t="s">
        <v>3490</v>
      </c>
    </row>
    <row r="19790" spans="1:1" x14ac:dyDescent="0.2">
      <c r="A19790" t="s">
        <v>3491</v>
      </c>
    </row>
    <row r="19791" spans="1:1" x14ac:dyDescent="0.2">
      <c r="A19791" t="s">
        <v>1598</v>
      </c>
    </row>
    <row r="19792" spans="1:1" x14ac:dyDescent="0.2">
      <c r="A19792" t="s">
        <v>3402</v>
      </c>
    </row>
    <row r="19793" spans="1:1" x14ac:dyDescent="0.2">
      <c r="A19793" t="s">
        <v>1600</v>
      </c>
    </row>
    <row r="19794" spans="1:1" x14ac:dyDescent="0.2">
      <c r="A19794" t="s">
        <v>1601</v>
      </c>
    </row>
    <row r="19795" spans="1:1" x14ac:dyDescent="0.2">
      <c r="A19795" t="s">
        <v>3403</v>
      </c>
    </row>
    <row r="19796" spans="1:1" x14ac:dyDescent="0.2">
      <c r="A19796" t="s">
        <v>1635</v>
      </c>
    </row>
    <row r="19797" spans="1:1" x14ac:dyDescent="0.2">
      <c r="A19797" t="s">
        <v>1604</v>
      </c>
    </row>
    <row r="19798" spans="1:1" x14ac:dyDescent="0.2">
      <c r="A19798" t="s">
        <v>1605</v>
      </c>
    </row>
    <row r="19799" spans="1:1" x14ac:dyDescent="0.2">
      <c r="A19799" t="s">
        <v>1606</v>
      </c>
    </row>
    <row r="19800" spans="1:1" x14ac:dyDescent="0.2">
      <c r="A19800" t="s">
        <v>1607</v>
      </c>
    </row>
    <row r="19801" spans="1:1" x14ac:dyDescent="0.2">
      <c r="A19801" t="s">
        <v>1676</v>
      </c>
    </row>
    <row r="19802" spans="1:1" x14ac:dyDescent="0.2">
      <c r="A19802" t="s">
        <v>1677</v>
      </c>
    </row>
    <row r="19803" spans="1:1" x14ac:dyDescent="0.2">
      <c r="A19803" t="s">
        <v>1610</v>
      </c>
    </row>
    <row r="19804" spans="1:1" x14ac:dyDescent="0.2">
      <c r="A19804" t="s">
        <v>3492</v>
      </c>
    </row>
    <row r="19805" spans="1:1" x14ac:dyDescent="0.2">
      <c r="A19805" t="s">
        <v>3493</v>
      </c>
    </row>
    <row r="19806" spans="1:1" x14ac:dyDescent="0.2">
      <c r="A19806" t="s">
        <v>3494</v>
      </c>
    </row>
    <row r="19807" spans="1:1" x14ac:dyDescent="0.2">
      <c r="A19807" t="s">
        <v>3495</v>
      </c>
    </row>
    <row r="19808" spans="1:1" x14ac:dyDescent="0.2">
      <c r="A19808" t="s">
        <v>3496</v>
      </c>
    </row>
    <row r="19809" spans="1:1" x14ac:dyDescent="0.2">
      <c r="A19809" t="s">
        <v>3497</v>
      </c>
    </row>
    <row r="19810" spans="1:1" x14ac:dyDescent="0.2">
      <c r="A19810" t="s">
        <v>3498</v>
      </c>
    </row>
    <row r="19811" spans="1:1" x14ac:dyDescent="0.2">
      <c r="A19811" t="s">
        <v>3499</v>
      </c>
    </row>
    <row r="19812" spans="1:1" x14ac:dyDescent="0.2">
      <c r="A19812" t="s">
        <v>3500</v>
      </c>
    </row>
    <row r="19813" spans="1:1" x14ac:dyDescent="0.2">
      <c r="A19813" t="s">
        <v>3501</v>
      </c>
    </row>
    <row r="19814" spans="1:1" x14ac:dyDescent="0.2">
      <c r="A19814" t="s">
        <v>3502</v>
      </c>
    </row>
    <row r="19815" spans="1:1" x14ac:dyDescent="0.2">
      <c r="A19815" t="s">
        <v>3503</v>
      </c>
    </row>
    <row r="19816" spans="1:1" x14ac:dyDescent="0.2">
      <c r="A19816" t="s">
        <v>3504</v>
      </c>
    </row>
    <row r="19817" spans="1:1" x14ac:dyDescent="0.2">
      <c r="A19817" t="s">
        <v>3505</v>
      </c>
    </row>
    <row r="19818" spans="1:1" x14ac:dyDescent="0.2">
      <c r="A19818" t="s">
        <v>3506</v>
      </c>
    </row>
    <row r="19819" spans="1:1" x14ac:dyDescent="0.2">
      <c r="A19819" t="s">
        <v>3931</v>
      </c>
    </row>
    <row r="19820" spans="1:1" x14ac:dyDescent="0.2">
      <c r="A19820" t="s">
        <v>3932</v>
      </c>
    </row>
    <row r="19821" spans="1:1" x14ac:dyDescent="0.2">
      <c r="A19821" t="s">
        <v>4007</v>
      </c>
    </row>
    <row r="19822" spans="1:1" x14ac:dyDescent="0.2">
      <c r="A19822" t="s">
        <v>1663</v>
      </c>
    </row>
    <row r="19823" spans="1:1" x14ac:dyDescent="0.2">
      <c r="A19823" t="s">
        <v>3509</v>
      </c>
    </row>
    <row r="19824" spans="1:1" x14ac:dyDescent="0.2">
      <c r="A19824" t="s">
        <v>4008</v>
      </c>
    </row>
    <row r="19825" spans="1:1" x14ac:dyDescent="0.2">
      <c r="A19825" t="s">
        <v>1664</v>
      </c>
    </row>
    <row r="19826" spans="1:1" x14ac:dyDescent="0.2">
      <c r="A19826" t="s">
        <v>1673</v>
      </c>
    </row>
    <row r="19827" spans="1:1" x14ac:dyDescent="0.2">
      <c r="A19827" t="s">
        <v>3402</v>
      </c>
    </row>
    <row r="19828" spans="1:1" x14ac:dyDescent="0.2">
      <c r="A19828" t="s">
        <v>1600</v>
      </c>
    </row>
    <row r="19829" spans="1:1" x14ac:dyDescent="0.2">
      <c r="A19829" t="s">
        <v>1601</v>
      </c>
    </row>
    <row r="19830" spans="1:1" x14ac:dyDescent="0.2">
      <c r="A19830" t="s">
        <v>1602</v>
      </c>
    </row>
    <row r="19831" spans="1:1" x14ac:dyDescent="0.2">
      <c r="A19831" t="s">
        <v>1603</v>
      </c>
    </row>
    <row r="19832" spans="1:1" x14ac:dyDescent="0.2">
      <c r="A19832" t="s">
        <v>1604</v>
      </c>
    </row>
    <row r="19833" spans="1:1" x14ac:dyDescent="0.2">
      <c r="A19833" t="s">
        <v>1605</v>
      </c>
    </row>
    <row r="19834" spans="1:1" x14ac:dyDescent="0.2">
      <c r="A19834" t="s">
        <v>1606</v>
      </c>
    </row>
    <row r="19835" spans="1:1" x14ac:dyDescent="0.2">
      <c r="A19835" t="s">
        <v>3511</v>
      </c>
    </row>
    <row r="19836" spans="1:1" x14ac:dyDescent="0.2">
      <c r="A19836" t="s">
        <v>1608</v>
      </c>
    </row>
    <row r="19837" spans="1:1" x14ac:dyDescent="0.2">
      <c r="A19837" t="s">
        <v>1609</v>
      </c>
    </row>
    <row r="19838" spans="1:1" x14ac:dyDescent="0.2">
      <c r="A19838" t="s">
        <v>1610</v>
      </c>
    </row>
    <row r="19839" spans="1:1" x14ac:dyDescent="0.2">
      <c r="A19839" t="s">
        <v>4009</v>
      </c>
    </row>
    <row r="19840" spans="1:1" x14ac:dyDescent="0.2">
      <c r="A19840" t="s">
        <v>4010</v>
      </c>
    </row>
    <row r="19841" spans="1:1" x14ac:dyDescent="0.2">
      <c r="A19841" t="s">
        <v>4011</v>
      </c>
    </row>
    <row r="19842" spans="1:1" x14ac:dyDescent="0.2">
      <c r="A19842" t="s">
        <v>4012</v>
      </c>
    </row>
    <row r="19843" spans="1:1" x14ac:dyDescent="0.2">
      <c r="A19843" t="s">
        <v>4013</v>
      </c>
    </row>
    <row r="19844" spans="1:1" x14ac:dyDescent="0.2">
      <c r="A19844" t="s">
        <v>4014</v>
      </c>
    </row>
    <row r="19845" spans="1:1" x14ac:dyDescent="0.2">
      <c r="A19845" t="s">
        <v>4015</v>
      </c>
    </row>
    <row r="19846" spans="1:1" x14ac:dyDescent="0.2">
      <c r="A19846" t="s">
        <v>4016</v>
      </c>
    </row>
    <row r="19847" spans="1:1" x14ac:dyDescent="0.2">
      <c r="A19847" t="s">
        <v>4017</v>
      </c>
    </row>
    <row r="19848" spans="1:1" x14ac:dyDescent="0.2">
      <c r="A19848" t="s">
        <v>4018</v>
      </c>
    </row>
    <row r="19849" spans="1:1" x14ac:dyDescent="0.2">
      <c r="A19849" t="s">
        <v>4019</v>
      </c>
    </row>
    <row r="19850" spans="1:1" x14ac:dyDescent="0.2">
      <c r="A19850" t="s">
        <v>4020</v>
      </c>
    </row>
    <row r="19851" spans="1:1" x14ac:dyDescent="0.2">
      <c r="A19851" t="s">
        <v>4021</v>
      </c>
    </row>
    <row r="19852" spans="1:1" x14ac:dyDescent="0.2">
      <c r="A19852" t="s">
        <v>4022</v>
      </c>
    </row>
    <row r="19853" spans="1:1" x14ac:dyDescent="0.2">
      <c r="A19853" t="s">
        <v>4023</v>
      </c>
    </row>
    <row r="19854" spans="1:1" x14ac:dyDescent="0.2">
      <c r="A19854" t="s">
        <v>3931</v>
      </c>
    </row>
    <row r="19855" spans="1:1" x14ac:dyDescent="0.2">
      <c r="A19855" t="s">
        <v>3932</v>
      </c>
    </row>
    <row r="19856" spans="1:1" x14ac:dyDescent="0.2">
      <c r="A19856" t="s">
        <v>4024</v>
      </c>
    </row>
    <row r="19857" spans="1:1" x14ac:dyDescent="0.2">
      <c r="A19857" t="s">
        <v>1594</v>
      </c>
    </row>
    <row r="19858" spans="1:1" x14ac:dyDescent="0.2">
      <c r="A19858" t="s">
        <v>1595</v>
      </c>
    </row>
    <row r="19859" spans="1:1" x14ac:dyDescent="0.2">
      <c r="A19859" t="s">
        <v>1596</v>
      </c>
    </row>
    <row r="19860" spans="1:1" x14ac:dyDescent="0.2">
      <c r="A19860" t="s">
        <v>1597</v>
      </c>
    </row>
    <row r="19861" spans="1:1" x14ac:dyDescent="0.2">
      <c r="A19861" t="s">
        <v>1598</v>
      </c>
    </row>
    <row r="19862" spans="1:1" x14ac:dyDescent="0.2">
      <c r="A19862" t="s">
        <v>1599</v>
      </c>
    </row>
    <row r="19863" spans="1:1" x14ac:dyDescent="0.2">
      <c r="A19863" t="s">
        <v>1600</v>
      </c>
    </row>
    <row r="19864" spans="1:1" x14ac:dyDescent="0.2">
      <c r="A19864" t="s">
        <v>1601</v>
      </c>
    </row>
    <row r="19865" spans="1:1" x14ac:dyDescent="0.2">
      <c r="A19865" t="s">
        <v>1602</v>
      </c>
    </row>
    <row r="19866" spans="1:1" x14ac:dyDescent="0.2">
      <c r="A19866" t="s">
        <v>1603</v>
      </c>
    </row>
    <row r="19867" spans="1:1" x14ac:dyDescent="0.2">
      <c r="A19867" t="s">
        <v>1604</v>
      </c>
    </row>
    <row r="19868" spans="1:1" x14ac:dyDescent="0.2">
      <c r="A19868" t="s">
        <v>1605</v>
      </c>
    </row>
    <row r="19869" spans="1:1" x14ac:dyDescent="0.2">
      <c r="A19869" t="s">
        <v>1606</v>
      </c>
    </row>
    <row r="19870" spans="1:1" x14ac:dyDescent="0.2">
      <c r="A19870" t="s">
        <v>1607</v>
      </c>
    </row>
    <row r="19871" spans="1:1" x14ac:dyDescent="0.2">
      <c r="A19871" t="s">
        <v>1608</v>
      </c>
    </row>
    <row r="19872" spans="1:1" x14ac:dyDescent="0.2">
      <c r="A19872" t="s">
        <v>1609</v>
      </c>
    </row>
    <row r="19873" spans="1:1" x14ac:dyDescent="0.2">
      <c r="A19873" t="s">
        <v>1610</v>
      </c>
    </row>
    <row r="19874" spans="1:1" x14ac:dyDescent="0.2">
      <c r="A19874" t="s">
        <v>1611</v>
      </c>
    </row>
    <row r="19875" spans="1:1" x14ac:dyDescent="0.2">
      <c r="A19875" t="s">
        <v>1612</v>
      </c>
    </row>
    <row r="19876" spans="1:1" x14ac:dyDescent="0.2">
      <c r="A19876" t="s">
        <v>1613</v>
      </c>
    </row>
    <row r="19877" spans="1:1" x14ac:dyDescent="0.2">
      <c r="A19877" t="s">
        <v>1614</v>
      </c>
    </row>
    <row r="19878" spans="1:1" x14ac:dyDescent="0.2">
      <c r="A19878" t="s">
        <v>1615</v>
      </c>
    </row>
    <row r="19879" spans="1:1" x14ac:dyDescent="0.2">
      <c r="A19879" t="s">
        <v>1616</v>
      </c>
    </row>
    <row r="19880" spans="1:1" x14ac:dyDescent="0.2">
      <c r="A19880" t="s">
        <v>1617</v>
      </c>
    </row>
    <row r="19881" spans="1:1" x14ac:dyDescent="0.2">
      <c r="A19881" t="s">
        <v>1618</v>
      </c>
    </row>
    <row r="19882" spans="1:1" x14ac:dyDescent="0.2">
      <c r="A19882" t="s">
        <v>1619</v>
      </c>
    </row>
    <row r="19883" spans="1:1" x14ac:dyDescent="0.2">
      <c r="A19883" t="s">
        <v>1620</v>
      </c>
    </row>
    <row r="19884" spans="1:1" x14ac:dyDescent="0.2">
      <c r="A19884" t="s">
        <v>1621</v>
      </c>
    </row>
    <row r="19885" spans="1:1" x14ac:dyDescent="0.2">
      <c r="A19885" t="s">
        <v>1622</v>
      </c>
    </row>
    <row r="19886" spans="1:1" x14ac:dyDescent="0.2">
      <c r="A19886" t="s">
        <v>1623</v>
      </c>
    </row>
    <row r="19887" spans="1:1" x14ac:dyDescent="0.2">
      <c r="A19887" t="s">
        <v>1624</v>
      </c>
    </row>
    <row r="19888" spans="1:1" x14ac:dyDescent="0.2">
      <c r="A19888" t="s">
        <v>1625</v>
      </c>
    </row>
    <row r="19889" spans="1:1" x14ac:dyDescent="0.2">
      <c r="A19889" t="s">
        <v>1626</v>
      </c>
    </row>
    <row r="19890" spans="1:1" x14ac:dyDescent="0.2">
      <c r="A19890" t="s">
        <v>1627</v>
      </c>
    </row>
    <row r="19891" spans="1:1" x14ac:dyDescent="0.2">
      <c r="A19891" t="s">
        <v>4025</v>
      </c>
    </row>
    <row r="19892" spans="1:1" x14ac:dyDescent="0.2">
      <c r="A19892" t="s">
        <v>1594</v>
      </c>
    </row>
    <row r="19893" spans="1:1" x14ac:dyDescent="0.2">
      <c r="A19893" t="s">
        <v>1595</v>
      </c>
    </row>
    <row r="19894" spans="1:1" x14ac:dyDescent="0.2">
      <c r="A19894" t="s">
        <v>4026</v>
      </c>
    </row>
    <row r="19895" spans="1:1" x14ac:dyDescent="0.2">
      <c r="A19895" t="s">
        <v>1597</v>
      </c>
    </row>
    <row r="19896" spans="1:1" x14ac:dyDescent="0.2">
      <c r="A19896" t="s">
        <v>1598</v>
      </c>
    </row>
    <row r="19897" spans="1:1" x14ac:dyDescent="0.2">
      <c r="A19897" t="s">
        <v>1599</v>
      </c>
    </row>
    <row r="19898" spans="1:1" x14ac:dyDescent="0.2">
      <c r="A19898" t="s">
        <v>1600</v>
      </c>
    </row>
    <row r="19899" spans="1:1" x14ac:dyDescent="0.2">
      <c r="A19899" t="s">
        <v>1601</v>
      </c>
    </row>
    <row r="19900" spans="1:1" x14ac:dyDescent="0.2">
      <c r="A19900" t="s">
        <v>1602</v>
      </c>
    </row>
    <row r="19901" spans="1:1" x14ac:dyDescent="0.2">
      <c r="A19901" t="s">
        <v>1603</v>
      </c>
    </row>
    <row r="19902" spans="1:1" x14ac:dyDescent="0.2">
      <c r="A19902" t="s">
        <v>1604</v>
      </c>
    </row>
    <row r="19903" spans="1:1" x14ac:dyDescent="0.2">
      <c r="A19903" t="s">
        <v>1605</v>
      </c>
    </row>
    <row r="19904" spans="1:1" x14ac:dyDescent="0.2">
      <c r="A19904" t="s">
        <v>1606</v>
      </c>
    </row>
    <row r="19905" spans="1:1" x14ac:dyDescent="0.2">
      <c r="A19905" t="s">
        <v>1607</v>
      </c>
    </row>
    <row r="19906" spans="1:1" x14ac:dyDescent="0.2">
      <c r="A19906" t="s">
        <v>1608</v>
      </c>
    </row>
    <row r="19907" spans="1:1" x14ac:dyDescent="0.2">
      <c r="A19907" t="s">
        <v>1609</v>
      </c>
    </row>
    <row r="19908" spans="1:1" x14ac:dyDescent="0.2">
      <c r="A19908" t="s">
        <v>1610</v>
      </c>
    </row>
    <row r="19909" spans="1:1" x14ac:dyDescent="0.2">
      <c r="A19909" t="s">
        <v>1611</v>
      </c>
    </row>
    <row r="19910" spans="1:1" x14ac:dyDescent="0.2">
      <c r="A19910" t="s">
        <v>1612</v>
      </c>
    </row>
    <row r="19911" spans="1:1" x14ac:dyDescent="0.2">
      <c r="A19911" t="s">
        <v>1613</v>
      </c>
    </row>
    <row r="19912" spans="1:1" x14ac:dyDescent="0.2">
      <c r="A19912" t="s">
        <v>1614</v>
      </c>
    </row>
    <row r="19913" spans="1:1" x14ac:dyDescent="0.2">
      <c r="A19913" t="s">
        <v>1615</v>
      </c>
    </row>
    <row r="19914" spans="1:1" x14ac:dyDescent="0.2">
      <c r="A19914" t="s">
        <v>1616</v>
      </c>
    </row>
    <row r="19915" spans="1:1" x14ac:dyDescent="0.2">
      <c r="A19915" t="s">
        <v>1617</v>
      </c>
    </row>
    <row r="19916" spans="1:1" x14ac:dyDescent="0.2">
      <c r="A19916" t="s">
        <v>1618</v>
      </c>
    </row>
    <row r="19917" spans="1:1" x14ac:dyDescent="0.2">
      <c r="A19917" t="s">
        <v>1619</v>
      </c>
    </row>
    <row r="19918" spans="1:1" x14ac:dyDescent="0.2">
      <c r="A19918" t="s">
        <v>1620</v>
      </c>
    </row>
    <row r="19919" spans="1:1" x14ac:dyDescent="0.2">
      <c r="A19919" t="s">
        <v>1621</v>
      </c>
    </row>
    <row r="19920" spans="1:1" x14ac:dyDescent="0.2">
      <c r="A19920" t="s">
        <v>1622</v>
      </c>
    </row>
    <row r="19921" spans="1:1" x14ac:dyDescent="0.2">
      <c r="A19921" t="s">
        <v>1623</v>
      </c>
    </row>
    <row r="19922" spans="1:1" x14ac:dyDescent="0.2">
      <c r="A19922" t="s">
        <v>1624</v>
      </c>
    </row>
    <row r="19923" spans="1:1" x14ac:dyDescent="0.2">
      <c r="A19923" t="s">
        <v>1625</v>
      </c>
    </row>
    <row r="19924" spans="1:1" x14ac:dyDescent="0.2">
      <c r="A19924" t="s">
        <v>1626</v>
      </c>
    </row>
    <row r="19925" spans="1:1" x14ac:dyDescent="0.2">
      <c r="A19925" t="s">
        <v>1627</v>
      </c>
    </row>
    <row r="19926" spans="1:1" x14ac:dyDescent="0.2">
      <c r="A19926" t="s">
        <v>4027</v>
      </c>
    </row>
    <row r="19927" spans="1:1" x14ac:dyDescent="0.2">
      <c r="A19927" t="s">
        <v>1594</v>
      </c>
    </row>
    <row r="19928" spans="1:1" x14ac:dyDescent="0.2">
      <c r="A19928" t="s">
        <v>3936</v>
      </c>
    </row>
    <row r="19929" spans="1:1" x14ac:dyDescent="0.2">
      <c r="A19929" t="s">
        <v>4028</v>
      </c>
    </row>
    <row r="19930" spans="1:1" x14ac:dyDescent="0.2">
      <c r="A19930" t="s">
        <v>1631</v>
      </c>
    </row>
    <row r="19931" spans="1:1" x14ac:dyDescent="0.2">
      <c r="A19931" t="s">
        <v>1673</v>
      </c>
    </row>
    <row r="19932" spans="1:1" x14ac:dyDescent="0.2">
      <c r="A19932" t="s">
        <v>4029</v>
      </c>
    </row>
    <row r="19933" spans="1:1" x14ac:dyDescent="0.2">
      <c r="A19933" t="s">
        <v>1600</v>
      </c>
    </row>
    <row r="19934" spans="1:1" x14ac:dyDescent="0.2">
      <c r="A19934" t="s">
        <v>1633</v>
      </c>
    </row>
    <row r="19935" spans="1:1" x14ac:dyDescent="0.2">
      <c r="A19935" t="s">
        <v>3403</v>
      </c>
    </row>
    <row r="19936" spans="1:1" x14ac:dyDescent="0.2">
      <c r="A19936" t="s">
        <v>1635</v>
      </c>
    </row>
    <row r="19937" spans="1:1" x14ac:dyDescent="0.2">
      <c r="A19937" t="s">
        <v>1604</v>
      </c>
    </row>
    <row r="19938" spans="1:1" x14ac:dyDescent="0.2">
      <c r="A19938" t="s">
        <v>1605</v>
      </c>
    </row>
    <row r="19939" spans="1:1" x14ac:dyDescent="0.2">
      <c r="A19939" t="s">
        <v>1606</v>
      </c>
    </row>
    <row r="19940" spans="1:1" x14ac:dyDescent="0.2">
      <c r="A19940" t="s">
        <v>1607</v>
      </c>
    </row>
    <row r="19941" spans="1:1" x14ac:dyDescent="0.2">
      <c r="A19941" t="s">
        <v>1676</v>
      </c>
    </row>
    <row r="19942" spans="1:1" x14ac:dyDescent="0.2">
      <c r="A19942" t="s">
        <v>1677</v>
      </c>
    </row>
    <row r="19943" spans="1:1" x14ac:dyDescent="0.2">
      <c r="A19943" t="s">
        <v>1610</v>
      </c>
    </row>
    <row r="19944" spans="1:1" x14ac:dyDescent="0.2">
      <c r="A19944" t="s">
        <v>3322</v>
      </c>
    </row>
    <row r="19945" spans="1:1" x14ac:dyDescent="0.2">
      <c r="A19945" t="s">
        <v>4030</v>
      </c>
    </row>
    <row r="19946" spans="1:1" x14ac:dyDescent="0.2">
      <c r="A19946" t="s">
        <v>4031</v>
      </c>
    </row>
    <row r="19947" spans="1:1" x14ac:dyDescent="0.2">
      <c r="A19947" t="s">
        <v>4032</v>
      </c>
    </row>
    <row r="19948" spans="1:1" x14ac:dyDescent="0.2">
      <c r="A19948" t="s">
        <v>4033</v>
      </c>
    </row>
    <row r="19949" spans="1:1" x14ac:dyDescent="0.2">
      <c r="A19949" t="s">
        <v>4034</v>
      </c>
    </row>
    <row r="19950" spans="1:1" x14ac:dyDescent="0.2">
      <c r="A19950" t="s">
        <v>4035</v>
      </c>
    </row>
    <row r="19951" spans="1:1" x14ac:dyDescent="0.2">
      <c r="A19951" t="s">
        <v>4036</v>
      </c>
    </row>
    <row r="19952" spans="1:1" x14ac:dyDescent="0.2">
      <c r="A19952" t="s">
        <v>4037</v>
      </c>
    </row>
    <row r="19953" spans="1:1" x14ac:dyDescent="0.2">
      <c r="A19953" t="s">
        <v>4038</v>
      </c>
    </row>
    <row r="19954" spans="1:1" x14ac:dyDescent="0.2">
      <c r="A19954" t="s">
        <v>4039</v>
      </c>
    </row>
    <row r="19955" spans="1:1" x14ac:dyDescent="0.2">
      <c r="A19955" t="s">
        <v>4040</v>
      </c>
    </row>
    <row r="19956" spans="1:1" x14ac:dyDescent="0.2">
      <c r="A19956" t="s">
        <v>4041</v>
      </c>
    </row>
    <row r="19957" spans="1:1" x14ac:dyDescent="0.2">
      <c r="A19957" t="s">
        <v>4042</v>
      </c>
    </row>
    <row r="19958" spans="1:1" x14ac:dyDescent="0.2">
      <c r="A19958" t="s">
        <v>4043</v>
      </c>
    </row>
    <row r="19959" spans="1:1" x14ac:dyDescent="0.2">
      <c r="A19959" t="s">
        <v>4044</v>
      </c>
    </row>
    <row r="19960" spans="1:1" x14ac:dyDescent="0.2">
      <c r="A19960" t="s">
        <v>4045</v>
      </c>
    </row>
    <row r="19961" spans="1:1" x14ac:dyDescent="0.2">
      <c r="A19961" t="s">
        <v>4046</v>
      </c>
    </row>
    <row r="19962" spans="1:1" x14ac:dyDescent="0.2">
      <c r="A19962" t="s">
        <v>1594</v>
      </c>
    </row>
    <row r="19963" spans="1:1" x14ac:dyDescent="0.2">
      <c r="A19963" t="s">
        <v>3936</v>
      </c>
    </row>
    <row r="19964" spans="1:1" x14ac:dyDescent="0.2">
      <c r="A19964" t="s">
        <v>4028</v>
      </c>
    </row>
    <row r="19965" spans="1:1" x14ac:dyDescent="0.2">
      <c r="A19965" t="s">
        <v>1631</v>
      </c>
    </row>
    <row r="19966" spans="1:1" x14ac:dyDescent="0.2">
      <c r="A19966" t="s">
        <v>1673</v>
      </c>
    </row>
    <row r="19967" spans="1:1" x14ac:dyDescent="0.2">
      <c r="A19967" t="s">
        <v>4029</v>
      </c>
    </row>
    <row r="19968" spans="1:1" x14ac:dyDescent="0.2">
      <c r="A19968" t="s">
        <v>1600</v>
      </c>
    </row>
    <row r="19969" spans="1:1" x14ac:dyDescent="0.2">
      <c r="A19969" t="s">
        <v>1639</v>
      </c>
    </row>
    <row r="19970" spans="1:1" x14ac:dyDescent="0.2">
      <c r="A19970" t="s">
        <v>3403</v>
      </c>
    </row>
    <row r="19971" spans="1:1" x14ac:dyDescent="0.2">
      <c r="A19971" t="s">
        <v>1635</v>
      </c>
    </row>
    <row r="19972" spans="1:1" x14ac:dyDescent="0.2">
      <c r="A19972" t="s">
        <v>1604</v>
      </c>
    </row>
    <row r="19973" spans="1:1" x14ac:dyDescent="0.2">
      <c r="A19973" t="s">
        <v>1605</v>
      </c>
    </row>
    <row r="19974" spans="1:1" x14ac:dyDescent="0.2">
      <c r="A19974" t="s">
        <v>1606</v>
      </c>
    </row>
    <row r="19975" spans="1:1" x14ac:dyDescent="0.2">
      <c r="A19975" t="s">
        <v>1607</v>
      </c>
    </row>
    <row r="19976" spans="1:1" x14ac:dyDescent="0.2">
      <c r="A19976" t="s">
        <v>1676</v>
      </c>
    </row>
    <row r="19977" spans="1:1" x14ac:dyDescent="0.2">
      <c r="A19977" t="s">
        <v>1677</v>
      </c>
    </row>
    <row r="19978" spans="1:1" x14ac:dyDescent="0.2">
      <c r="A19978" t="s">
        <v>1610</v>
      </c>
    </row>
    <row r="19979" spans="1:1" x14ac:dyDescent="0.2">
      <c r="A19979" t="s">
        <v>3322</v>
      </c>
    </row>
    <row r="19980" spans="1:1" x14ac:dyDescent="0.2">
      <c r="A19980" t="s">
        <v>4030</v>
      </c>
    </row>
    <row r="19981" spans="1:1" x14ac:dyDescent="0.2">
      <c r="A19981" t="s">
        <v>4031</v>
      </c>
    </row>
    <row r="19982" spans="1:1" x14ac:dyDescent="0.2">
      <c r="A19982" t="s">
        <v>4032</v>
      </c>
    </row>
    <row r="19983" spans="1:1" x14ac:dyDescent="0.2">
      <c r="A19983" t="s">
        <v>4033</v>
      </c>
    </row>
    <row r="19984" spans="1:1" x14ac:dyDescent="0.2">
      <c r="A19984" t="s">
        <v>4034</v>
      </c>
    </row>
    <row r="19985" spans="1:1" x14ac:dyDescent="0.2">
      <c r="A19985" t="s">
        <v>4035</v>
      </c>
    </row>
    <row r="19986" spans="1:1" x14ac:dyDescent="0.2">
      <c r="A19986" t="s">
        <v>4036</v>
      </c>
    </row>
    <row r="19987" spans="1:1" x14ac:dyDescent="0.2">
      <c r="A19987" t="s">
        <v>4037</v>
      </c>
    </row>
    <row r="19988" spans="1:1" x14ac:dyDescent="0.2">
      <c r="A19988" t="s">
        <v>4038</v>
      </c>
    </row>
    <row r="19989" spans="1:1" x14ac:dyDescent="0.2">
      <c r="A19989" t="s">
        <v>4039</v>
      </c>
    </row>
    <row r="19990" spans="1:1" x14ac:dyDescent="0.2">
      <c r="A19990" t="s">
        <v>4040</v>
      </c>
    </row>
    <row r="19991" spans="1:1" x14ac:dyDescent="0.2">
      <c r="A19991" t="s">
        <v>4041</v>
      </c>
    </row>
    <row r="19992" spans="1:1" x14ac:dyDescent="0.2">
      <c r="A19992" t="s">
        <v>4042</v>
      </c>
    </row>
    <row r="19993" spans="1:1" x14ac:dyDescent="0.2">
      <c r="A19993" t="s">
        <v>4043</v>
      </c>
    </row>
    <row r="19994" spans="1:1" x14ac:dyDescent="0.2">
      <c r="A19994" t="s">
        <v>4044</v>
      </c>
    </row>
    <row r="19995" spans="1:1" x14ac:dyDescent="0.2">
      <c r="A19995" t="s">
        <v>4045</v>
      </c>
    </row>
    <row r="19996" spans="1:1" x14ac:dyDescent="0.2">
      <c r="A19996" t="s">
        <v>4047</v>
      </c>
    </row>
    <row r="19997" spans="1:1" x14ac:dyDescent="0.2">
      <c r="A19997" t="s">
        <v>1594</v>
      </c>
    </row>
    <row r="19998" spans="1:1" x14ac:dyDescent="0.2">
      <c r="A19998" t="s">
        <v>3936</v>
      </c>
    </row>
    <row r="19999" spans="1:1" x14ac:dyDescent="0.2">
      <c r="A19999" t="s">
        <v>4028</v>
      </c>
    </row>
    <row r="20000" spans="1:1" x14ac:dyDescent="0.2">
      <c r="A20000" t="s">
        <v>1631</v>
      </c>
    </row>
    <row r="20001" spans="1:1" x14ac:dyDescent="0.2">
      <c r="A20001" t="s">
        <v>1673</v>
      </c>
    </row>
    <row r="20002" spans="1:1" x14ac:dyDescent="0.2">
      <c r="A20002" t="s">
        <v>4029</v>
      </c>
    </row>
    <row r="20003" spans="1:1" x14ac:dyDescent="0.2">
      <c r="A20003" t="s">
        <v>1600</v>
      </c>
    </row>
    <row r="20004" spans="1:1" x14ac:dyDescent="0.2">
      <c r="A20004" t="s">
        <v>1601</v>
      </c>
    </row>
    <row r="20005" spans="1:1" x14ac:dyDescent="0.2">
      <c r="A20005" t="s">
        <v>3403</v>
      </c>
    </row>
    <row r="20006" spans="1:1" x14ac:dyDescent="0.2">
      <c r="A20006" t="s">
        <v>1635</v>
      </c>
    </row>
    <row r="20007" spans="1:1" x14ac:dyDescent="0.2">
      <c r="A20007" t="s">
        <v>1604</v>
      </c>
    </row>
    <row r="20008" spans="1:1" x14ac:dyDescent="0.2">
      <c r="A20008" t="s">
        <v>1605</v>
      </c>
    </row>
    <row r="20009" spans="1:1" x14ac:dyDescent="0.2">
      <c r="A20009" t="s">
        <v>1606</v>
      </c>
    </row>
    <row r="20010" spans="1:1" x14ac:dyDescent="0.2">
      <c r="A20010" t="s">
        <v>1607</v>
      </c>
    </row>
    <row r="20011" spans="1:1" x14ac:dyDescent="0.2">
      <c r="A20011" t="s">
        <v>1676</v>
      </c>
    </row>
    <row r="20012" spans="1:1" x14ac:dyDescent="0.2">
      <c r="A20012" t="s">
        <v>1677</v>
      </c>
    </row>
    <row r="20013" spans="1:1" x14ac:dyDescent="0.2">
      <c r="A20013" t="s">
        <v>1610</v>
      </c>
    </row>
    <row r="20014" spans="1:1" x14ac:dyDescent="0.2">
      <c r="A20014" t="s">
        <v>3322</v>
      </c>
    </row>
    <row r="20015" spans="1:1" x14ac:dyDescent="0.2">
      <c r="A20015" t="s">
        <v>4030</v>
      </c>
    </row>
    <row r="20016" spans="1:1" x14ac:dyDescent="0.2">
      <c r="A20016" t="s">
        <v>4031</v>
      </c>
    </row>
    <row r="20017" spans="1:1" x14ac:dyDescent="0.2">
      <c r="A20017" t="s">
        <v>4032</v>
      </c>
    </row>
    <row r="20018" spans="1:1" x14ac:dyDescent="0.2">
      <c r="A20018" t="s">
        <v>4033</v>
      </c>
    </row>
    <row r="20019" spans="1:1" x14ac:dyDescent="0.2">
      <c r="A20019" t="s">
        <v>4034</v>
      </c>
    </row>
    <row r="20020" spans="1:1" x14ac:dyDescent="0.2">
      <c r="A20020" t="s">
        <v>4035</v>
      </c>
    </row>
    <row r="20021" spans="1:1" x14ac:dyDescent="0.2">
      <c r="A20021" t="s">
        <v>4036</v>
      </c>
    </row>
    <row r="20022" spans="1:1" x14ac:dyDescent="0.2">
      <c r="A20022" t="s">
        <v>4037</v>
      </c>
    </row>
    <row r="20023" spans="1:1" x14ac:dyDescent="0.2">
      <c r="A20023" t="s">
        <v>4038</v>
      </c>
    </row>
    <row r="20024" spans="1:1" x14ac:dyDescent="0.2">
      <c r="A20024" t="s">
        <v>4039</v>
      </c>
    </row>
    <row r="20025" spans="1:1" x14ac:dyDescent="0.2">
      <c r="A20025" t="s">
        <v>4040</v>
      </c>
    </row>
    <row r="20026" spans="1:1" x14ac:dyDescent="0.2">
      <c r="A20026" t="s">
        <v>4041</v>
      </c>
    </row>
    <row r="20027" spans="1:1" x14ac:dyDescent="0.2">
      <c r="A20027" t="s">
        <v>4042</v>
      </c>
    </row>
    <row r="20028" spans="1:1" x14ac:dyDescent="0.2">
      <c r="A20028" t="s">
        <v>4043</v>
      </c>
    </row>
    <row r="20029" spans="1:1" x14ac:dyDescent="0.2">
      <c r="A20029" t="s">
        <v>4044</v>
      </c>
    </row>
    <row r="20030" spans="1:1" x14ac:dyDescent="0.2">
      <c r="A20030" t="s">
        <v>4045</v>
      </c>
    </row>
    <row r="20031" spans="1:1" x14ac:dyDescent="0.2">
      <c r="A20031" t="s">
        <v>4048</v>
      </c>
    </row>
    <row r="20032" spans="1:1" x14ac:dyDescent="0.2">
      <c r="A20032" t="s">
        <v>1594</v>
      </c>
    </row>
    <row r="20033" spans="1:1" x14ac:dyDescent="0.2">
      <c r="A20033" t="s">
        <v>4049</v>
      </c>
    </row>
    <row r="20034" spans="1:1" x14ac:dyDescent="0.2">
      <c r="A20034" t="s">
        <v>4050</v>
      </c>
    </row>
    <row r="20035" spans="1:1" x14ac:dyDescent="0.2">
      <c r="A20035" t="s">
        <v>1631</v>
      </c>
    </row>
    <row r="20036" spans="1:1" x14ac:dyDescent="0.2">
      <c r="A20036" t="s">
        <v>3318</v>
      </c>
    </row>
    <row r="20037" spans="1:1" x14ac:dyDescent="0.2">
      <c r="A20037" t="s">
        <v>4029</v>
      </c>
    </row>
    <row r="20038" spans="1:1" x14ac:dyDescent="0.2">
      <c r="A20038" t="s">
        <v>1600</v>
      </c>
    </row>
    <row r="20039" spans="1:1" x14ac:dyDescent="0.2">
      <c r="A20039" t="s">
        <v>1633</v>
      </c>
    </row>
    <row r="20040" spans="1:1" x14ac:dyDescent="0.2">
      <c r="A20040" t="s">
        <v>3403</v>
      </c>
    </row>
    <row r="20041" spans="1:1" x14ac:dyDescent="0.2">
      <c r="A20041" t="s">
        <v>1635</v>
      </c>
    </row>
    <row r="20042" spans="1:1" x14ac:dyDescent="0.2">
      <c r="A20042" t="s">
        <v>1604</v>
      </c>
    </row>
    <row r="20043" spans="1:1" x14ac:dyDescent="0.2">
      <c r="A20043" t="s">
        <v>1605</v>
      </c>
    </row>
    <row r="20044" spans="1:1" x14ac:dyDescent="0.2">
      <c r="A20044" t="s">
        <v>1606</v>
      </c>
    </row>
    <row r="20045" spans="1:1" x14ac:dyDescent="0.2">
      <c r="A20045" t="s">
        <v>1607</v>
      </c>
    </row>
    <row r="20046" spans="1:1" x14ac:dyDescent="0.2">
      <c r="A20046" t="s">
        <v>1676</v>
      </c>
    </row>
    <row r="20047" spans="1:1" x14ac:dyDescent="0.2">
      <c r="A20047" t="s">
        <v>1677</v>
      </c>
    </row>
    <row r="20048" spans="1:1" x14ac:dyDescent="0.2">
      <c r="A20048" t="s">
        <v>1610</v>
      </c>
    </row>
    <row r="20049" spans="1:1" x14ac:dyDescent="0.2">
      <c r="A20049" t="s">
        <v>4051</v>
      </c>
    </row>
    <row r="20050" spans="1:1" x14ac:dyDescent="0.2">
      <c r="A20050" t="s">
        <v>4052</v>
      </c>
    </row>
    <row r="20051" spans="1:1" x14ac:dyDescent="0.2">
      <c r="A20051" t="s">
        <v>4053</v>
      </c>
    </row>
    <row r="20052" spans="1:1" x14ac:dyDescent="0.2">
      <c r="A20052" t="s">
        <v>4054</v>
      </c>
    </row>
    <row r="20053" spans="1:1" x14ac:dyDescent="0.2">
      <c r="A20053" t="s">
        <v>4055</v>
      </c>
    </row>
    <row r="20054" spans="1:1" x14ac:dyDescent="0.2">
      <c r="A20054" t="s">
        <v>4056</v>
      </c>
    </row>
    <row r="20055" spans="1:1" x14ac:dyDescent="0.2">
      <c r="A20055" t="s">
        <v>4057</v>
      </c>
    </row>
    <row r="20056" spans="1:1" x14ac:dyDescent="0.2">
      <c r="A20056" t="s">
        <v>4058</v>
      </c>
    </row>
    <row r="20057" spans="1:1" x14ac:dyDescent="0.2">
      <c r="A20057" t="s">
        <v>4059</v>
      </c>
    </row>
    <row r="20058" spans="1:1" x14ac:dyDescent="0.2">
      <c r="A20058" t="s">
        <v>4060</v>
      </c>
    </row>
    <row r="20059" spans="1:1" x14ac:dyDescent="0.2">
      <c r="A20059" t="s">
        <v>4061</v>
      </c>
    </row>
    <row r="20060" spans="1:1" x14ac:dyDescent="0.2">
      <c r="A20060" t="s">
        <v>4062</v>
      </c>
    </row>
    <row r="20061" spans="1:1" x14ac:dyDescent="0.2">
      <c r="A20061" t="s">
        <v>4063</v>
      </c>
    </row>
    <row r="20062" spans="1:1" x14ac:dyDescent="0.2">
      <c r="A20062" t="s">
        <v>4064</v>
      </c>
    </row>
    <row r="20063" spans="1:1" x14ac:dyDescent="0.2">
      <c r="A20063" t="s">
        <v>4065</v>
      </c>
    </row>
    <row r="20064" spans="1:1" x14ac:dyDescent="0.2">
      <c r="A20064" t="s">
        <v>4044</v>
      </c>
    </row>
    <row r="20065" spans="1:1" x14ac:dyDescent="0.2">
      <c r="A20065" t="s">
        <v>4045</v>
      </c>
    </row>
    <row r="20066" spans="1:1" x14ac:dyDescent="0.2">
      <c r="A20066" t="s">
        <v>4066</v>
      </c>
    </row>
    <row r="20067" spans="1:1" x14ac:dyDescent="0.2">
      <c r="A20067" t="s">
        <v>1594</v>
      </c>
    </row>
    <row r="20068" spans="1:1" x14ac:dyDescent="0.2">
      <c r="A20068" t="s">
        <v>4049</v>
      </c>
    </row>
    <row r="20069" spans="1:1" x14ac:dyDescent="0.2">
      <c r="A20069" t="s">
        <v>4050</v>
      </c>
    </row>
    <row r="20070" spans="1:1" x14ac:dyDescent="0.2">
      <c r="A20070" t="s">
        <v>1631</v>
      </c>
    </row>
    <row r="20071" spans="1:1" x14ac:dyDescent="0.2">
      <c r="A20071" t="s">
        <v>3318</v>
      </c>
    </row>
    <row r="20072" spans="1:1" x14ac:dyDescent="0.2">
      <c r="A20072" t="s">
        <v>4029</v>
      </c>
    </row>
    <row r="20073" spans="1:1" x14ac:dyDescent="0.2">
      <c r="A20073" t="s">
        <v>1600</v>
      </c>
    </row>
    <row r="20074" spans="1:1" x14ac:dyDescent="0.2">
      <c r="A20074" t="s">
        <v>1639</v>
      </c>
    </row>
    <row r="20075" spans="1:1" x14ac:dyDescent="0.2">
      <c r="A20075" t="s">
        <v>3403</v>
      </c>
    </row>
    <row r="20076" spans="1:1" x14ac:dyDescent="0.2">
      <c r="A20076" t="s">
        <v>1635</v>
      </c>
    </row>
    <row r="20077" spans="1:1" x14ac:dyDescent="0.2">
      <c r="A20077" t="s">
        <v>1604</v>
      </c>
    </row>
    <row r="20078" spans="1:1" x14ac:dyDescent="0.2">
      <c r="A20078" t="s">
        <v>1605</v>
      </c>
    </row>
    <row r="20079" spans="1:1" x14ac:dyDescent="0.2">
      <c r="A20079" t="s">
        <v>1606</v>
      </c>
    </row>
    <row r="20080" spans="1:1" x14ac:dyDescent="0.2">
      <c r="A20080" t="s">
        <v>1607</v>
      </c>
    </row>
    <row r="20081" spans="1:1" x14ac:dyDescent="0.2">
      <c r="A20081" t="s">
        <v>1676</v>
      </c>
    </row>
    <row r="20082" spans="1:1" x14ac:dyDescent="0.2">
      <c r="A20082" t="s">
        <v>1677</v>
      </c>
    </row>
    <row r="20083" spans="1:1" x14ac:dyDescent="0.2">
      <c r="A20083" t="s">
        <v>1610</v>
      </c>
    </row>
    <row r="20084" spans="1:1" x14ac:dyDescent="0.2">
      <c r="A20084" t="s">
        <v>4051</v>
      </c>
    </row>
    <row r="20085" spans="1:1" x14ac:dyDescent="0.2">
      <c r="A20085" t="s">
        <v>4052</v>
      </c>
    </row>
    <row r="20086" spans="1:1" x14ac:dyDescent="0.2">
      <c r="A20086" t="s">
        <v>4053</v>
      </c>
    </row>
    <row r="20087" spans="1:1" x14ac:dyDescent="0.2">
      <c r="A20087" t="s">
        <v>4054</v>
      </c>
    </row>
    <row r="20088" spans="1:1" x14ac:dyDescent="0.2">
      <c r="A20088" t="s">
        <v>4055</v>
      </c>
    </row>
    <row r="20089" spans="1:1" x14ac:dyDescent="0.2">
      <c r="A20089" t="s">
        <v>4056</v>
      </c>
    </row>
    <row r="20090" spans="1:1" x14ac:dyDescent="0.2">
      <c r="A20090" t="s">
        <v>4057</v>
      </c>
    </row>
    <row r="20091" spans="1:1" x14ac:dyDescent="0.2">
      <c r="A20091" t="s">
        <v>4058</v>
      </c>
    </row>
    <row r="20092" spans="1:1" x14ac:dyDescent="0.2">
      <c r="A20092" t="s">
        <v>4059</v>
      </c>
    </row>
    <row r="20093" spans="1:1" x14ac:dyDescent="0.2">
      <c r="A20093" t="s">
        <v>4060</v>
      </c>
    </row>
    <row r="20094" spans="1:1" x14ac:dyDescent="0.2">
      <c r="A20094" t="s">
        <v>4061</v>
      </c>
    </row>
    <row r="20095" spans="1:1" x14ac:dyDescent="0.2">
      <c r="A20095" t="s">
        <v>4062</v>
      </c>
    </row>
    <row r="20096" spans="1:1" x14ac:dyDescent="0.2">
      <c r="A20096" t="s">
        <v>4063</v>
      </c>
    </row>
    <row r="20097" spans="1:1" x14ac:dyDescent="0.2">
      <c r="A20097" t="s">
        <v>4064</v>
      </c>
    </row>
    <row r="20098" spans="1:1" x14ac:dyDescent="0.2">
      <c r="A20098" t="s">
        <v>4065</v>
      </c>
    </row>
    <row r="20099" spans="1:1" x14ac:dyDescent="0.2">
      <c r="A20099" t="s">
        <v>4044</v>
      </c>
    </row>
    <row r="20100" spans="1:1" x14ac:dyDescent="0.2">
      <c r="A20100" t="s">
        <v>4045</v>
      </c>
    </row>
    <row r="20101" spans="1:1" x14ac:dyDescent="0.2">
      <c r="A20101" t="s">
        <v>4067</v>
      </c>
    </row>
    <row r="20102" spans="1:1" x14ac:dyDescent="0.2">
      <c r="A20102" t="s">
        <v>1594</v>
      </c>
    </row>
    <row r="20103" spans="1:1" x14ac:dyDescent="0.2">
      <c r="A20103" t="s">
        <v>4049</v>
      </c>
    </row>
    <row r="20104" spans="1:1" x14ac:dyDescent="0.2">
      <c r="A20104" t="s">
        <v>4050</v>
      </c>
    </row>
    <row r="20105" spans="1:1" x14ac:dyDescent="0.2">
      <c r="A20105" t="s">
        <v>1631</v>
      </c>
    </row>
    <row r="20106" spans="1:1" x14ac:dyDescent="0.2">
      <c r="A20106" t="s">
        <v>3318</v>
      </c>
    </row>
    <row r="20107" spans="1:1" x14ac:dyDescent="0.2">
      <c r="A20107" t="s">
        <v>4029</v>
      </c>
    </row>
    <row r="20108" spans="1:1" x14ac:dyDescent="0.2">
      <c r="A20108" t="s">
        <v>1600</v>
      </c>
    </row>
    <row r="20109" spans="1:1" x14ac:dyDescent="0.2">
      <c r="A20109" t="s">
        <v>1601</v>
      </c>
    </row>
    <row r="20110" spans="1:1" x14ac:dyDescent="0.2">
      <c r="A20110" t="s">
        <v>3403</v>
      </c>
    </row>
    <row r="20111" spans="1:1" x14ac:dyDescent="0.2">
      <c r="A20111" t="s">
        <v>1635</v>
      </c>
    </row>
    <row r="20112" spans="1:1" x14ac:dyDescent="0.2">
      <c r="A20112" t="s">
        <v>1604</v>
      </c>
    </row>
    <row r="20113" spans="1:1" x14ac:dyDescent="0.2">
      <c r="A20113" t="s">
        <v>1605</v>
      </c>
    </row>
    <row r="20114" spans="1:1" x14ac:dyDescent="0.2">
      <c r="A20114" t="s">
        <v>1606</v>
      </c>
    </row>
    <row r="20115" spans="1:1" x14ac:dyDescent="0.2">
      <c r="A20115" t="s">
        <v>1607</v>
      </c>
    </row>
    <row r="20116" spans="1:1" x14ac:dyDescent="0.2">
      <c r="A20116" t="s">
        <v>1676</v>
      </c>
    </row>
    <row r="20117" spans="1:1" x14ac:dyDescent="0.2">
      <c r="A20117" t="s">
        <v>1677</v>
      </c>
    </row>
    <row r="20118" spans="1:1" x14ac:dyDescent="0.2">
      <c r="A20118" t="s">
        <v>1610</v>
      </c>
    </row>
    <row r="20119" spans="1:1" x14ac:dyDescent="0.2">
      <c r="A20119" t="s">
        <v>4051</v>
      </c>
    </row>
    <row r="20120" spans="1:1" x14ac:dyDescent="0.2">
      <c r="A20120" t="s">
        <v>4052</v>
      </c>
    </row>
    <row r="20121" spans="1:1" x14ac:dyDescent="0.2">
      <c r="A20121" t="s">
        <v>4053</v>
      </c>
    </row>
    <row r="20122" spans="1:1" x14ac:dyDescent="0.2">
      <c r="A20122" t="s">
        <v>4054</v>
      </c>
    </row>
    <row r="20123" spans="1:1" x14ac:dyDescent="0.2">
      <c r="A20123" t="s">
        <v>4055</v>
      </c>
    </row>
    <row r="20124" spans="1:1" x14ac:dyDescent="0.2">
      <c r="A20124" t="s">
        <v>4056</v>
      </c>
    </row>
    <row r="20125" spans="1:1" x14ac:dyDescent="0.2">
      <c r="A20125" t="s">
        <v>4057</v>
      </c>
    </row>
    <row r="20126" spans="1:1" x14ac:dyDescent="0.2">
      <c r="A20126" t="s">
        <v>4058</v>
      </c>
    </row>
    <row r="20127" spans="1:1" x14ac:dyDescent="0.2">
      <c r="A20127" t="s">
        <v>4059</v>
      </c>
    </row>
    <row r="20128" spans="1:1" x14ac:dyDescent="0.2">
      <c r="A20128" t="s">
        <v>4060</v>
      </c>
    </row>
    <row r="20129" spans="1:1" x14ac:dyDescent="0.2">
      <c r="A20129" t="s">
        <v>4061</v>
      </c>
    </row>
    <row r="20130" spans="1:1" x14ac:dyDescent="0.2">
      <c r="A20130" t="s">
        <v>4062</v>
      </c>
    </row>
    <row r="20131" spans="1:1" x14ac:dyDescent="0.2">
      <c r="A20131" t="s">
        <v>4063</v>
      </c>
    </row>
    <row r="20132" spans="1:1" x14ac:dyDescent="0.2">
      <c r="A20132" t="s">
        <v>4064</v>
      </c>
    </row>
    <row r="20133" spans="1:1" x14ac:dyDescent="0.2">
      <c r="A20133" t="s">
        <v>4065</v>
      </c>
    </row>
    <row r="20134" spans="1:1" x14ac:dyDescent="0.2">
      <c r="A20134" t="s">
        <v>4044</v>
      </c>
    </row>
    <row r="20135" spans="1:1" x14ac:dyDescent="0.2">
      <c r="A20135" t="s">
        <v>4045</v>
      </c>
    </row>
    <row r="20136" spans="1:1" x14ac:dyDescent="0.2">
      <c r="A20136" t="s">
        <v>4068</v>
      </c>
    </row>
    <row r="20137" spans="1:1" x14ac:dyDescent="0.2">
      <c r="A20137" t="s">
        <v>1594</v>
      </c>
    </row>
    <row r="20138" spans="1:1" x14ac:dyDescent="0.2">
      <c r="A20138" t="s">
        <v>4069</v>
      </c>
    </row>
    <row r="20139" spans="1:1" x14ac:dyDescent="0.2">
      <c r="A20139" t="s">
        <v>4070</v>
      </c>
    </row>
    <row r="20140" spans="1:1" x14ac:dyDescent="0.2">
      <c r="A20140" t="s">
        <v>1631</v>
      </c>
    </row>
    <row r="20141" spans="1:1" x14ac:dyDescent="0.2">
      <c r="A20141" t="s">
        <v>3318</v>
      </c>
    </row>
    <row r="20142" spans="1:1" x14ac:dyDescent="0.2">
      <c r="A20142" t="s">
        <v>4029</v>
      </c>
    </row>
    <row r="20143" spans="1:1" x14ac:dyDescent="0.2">
      <c r="A20143" t="s">
        <v>1674</v>
      </c>
    </row>
    <row r="20144" spans="1:1" x14ac:dyDescent="0.2">
      <c r="A20144" t="s">
        <v>1633</v>
      </c>
    </row>
    <row r="20145" spans="1:1" x14ac:dyDescent="0.2">
      <c r="A20145" t="s">
        <v>3403</v>
      </c>
    </row>
    <row r="20146" spans="1:1" x14ac:dyDescent="0.2">
      <c r="A20146" t="s">
        <v>1635</v>
      </c>
    </row>
    <row r="20147" spans="1:1" x14ac:dyDescent="0.2">
      <c r="A20147" t="s">
        <v>1604</v>
      </c>
    </row>
    <row r="20148" spans="1:1" x14ac:dyDescent="0.2">
      <c r="A20148" t="s">
        <v>1605</v>
      </c>
    </row>
    <row r="20149" spans="1:1" x14ac:dyDescent="0.2">
      <c r="A20149" t="s">
        <v>1606</v>
      </c>
    </row>
    <row r="20150" spans="1:1" x14ac:dyDescent="0.2">
      <c r="A20150" t="s">
        <v>1607</v>
      </c>
    </row>
    <row r="20151" spans="1:1" x14ac:dyDescent="0.2">
      <c r="A20151" t="s">
        <v>1676</v>
      </c>
    </row>
    <row r="20152" spans="1:1" x14ac:dyDescent="0.2">
      <c r="A20152" t="s">
        <v>1677</v>
      </c>
    </row>
    <row r="20153" spans="1:1" x14ac:dyDescent="0.2">
      <c r="A20153" t="s">
        <v>1610</v>
      </c>
    </row>
    <row r="20154" spans="1:1" x14ac:dyDescent="0.2">
      <c r="A20154" t="s">
        <v>4071</v>
      </c>
    </row>
    <row r="20155" spans="1:1" x14ac:dyDescent="0.2">
      <c r="A20155" t="s">
        <v>4072</v>
      </c>
    </row>
    <row r="20156" spans="1:1" x14ac:dyDescent="0.2">
      <c r="A20156" t="s">
        <v>4073</v>
      </c>
    </row>
    <row r="20157" spans="1:1" x14ac:dyDescent="0.2">
      <c r="A20157" t="s">
        <v>4074</v>
      </c>
    </row>
    <row r="20158" spans="1:1" x14ac:dyDescent="0.2">
      <c r="A20158" t="s">
        <v>4075</v>
      </c>
    </row>
    <row r="20159" spans="1:1" x14ac:dyDescent="0.2">
      <c r="A20159" t="s">
        <v>4076</v>
      </c>
    </row>
    <row r="20160" spans="1:1" x14ac:dyDescent="0.2">
      <c r="A20160" t="s">
        <v>4077</v>
      </c>
    </row>
    <row r="20161" spans="1:1" x14ac:dyDescent="0.2">
      <c r="A20161" t="s">
        <v>4078</v>
      </c>
    </row>
    <row r="20162" spans="1:1" x14ac:dyDescent="0.2">
      <c r="A20162" t="s">
        <v>4079</v>
      </c>
    </row>
    <row r="20163" spans="1:1" x14ac:dyDescent="0.2">
      <c r="A20163" t="s">
        <v>4080</v>
      </c>
    </row>
    <row r="20164" spans="1:1" x14ac:dyDescent="0.2">
      <c r="A20164" t="s">
        <v>1669</v>
      </c>
    </row>
    <row r="20165" spans="1:1" x14ac:dyDescent="0.2">
      <c r="A20165" t="s">
        <v>4081</v>
      </c>
    </row>
    <row r="20166" spans="1:1" x14ac:dyDescent="0.2">
      <c r="A20166" t="s">
        <v>4082</v>
      </c>
    </row>
    <row r="20167" spans="1:1" x14ac:dyDescent="0.2">
      <c r="A20167" t="s">
        <v>4083</v>
      </c>
    </row>
    <row r="20168" spans="1:1" x14ac:dyDescent="0.2">
      <c r="A20168" t="s">
        <v>4084</v>
      </c>
    </row>
    <row r="20169" spans="1:1" x14ac:dyDescent="0.2">
      <c r="A20169" t="s">
        <v>4044</v>
      </c>
    </row>
    <row r="20170" spans="1:1" x14ac:dyDescent="0.2">
      <c r="A20170" t="s">
        <v>4045</v>
      </c>
    </row>
    <row r="20171" spans="1:1" x14ac:dyDescent="0.2">
      <c r="A20171" t="s">
        <v>4085</v>
      </c>
    </row>
    <row r="20172" spans="1:1" x14ac:dyDescent="0.2">
      <c r="A20172" t="s">
        <v>1594</v>
      </c>
    </row>
    <row r="20173" spans="1:1" x14ac:dyDescent="0.2">
      <c r="A20173" t="s">
        <v>4069</v>
      </c>
    </row>
    <row r="20174" spans="1:1" x14ac:dyDescent="0.2">
      <c r="A20174" t="s">
        <v>4070</v>
      </c>
    </row>
    <row r="20175" spans="1:1" x14ac:dyDescent="0.2">
      <c r="A20175" t="s">
        <v>1631</v>
      </c>
    </row>
    <row r="20176" spans="1:1" x14ac:dyDescent="0.2">
      <c r="A20176" t="s">
        <v>3318</v>
      </c>
    </row>
    <row r="20177" spans="1:1" x14ac:dyDescent="0.2">
      <c r="A20177" t="s">
        <v>4029</v>
      </c>
    </row>
    <row r="20178" spans="1:1" x14ac:dyDescent="0.2">
      <c r="A20178" t="s">
        <v>1674</v>
      </c>
    </row>
    <row r="20179" spans="1:1" x14ac:dyDescent="0.2">
      <c r="A20179" t="s">
        <v>1639</v>
      </c>
    </row>
    <row r="20180" spans="1:1" x14ac:dyDescent="0.2">
      <c r="A20180" t="s">
        <v>3403</v>
      </c>
    </row>
    <row r="20181" spans="1:1" x14ac:dyDescent="0.2">
      <c r="A20181" t="s">
        <v>1635</v>
      </c>
    </row>
    <row r="20182" spans="1:1" x14ac:dyDescent="0.2">
      <c r="A20182" t="s">
        <v>1604</v>
      </c>
    </row>
    <row r="20183" spans="1:1" x14ac:dyDescent="0.2">
      <c r="A20183" t="s">
        <v>1605</v>
      </c>
    </row>
    <row r="20184" spans="1:1" x14ac:dyDescent="0.2">
      <c r="A20184" t="s">
        <v>1606</v>
      </c>
    </row>
    <row r="20185" spans="1:1" x14ac:dyDescent="0.2">
      <c r="A20185" t="s">
        <v>1607</v>
      </c>
    </row>
    <row r="20186" spans="1:1" x14ac:dyDescent="0.2">
      <c r="A20186" t="s">
        <v>1676</v>
      </c>
    </row>
    <row r="20187" spans="1:1" x14ac:dyDescent="0.2">
      <c r="A20187" t="s">
        <v>1677</v>
      </c>
    </row>
    <row r="20188" spans="1:1" x14ac:dyDescent="0.2">
      <c r="A20188" t="s">
        <v>1610</v>
      </c>
    </row>
    <row r="20189" spans="1:1" x14ac:dyDescent="0.2">
      <c r="A20189" t="s">
        <v>4071</v>
      </c>
    </row>
    <row r="20190" spans="1:1" x14ac:dyDescent="0.2">
      <c r="A20190" t="s">
        <v>4072</v>
      </c>
    </row>
    <row r="20191" spans="1:1" x14ac:dyDescent="0.2">
      <c r="A20191" t="s">
        <v>4073</v>
      </c>
    </row>
    <row r="20192" spans="1:1" x14ac:dyDescent="0.2">
      <c r="A20192" t="s">
        <v>4074</v>
      </c>
    </row>
    <row r="20193" spans="1:1" x14ac:dyDescent="0.2">
      <c r="A20193" t="s">
        <v>4075</v>
      </c>
    </row>
    <row r="20194" spans="1:1" x14ac:dyDescent="0.2">
      <c r="A20194" t="s">
        <v>4076</v>
      </c>
    </row>
    <row r="20195" spans="1:1" x14ac:dyDescent="0.2">
      <c r="A20195" t="s">
        <v>4077</v>
      </c>
    </row>
    <row r="20196" spans="1:1" x14ac:dyDescent="0.2">
      <c r="A20196" t="s">
        <v>4078</v>
      </c>
    </row>
    <row r="20197" spans="1:1" x14ac:dyDescent="0.2">
      <c r="A20197" t="s">
        <v>4079</v>
      </c>
    </row>
    <row r="20198" spans="1:1" x14ac:dyDescent="0.2">
      <c r="A20198" t="s">
        <v>4080</v>
      </c>
    </row>
    <row r="20199" spans="1:1" x14ac:dyDescent="0.2">
      <c r="A20199" t="s">
        <v>1669</v>
      </c>
    </row>
    <row r="20200" spans="1:1" x14ac:dyDescent="0.2">
      <c r="A20200" t="s">
        <v>4081</v>
      </c>
    </row>
    <row r="20201" spans="1:1" x14ac:dyDescent="0.2">
      <c r="A20201" t="s">
        <v>4082</v>
      </c>
    </row>
    <row r="20202" spans="1:1" x14ac:dyDescent="0.2">
      <c r="A20202" t="s">
        <v>4083</v>
      </c>
    </row>
    <row r="20203" spans="1:1" x14ac:dyDescent="0.2">
      <c r="A20203" t="s">
        <v>4084</v>
      </c>
    </row>
    <row r="20204" spans="1:1" x14ac:dyDescent="0.2">
      <c r="A20204" t="s">
        <v>4044</v>
      </c>
    </row>
    <row r="20205" spans="1:1" x14ac:dyDescent="0.2">
      <c r="A20205" t="s">
        <v>4045</v>
      </c>
    </row>
    <row r="20206" spans="1:1" x14ac:dyDescent="0.2">
      <c r="A20206" t="s">
        <v>4086</v>
      </c>
    </row>
    <row r="20207" spans="1:1" x14ac:dyDescent="0.2">
      <c r="A20207" t="s">
        <v>1594</v>
      </c>
    </row>
    <row r="20208" spans="1:1" x14ac:dyDescent="0.2">
      <c r="A20208" t="s">
        <v>4069</v>
      </c>
    </row>
    <row r="20209" spans="1:1" x14ac:dyDescent="0.2">
      <c r="A20209" t="s">
        <v>4070</v>
      </c>
    </row>
    <row r="20210" spans="1:1" x14ac:dyDescent="0.2">
      <c r="A20210" t="s">
        <v>1631</v>
      </c>
    </row>
    <row r="20211" spans="1:1" x14ac:dyDescent="0.2">
      <c r="A20211" t="s">
        <v>3318</v>
      </c>
    </row>
    <row r="20212" spans="1:1" x14ac:dyDescent="0.2">
      <c r="A20212" t="s">
        <v>4029</v>
      </c>
    </row>
    <row r="20213" spans="1:1" x14ac:dyDescent="0.2">
      <c r="A20213" t="s">
        <v>1674</v>
      </c>
    </row>
    <row r="20214" spans="1:1" x14ac:dyDescent="0.2">
      <c r="A20214" t="s">
        <v>1601</v>
      </c>
    </row>
    <row r="20215" spans="1:1" x14ac:dyDescent="0.2">
      <c r="A20215" t="s">
        <v>3403</v>
      </c>
    </row>
    <row r="20216" spans="1:1" x14ac:dyDescent="0.2">
      <c r="A20216" t="s">
        <v>1635</v>
      </c>
    </row>
    <row r="20217" spans="1:1" x14ac:dyDescent="0.2">
      <c r="A20217" t="s">
        <v>1604</v>
      </c>
    </row>
    <row r="20218" spans="1:1" x14ac:dyDescent="0.2">
      <c r="A20218" t="s">
        <v>1605</v>
      </c>
    </row>
    <row r="20219" spans="1:1" x14ac:dyDescent="0.2">
      <c r="A20219" t="s">
        <v>1606</v>
      </c>
    </row>
    <row r="20220" spans="1:1" x14ac:dyDescent="0.2">
      <c r="A20220" t="s">
        <v>1607</v>
      </c>
    </row>
    <row r="20221" spans="1:1" x14ac:dyDescent="0.2">
      <c r="A20221" t="s">
        <v>1676</v>
      </c>
    </row>
    <row r="20222" spans="1:1" x14ac:dyDescent="0.2">
      <c r="A20222" t="s">
        <v>1677</v>
      </c>
    </row>
    <row r="20223" spans="1:1" x14ac:dyDescent="0.2">
      <c r="A20223" t="s">
        <v>1610</v>
      </c>
    </row>
    <row r="20224" spans="1:1" x14ac:dyDescent="0.2">
      <c r="A20224" t="s">
        <v>4071</v>
      </c>
    </row>
    <row r="20225" spans="1:1" x14ac:dyDescent="0.2">
      <c r="A20225" t="s">
        <v>4072</v>
      </c>
    </row>
    <row r="20226" spans="1:1" x14ac:dyDescent="0.2">
      <c r="A20226" t="s">
        <v>4073</v>
      </c>
    </row>
    <row r="20227" spans="1:1" x14ac:dyDescent="0.2">
      <c r="A20227" t="s">
        <v>4074</v>
      </c>
    </row>
    <row r="20228" spans="1:1" x14ac:dyDescent="0.2">
      <c r="A20228" t="s">
        <v>4075</v>
      </c>
    </row>
    <row r="20229" spans="1:1" x14ac:dyDescent="0.2">
      <c r="A20229" t="s">
        <v>4076</v>
      </c>
    </row>
    <row r="20230" spans="1:1" x14ac:dyDescent="0.2">
      <c r="A20230" t="s">
        <v>4077</v>
      </c>
    </row>
    <row r="20231" spans="1:1" x14ac:dyDescent="0.2">
      <c r="A20231" t="s">
        <v>4078</v>
      </c>
    </row>
    <row r="20232" spans="1:1" x14ac:dyDescent="0.2">
      <c r="A20232" t="s">
        <v>4079</v>
      </c>
    </row>
    <row r="20233" spans="1:1" x14ac:dyDescent="0.2">
      <c r="A20233" t="s">
        <v>4080</v>
      </c>
    </row>
    <row r="20234" spans="1:1" x14ac:dyDescent="0.2">
      <c r="A20234" t="s">
        <v>1669</v>
      </c>
    </row>
    <row r="20235" spans="1:1" x14ac:dyDescent="0.2">
      <c r="A20235" t="s">
        <v>4081</v>
      </c>
    </row>
    <row r="20236" spans="1:1" x14ac:dyDescent="0.2">
      <c r="A20236" t="s">
        <v>4082</v>
      </c>
    </row>
    <row r="20237" spans="1:1" x14ac:dyDescent="0.2">
      <c r="A20237" t="s">
        <v>4083</v>
      </c>
    </row>
    <row r="20238" spans="1:1" x14ac:dyDescent="0.2">
      <c r="A20238" t="s">
        <v>4084</v>
      </c>
    </row>
    <row r="20239" spans="1:1" x14ac:dyDescent="0.2">
      <c r="A20239" t="s">
        <v>4044</v>
      </c>
    </row>
    <row r="20240" spans="1:1" x14ac:dyDescent="0.2">
      <c r="A20240" t="s">
        <v>4045</v>
      </c>
    </row>
    <row r="20241" spans="1:1" x14ac:dyDescent="0.2">
      <c r="A20241" t="s">
        <v>4087</v>
      </c>
    </row>
    <row r="20242" spans="1:1" x14ac:dyDescent="0.2">
      <c r="A20242" t="s">
        <v>1594</v>
      </c>
    </row>
    <row r="20243" spans="1:1" x14ac:dyDescent="0.2">
      <c r="A20243" t="s">
        <v>1595</v>
      </c>
    </row>
    <row r="20244" spans="1:1" x14ac:dyDescent="0.2">
      <c r="A20244" t="s">
        <v>3439</v>
      </c>
    </row>
    <row r="20245" spans="1:1" x14ac:dyDescent="0.2">
      <c r="A20245" t="s">
        <v>1597</v>
      </c>
    </row>
    <row r="20246" spans="1:1" x14ac:dyDescent="0.2">
      <c r="A20246" t="s">
        <v>1598</v>
      </c>
    </row>
    <row r="20247" spans="1:1" x14ac:dyDescent="0.2">
      <c r="A20247" t="s">
        <v>1599</v>
      </c>
    </row>
    <row r="20248" spans="1:1" x14ac:dyDescent="0.2">
      <c r="A20248" t="s">
        <v>1600</v>
      </c>
    </row>
    <row r="20249" spans="1:1" x14ac:dyDescent="0.2">
      <c r="A20249" t="s">
        <v>1601</v>
      </c>
    </row>
    <row r="20250" spans="1:1" x14ac:dyDescent="0.2">
      <c r="A20250" t="s">
        <v>1602</v>
      </c>
    </row>
    <row r="20251" spans="1:1" x14ac:dyDescent="0.2">
      <c r="A20251" t="s">
        <v>1603</v>
      </c>
    </row>
    <row r="20252" spans="1:1" x14ac:dyDescent="0.2">
      <c r="A20252" t="s">
        <v>1604</v>
      </c>
    </row>
    <row r="20253" spans="1:1" x14ac:dyDescent="0.2">
      <c r="A20253" t="s">
        <v>1605</v>
      </c>
    </row>
    <row r="20254" spans="1:1" x14ac:dyDescent="0.2">
      <c r="A20254" t="s">
        <v>1606</v>
      </c>
    </row>
    <row r="20255" spans="1:1" x14ac:dyDescent="0.2">
      <c r="A20255" t="s">
        <v>1607</v>
      </c>
    </row>
    <row r="20256" spans="1:1" x14ac:dyDescent="0.2">
      <c r="A20256" t="s">
        <v>1608</v>
      </c>
    </row>
    <row r="20257" spans="1:1" x14ac:dyDescent="0.2">
      <c r="A20257" t="s">
        <v>1609</v>
      </c>
    </row>
    <row r="20258" spans="1:1" x14ac:dyDescent="0.2">
      <c r="A20258" t="s">
        <v>1610</v>
      </c>
    </row>
    <row r="20259" spans="1:1" x14ac:dyDescent="0.2">
      <c r="A20259" t="s">
        <v>1611</v>
      </c>
    </row>
    <row r="20260" spans="1:1" x14ac:dyDescent="0.2">
      <c r="A20260" t="s">
        <v>1612</v>
      </c>
    </row>
    <row r="20261" spans="1:1" x14ac:dyDescent="0.2">
      <c r="A20261" t="s">
        <v>1613</v>
      </c>
    </row>
    <row r="20262" spans="1:1" x14ac:dyDescent="0.2">
      <c r="A20262" t="s">
        <v>1614</v>
      </c>
    </row>
    <row r="20263" spans="1:1" x14ac:dyDescent="0.2">
      <c r="A20263" t="s">
        <v>1615</v>
      </c>
    </row>
    <row r="20264" spans="1:1" x14ac:dyDescent="0.2">
      <c r="A20264" t="s">
        <v>1616</v>
      </c>
    </row>
    <row r="20265" spans="1:1" x14ac:dyDescent="0.2">
      <c r="A20265" t="s">
        <v>1617</v>
      </c>
    </row>
    <row r="20266" spans="1:1" x14ac:dyDescent="0.2">
      <c r="A20266" t="s">
        <v>1618</v>
      </c>
    </row>
    <row r="20267" spans="1:1" x14ac:dyDescent="0.2">
      <c r="A20267" t="s">
        <v>1619</v>
      </c>
    </row>
    <row r="20268" spans="1:1" x14ac:dyDescent="0.2">
      <c r="A20268" t="s">
        <v>1620</v>
      </c>
    </row>
    <row r="20269" spans="1:1" x14ac:dyDescent="0.2">
      <c r="A20269" t="s">
        <v>1621</v>
      </c>
    </row>
    <row r="20270" spans="1:1" x14ac:dyDescent="0.2">
      <c r="A20270" t="s">
        <v>1622</v>
      </c>
    </row>
    <row r="20271" spans="1:1" x14ac:dyDescent="0.2">
      <c r="A20271" t="s">
        <v>1623</v>
      </c>
    </row>
    <row r="20272" spans="1:1" x14ac:dyDescent="0.2">
      <c r="A20272" t="s">
        <v>1624</v>
      </c>
    </row>
    <row r="20273" spans="1:1" x14ac:dyDescent="0.2">
      <c r="A20273" t="s">
        <v>1625</v>
      </c>
    </row>
    <row r="20274" spans="1:1" x14ac:dyDescent="0.2">
      <c r="A20274" t="s">
        <v>1626</v>
      </c>
    </row>
    <row r="20275" spans="1:1" x14ac:dyDescent="0.2">
      <c r="A20275" t="s">
        <v>1627</v>
      </c>
    </row>
    <row r="20276" spans="1:1" x14ac:dyDescent="0.2">
      <c r="A20276" t="s">
        <v>4088</v>
      </c>
    </row>
    <row r="20277" spans="1:1" x14ac:dyDescent="0.2">
      <c r="A20277" t="s">
        <v>1594</v>
      </c>
    </row>
    <row r="20278" spans="1:1" x14ac:dyDescent="0.2">
      <c r="A20278" t="s">
        <v>1647</v>
      </c>
    </row>
    <row r="20279" spans="1:1" x14ac:dyDescent="0.2">
      <c r="A20279" t="s">
        <v>4089</v>
      </c>
    </row>
    <row r="20280" spans="1:1" x14ac:dyDescent="0.2">
      <c r="A20280" t="s">
        <v>1652</v>
      </c>
    </row>
    <row r="20281" spans="1:1" x14ac:dyDescent="0.2">
      <c r="A20281" t="s">
        <v>1673</v>
      </c>
    </row>
    <row r="20282" spans="1:1" x14ac:dyDescent="0.2">
      <c r="A20282" t="s">
        <v>4029</v>
      </c>
    </row>
    <row r="20283" spans="1:1" x14ac:dyDescent="0.2">
      <c r="A20283" t="s">
        <v>1600</v>
      </c>
    </row>
    <row r="20284" spans="1:1" x14ac:dyDescent="0.2">
      <c r="A20284" t="s">
        <v>1633</v>
      </c>
    </row>
    <row r="20285" spans="1:1" x14ac:dyDescent="0.2">
      <c r="A20285" t="s">
        <v>3403</v>
      </c>
    </row>
    <row r="20286" spans="1:1" x14ac:dyDescent="0.2">
      <c r="A20286" t="s">
        <v>1635</v>
      </c>
    </row>
    <row r="20287" spans="1:1" x14ac:dyDescent="0.2">
      <c r="A20287" t="s">
        <v>1604</v>
      </c>
    </row>
    <row r="20288" spans="1:1" x14ac:dyDescent="0.2">
      <c r="A20288" t="s">
        <v>1605</v>
      </c>
    </row>
    <row r="20289" spans="1:1" x14ac:dyDescent="0.2">
      <c r="A20289" t="s">
        <v>1606</v>
      </c>
    </row>
    <row r="20290" spans="1:1" x14ac:dyDescent="0.2">
      <c r="A20290" t="s">
        <v>1607</v>
      </c>
    </row>
    <row r="20291" spans="1:1" x14ac:dyDescent="0.2">
      <c r="A20291" t="s">
        <v>1676</v>
      </c>
    </row>
    <row r="20292" spans="1:1" x14ac:dyDescent="0.2">
      <c r="A20292" t="s">
        <v>1677</v>
      </c>
    </row>
    <row r="20293" spans="1:1" x14ac:dyDescent="0.2">
      <c r="A20293" t="s">
        <v>1610</v>
      </c>
    </row>
    <row r="20294" spans="1:1" x14ac:dyDescent="0.2">
      <c r="A20294" t="s">
        <v>4090</v>
      </c>
    </row>
    <row r="20295" spans="1:1" x14ac:dyDescent="0.2">
      <c r="A20295" t="s">
        <v>4091</v>
      </c>
    </row>
    <row r="20296" spans="1:1" x14ac:dyDescent="0.2">
      <c r="A20296" t="s">
        <v>4092</v>
      </c>
    </row>
    <row r="20297" spans="1:1" x14ac:dyDescent="0.2">
      <c r="A20297" t="s">
        <v>4093</v>
      </c>
    </row>
    <row r="20298" spans="1:1" x14ac:dyDescent="0.2">
      <c r="A20298" t="s">
        <v>4094</v>
      </c>
    </row>
    <row r="20299" spans="1:1" x14ac:dyDescent="0.2">
      <c r="A20299" t="s">
        <v>4095</v>
      </c>
    </row>
    <row r="20300" spans="1:1" x14ac:dyDescent="0.2">
      <c r="A20300" t="s">
        <v>4096</v>
      </c>
    </row>
    <row r="20301" spans="1:1" x14ac:dyDescent="0.2">
      <c r="A20301" t="s">
        <v>4097</v>
      </c>
    </row>
    <row r="20302" spans="1:1" x14ac:dyDescent="0.2">
      <c r="A20302" t="s">
        <v>4098</v>
      </c>
    </row>
    <row r="20303" spans="1:1" x14ac:dyDescent="0.2">
      <c r="A20303" t="s">
        <v>4099</v>
      </c>
    </row>
    <row r="20304" spans="1:1" x14ac:dyDescent="0.2">
      <c r="A20304" t="s">
        <v>3539</v>
      </c>
    </row>
    <row r="20305" spans="1:1" x14ac:dyDescent="0.2">
      <c r="A20305" t="s">
        <v>4100</v>
      </c>
    </row>
    <row r="20306" spans="1:1" x14ac:dyDescent="0.2">
      <c r="A20306" t="s">
        <v>4101</v>
      </c>
    </row>
    <row r="20307" spans="1:1" x14ac:dyDescent="0.2">
      <c r="A20307" t="s">
        <v>4102</v>
      </c>
    </row>
    <row r="20308" spans="1:1" x14ac:dyDescent="0.2">
      <c r="A20308" t="s">
        <v>4103</v>
      </c>
    </row>
    <row r="20309" spans="1:1" x14ac:dyDescent="0.2">
      <c r="A20309" t="s">
        <v>4044</v>
      </c>
    </row>
    <row r="20310" spans="1:1" x14ac:dyDescent="0.2">
      <c r="A20310" t="s">
        <v>4045</v>
      </c>
    </row>
    <row r="20311" spans="1:1" x14ac:dyDescent="0.2">
      <c r="A20311" t="s">
        <v>4104</v>
      </c>
    </row>
    <row r="20312" spans="1:1" x14ac:dyDescent="0.2">
      <c r="A20312" t="s">
        <v>1594</v>
      </c>
    </row>
    <row r="20313" spans="1:1" x14ac:dyDescent="0.2">
      <c r="A20313" t="s">
        <v>1647</v>
      </c>
    </row>
    <row r="20314" spans="1:1" x14ac:dyDescent="0.2">
      <c r="A20314" t="s">
        <v>4089</v>
      </c>
    </row>
    <row r="20315" spans="1:1" x14ac:dyDescent="0.2">
      <c r="A20315" t="s">
        <v>1652</v>
      </c>
    </row>
    <row r="20316" spans="1:1" x14ac:dyDescent="0.2">
      <c r="A20316" t="s">
        <v>1673</v>
      </c>
    </row>
    <row r="20317" spans="1:1" x14ac:dyDescent="0.2">
      <c r="A20317" t="s">
        <v>4029</v>
      </c>
    </row>
    <row r="20318" spans="1:1" x14ac:dyDescent="0.2">
      <c r="A20318" t="s">
        <v>1600</v>
      </c>
    </row>
    <row r="20319" spans="1:1" x14ac:dyDescent="0.2">
      <c r="A20319" t="s">
        <v>1639</v>
      </c>
    </row>
    <row r="20320" spans="1:1" x14ac:dyDescent="0.2">
      <c r="A20320" t="s">
        <v>3403</v>
      </c>
    </row>
    <row r="20321" spans="1:1" x14ac:dyDescent="0.2">
      <c r="A20321" t="s">
        <v>1635</v>
      </c>
    </row>
    <row r="20322" spans="1:1" x14ac:dyDescent="0.2">
      <c r="A20322" t="s">
        <v>1604</v>
      </c>
    </row>
    <row r="20323" spans="1:1" x14ac:dyDescent="0.2">
      <c r="A20323" t="s">
        <v>1605</v>
      </c>
    </row>
    <row r="20324" spans="1:1" x14ac:dyDescent="0.2">
      <c r="A20324" t="s">
        <v>1606</v>
      </c>
    </row>
    <row r="20325" spans="1:1" x14ac:dyDescent="0.2">
      <c r="A20325" t="s">
        <v>1607</v>
      </c>
    </row>
    <row r="20326" spans="1:1" x14ac:dyDescent="0.2">
      <c r="A20326" t="s">
        <v>1676</v>
      </c>
    </row>
    <row r="20327" spans="1:1" x14ac:dyDescent="0.2">
      <c r="A20327" t="s">
        <v>1677</v>
      </c>
    </row>
    <row r="20328" spans="1:1" x14ac:dyDescent="0.2">
      <c r="A20328" t="s">
        <v>1610</v>
      </c>
    </row>
    <row r="20329" spans="1:1" x14ac:dyDescent="0.2">
      <c r="A20329" t="s">
        <v>4090</v>
      </c>
    </row>
    <row r="20330" spans="1:1" x14ac:dyDescent="0.2">
      <c r="A20330" t="s">
        <v>4091</v>
      </c>
    </row>
    <row r="20331" spans="1:1" x14ac:dyDescent="0.2">
      <c r="A20331" t="s">
        <v>4092</v>
      </c>
    </row>
    <row r="20332" spans="1:1" x14ac:dyDescent="0.2">
      <c r="A20332" t="s">
        <v>4093</v>
      </c>
    </row>
    <row r="20333" spans="1:1" x14ac:dyDescent="0.2">
      <c r="A20333" t="s">
        <v>4094</v>
      </c>
    </row>
    <row r="20334" spans="1:1" x14ac:dyDescent="0.2">
      <c r="A20334" t="s">
        <v>4095</v>
      </c>
    </row>
    <row r="20335" spans="1:1" x14ac:dyDescent="0.2">
      <c r="A20335" t="s">
        <v>4096</v>
      </c>
    </row>
    <row r="20336" spans="1:1" x14ac:dyDescent="0.2">
      <c r="A20336" t="s">
        <v>4097</v>
      </c>
    </row>
    <row r="20337" spans="1:1" x14ac:dyDescent="0.2">
      <c r="A20337" t="s">
        <v>4098</v>
      </c>
    </row>
    <row r="20338" spans="1:1" x14ac:dyDescent="0.2">
      <c r="A20338" t="s">
        <v>4099</v>
      </c>
    </row>
    <row r="20339" spans="1:1" x14ac:dyDescent="0.2">
      <c r="A20339" t="s">
        <v>3539</v>
      </c>
    </row>
    <row r="20340" spans="1:1" x14ac:dyDescent="0.2">
      <c r="A20340" t="s">
        <v>4100</v>
      </c>
    </row>
    <row r="20341" spans="1:1" x14ac:dyDescent="0.2">
      <c r="A20341" t="s">
        <v>4101</v>
      </c>
    </row>
    <row r="20342" spans="1:1" x14ac:dyDescent="0.2">
      <c r="A20342" t="s">
        <v>4102</v>
      </c>
    </row>
    <row r="20343" spans="1:1" x14ac:dyDescent="0.2">
      <c r="A20343" t="s">
        <v>4103</v>
      </c>
    </row>
    <row r="20344" spans="1:1" x14ac:dyDescent="0.2">
      <c r="A20344" t="s">
        <v>4044</v>
      </c>
    </row>
    <row r="20345" spans="1:1" x14ac:dyDescent="0.2">
      <c r="A20345" t="s">
        <v>4045</v>
      </c>
    </row>
    <row r="20346" spans="1:1" x14ac:dyDescent="0.2">
      <c r="A20346" t="s">
        <v>4105</v>
      </c>
    </row>
    <row r="20347" spans="1:1" x14ac:dyDescent="0.2">
      <c r="A20347" t="s">
        <v>1594</v>
      </c>
    </row>
    <row r="20348" spans="1:1" x14ac:dyDescent="0.2">
      <c r="A20348" t="s">
        <v>4106</v>
      </c>
    </row>
    <row r="20349" spans="1:1" x14ac:dyDescent="0.2">
      <c r="A20349" t="s">
        <v>4107</v>
      </c>
    </row>
    <row r="20350" spans="1:1" x14ac:dyDescent="0.2">
      <c r="A20350" t="s">
        <v>1652</v>
      </c>
    </row>
    <row r="20351" spans="1:1" x14ac:dyDescent="0.2">
      <c r="A20351" t="s">
        <v>3318</v>
      </c>
    </row>
    <row r="20352" spans="1:1" x14ac:dyDescent="0.2">
      <c r="A20352" t="s">
        <v>4029</v>
      </c>
    </row>
    <row r="20353" spans="1:1" x14ac:dyDescent="0.2">
      <c r="A20353" t="s">
        <v>1600</v>
      </c>
    </row>
    <row r="20354" spans="1:1" x14ac:dyDescent="0.2">
      <c r="A20354" t="s">
        <v>1633</v>
      </c>
    </row>
    <row r="20355" spans="1:1" x14ac:dyDescent="0.2">
      <c r="A20355" t="s">
        <v>3403</v>
      </c>
    </row>
    <row r="20356" spans="1:1" x14ac:dyDescent="0.2">
      <c r="A20356" t="s">
        <v>1635</v>
      </c>
    </row>
    <row r="20357" spans="1:1" x14ac:dyDescent="0.2">
      <c r="A20357" t="s">
        <v>1604</v>
      </c>
    </row>
    <row r="20358" spans="1:1" x14ac:dyDescent="0.2">
      <c r="A20358" t="s">
        <v>1605</v>
      </c>
    </row>
    <row r="20359" spans="1:1" x14ac:dyDescent="0.2">
      <c r="A20359" t="s">
        <v>1606</v>
      </c>
    </row>
    <row r="20360" spans="1:1" x14ac:dyDescent="0.2">
      <c r="A20360" t="s">
        <v>1607</v>
      </c>
    </row>
    <row r="20361" spans="1:1" x14ac:dyDescent="0.2">
      <c r="A20361" t="s">
        <v>1676</v>
      </c>
    </row>
    <row r="20362" spans="1:1" x14ac:dyDescent="0.2">
      <c r="A20362" t="s">
        <v>1677</v>
      </c>
    </row>
    <row r="20363" spans="1:1" x14ac:dyDescent="0.2">
      <c r="A20363" t="s">
        <v>1610</v>
      </c>
    </row>
    <row r="20364" spans="1:1" x14ac:dyDescent="0.2">
      <c r="A20364" t="s">
        <v>4108</v>
      </c>
    </row>
    <row r="20365" spans="1:1" x14ac:dyDescent="0.2">
      <c r="A20365" t="s">
        <v>4109</v>
      </c>
    </row>
    <row r="20366" spans="1:1" x14ac:dyDescent="0.2">
      <c r="A20366" t="s">
        <v>4110</v>
      </c>
    </row>
    <row r="20367" spans="1:1" x14ac:dyDescent="0.2">
      <c r="A20367" t="s">
        <v>4111</v>
      </c>
    </row>
    <row r="20368" spans="1:1" x14ac:dyDescent="0.2">
      <c r="A20368" t="s">
        <v>4112</v>
      </c>
    </row>
    <row r="20369" spans="1:1" x14ac:dyDescent="0.2">
      <c r="A20369" t="s">
        <v>4113</v>
      </c>
    </row>
    <row r="20370" spans="1:1" x14ac:dyDescent="0.2">
      <c r="A20370" t="s">
        <v>4114</v>
      </c>
    </row>
    <row r="20371" spans="1:1" x14ac:dyDescent="0.2">
      <c r="A20371" t="s">
        <v>4115</v>
      </c>
    </row>
    <row r="20372" spans="1:1" x14ac:dyDescent="0.2">
      <c r="A20372" t="s">
        <v>4116</v>
      </c>
    </row>
    <row r="20373" spans="1:1" x14ac:dyDescent="0.2">
      <c r="A20373" t="s">
        <v>4117</v>
      </c>
    </row>
    <row r="20374" spans="1:1" x14ac:dyDescent="0.2">
      <c r="A20374" t="s">
        <v>3484</v>
      </c>
    </row>
    <row r="20375" spans="1:1" x14ac:dyDescent="0.2">
      <c r="A20375" t="s">
        <v>4118</v>
      </c>
    </row>
    <row r="20376" spans="1:1" x14ac:dyDescent="0.2">
      <c r="A20376" t="s">
        <v>4119</v>
      </c>
    </row>
    <row r="20377" spans="1:1" x14ac:dyDescent="0.2">
      <c r="A20377" t="s">
        <v>4120</v>
      </c>
    </row>
    <row r="20378" spans="1:1" x14ac:dyDescent="0.2">
      <c r="A20378" t="s">
        <v>4121</v>
      </c>
    </row>
    <row r="20379" spans="1:1" x14ac:dyDescent="0.2">
      <c r="A20379" t="s">
        <v>4044</v>
      </c>
    </row>
    <row r="20380" spans="1:1" x14ac:dyDescent="0.2">
      <c r="A20380" t="s">
        <v>4045</v>
      </c>
    </row>
    <row r="20381" spans="1:1" x14ac:dyDescent="0.2">
      <c r="A20381" t="s">
        <v>4122</v>
      </c>
    </row>
    <row r="20382" spans="1:1" x14ac:dyDescent="0.2">
      <c r="A20382" t="s">
        <v>1594</v>
      </c>
    </row>
    <row r="20383" spans="1:1" x14ac:dyDescent="0.2">
      <c r="A20383" t="s">
        <v>4106</v>
      </c>
    </row>
    <row r="20384" spans="1:1" x14ac:dyDescent="0.2">
      <c r="A20384" t="s">
        <v>4107</v>
      </c>
    </row>
    <row r="20385" spans="1:1" x14ac:dyDescent="0.2">
      <c r="A20385" t="s">
        <v>1652</v>
      </c>
    </row>
    <row r="20386" spans="1:1" x14ac:dyDescent="0.2">
      <c r="A20386" t="s">
        <v>3318</v>
      </c>
    </row>
    <row r="20387" spans="1:1" x14ac:dyDescent="0.2">
      <c r="A20387" t="s">
        <v>4029</v>
      </c>
    </row>
    <row r="20388" spans="1:1" x14ac:dyDescent="0.2">
      <c r="A20388" t="s">
        <v>1600</v>
      </c>
    </row>
    <row r="20389" spans="1:1" x14ac:dyDescent="0.2">
      <c r="A20389" t="s">
        <v>1639</v>
      </c>
    </row>
    <row r="20390" spans="1:1" x14ac:dyDescent="0.2">
      <c r="A20390" t="s">
        <v>3403</v>
      </c>
    </row>
    <row r="20391" spans="1:1" x14ac:dyDescent="0.2">
      <c r="A20391" t="s">
        <v>1635</v>
      </c>
    </row>
    <row r="20392" spans="1:1" x14ac:dyDescent="0.2">
      <c r="A20392" t="s">
        <v>1604</v>
      </c>
    </row>
    <row r="20393" spans="1:1" x14ac:dyDescent="0.2">
      <c r="A20393" t="s">
        <v>1605</v>
      </c>
    </row>
    <row r="20394" spans="1:1" x14ac:dyDescent="0.2">
      <c r="A20394" t="s">
        <v>1606</v>
      </c>
    </row>
    <row r="20395" spans="1:1" x14ac:dyDescent="0.2">
      <c r="A20395" t="s">
        <v>1607</v>
      </c>
    </row>
    <row r="20396" spans="1:1" x14ac:dyDescent="0.2">
      <c r="A20396" t="s">
        <v>1676</v>
      </c>
    </row>
    <row r="20397" spans="1:1" x14ac:dyDescent="0.2">
      <c r="A20397" t="s">
        <v>1677</v>
      </c>
    </row>
    <row r="20398" spans="1:1" x14ac:dyDescent="0.2">
      <c r="A20398" t="s">
        <v>1610</v>
      </c>
    </row>
    <row r="20399" spans="1:1" x14ac:dyDescent="0.2">
      <c r="A20399" t="s">
        <v>4108</v>
      </c>
    </row>
    <row r="20400" spans="1:1" x14ac:dyDescent="0.2">
      <c r="A20400" t="s">
        <v>4109</v>
      </c>
    </row>
    <row r="20401" spans="1:1" x14ac:dyDescent="0.2">
      <c r="A20401" t="s">
        <v>4110</v>
      </c>
    </row>
    <row r="20402" spans="1:1" x14ac:dyDescent="0.2">
      <c r="A20402" t="s">
        <v>4111</v>
      </c>
    </row>
    <row r="20403" spans="1:1" x14ac:dyDescent="0.2">
      <c r="A20403" t="s">
        <v>4112</v>
      </c>
    </row>
    <row r="20404" spans="1:1" x14ac:dyDescent="0.2">
      <c r="A20404" t="s">
        <v>4113</v>
      </c>
    </row>
    <row r="20405" spans="1:1" x14ac:dyDescent="0.2">
      <c r="A20405" t="s">
        <v>4114</v>
      </c>
    </row>
    <row r="20406" spans="1:1" x14ac:dyDescent="0.2">
      <c r="A20406" t="s">
        <v>4115</v>
      </c>
    </row>
    <row r="20407" spans="1:1" x14ac:dyDescent="0.2">
      <c r="A20407" t="s">
        <v>4116</v>
      </c>
    </row>
    <row r="20408" spans="1:1" x14ac:dyDescent="0.2">
      <c r="A20408" t="s">
        <v>4117</v>
      </c>
    </row>
    <row r="20409" spans="1:1" x14ac:dyDescent="0.2">
      <c r="A20409" t="s">
        <v>3484</v>
      </c>
    </row>
    <row r="20410" spans="1:1" x14ac:dyDescent="0.2">
      <c r="A20410" t="s">
        <v>4118</v>
      </c>
    </row>
    <row r="20411" spans="1:1" x14ac:dyDescent="0.2">
      <c r="A20411" t="s">
        <v>4119</v>
      </c>
    </row>
    <row r="20412" spans="1:1" x14ac:dyDescent="0.2">
      <c r="A20412" t="s">
        <v>4120</v>
      </c>
    </row>
    <row r="20413" spans="1:1" x14ac:dyDescent="0.2">
      <c r="A20413" t="s">
        <v>4121</v>
      </c>
    </row>
    <row r="20414" spans="1:1" x14ac:dyDescent="0.2">
      <c r="A20414" t="s">
        <v>4044</v>
      </c>
    </row>
    <row r="20415" spans="1:1" x14ac:dyDescent="0.2">
      <c r="A20415" t="s">
        <v>4045</v>
      </c>
    </row>
    <row r="20416" spans="1:1" x14ac:dyDescent="0.2">
      <c r="A20416" t="s">
        <v>4123</v>
      </c>
    </row>
    <row r="20417" spans="1:1" x14ac:dyDescent="0.2">
      <c r="A20417" t="s">
        <v>1594</v>
      </c>
    </row>
    <row r="20418" spans="1:1" x14ac:dyDescent="0.2">
      <c r="A20418" t="s">
        <v>4106</v>
      </c>
    </row>
    <row r="20419" spans="1:1" x14ac:dyDescent="0.2">
      <c r="A20419" t="s">
        <v>4107</v>
      </c>
    </row>
    <row r="20420" spans="1:1" x14ac:dyDescent="0.2">
      <c r="A20420" t="s">
        <v>1652</v>
      </c>
    </row>
    <row r="20421" spans="1:1" x14ac:dyDescent="0.2">
      <c r="A20421" t="s">
        <v>3318</v>
      </c>
    </row>
    <row r="20422" spans="1:1" x14ac:dyDescent="0.2">
      <c r="A20422" t="s">
        <v>4029</v>
      </c>
    </row>
    <row r="20423" spans="1:1" x14ac:dyDescent="0.2">
      <c r="A20423" t="s">
        <v>1600</v>
      </c>
    </row>
    <row r="20424" spans="1:1" x14ac:dyDescent="0.2">
      <c r="A20424" t="s">
        <v>1601</v>
      </c>
    </row>
    <row r="20425" spans="1:1" x14ac:dyDescent="0.2">
      <c r="A20425" t="s">
        <v>3403</v>
      </c>
    </row>
    <row r="20426" spans="1:1" x14ac:dyDescent="0.2">
      <c r="A20426" t="s">
        <v>1635</v>
      </c>
    </row>
    <row r="20427" spans="1:1" x14ac:dyDescent="0.2">
      <c r="A20427" t="s">
        <v>1604</v>
      </c>
    </row>
    <row r="20428" spans="1:1" x14ac:dyDescent="0.2">
      <c r="A20428" t="s">
        <v>1605</v>
      </c>
    </row>
    <row r="20429" spans="1:1" x14ac:dyDescent="0.2">
      <c r="A20429" t="s">
        <v>1606</v>
      </c>
    </row>
    <row r="20430" spans="1:1" x14ac:dyDescent="0.2">
      <c r="A20430" t="s">
        <v>1607</v>
      </c>
    </row>
    <row r="20431" spans="1:1" x14ac:dyDescent="0.2">
      <c r="A20431" t="s">
        <v>1676</v>
      </c>
    </row>
    <row r="20432" spans="1:1" x14ac:dyDescent="0.2">
      <c r="A20432" t="s">
        <v>1677</v>
      </c>
    </row>
    <row r="20433" spans="1:1" x14ac:dyDescent="0.2">
      <c r="A20433" t="s">
        <v>1610</v>
      </c>
    </row>
    <row r="20434" spans="1:1" x14ac:dyDescent="0.2">
      <c r="A20434" t="s">
        <v>4108</v>
      </c>
    </row>
    <row r="20435" spans="1:1" x14ac:dyDescent="0.2">
      <c r="A20435" t="s">
        <v>4109</v>
      </c>
    </row>
    <row r="20436" spans="1:1" x14ac:dyDescent="0.2">
      <c r="A20436" t="s">
        <v>4110</v>
      </c>
    </row>
    <row r="20437" spans="1:1" x14ac:dyDescent="0.2">
      <c r="A20437" t="s">
        <v>4111</v>
      </c>
    </row>
    <row r="20438" spans="1:1" x14ac:dyDescent="0.2">
      <c r="A20438" t="s">
        <v>4112</v>
      </c>
    </row>
    <row r="20439" spans="1:1" x14ac:dyDescent="0.2">
      <c r="A20439" t="s">
        <v>4113</v>
      </c>
    </row>
    <row r="20440" spans="1:1" x14ac:dyDescent="0.2">
      <c r="A20440" t="s">
        <v>4114</v>
      </c>
    </row>
    <row r="20441" spans="1:1" x14ac:dyDescent="0.2">
      <c r="A20441" t="s">
        <v>4115</v>
      </c>
    </row>
    <row r="20442" spans="1:1" x14ac:dyDescent="0.2">
      <c r="A20442" t="s">
        <v>4116</v>
      </c>
    </row>
    <row r="20443" spans="1:1" x14ac:dyDescent="0.2">
      <c r="A20443" t="s">
        <v>4117</v>
      </c>
    </row>
    <row r="20444" spans="1:1" x14ac:dyDescent="0.2">
      <c r="A20444" t="s">
        <v>3484</v>
      </c>
    </row>
    <row r="20445" spans="1:1" x14ac:dyDescent="0.2">
      <c r="A20445" t="s">
        <v>4118</v>
      </c>
    </row>
    <row r="20446" spans="1:1" x14ac:dyDescent="0.2">
      <c r="A20446" t="s">
        <v>4119</v>
      </c>
    </row>
    <row r="20447" spans="1:1" x14ac:dyDescent="0.2">
      <c r="A20447" t="s">
        <v>4120</v>
      </c>
    </row>
    <row r="20448" spans="1:1" x14ac:dyDescent="0.2">
      <c r="A20448" t="s">
        <v>4121</v>
      </c>
    </row>
    <row r="20449" spans="1:1" x14ac:dyDescent="0.2">
      <c r="A20449" t="s">
        <v>4044</v>
      </c>
    </row>
    <row r="20450" spans="1:1" x14ac:dyDescent="0.2">
      <c r="A20450" t="s">
        <v>4045</v>
      </c>
    </row>
    <row r="20451" spans="1:1" x14ac:dyDescent="0.2">
      <c r="A20451" t="s">
        <v>4124</v>
      </c>
    </row>
    <row r="20452" spans="1:1" x14ac:dyDescent="0.2">
      <c r="A20452" t="s">
        <v>1594</v>
      </c>
    </row>
    <row r="20453" spans="1:1" x14ac:dyDescent="0.2">
      <c r="A20453" t="s">
        <v>4125</v>
      </c>
    </row>
    <row r="20454" spans="1:1" x14ac:dyDescent="0.2">
      <c r="A20454" t="s">
        <v>4126</v>
      </c>
    </row>
    <row r="20455" spans="1:1" x14ac:dyDescent="0.2">
      <c r="A20455" t="s">
        <v>1652</v>
      </c>
    </row>
    <row r="20456" spans="1:1" x14ac:dyDescent="0.2">
      <c r="A20456" t="s">
        <v>3318</v>
      </c>
    </row>
    <row r="20457" spans="1:1" x14ac:dyDescent="0.2">
      <c r="A20457" t="s">
        <v>4029</v>
      </c>
    </row>
    <row r="20458" spans="1:1" x14ac:dyDescent="0.2">
      <c r="A20458" t="s">
        <v>1600</v>
      </c>
    </row>
    <row r="20459" spans="1:1" x14ac:dyDescent="0.2">
      <c r="A20459" t="s">
        <v>1633</v>
      </c>
    </row>
    <row r="20460" spans="1:1" x14ac:dyDescent="0.2">
      <c r="A20460" t="s">
        <v>3403</v>
      </c>
    </row>
    <row r="20461" spans="1:1" x14ac:dyDescent="0.2">
      <c r="A20461" t="s">
        <v>1635</v>
      </c>
    </row>
    <row r="20462" spans="1:1" x14ac:dyDescent="0.2">
      <c r="A20462" t="s">
        <v>1604</v>
      </c>
    </row>
    <row r="20463" spans="1:1" x14ac:dyDescent="0.2">
      <c r="A20463" t="s">
        <v>1605</v>
      </c>
    </row>
    <row r="20464" spans="1:1" x14ac:dyDescent="0.2">
      <c r="A20464" t="s">
        <v>1606</v>
      </c>
    </row>
    <row r="20465" spans="1:1" x14ac:dyDescent="0.2">
      <c r="A20465" t="s">
        <v>1607</v>
      </c>
    </row>
    <row r="20466" spans="1:1" x14ac:dyDescent="0.2">
      <c r="A20466" t="s">
        <v>1676</v>
      </c>
    </row>
    <row r="20467" spans="1:1" x14ac:dyDescent="0.2">
      <c r="A20467" t="s">
        <v>1677</v>
      </c>
    </row>
    <row r="20468" spans="1:1" x14ac:dyDescent="0.2">
      <c r="A20468" t="s">
        <v>1610</v>
      </c>
    </row>
    <row r="20469" spans="1:1" x14ac:dyDescent="0.2">
      <c r="A20469" t="s">
        <v>4127</v>
      </c>
    </row>
    <row r="20470" spans="1:1" x14ac:dyDescent="0.2">
      <c r="A20470" t="s">
        <v>4128</v>
      </c>
    </row>
    <row r="20471" spans="1:1" x14ac:dyDescent="0.2">
      <c r="A20471" t="s">
        <v>4129</v>
      </c>
    </row>
    <row r="20472" spans="1:1" x14ac:dyDescent="0.2">
      <c r="A20472" t="s">
        <v>4130</v>
      </c>
    </row>
    <row r="20473" spans="1:1" x14ac:dyDescent="0.2">
      <c r="A20473" t="s">
        <v>4131</v>
      </c>
    </row>
    <row r="20474" spans="1:1" x14ac:dyDescent="0.2">
      <c r="A20474" t="s">
        <v>4132</v>
      </c>
    </row>
    <row r="20475" spans="1:1" x14ac:dyDescent="0.2">
      <c r="A20475" t="s">
        <v>4133</v>
      </c>
    </row>
    <row r="20476" spans="1:1" x14ac:dyDescent="0.2">
      <c r="A20476" t="s">
        <v>4134</v>
      </c>
    </row>
    <row r="20477" spans="1:1" x14ac:dyDescent="0.2">
      <c r="A20477" t="s">
        <v>4135</v>
      </c>
    </row>
    <row r="20478" spans="1:1" x14ac:dyDescent="0.2">
      <c r="A20478" t="s">
        <v>4136</v>
      </c>
    </row>
    <row r="20479" spans="1:1" x14ac:dyDescent="0.2">
      <c r="A20479" t="s">
        <v>3502</v>
      </c>
    </row>
    <row r="20480" spans="1:1" x14ac:dyDescent="0.2">
      <c r="A20480" t="s">
        <v>4137</v>
      </c>
    </row>
    <row r="20481" spans="1:1" x14ac:dyDescent="0.2">
      <c r="A20481" t="s">
        <v>4138</v>
      </c>
    </row>
    <row r="20482" spans="1:1" x14ac:dyDescent="0.2">
      <c r="A20482" t="s">
        <v>4139</v>
      </c>
    </row>
    <row r="20483" spans="1:1" x14ac:dyDescent="0.2">
      <c r="A20483" t="s">
        <v>4140</v>
      </c>
    </row>
    <row r="20484" spans="1:1" x14ac:dyDescent="0.2">
      <c r="A20484" t="s">
        <v>4044</v>
      </c>
    </row>
    <row r="20485" spans="1:1" x14ac:dyDescent="0.2">
      <c r="A20485" t="s">
        <v>4045</v>
      </c>
    </row>
    <row r="20486" spans="1:1" x14ac:dyDescent="0.2">
      <c r="A20486" t="s">
        <v>4141</v>
      </c>
    </row>
    <row r="20487" spans="1:1" x14ac:dyDescent="0.2">
      <c r="A20487" t="s">
        <v>1594</v>
      </c>
    </row>
    <row r="20488" spans="1:1" x14ac:dyDescent="0.2">
      <c r="A20488" t="s">
        <v>4125</v>
      </c>
    </row>
    <row r="20489" spans="1:1" x14ac:dyDescent="0.2">
      <c r="A20489" t="s">
        <v>4126</v>
      </c>
    </row>
    <row r="20490" spans="1:1" x14ac:dyDescent="0.2">
      <c r="A20490" t="s">
        <v>1652</v>
      </c>
    </row>
    <row r="20491" spans="1:1" x14ac:dyDescent="0.2">
      <c r="A20491" t="s">
        <v>3318</v>
      </c>
    </row>
    <row r="20492" spans="1:1" x14ac:dyDescent="0.2">
      <c r="A20492" t="s">
        <v>4029</v>
      </c>
    </row>
    <row r="20493" spans="1:1" x14ac:dyDescent="0.2">
      <c r="A20493" t="s">
        <v>1600</v>
      </c>
    </row>
    <row r="20494" spans="1:1" x14ac:dyDescent="0.2">
      <c r="A20494" t="s">
        <v>1639</v>
      </c>
    </row>
    <row r="20495" spans="1:1" x14ac:dyDescent="0.2">
      <c r="A20495" t="s">
        <v>3403</v>
      </c>
    </row>
    <row r="20496" spans="1:1" x14ac:dyDescent="0.2">
      <c r="A20496" t="s">
        <v>1635</v>
      </c>
    </row>
    <row r="20497" spans="1:1" x14ac:dyDescent="0.2">
      <c r="A20497" t="s">
        <v>1604</v>
      </c>
    </row>
    <row r="20498" spans="1:1" x14ac:dyDescent="0.2">
      <c r="A20498" t="s">
        <v>1605</v>
      </c>
    </row>
    <row r="20499" spans="1:1" x14ac:dyDescent="0.2">
      <c r="A20499" t="s">
        <v>1606</v>
      </c>
    </row>
    <row r="20500" spans="1:1" x14ac:dyDescent="0.2">
      <c r="A20500" t="s">
        <v>1607</v>
      </c>
    </row>
    <row r="20501" spans="1:1" x14ac:dyDescent="0.2">
      <c r="A20501" t="s">
        <v>1676</v>
      </c>
    </row>
    <row r="20502" spans="1:1" x14ac:dyDescent="0.2">
      <c r="A20502" t="s">
        <v>1677</v>
      </c>
    </row>
    <row r="20503" spans="1:1" x14ac:dyDescent="0.2">
      <c r="A20503" t="s">
        <v>1610</v>
      </c>
    </row>
    <row r="20504" spans="1:1" x14ac:dyDescent="0.2">
      <c r="A20504" t="s">
        <v>4127</v>
      </c>
    </row>
    <row r="20505" spans="1:1" x14ac:dyDescent="0.2">
      <c r="A20505" t="s">
        <v>4128</v>
      </c>
    </row>
    <row r="20506" spans="1:1" x14ac:dyDescent="0.2">
      <c r="A20506" t="s">
        <v>4129</v>
      </c>
    </row>
    <row r="20507" spans="1:1" x14ac:dyDescent="0.2">
      <c r="A20507" t="s">
        <v>4130</v>
      </c>
    </row>
    <row r="20508" spans="1:1" x14ac:dyDescent="0.2">
      <c r="A20508" t="s">
        <v>4131</v>
      </c>
    </row>
    <row r="20509" spans="1:1" x14ac:dyDescent="0.2">
      <c r="A20509" t="s">
        <v>4132</v>
      </c>
    </row>
    <row r="20510" spans="1:1" x14ac:dyDescent="0.2">
      <c r="A20510" t="s">
        <v>4133</v>
      </c>
    </row>
    <row r="20511" spans="1:1" x14ac:dyDescent="0.2">
      <c r="A20511" t="s">
        <v>4134</v>
      </c>
    </row>
    <row r="20512" spans="1:1" x14ac:dyDescent="0.2">
      <c r="A20512" t="s">
        <v>4135</v>
      </c>
    </row>
    <row r="20513" spans="1:1" x14ac:dyDescent="0.2">
      <c r="A20513" t="s">
        <v>4136</v>
      </c>
    </row>
    <row r="20514" spans="1:1" x14ac:dyDescent="0.2">
      <c r="A20514" t="s">
        <v>3502</v>
      </c>
    </row>
    <row r="20515" spans="1:1" x14ac:dyDescent="0.2">
      <c r="A20515" t="s">
        <v>4137</v>
      </c>
    </row>
    <row r="20516" spans="1:1" x14ac:dyDescent="0.2">
      <c r="A20516" t="s">
        <v>4138</v>
      </c>
    </row>
    <row r="20517" spans="1:1" x14ac:dyDescent="0.2">
      <c r="A20517" t="s">
        <v>4139</v>
      </c>
    </row>
    <row r="20518" spans="1:1" x14ac:dyDescent="0.2">
      <c r="A20518" t="s">
        <v>4140</v>
      </c>
    </row>
    <row r="20519" spans="1:1" x14ac:dyDescent="0.2">
      <c r="A20519" t="s">
        <v>4044</v>
      </c>
    </row>
    <row r="20520" spans="1:1" x14ac:dyDescent="0.2">
      <c r="A20520" t="s">
        <v>4045</v>
      </c>
    </row>
    <row r="20521" spans="1:1" x14ac:dyDescent="0.2">
      <c r="A20521" t="s">
        <v>4142</v>
      </c>
    </row>
    <row r="20522" spans="1:1" x14ac:dyDescent="0.2">
      <c r="A20522" t="s">
        <v>1594</v>
      </c>
    </row>
    <row r="20523" spans="1:1" x14ac:dyDescent="0.2">
      <c r="A20523" t="s">
        <v>4125</v>
      </c>
    </row>
    <row r="20524" spans="1:1" x14ac:dyDescent="0.2">
      <c r="A20524" t="s">
        <v>4126</v>
      </c>
    </row>
    <row r="20525" spans="1:1" x14ac:dyDescent="0.2">
      <c r="A20525" t="s">
        <v>1652</v>
      </c>
    </row>
    <row r="20526" spans="1:1" x14ac:dyDescent="0.2">
      <c r="A20526" t="s">
        <v>3318</v>
      </c>
    </row>
    <row r="20527" spans="1:1" x14ac:dyDescent="0.2">
      <c r="A20527" t="s">
        <v>4029</v>
      </c>
    </row>
    <row r="20528" spans="1:1" x14ac:dyDescent="0.2">
      <c r="A20528" t="s">
        <v>1600</v>
      </c>
    </row>
    <row r="20529" spans="1:1" x14ac:dyDescent="0.2">
      <c r="A20529" t="s">
        <v>1601</v>
      </c>
    </row>
    <row r="20530" spans="1:1" x14ac:dyDescent="0.2">
      <c r="A20530" t="s">
        <v>3403</v>
      </c>
    </row>
    <row r="20531" spans="1:1" x14ac:dyDescent="0.2">
      <c r="A20531" t="s">
        <v>1635</v>
      </c>
    </row>
    <row r="20532" spans="1:1" x14ac:dyDescent="0.2">
      <c r="A20532" t="s">
        <v>1604</v>
      </c>
    </row>
    <row r="20533" spans="1:1" x14ac:dyDescent="0.2">
      <c r="A20533" t="s">
        <v>1605</v>
      </c>
    </row>
    <row r="20534" spans="1:1" x14ac:dyDescent="0.2">
      <c r="A20534" t="s">
        <v>1606</v>
      </c>
    </row>
    <row r="20535" spans="1:1" x14ac:dyDescent="0.2">
      <c r="A20535" t="s">
        <v>1607</v>
      </c>
    </row>
    <row r="20536" spans="1:1" x14ac:dyDescent="0.2">
      <c r="A20536" t="s">
        <v>1676</v>
      </c>
    </row>
    <row r="20537" spans="1:1" x14ac:dyDescent="0.2">
      <c r="A20537" t="s">
        <v>1677</v>
      </c>
    </row>
    <row r="20538" spans="1:1" x14ac:dyDescent="0.2">
      <c r="A20538" t="s">
        <v>1610</v>
      </c>
    </row>
    <row r="20539" spans="1:1" x14ac:dyDescent="0.2">
      <c r="A20539" t="s">
        <v>4127</v>
      </c>
    </row>
    <row r="20540" spans="1:1" x14ac:dyDescent="0.2">
      <c r="A20540" t="s">
        <v>4128</v>
      </c>
    </row>
    <row r="20541" spans="1:1" x14ac:dyDescent="0.2">
      <c r="A20541" t="s">
        <v>4129</v>
      </c>
    </row>
    <row r="20542" spans="1:1" x14ac:dyDescent="0.2">
      <c r="A20542" t="s">
        <v>4130</v>
      </c>
    </row>
    <row r="20543" spans="1:1" x14ac:dyDescent="0.2">
      <c r="A20543" t="s">
        <v>4131</v>
      </c>
    </row>
    <row r="20544" spans="1:1" x14ac:dyDescent="0.2">
      <c r="A20544" t="s">
        <v>4132</v>
      </c>
    </row>
    <row r="20545" spans="1:1" x14ac:dyDescent="0.2">
      <c r="A20545" t="s">
        <v>4133</v>
      </c>
    </row>
    <row r="20546" spans="1:1" x14ac:dyDescent="0.2">
      <c r="A20546" t="s">
        <v>4134</v>
      </c>
    </row>
    <row r="20547" spans="1:1" x14ac:dyDescent="0.2">
      <c r="A20547" t="s">
        <v>4135</v>
      </c>
    </row>
    <row r="20548" spans="1:1" x14ac:dyDescent="0.2">
      <c r="A20548" t="s">
        <v>4136</v>
      </c>
    </row>
    <row r="20549" spans="1:1" x14ac:dyDescent="0.2">
      <c r="A20549" t="s">
        <v>3502</v>
      </c>
    </row>
    <row r="20550" spans="1:1" x14ac:dyDescent="0.2">
      <c r="A20550" t="s">
        <v>4137</v>
      </c>
    </row>
    <row r="20551" spans="1:1" x14ac:dyDescent="0.2">
      <c r="A20551" t="s">
        <v>4138</v>
      </c>
    </row>
    <row r="20552" spans="1:1" x14ac:dyDescent="0.2">
      <c r="A20552" t="s">
        <v>4139</v>
      </c>
    </row>
    <row r="20553" spans="1:1" x14ac:dyDescent="0.2">
      <c r="A20553" t="s">
        <v>4140</v>
      </c>
    </row>
    <row r="20554" spans="1:1" x14ac:dyDescent="0.2">
      <c r="A20554" t="s">
        <v>4044</v>
      </c>
    </row>
    <row r="20555" spans="1:1" x14ac:dyDescent="0.2">
      <c r="A20555" t="s">
        <v>4045</v>
      </c>
    </row>
    <row r="20556" spans="1:1" x14ac:dyDescent="0.2">
      <c r="A20556" t="s">
        <v>4143</v>
      </c>
    </row>
    <row r="20557" spans="1:1" x14ac:dyDescent="0.2">
      <c r="A20557" t="s">
        <v>1594</v>
      </c>
    </row>
    <row r="20558" spans="1:1" x14ac:dyDescent="0.2">
      <c r="A20558" t="s">
        <v>4106</v>
      </c>
    </row>
    <row r="20559" spans="1:1" x14ac:dyDescent="0.2">
      <c r="A20559" t="s">
        <v>4144</v>
      </c>
    </row>
    <row r="20560" spans="1:1" x14ac:dyDescent="0.2">
      <c r="A20560" t="s">
        <v>1652</v>
      </c>
    </row>
    <row r="20561" spans="1:1" x14ac:dyDescent="0.2">
      <c r="A20561" t="s">
        <v>3318</v>
      </c>
    </row>
    <row r="20562" spans="1:1" x14ac:dyDescent="0.2">
      <c r="A20562" t="s">
        <v>4029</v>
      </c>
    </row>
    <row r="20563" spans="1:1" x14ac:dyDescent="0.2">
      <c r="A20563" t="s">
        <v>1600</v>
      </c>
    </row>
    <row r="20564" spans="1:1" x14ac:dyDescent="0.2">
      <c r="A20564" t="s">
        <v>1633</v>
      </c>
    </row>
    <row r="20565" spans="1:1" x14ac:dyDescent="0.2">
      <c r="A20565" t="s">
        <v>3403</v>
      </c>
    </row>
    <row r="20566" spans="1:1" x14ac:dyDescent="0.2">
      <c r="A20566" t="s">
        <v>1635</v>
      </c>
    </row>
    <row r="20567" spans="1:1" x14ac:dyDescent="0.2">
      <c r="A20567" t="s">
        <v>1604</v>
      </c>
    </row>
    <row r="20568" spans="1:1" x14ac:dyDescent="0.2">
      <c r="A20568" t="s">
        <v>1605</v>
      </c>
    </row>
    <row r="20569" spans="1:1" x14ac:dyDescent="0.2">
      <c r="A20569" t="s">
        <v>1606</v>
      </c>
    </row>
    <row r="20570" spans="1:1" x14ac:dyDescent="0.2">
      <c r="A20570" t="s">
        <v>1607</v>
      </c>
    </row>
    <row r="20571" spans="1:1" x14ac:dyDescent="0.2">
      <c r="A20571" t="s">
        <v>1676</v>
      </c>
    </row>
    <row r="20572" spans="1:1" x14ac:dyDescent="0.2">
      <c r="A20572" t="s">
        <v>1677</v>
      </c>
    </row>
    <row r="20573" spans="1:1" x14ac:dyDescent="0.2">
      <c r="A20573" t="s">
        <v>1610</v>
      </c>
    </row>
    <row r="20574" spans="1:1" x14ac:dyDescent="0.2">
      <c r="A20574" t="s">
        <v>4108</v>
      </c>
    </row>
    <row r="20575" spans="1:1" x14ac:dyDescent="0.2">
      <c r="A20575" t="s">
        <v>4109</v>
      </c>
    </row>
    <row r="20576" spans="1:1" x14ac:dyDescent="0.2">
      <c r="A20576" t="s">
        <v>4110</v>
      </c>
    </row>
    <row r="20577" spans="1:1" x14ac:dyDescent="0.2">
      <c r="A20577" t="s">
        <v>4111</v>
      </c>
    </row>
    <row r="20578" spans="1:1" x14ac:dyDescent="0.2">
      <c r="A20578" t="s">
        <v>4112</v>
      </c>
    </row>
    <row r="20579" spans="1:1" x14ac:dyDescent="0.2">
      <c r="A20579" t="s">
        <v>4145</v>
      </c>
    </row>
    <row r="20580" spans="1:1" x14ac:dyDescent="0.2">
      <c r="A20580" t="s">
        <v>4146</v>
      </c>
    </row>
    <row r="20581" spans="1:1" x14ac:dyDescent="0.2">
      <c r="A20581" t="s">
        <v>4147</v>
      </c>
    </row>
    <row r="20582" spans="1:1" x14ac:dyDescent="0.2">
      <c r="A20582" t="s">
        <v>4148</v>
      </c>
    </row>
    <row r="20583" spans="1:1" x14ac:dyDescent="0.2">
      <c r="A20583" t="s">
        <v>4149</v>
      </c>
    </row>
    <row r="20584" spans="1:1" x14ac:dyDescent="0.2">
      <c r="A20584" t="s">
        <v>3451</v>
      </c>
    </row>
    <row r="20585" spans="1:1" x14ac:dyDescent="0.2">
      <c r="A20585" t="s">
        <v>4150</v>
      </c>
    </row>
    <row r="20586" spans="1:1" x14ac:dyDescent="0.2">
      <c r="A20586" t="s">
        <v>4151</v>
      </c>
    </row>
    <row r="20587" spans="1:1" x14ac:dyDescent="0.2">
      <c r="A20587" t="s">
        <v>4152</v>
      </c>
    </row>
    <row r="20588" spans="1:1" x14ac:dyDescent="0.2">
      <c r="A20588" t="s">
        <v>4153</v>
      </c>
    </row>
    <row r="20589" spans="1:1" x14ac:dyDescent="0.2">
      <c r="A20589" t="s">
        <v>4044</v>
      </c>
    </row>
    <row r="20590" spans="1:1" x14ac:dyDescent="0.2">
      <c r="A20590" t="s">
        <v>4045</v>
      </c>
    </row>
    <row r="20591" spans="1:1" x14ac:dyDescent="0.2">
      <c r="A20591" t="s">
        <v>4154</v>
      </c>
    </row>
    <row r="20592" spans="1:1" x14ac:dyDescent="0.2">
      <c r="A20592" t="s">
        <v>1594</v>
      </c>
    </row>
    <row r="20593" spans="1:1" x14ac:dyDescent="0.2">
      <c r="A20593" t="s">
        <v>4106</v>
      </c>
    </row>
    <row r="20594" spans="1:1" x14ac:dyDescent="0.2">
      <c r="A20594" t="s">
        <v>4144</v>
      </c>
    </row>
    <row r="20595" spans="1:1" x14ac:dyDescent="0.2">
      <c r="A20595" t="s">
        <v>1652</v>
      </c>
    </row>
    <row r="20596" spans="1:1" x14ac:dyDescent="0.2">
      <c r="A20596" t="s">
        <v>3318</v>
      </c>
    </row>
    <row r="20597" spans="1:1" x14ac:dyDescent="0.2">
      <c r="A20597" t="s">
        <v>4029</v>
      </c>
    </row>
    <row r="20598" spans="1:1" x14ac:dyDescent="0.2">
      <c r="A20598" t="s">
        <v>1600</v>
      </c>
    </row>
    <row r="20599" spans="1:1" x14ac:dyDescent="0.2">
      <c r="A20599" t="s">
        <v>1639</v>
      </c>
    </row>
    <row r="20600" spans="1:1" x14ac:dyDescent="0.2">
      <c r="A20600" t="s">
        <v>3403</v>
      </c>
    </row>
    <row r="20601" spans="1:1" x14ac:dyDescent="0.2">
      <c r="A20601" t="s">
        <v>1635</v>
      </c>
    </row>
    <row r="20602" spans="1:1" x14ac:dyDescent="0.2">
      <c r="A20602" t="s">
        <v>1604</v>
      </c>
    </row>
    <row r="20603" spans="1:1" x14ac:dyDescent="0.2">
      <c r="A20603" t="s">
        <v>1605</v>
      </c>
    </row>
    <row r="20604" spans="1:1" x14ac:dyDescent="0.2">
      <c r="A20604" t="s">
        <v>1606</v>
      </c>
    </row>
    <row r="20605" spans="1:1" x14ac:dyDescent="0.2">
      <c r="A20605" t="s">
        <v>1607</v>
      </c>
    </row>
    <row r="20606" spans="1:1" x14ac:dyDescent="0.2">
      <c r="A20606" t="s">
        <v>1676</v>
      </c>
    </row>
    <row r="20607" spans="1:1" x14ac:dyDescent="0.2">
      <c r="A20607" t="s">
        <v>1677</v>
      </c>
    </row>
    <row r="20608" spans="1:1" x14ac:dyDescent="0.2">
      <c r="A20608" t="s">
        <v>1610</v>
      </c>
    </row>
    <row r="20609" spans="1:1" x14ac:dyDescent="0.2">
      <c r="A20609" t="s">
        <v>4108</v>
      </c>
    </row>
    <row r="20610" spans="1:1" x14ac:dyDescent="0.2">
      <c r="A20610" t="s">
        <v>4109</v>
      </c>
    </row>
    <row r="20611" spans="1:1" x14ac:dyDescent="0.2">
      <c r="A20611" t="s">
        <v>4110</v>
      </c>
    </row>
    <row r="20612" spans="1:1" x14ac:dyDescent="0.2">
      <c r="A20612" t="s">
        <v>4111</v>
      </c>
    </row>
    <row r="20613" spans="1:1" x14ac:dyDescent="0.2">
      <c r="A20613" t="s">
        <v>4112</v>
      </c>
    </row>
    <row r="20614" spans="1:1" x14ac:dyDescent="0.2">
      <c r="A20614" t="s">
        <v>4145</v>
      </c>
    </row>
    <row r="20615" spans="1:1" x14ac:dyDescent="0.2">
      <c r="A20615" t="s">
        <v>4146</v>
      </c>
    </row>
    <row r="20616" spans="1:1" x14ac:dyDescent="0.2">
      <c r="A20616" t="s">
        <v>4147</v>
      </c>
    </row>
    <row r="20617" spans="1:1" x14ac:dyDescent="0.2">
      <c r="A20617" t="s">
        <v>4148</v>
      </c>
    </row>
    <row r="20618" spans="1:1" x14ac:dyDescent="0.2">
      <c r="A20618" t="s">
        <v>4149</v>
      </c>
    </row>
    <row r="20619" spans="1:1" x14ac:dyDescent="0.2">
      <c r="A20619" t="s">
        <v>3451</v>
      </c>
    </row>
    <row r="20620" spans="1:1" x14ac:dyDescent="0.2">
      <c r="A20620" t="s">
        <v>4150</v>
      </c>
    </row>
    <row r="20621" spans="1:1" x14ac:dyDescent="0.2">
      <c r="A20621" t="s">
        <v>4151</v>
      </c>
    </row>
    <row r="20622" spans="1:1" x14ac:dyDescent="0.2">
      <c r="A20622" t="s">
        <v>4152</v>
      </c>
    </row>
    <row r="20623" spans="1:1" x14ac:dyDescent="0.2">
      <c r="A20623" t="s">
        <v>4153</v>
      </c>
    </row>
    <row r="20624" spans="1:1" x14ac:dyDescent="0.2">
      <c r="A20624" t="s">
        <v>4044</v>
      </c>
    </row>
    <row r="20625" spans="1:1" x14ac:dyDescent="0.2">
      <c r="A20625" t="s">
        <v>4045</v>
      </c>
    </row>
    <row r="20626" spans="1:1" x14ac:dyDescent="0.2">
      <c r="A20626" t="s">
        <v>4155</v>
      </c>
    </row>
    <row r="20627" spans="1:1" x14ac:dyDescent="0.2">
      <c r="A20627" t="s">
        <v>1594</v>
      </c>
    </row>
    <row r="20628" spans="1:1" x14ac:dyDescent="0.2">
      <c r="A20628" t="s">
        <v>4106</v>
      </c>
    </row>
    <row r="20629" spans="1:1" x14ac:dyDescent="0.2">
      <c r="A20629" t="s">
        <v>4144</v>
      </c>
    </row>
    <row r="20630" spans="1:1" x14ac:dyDescent="0.2">
      <c r="A20630" t="s">
        <v>1652</v>
      </c>
    </row>
    <row r="20631" spans="1:1" x14ac:dyDescent="0.2">
      <c r="A20631" t="s">
        <v>3318</v>
      </c>
    </row>
    <row r="20632" spans="1:1" x14ac:dyDescent="0.2">
      <c r="A20632" t="s">
        <v>4029</v>
      </c>
    </row>
    <row r="20633" spans="1:1" x14ac:dyDescent="0.2">
      <c r="A20633" t="s">
        <v>1600</v>
      </c>
    </row>
    <row r="20634" spans="1:1" x14ac:dyDescent="0.2">
      <c r="A20634" t="s">
        <v>1601</v>
      </c>
    </row>
    <row r="20635" spans="1:1" x14ac:dyDescent="0.2">
      <c r="A20635" t="s">
        <v>3403</v>
      </c>
    </row>
    <row r="20636" spans="1:1" x14ac:dyDescent="0.2">
      <c r="A20636" t="s">
        <v>1635</v>
      </c>
    </row>
    <row r="20637" spans="1:1" x14ac:dyDescent="0.2">
      <c r="A20637" t="s">
        <v>1604</v>
      </c>
    </row>
    <row r="20638" spans="1:1" x14ac:dyDescent="0.2">
      <c r="A20638" t="s">
        <v>1605</v>
      </c>
    </row>
    <row r="20639" spans="1:1" x14ac:dyDescent="0.2">
      <c r="A20639" t="s">
        <v>1606</v>
      </c>
    </row>
    <row r="20640" spans="1:1" x14ac:dyDescent="0.2">
      <c r="A20640" t="s">
        <v>1607</v>
      </c>
    </row>
    <row r="20641" spans="1:1" x14ac:dyDescent="0.2">
      <c r="A20641" t="s">
        <v>1676</v>
      </c>
    </row>
    <row r="20642" spans="1:1" x14ac:dyDescent="0.2">
      <c r="A20642" t="s">
        <v>1677</v>
      </c>
    </row>
    <row r="20643" spans="1:1" x14ac:dyDescent="0.2">
      <c r="A20643" t="s">
        <v>1610</v>
      </c>
    </row>
    <row r="20644" spans="1:1" x14ac:dyDescent="0.2">
      <c r="A20644" t="s">
        <v>4108</v>
      </c>
    </row>
    <row r="20645" spans="1:1" x14ac:dyDescent="0.2">
      <c r="A20645" t="s">
        <v>4109</v>
      </c>
    </row>
    <row r="20646" spans="1:1" x14ac:dyDescent="0.2">
      <c r="A20646" t="s">
        <v>4110</v>
      </c>
    </row>
    <row r="20647" spans="1:1" x14ac:dyDescent="0.2">
      <c r="A20647" t="s">
        <v>4111</v>
      </c>
    </row>
    <row r="20648" spans="1:1" x14ac:dyDescent="0.2">
      <c r="A20648" t="s">
        <v>4112</v>
      </c>
    </row>
    <row r="20649" spans="1:1" x14ac:dyDescent="0.2">
      <c r="A20649" t="s">
        <v>4145</v>
      </c>
    </row>
    <row r="20650" spans="1:1" x14ac:dyDescent="0.2">
      <c r="A20650" t="s">
        <v>4146</v>
      </c>
    </row>
    <row r="20651" spans="1:1" x14ac:dyDescent="0.2">
      <c r="A20651" t="s">
        <v>4147</v>
      </c>
    </row>
    <row r="20652" spans="1:1" x14ac:dyDescent="0.2">
      <c r="A20652" t="s">
        <v>4148</v>
      </c>
    </row>
    <row r="20653" spans="1:1" x14ac:dyDescent="0.2">
      <c r="A20653" t="s">
        <v>4149</v>
      </c>
    </row>
    <row r="20654" spans="1:1" x14ac:dyDescent="0.2">
      <c r="A20654" t="s">
        <v>3451</v>
      </c>
    </row>
    <row r="20655" spans="1:1" x14ac:dyDescent="0.2">
      <c r="A20655" t="s">
        <v>4150</v>
      </c>
    </row>
    <row r="20656" spans="1:1" x14ac:dyDescent="0.2">
      <c r="A20656" t="s">
        <v>4151</v>
      </c>
    </row>
    <row r="20657" spans="1:1" x14ac:dyDescent="0.2">
      <c r="A20657" t="s">
        <v>4152</v>
      </c>
    </row>
    <row r="20658" spans="1:1" x14ac:dyDescent="0.2">
      <c r="A20658" t="s">
        <v>4153</v>
      </c>
    </row>
    <row r="20659" spans="1:1" x14ac:dyDescent="0.2">
      <c r="A20659" t="s">
        <v>4044</v>
      </c>
    </row>
    <row r="20660" spans="1:1" x14ac:dyDescent="0.2">
      <c r="A20660" t="s">
        <v>4045</v>
      </c>
    </row>
    <row r="20661" spans="1:1" x14ac:dyDescent="0.2">
      <c r="A20661" t="s">
        <v>4156</v>
      </c>
    </row>
    <row r="20662" spans="1:1" x14ac:dyDescent="0.2">
      <c r="A20662" t="s">
        <v>1594</v>
      </c>
    </row>
    <row r="20663" spans="1:1" x14ac:dyDescent="0.2">
      <c r="A20663" t="s">
        <v>1595</v>
      </c>
    </row>
    <row r="20664" spans="1:1" x14ac:dyDescent="0.2">
      <c r="A20664" t="s">
        <v>3439</v>
      </c>
    </row>
    <row r="20665" spans="1:1" x14ac:dyDescent="0.2">
      <c r="A20665" t="s">
        <v>1597</v>
      </c>
    </row>
    <row r="20666" spans="1:1" x14ac:dyDescent="0.2">
      <c r="A20666" t="s">
        <v>1598</v>
      </c>
    </row>
    <row r="20667" spans="1:1" x14ac:dyDescent="0.2">
      <c r="A20667" t="s">
        <v>1599</v>
      </c>
    </row>
    <row r="20668" spans="1:1" x14ac:dyDescent="0.2">
      <c r="A20668" t="s">
        <v>1600</v>
      </c>
    </row>
    <row r="20669" spans="1:1" x14ac:dyDescent="0.2">
      <c r="A20669" t="s">
        <v>1601</v>
      </c>
    </row>
    <row r="20670" spans="1:1" x14ac:dyDescent="0.2">
      <c r="A20670" t="s">
        <v>1602</v>
      </c>
    </row>
    <row r="20671" spans="1:1" x14ac:dyDescent="0.2">
      <c r="A20671" t="s">
        <v>1603</v>
      </c>
    </row>
    <row r="20672" spans="1:1" x14ac:dyDescent="0.2">
      <c r="A20672" t="s">
        <v>1604</v>
      </c>
    </row>
    <row r="20673" spans="1:1" x14ac:dyDescent="0.2">
      <c r="A20673" t="s">
        <v>1605</v>
      </c>
    </row>
    <row r="20674" spans="1:1" x14ac:dyDescent="0.2">
      <c r="A20674" t="s">
        <v>1606</v>
      </c>
    </row>
    <row r="20675" spans="1:1" x14ac:dyDescent="0.2">
      <c r="A20675" t="s">
        <v>1607</v>
      </c>
    </row>
    <row r="20676" spans="1:1" x14ac:dyDescent="0.2">
      <c r="A20676" t="s">
        <v>1608</v>
      </c>
    </row>
    <row r="20677" spans="1:1" x14ac:dyDescent="0.2">
      <c r="A20677" t="s">
        <v>1609</v>
      </c>
    </row>
    <row r="20678" spans="1:1" x14ac:dyDescent="0.2">
      <c r="A20678" t="s">
        <v>1610</v>
      </c>
    </row>
    <row r="20679" spans="1:1" x14ac:dyDescent="0.2">
      <c r="A20679" t="s">
        <v>1611</v>
      </c>
    </row>
    <row r="20680" spans="1:1" x14ac:dyDescent="0.2">
      <c r="A20680" t="s">
        <v>1612</v>
      </c>
    </row>
    <row r="20681" spans="1:1" x14ac:dyDescent="0.2">
      <c r="A20681" t="s">
        <v>1613</v>
      </c>
    </row>
    <row r="20682" spans="1:1" x14ac:dyDescent="0.2">
      <c r="A20682" t="s">
        <v>1614</v>
      </c>
    </row>
    <row r="20683" spans="1:1" x14ac:dyDescent="0.2">
      <c r="A20683" t="s">
        <v>1615</v>
      </c>
    </row>
    <row r="20684" spans="1:1" x14ac:dyDescent="0.2">
      <c r="A20684" t="s">
        <v>1616</v>
      </c>
    </row>
    <row r="20685" spans="1:1" x14ac:dyDescent="0.2">
      <c r="A20685" t="s">
        <v>1617</v>
      </c>
    </row>
    <row r="20686" spans="1:1" x14ac:dyDescent="0.2">
      <c r="A20686" t="s">
        <v>1618</v>
      </c>
    </row>
    <row r="20687" spans="1:1" x14ac:dyDescent="0.2">
      <c r="A20687" t="s">
        <v>1619</v>
      </c>
    </row>
    <row r="20688" spans="1:1" x14ac:dyDescent="0.2">
      <c r="A20688" t="s">
        <v>1620</v>
      </c>
    </row>
    <row r="20689" spans="1:1" x14ac:dyDescent="0.2">
      <c r="A20689" t="s">
        <v>1621</v>
      </c>
    </row>
    <row r="20690" spans="1:1" x14ac:dyDescent="0.2">
      <c r="A20690" t="s">
        <v>1622</v>
      </c>
    </row>
    <row r="20691" spans="1:1" x14ac:dyDescent="0.2">
      <c r="A20691" t="s">
        <v>1623</v>
      </c>
    </row>
    <row r="20692" spans="1:1" x14ac:dyDescent="0.2">
      <c r="A20692" t="s">
        <v>1624</v>
      </c>
    </row>
    <row r="20693" spans="1:1" x14ac:dyDescent="0.2">
      <c r="A20693" t="s">
        <v>1625</v>
      </c>
    </row>
    <row r="20694" spans="1:1" x14ac:dyDescent="0.2">
      <c r="A20694" t="s">
        <v>1626</v>
      </c>
    </row>
    <row r="20695" spans="1:1" x14ac:dyDescent="0.2">
      <c r="A20695" t="s">
        <v>1627</v>
      </c>
    </row>
    <row r="20696" spans="1:1" x14ac:dyDescent="0.2">
      <c r="A20696" t="s">
        <v>4157</v>
      </c>
    </row>
    <row r="20697" spans="1:1" x14ac:dyDescent="0.2">
      <c r="A20697" t="s">
        <v>1594</v>
      </c>
    </row>
    <row r="20698" spans="1:1" x14ac:dyDescent="0.2">
      <c r="A20698" t="s">
        <v>3509</v>
      </c>
    </row>
    <row r="20699" spans="1:1" x14ac:dyDescent="0.2">
      <c r="A20699" t="s">
        <v>4158</v>
      </c>
    </row>
    <row r="20700" spans="1:1" x14ac:dyDescent="0.2">
      <c r="A20700" t="s">
        <v>1664</v>
      </c>
    </row>
    <row r="20701" spans="1:1" x14ac:dyDescent="0.2">
      <c r="A20701" t="s">
        <v>3318</v>
      </c>
    </row>
    <row r="20702" spans="1:1" x14ac:dyDescent="0.2">
      <c r="A20702" t="s">
        <v>4029</v>
      </c>
    </row>
    <row r="20703" spans="1:1" x14ac:dyDescent="0.2">
      <c r="A20703" t="s">
        <v>1600</v>
      </c>
    </row>
    <row r="20704" spans="1:1" x14ac:dyDescent="0.2">
      <c r="A20704" t="s">
        <v>1639</v>
      </c>
    </row>
    <row r="20705" spans="1:1" x14ac:dyDescent="0.2">
      <c r="A20705" t="s">
        <v>1602</v>
      </c>
    </row>
    <row r="20706" spans="1:1" x14ac:dyDescent="0.2">
      <c r="A20706" t="s">
        <v>1603</v>
      </c>
    </row>
    <row r="20707" spans="1:1" x14ac:dyDescent="0.2">
      <c r="A20707" t="s">
        <v>1604</v>
      </c>
    </row>
    <row r="20708" spans="1:1" x14ac:dyDescent="0.2">
      <c r="A20708" t="s">
        <v>1605</v>
      </c>
    </row>
    <row r="20709" spans="1:1" x14ac:dyDescent="0.2">
      <c r="A20709" t="s">
        <v>1606</v>
      </c>
    </row>
    <row r="20710" spans="1:1" x14ac:dyDescent="0.2">
      <c r="A20710" t="s">
        <v>3896</v>
      </c>
    </row>
    <row r="20711" spans="1:1" x14ac:dyDescent="0.2">
      <c r="A20711" t="s">
        <v>1608</v>
      </c>
    </row>
    <row r="20712" spans="1:1" x14ac:dyDescent="0.2">
      <c r="A20712" t="s">
        <v>1609</v>
      </c>
    </row>
    <row r="20713" spans="1:1" x14ac:dyDescent="0.2">
      <c r="A20713" t="s">
        <v>1610</v>
      </c>
    </row>
    <row r="20714" spans="1:1" x14ac:dyDescent="0.2">
      <c r="A20714" t="s">
        <v>4159</v>
      </c>
    </row>
    <row r="20715" spans="1:1" x14ac:dyDescent="0.2">
      <c r="A20715" t="s">
        <v>4160</v>
      </c>
    </row>
    <row r="20716" spans="1:1" x14ac:dyDescent="0.2">
      <c r="A20716" t="s">
        <v>4161</v>
      </c>
    </row>
    <row r="20717" spans="1:1" x14ac:dyDescent="0.2">
      <c r="A20717" t="s">
        <v>4162</v>
      </c>
    </row>
    <row r="20718" spans="1:1" x14ac:dyDescent="0.2">
      <c r="A20718" t="s">
        <v>4163</v>
      </c>
    </row>
    <row r="20719" spans="1:1" x14ac:dyDescent="0.2">
      <c r="A20719" t="s">
        <v>4164</v>
      </c>
    </row>
    <row r="20720" spans="1:1" x14ac:dyDescent="0.2">
      <c r="A20720" t="s">
        <v>4165</v>
      </c>
    </row>
    <row r="20721" spans="1:1" x14ac:dyDescent="0.2">
      <c r="A20721" t="s">
        <v>4166</v>
      </c>
    </row>
    <row r="20722" spans="1:1" x14ac:dyDescent="0.2">
      <c r="A20722" t="s">
        <v>4167</v>
      </c>
    </row>
    <row r="20723" spans="1:1" x14ac:dyDescent="0.2">
      <c r="A20723" t="s">
        <v>4168</v>
      </c>
    </row>
    <row r="20724" spans="1:1" x14ac:dyDescent="0.2">
      <c r="A20724" t="s">
        <v>4169</v>
      </c>
    </row>
    <row r="20725" spans="1:1" x14ac:dyDescent="0.2">
      <c r="A20725" t="s">
        <v>4170</v>
      </c>
    </row>
    <row r="20726" spans="1:1" x14ac:dyDescent="0.2">
      <c r="A20726" t="s">
        <v>4171</v>
      </c>
    </row>
    <row r="20727" spans="1:1" x14ac:dyDescent="0.2">
      <c r="A20727" t="s">
        <v>4172</v>
      </c>
    </row>
    <row r="20728" spans="1:1" x14ac:dyDescent="0.2">
      <c r="A20728" t="s">
        <v>4173</v>
      </c>
    </row>
    <row r="20729" spans="1:1" x14ac:dyDescent="0.2">
      <c r="A20729" t="s">
        <v>4044</v>
      </c>
    </row>
    <row r="20730" spans="1:1" x14ac:dyDescent="0.2">
      <c r="A20730" t="s">
        <v>4045</v>
      </c>
    </row>
    <row r="20731" spans="1:1" x14ac:dyDescent="0.2">
      <c r="A20731" t="s">
        <v>4174</v>
      </c>
    </row>
    <row r="20732" spans="1:1" x14ac:dyDescent="0.2">
      <c r="A20732" t="s">
        <v>1594</v>
      </c>
    </row>
    <row r="20733" spans="1:1" x14ac:dyDescent="0.2">
      <c r="A20733" t="s">
        <v>1595</v>
      </c>
    </row>
    <row r="20734" spans="1:1" x14ac:dyDescent="0.2">
      <c r="A20734" t="s">
        <v>1596</v>
      </c>
    </row>
    <row r="20735" spans="1:1" x14ac:dyDescent="0.2">
      <c r="A20735" t="s">
        <v>1597</v>
      </c>
    </row>
    <row r="20736" spans="1:1" x14ac:dyDescent="0.2">
      <c r="A20736" t="s">
        <v>1598</v>
      </c>
    </row>
    <row r="20737" spans="1:1" x14ac:dyDescent="0.2">
      <c r="A20737" t="s">
        <v>1599</v>
      </c>
    </row>
    <row r="20738" spans="1:1" x14ac:dyDescent="0.2">
      <c r="A20738" t="s">
        <v>1600</v>
      </c>
    </row>
    <row r="20739" spans="1:1" x14ac:dyDescent="0.2">
      <c r="A20739" t="s">
        <v>1601</v>
      </c>
    </row>
    <row r="20740" spans="1:1" x14ac:dyDescent="0.2">
      <c r="A20740" t="s">
        <v>1602</v>
      </c>
    </row>
    <row r="20741" spans="1:1" x14ac:dyDescent="0.2">
      <c r="A20741" t="s">
        <v>1603</v>
      </c>
    </row>
    <row r="20742" spans="1:1" x14ac:dyDescent="0.2">
      <c r="A20742" t="s">
        <v>1604</v>
      </c>
    </row>
    <row r="20743" spans="1:1" x14ac:dyDescent="0.2">
      <c r="A20743" t="s">
        <v>1605</v>
      </c>
    </row>
    <row r="20744" spans="1:1" x14ac:dyDescent="0.2">
      <c r="A20744" t="s">
        <v>1606</v>
      </c>
    </row>
    <row r="20745" spans="1:1" x14ac:dyDescent="0.2">
      <c r="A20745" t="s">
        <v>1607</v>
      </c>
    </row>
    <row r="20746" spans="1:1" x14ac:dyDescent="0.2">
      <c r="A20746" t="s">
        <v>1608</v>
      </c>
    </row>
    <row r="20747" spans="1:1" x14ac:dyDescent="0.2">
      <c r="A20747" t="s">
        <v>1609</v>
      </c>
    </row>
    <row r="20748" spans="1:1" x14ac:dyDescent="0.2">
      <c r="A20748" t="s">
        <v>1610</v>
      </c>
    </row>
    <row r="20749" spans="1:1" x14ac:dyDescent="0.2">
      <c r="A20749" t="s">
        <v>1611</v>
      </c>
    </row>
    <row r="20750" spans="1:1" x14ac:dyDescent="0.2">
      <c r="A20750" t="s">
        <v>1612</v>
      </c>
    </row>
    <row r="20751" spans="1:1" x14ac:dyDescent="0.2">
      <c r="A20751" t="s">
        <v>1613</v>
      </c>
    </row>
    <row r="20752" spans="1:1" x14ac:dyDescent="0.2">
      <c r="A20752" t="s">
        <v>1614</v>
      </c>
    </row>
    <row r="20753" spans="1:1" x14ac:dyDescent="0.2">
      <c r="A20753" t="s">
        <v>1615</v>
      </c>
    </row>
    <row r="20754" spans="1:1" x14ac:dyDescent="0.2">
      <c r="A20754" t="s">
        <v>1616</v>
      </c>
    </row>
    <row r="20755" spans="1:1" x14ac:dyDescent="0.2">
      <c r="A20755" t="s">
        <v>1617</v>
      </c>
    </row>
    <row r="20756" spans="1:1" x14ac:dyDescent="0.2">
      <c r="A20756" t="s">
        <v>1618</v>
      </c>
    </row>
    <row r="20757" spans="1:1" x14ac:dyDescent="0.2">
      <c r="A20757" t="s">
        <v>1619</v>
      </c>
    </row>
    <row r="20758" spans="1:1" x14ac:dyDescent="0.2">
      <c r="A20758" t="s">
        <v>1620</v>
      </c>
    </row>
    <row r="20759" spans="1:1" x14ac:dyDescent="0.2">
      <c r="A20759" t="s">
        <v>1621</v>
      </c>
    </row>
    <row r="20760" spans="1:1" x14ac:dyDescent="0.2">
      <c r="A20760" t="s">
        <v>1622</v>
      </c>
    </row>
    <row r="20761" spans="1:1" x14ac:dyDescent="0.2">
      <c r="A20761" t="s">
        <v>1623</v>
      </c>
    </row>
    <row r="20762" spans="1:1" x14ac:dyDescent="0.2">
      <c r="A20762" t="s">
        <v>1624</v>
      </c>
    </row>
    <row r="20763" spans="1:1" x14ac:dyDescent="0.2">
      <c r="A20763" t="s">
        <v>1625</v>
      </c>
    </row>
    <row r="20764" spans="1:1" x14ac:dyDescent="0.2">
      <c r="A20764" t="s">
        <v>1626</v>
      </c>
    </row>
    <row r="20765" spans="1:1" x14ac:dyDescent="0.2">
      <c r="A20765" t="s">
        <v>1627</v>
      </c>
    </row>
    <row r="20766" spans="1:1" x14ac:dyDescent="0.2">
      <c r="A20766" t="s">
        <v>4175</v>
      </c>
    </row>
    <row r="20767" spans="1:1" x14ac:dyDescent="0.2">
      <c r="A20767" t="s">
        <v>1594</v>
      </c>
    </row>
    <row r="20768" spans="1:1" x14ac:dyDescent="0.2">
      <c r="A20768" t="s">
        <v>1595</v>
      </c>
    </row>
    <row r="20769" spans="1:1" x14ac:dyDescent="0.2">
      <c r="A20769" t="s">
        <v>4176</v>
      </c>
    </row>
    <row r="20770" spans="1:1" x14ac:dyDescent="0.2">
      <c r="A20770" t="s">
        <v>1597</v>
      </c>
    </row>
    <row r="20771" spans="1:1" x14ac:dyDescent="0.2">
      <c r="A20771" t="s">
        <v>1598</v>
      </c>
    </row>
    <row r="20772" spans="1:1" x14ac:dyDescent="0.2">
      <c r="A20772" t="s">
        <v>1599</v>
      </c>
    </row>
    <row r="20773" spans="1:1" x14ac:dyDescent="0.2">
      <c r="A20773" t="s">
        <v>1600</v>
      </c>
    </row>
    <row r="20774" spans="1:1" x14ac:dyDescent="0.2">
      <c r="A20774" t="s">
        <v>1601</v>
      </c>
    </row>
    <row r="20775" spans="1:1" x14ac:dyDescent="0.2">
      <c r="A20775" t="s">
        <v>1602</v>
      </c>
    </row>
    <row r="20776" spans="1:1" x14ac:dyDescent="0.2">
      <c r="A20776" t="s">
        <v>1603</v>
      </c>
    </row>
    <row r="20777" spans="1:1" x14ac:dyDescent="0.2">
      <c r="A20777" t="s">
        <v>1604</v>
      </c>
    </row>
    <row r="20778" spans="1:1" x14ac:dyDescent="0.2">
      <c r="A20778" t="s">
        <v>1605</v>
      </c>
    </row>
    <row r="20779" spans="1:1" x14ac:dyDescent="0.2">
      <c r="A20779" t="s">
        <v>1606</v>
      </c>
    </row>
    <row r="20780" spans="1:1" x14ac:dyDescent="0.2">
      <c r="A20780" t="s">
        <v>1607</v>
      </c>
    </row>
    <row r="20781" spans="1:1" x14ac:dyDescent="0.2">
      <c r="A20781" t="s">
        <v>1608</v>
      </c>
    </row>
    <row r="20782" spans="1:1" x14ac:dyDescent="0.2">
      <c r="A20782" t="s">
        <v>1609</v>
      </c>
    </row>
    <row r="20783" spans="1:1" x14ac:dyDescent="0.2">
      <c r="A20783" t="s">
        <v>1610</v>
      </c>
    </row>
    <row r="20784" spans="1:1" x14ac:dyDescent="0.2">
      <c r="A20784" t="s">
        <v>1611</v>
      </c>
    </row>
    <row r="20785" spans="1:1" x14ac:dyDescent="0.2">
      <c r="A20785" t="s">
        <v>1612</v>
      </c>
    </row>
    <row r="20786" spans="1:1" x14ac:dyDescent="0.2">
      <c r="A20786" t="s">
        <v>1613</v>
      </c>
    </row>
    <row r="20787" spans="1:1" x14ac:dyDescent="0.2">
      <c r="A20787" t="s">
        <v>1614</v>
      </c>
    </row>
    <row r="20788" spans="1:1" x14ac:dyDescent="0.2">
      <c r="A20788" t="s">
        <v>1615</v>
      </c>
    </row>
    <row r="20789" spans="1:1" x14ac:dyDescent="0.2">
      <c r="A20789" t="s">
        <v>1616</v>
      </c>
    </row>
    <row r="20790" spans="1:1" x14ac:dyDescent="0.2">
      <c r="A20790" t="s">
        <v>1617</v>
      </c>
    </row>
    <row r="20791" spans="1:1" x14ac:dyDescent="0.2">
      <c r="A20791" t="s">
        <v>1618</v>
      </c>
    </row>
    <row r="20792" spans="1:1" x14ac:dyDescent="0.2">
      <c r="A20792" t="s">
        <v>1619</v>
      </c>
    </row>
    <row r="20793" spans="1:1" x14ac:dyDescent="0.2">
      <c r="A20793" t="s">
        <v>1620</v>
      </c>
    </row>
    <row r="20794" spans="1:1" x14ac:dyDescent="0.2">
      <c r="A20794" t="s">
        <v>1621</v>
      </c>
    </row>
    <row r="20795" spans="1:1" x14ac:dyDescent="0.2">
      <c r="A20795" t="s">
        <v>1622</v>
      </c>
    </row>
    <row r="20796" spans="1:1" x14ac:dyDescent="0.2">
      <c r="A20796" t="s">
        <v>1623</v>
      </c>
    </row>
    <row r="20797" spans="1:1" x14ac:dyDescent="0.2">
      <c r="A20797" t="s">
        <v>1624</v>
      </c>
    </row>
    <row r="20798" spans="1:1" x14ac:dyDescent="0.2">
      <c r="A20798" t="s">
        <v>1625</v>
      </c>
    </row>
    <row r="20799" spans="1:1" x14ac:dyDescent="0.2">
      <c r="A20799" t="s">
        <v>1626</v>
      </c>
    </row>
    <row r="20800" spans="1:1" x14ac:dyDescent="0.2">
      <c r="A20800" t="s">
        <v>1627</v>
      </c>
    </row>
    <row r="20801" spans="1:1" x14ac:dyDescent="0.2">
      <c r="A20801" t="s">
        <v>4177</v>
      </c>
    </row>
    <row r="20802" spans="1:1" x14ac:dyDescent="0.2">
      <c r="A20802" t="s">
        <v>1594</v>
      </c>
    </row>
    <row r="20803" spans="1:1" x14ac:dyDescent="0.2">
      <c r="A20803" t="s">
        <v>4069</v>
      </c>
    </row>
    <row r="20804" spans="1:1" x14ac:dyDescent="0.2">
      <c r="A20804" t="s">
        <v>4178</v>
      </c>
    </row>
    <row r="20805" spans="1:1" x14ac:dyDescent="0.2">
      <c r="A20805" t="s">
        <v>1631</v>
      </c>
    </row>
    <row r="20806" spans="1:1" x14ac:dyDescent="0.2">
      <c r="A20806" t="s">
        <v>3318</v>
      </c>
    </row>
    <row r="20807" spans="1:1" x14ac:dyDescent="0.2">
      <c r="A20807" t="s">
        <v>4179</v>
      </c>
    </row>
    <row r="20808" spans="1:1" x14ac:dyDescent="0.2">
      <c r="A20808" t="s">
        <v>1600</v>
      </c>
    </row>
    <row r="20809" spans="1:1" x14ac:dyDescent="0.2">
      <c r="A20809" t="s">
        <v>1633</v>
      </c>
    </row>
    <row r="20810" spans="1:1" x14ac:dyDescent="0.2">
      <c r="A20810" t="s">
        <v>3320</v>
      </c>
    </row>
    <row r="20811" spans="1:1" x14ac:dyDescent="0.2">
      <c r="A20811" t="s">
        <v>1635</v>
      </c>
    </row>
    <row r="20812" spans="1:1" x14ac:dyDescent="0.2">
      <c r="A20812" t="s">
        <v>1604</v>
      </c>
    </row>
    <row r="20813" spans="1:1" x14ac:dyDescent="0.2">
      <c r="A20813" t="s">
        <v>1605</v>
      </c>
    </row>
    <row r="20814" spans="1:1" x14ac:dyDescent="0.2">
      <c r="A20814" t="s">
        <v>1606</v>
      </c>
    </row>
    <row r="20815" spans="1:1" x14ac:dyDescent="0.2">
      <c r="A20815" t="s">
        <v>1607</v>
      </c>
    </row>
    <row r="20816" spans="1:1" x14ac:dyDescent="0.2">
      <c r="A20816" t="s">
        <v>1676</v>
      </c>
    </row>
    <row r="20817" spans="1:1" x14ac:dyDescent="0.2">
      <c r="A20817" t="s">
        <v>1677</v>
      </c>
    </row>
    <row r="20818" spans="1:1" x14ac:dyDescent="0.2">
      <c r="A20818" t="s">
        <v>1610</v>
      </c>
    </row>
    <row r="20819" spans="1:1" x14ac:dyDescent="0.2">
      <c r="A20819" t="s">
        <v>4180</v>
      </c>
    </row>
    <row r="20820" spans="1:1" x14ac:dyDescent="0.2">
      <c r="A20820" t="s">
        <v>4181</v>
      </c>
    </row>
    <row r="20821" spans="1:1" x14ac:dyDescent="0.2">
      <c r="A20821" t="s">
        <v>4182</v>
      </c>
    </row>
    <row r="20822" spans="1:1" x14ac:dyDescent="0.2">
      <c r="A20822" t="s">
        <v>4183</v>
      </c>
    </row>
    <row r="20823" spans="1:1" x14ac:dyDescent="0.2">
      <c r="A20823" t="s">
        <v>4184</v>
      </c>
    </row>
    <row r="20824" spans="1:1" x14ac:dyDescent="0.2">
      <c r="A20824" t="s">
        <v>4185</v>
      </c>
    </row>
    <row r="20825" spans="1:1" x14ac:dyDescent="0.2">
      <c r="A20825" t="s">
        <v>4186</v>
      </c>
    </row>
    <row r="20826" spans="1:1" x14ac:dyDescent="0.2">
      <c r="A20826" t="s">
        <v>4187</v>
      </c>
    </row>
    <row r="20827" spans="1:1" x14ac:dyDescent="0.2">
      <c r="A20827" t="s">
        <v>4188</v>
      </c>
    </row>
    <row r="20828" spans="1:1" x14ac:dyDescent="0.2">
      <c r="A20828" t="s">
        <v>4189</v>
      </c>
    </row>
    <row r="20829" spans="1:1" x14ac:dyDescent="0.2">
      <c r="A20829" t="s">
        <v>4190</v>
      </c>
    </row>
    <row r="20830" spans="1:1" x14ac:dyDescent="0.2">
      <c r="A20830" t="s">
        <v>4191</v>
      </c>
    </row>
    <row r="20831" spans="1:1" x14ac:dyDescent="0.2">
      <c r="A20831" t="s">
        <v>4192</v>
      </c>
    </row>
    <row r="20832" spans="1:1" x14ac:dyDescent="0.2">
      <c r="A20832" t="s">
        <v>4193</v>
      </c>
    </row>
    <row r="20833" spans="1:1" x14ac:dyDescent="0.2">
      <c r="A20833" t="s">
        <v>4194</v>
      </c>
    </row>
    <row r="20834" spans="1:1" x14ac:dyDescent="0.2">
      <c r="A20834" t="s">
        <v>4195</v>
      </c>
    </row>
    <row r="20835" spans="1:1" x14ac:dyDescent="0.2">
      <c r="A20835" t="s">
        <v>4196</v>
      </c>
    </row>
    <row r="20836" spans="1:1" x14ac:dyDescent="0.2">
      <c r="A20836" t="s">
        <v>4197</v>
      </c>
    </row>
    <row r="20837" spans="1:1" x14ac:dyDescent="0.2">
      <c r="A20837" t="s">
        <v>1594</v>
      </c>
    </row>
    <row r="20838" spans="1:1" x14ac:dyDescent="0.2">
      <c r="A20838" t="s">
        <v>4069</v>
      </c>
    </row>
    <row r="20839" spans="1:1" x14ac:dyDescent="0.2">
      <c r="A20839" t="s">
        <v>4178</v>
      </c>
    </row>
    <row r="20840" spans="1:1" x14ac:dyDescent="0.2">
      <c r="A20840" t="s">
        <v>1631</v>
      </c>
    </row>
    <row r="20841" spans="1:1" x14ac:dyDescent="0.2">
      <c r="A20841" t="s">
        <v>3318</v>
      </c>
    </row>
    <row r="20842" spans="1:1" x14ac:dyDescent="0.2">
      <c r="A20842" t="s">
        <v>4179</v>
      </c>
    </row>
    <row r="20843" spans="1:1" x14ac:dyDescent="0.2">
      <c r="A20843" t="s">
        <v>1600</v>
      </c>
    </row>
    <row r="20844" spans="1:1" x14ac:dyDescent="0.2">
      <c r="A20844" t="s">
        <v>1639</v>
      </c>
    </row>
    <row r="20845" spans="1:1" x14ac:dyDescent="0.2">
      <c r="A20845" t="s">
        <v>3320</v>
      </c>
    </row>
    <row r="20846" spans="1:1" x14ac:dyDescent="0.2">
      <c r="A20846" t="s">
        <v>1635</v>
      </c>
    </row>
    <row r="20847" spans="1:1" x14ac:dyDescent="0.2">
      <c r="A20847" t="s">
        <v>1604</v>
      </c>
    </row>
    <row r="20848" spans="1:1" x14ac:dyDescent="0.2">
      <c r="A20848" t="s">
        <v>1605</v>
      </c>
    </row>
    <row r="20849" spans="1:1" x14ac:dyDescent="0.2">
      <c r="A20849" t="s">
        <v>1606</v>
      </c>
    </row>
    <row r="20850" spans="1:1" x14ac:dyDescent="0.2">
      <c r="A20850" t="s">
        <v>1607</v>
      </c>
    </row>
    <row r="20851" spans="1:1" x14ac:dyDescent="0.2">
      <c r="A20851" t="s">
        <v>1676</v>
      </c>
    </row>
    <row r="20852" spans="1:1" x14ac:dyDescent="0.2">
      <c r="A20852" t="s">
        <v>1677</v>
      </c>
    </row>
    <row r="20853" spans="1:1" x14ac:dyDescent="0.2">
      <c r="A20853" t="s">
        <v>1610</v>
      </c>
    </row>
    <row r="20854" spans="1:1" x14ac:dyDescent="0.2">
      <c r="A20854" t="s">
        <v>4180</v>
      </c>
    </row>
    <row r="20855" spans="1:1" x14ac:dyDescent="0.2">
      <c r="A20855" t="s">
        <v>4181</v>
      </c>
    </row>
    <row r="20856" spans="1:1" x14ac:dyDescent="0.2">
      <c r="A20856" t="s">
        <v>4182</v>
      </c>
    </row>
    <row r="20857" spans="1:1" x14ac:dyDescent="0.2">
      <c r="A20857" t="s">
        <v>4183</v>
      </c>
    </row>
    <row r="20858" spans="1:1" x14ac:dyDescent="0.2">
      <c r="A20858" t="s">
        <v>4184</v>
      </c>
    </row>
    <row r="20859" spans="1:1" x14ac:dyDescent="0.2">
      <c r="A20859" t="s">
        <v>4185</v>
      </c>
    </row>
    <row r="20860" spans="1:1" x14ac:dyDescent="0.2">
      <c r="A20860" t="s">
        <v>4186</v>
      </c>
    </row>
    <row r="20861" spans="1:1" x14ac:dyDescent="0.2">
      <c r="A20861" t="s">
        <v>4187</v>
      </c>
    </row>
    <row r="20862" spans="1:1" x14ac:dyDescent="0.2">
      <c r="A20862" t="s">
        <v>4188</v>
      </c>
    </row>
    <row r="20863" spans="1:1" x14ac:dyDescent="0.2">
      <c r="A20863" t="s">
        <v>4189</v>
      </c>
    </row>
    <row r="20864" spans="1:1" x14ac:dyDescent="0.2">
      <c r="A20864" t="s">
        <v>4190</v>
      </c>
    </row>
    <row r="20865" spans="1:1" x14ac:dyDescent="0.2">
      <c r="A20865" t="s">
        <v>4191</v>
      </c>
    </row>
    <row r="20866" spans="1:1" x14ac:dyDescent="0.2">
      <c r="A20866" t="s">
        <v>4192</v>
      </c>
    </row>
    <row r="20867" spans="1:1" x14ac:dyDescent="0.2">
      <c r="A20867" t="s">
        <v>4193</v>
      </c>
    </row>
    <row r="20868" spans="1:1" x14ac:dyDescent="0.2">
      <c r="A20868" t="s">
        <v>4194</v>
      </c>
    </row>
    <row r="20869" spans="1:1" x14ac:dyDescent="0.2">
      <c r="A20869" t="s">
        <v>4195</v>
      </c>
    </row>
    <row r="20870" spans="1:1" x14ac:dyDescent="0.2">
      <c r="A20870" t="s">
        <v>4196</v>
      </c>
    </row>
    <row r="20871" spans="1:1" x14ac:dyDescent="0.2">
      <c r="A20871" t="s">
        <v>4198</v>
      </c>
    </row>
    <row r="20872" spans="1:1" x14ac:dyDescent="0.2">
      <c r="A20872" t="s">
        <v>1594</v>
      </c>
    </row>
    <row r="20873" spans="1:1" x14ac:dyDescent="0.2">
      <c r="A20873" t="s">
        <v>4069</v>
      </c>
    </row>
    <row r="20874" spans="1:1" x14ac:dyDescent="0.2">
      <c r="A20874" t="s">
        <v>4178</v>
      </c>
    </row>
    <row r="20875" spans="1:1" x14ac:dyDescent="0.2">
      <c r="A20875" t="s">
        <v>1631</v>
      </c>
    </row>
    <row r="20876" spans="1:1" x14ac:dyDescent="0.2">
      <c r="A20876" t="s">
        <v>3318</v>
      </c>
    </row>
    <row r="20877" spans="1:1" x14ac:dyDescent="0.2">
      <c r="A20877" t="s">
        <v>4179</v>
      </c>
    </row>
    <row r="20878" spans="1:1" x14ac:dyDescent="0.2">
      <c r="A20878" t="s">
        <v>1600</v>
      </c>
    </row>
    <row r="20879" spans="1:1" x14ac:dyDescent="0.2">
      <c r="A20879" t="s">
        <v>1601</v>
      </c>
    </row>
    <row r="20880" spans="1:1" x14ac:dyDescent="0.2">
      <c r="A20880" t="s">
        <v>3320</v>
      </c>
    </row>
    <row r="20881" spans="1:1" x14ac:dyDescent="0.2">
      <c r="A20881" t="s">
        <v>1635</v>
      </c>
    </row>
    <row r="20882" spans="1:1" x14ac:dyDescent="0.2">
      <c r="A20882" t="s">
        <v>1604</v>
      </c>
    </row>
    <row r="20883" spans="1:1" x14ac:dyDescent="0.2">
      <c r="A20883" t="s">
        <v>1605</v>
      </c>
    </row>
    <row r="20884" spans="1:1" x14ac:dyDescent="0.2">
      <c r="A20884" t="s">
        <v>1606</v>
      </c>
    </row>
    <row r="20885" spans="1:1" x14ac:dyDescent="0.2">
      <c r="A20885" t="s">
        <v>1607</v>
      </c>
    </row>
    <row r="20886" spans="1:1" x14ac:dyDescent="0.2">
      <c r="A20886" t="s">
        <v>1676</v>
      </c>
    </row>
    <row r="20887" spans="1:1" x14ac:dyDescent="0.2">
      <c r="A20887" t="s">
        <v>1677</v>
      </c>
    </row>
    <row r="20888" spans="1:1" x14ac:dyDescent="0.2">
      <c r="A20888" t="s">
        <v>1610</v>
      </c>
    </row>
    <row r="20889" spans="1:1" x14ac:dyDescent="0.2">
      <c r="A20889" t="s">
        <v>4180</v>
      </c>
    </row>
    <row r="20890" spans="1:1" x14ac:dyDescent="0.2">
      <c r="A20890" t="s">
        <v>4181</v>
      </c>
    </row>
    <row r="20891" spans="1:1" x14ac:dyDescent="0.2">
      <c r="A20891" t="s">
        <v>4182</v>
      </c>
    </row>
    <row r="20892" spans="1:1" x14ac:dyDescent="0.2">
      <c r="A20892" t="s">
        <v>4183</v>
      </c>
    </row>
    <row r="20893" spans="1:1" x14ac:dyDescent="0.2">
      <c r="A20893" t="s">
        <v>4184</v>
      </c>
    </row>
    <row r="20894" spans="1:1" x14ac:dyDescent="0.2">
      <c r="A20894" t="s">
        <v>4185</v>
      </c>
    </row>
    <row r="20895" spans="1:1" x14ac:dyDescent="0.2">
      <c r="A20895" t="s">
        <v>4186</v>
      </c>
    </row>
    <row r="20896" spans="1:1" x14ac:dyDescent="0.2">
      <c r="A20896" t="s">
        <v>4187</v>
      </c>
    </row>
    <row r="20897" spans="1:1" x14ac:dyDescent="0.2">
      <c r="A20897" t="s">
        <v>4188</v>
      </c>
    </row>
    <row r="20898" spans="1:1" x14ac:dyDescent="0.2">
      <c r="A20898" t="s">
        <v>4189</v>
      </c>
    </row>
    <row r="20899" spans="1:1" x14ac:dyDescent="0.2">
      <c r="A20899" t="s">
        <v>4190</v>
      </c>
    </row>
    <row r="20900" spans="1:1" x14ac:dyDescent="0.2">
      <c r="A20900" t="s">
        <v>4191</v>
      </c>
    </row>
    <row r="20901" spans="1:1" x14ac:dyDescent="0.2">
      <c r="A20901" t="s">
        <v>4192</v>
      </c>
    </row>
    <row r="20902" spans="1:1" x14ac:dyDescent="0.2">
      <c r="A20902" t="s">
        <v>4193</v>
      </c>
    </row>
    <row r="20903" spans="1:1" x14ac:dyDescent="0.2">
      <c r="A20903" t="s">
        <v>4194</v>
      </c>
    </row>
    <row r="20904" spans="1:1" x14ac:dyDescent="0.2">
      <c r="A20904" t="s">
        <v>4195</v>
      </c>
    </row>
    <row r="20905" spans="1:1" x14ac:dyDescent="0.2">
      <c r="A20905" t="s">
        <v>4196</v>
      </c>
    </row>
    <row r="20906" spans="1:1" x14ac:dyDescent="0.2">
      <c r="A20906" t="s">
        <v>4199</v>
      </c>
    </row>
    <row r="20907" spans="1:1" x14ac:dyDescent="0.2">
      <c r="A20907" t="s">
        <v>1594</v>
      </c>
    </row>
    <row r="20908" spans="1:1" x14ac:dyDescent="0.2">
      <c r="A20908" t="s">
        <v>1595</v>
      </c>
    </row>
    <row r="20909" spans="1:1" x14ac:dyDescent="0.2">
      <c r="A20909" t="s">
        <v>3439</v>
      </c>
    </row>
    <row r="20910" spans="1:1" x14ac:dyDescent="0.2">
      <c r="A20910" t="s">
        <v>1597</v>
      </c>
    </row>
    <row r="20911" spans="1:1" x14ac:dyDescent="0.2">
      <c r="A20911" t="s">
        <v>1598</v>
      </c>
    </row>
    <row r="20912" spans="1:1" x14ac:dyDescent="0.2">
      <c r="A20912" t="s">
        <v>1599</v>
      </c>
    </row>
    <row r="20913" spans="1:1" x14ac:dyDescent="0.2">
      <c r="A20913" t="s">
        <v>1600</v>
      </c>
    </row>
    <row r="20914" spans="1:1" x14ac:dyDescent="0.2">
      <c r="A20914" t="s">
        <v>1601</v>
      </c>
    </row>
    <row r="20915" spans="1:1" x14ac:dyDescent="0.2">
      <c r="A20915" t="s">
        <v>1602</v>
      </c>
    </row>
    <row r="20916" spans="1:1" x14ac:dyDescent="0.2">
      <c r="A20916" t="s">
        <v>1603</v>
      </c>
    </row>
    <row r="20917" spans="1:1" x14ac:dyDescent="0.2">
      <c r="A20917" t="s">
        <v>1604</v>
      </c>
    </row>
    <row r="20918" spans="1:1" x14ac:dyDescent="0.2">
      <c r="A20918" t="s">
        <v>1605</v>
      </c>
    </row>
    <row r="20919" spans="1:1" x14ac:dyDescent="0.2">
      <c r="A20919" t="s">
        <v>1606</v>
      </c>
    </row>
    <row r="20920" spans="1:1" x14ac:dyDescent="0.2">
      <c r="A20920" t="s">
        <v>1607</v>
      </c>
    </row>
    <row r="20921" spans="1:1" x14ac:dyDescent="0.2">
      <c r="A20921" t="s">
        <v>1608</v>
      </c>
    </row>
    <row r="20922" spans="1:1" x14ac:dyDescent="0.2">
      <c r="A20922" t="s">
        <v>1609</v>
      </c>
    </row>
    <row r="20923" spans="1:1" x14ac:dyDescent="0.2">
      <c r="A20923" t="s">
        <v>1610</v>
      </c>
    </row>
    <row r="20924" spans="1:1" x14ac:dyDescent="0.2">
      <c r="A20924" t="s">
        <v>1611</v>
      </c>
    </row>
    <row r="20925" spans="1:1" x14ac:dyDescent="0.2">
      <c r="A20925" t="s">
        <v>1612</v>
      </c>
    </row>
    <row r="20926" spans="1:1" x14ac:dyDescent="0.2">
      <c r="A20926" t="s">
        <v>1613</v>
      </c>
    </row>
    <row r="20927" spans="1:1" x14ac:dyDescent="0.2">
      <c r="A20927" t="s">
        <v>1614</v>
      </c>
    </row>
    <row r="20928" spans="1:1" x14ac:dyDescent="0.2">
      <c r="A20928" t="s">
        <v>1615</v>
      </c>
    </row>
    <row r="20929" spans="1:1" x14ac:dyDescent="0.2">
      <c r="A20929" t="s">
        <v>1616</v>
      </c>
    </row>
    <row r="20930" spans="1:1" x14ac:dyDescent="0.2">
      <c r="A20930" t="s">
        <v>1617</v>
      </c>
    </row>
    <row r="20931" spans="1:1" x14ac:dyDescent="0.2">
      <c r="A20931" t="s">
        <v>1618</v>
      </c>
    </row>
    <row r="20932" spans="1:1" x14ac:dyDescent="0.2">
      <c r="A20932" t="s">
        <v>1619</v>
      </c>
    </row>
    <row r="20933" spans="1:1" x14ac:dyDescent="0.2">
      <c r="A20933" t="s">
        <v>1620</v>
      </c>
    </row>
    <row r="20934" spans="1:1" x14ac:dyDescent="0.2">
      <c r="A20934" t="s">
        <v>1621</v>
      </c>
    </row>
    <row r="20935" spans="1:1" x14ac:dyDescent="0.2">
      <c r="A20935" t="s">
        <v>1622</v>
      </c>
    </row>
    <row r="20936" spans="1:1" x14ac:dyDescent="0.2">
      <c r="A20936" t="s">
        <v>1623</v>
      </c>
    </row>
    <row r="20937" spans="1:1" x14ac:dyDescent="0.2">
      <c r="A20937" t="s">
        <v>1624</v>
      </c>
    </row>
    <row r="20938" spans="1:1" x14ac:dyDescent="0.2">
      <c r="A20938" t="s">
        <v>1625</v>
      </c>
    </row>
    <row r="20939" spans="1:1" x14ac:dyDescent="0.2">
      <c r="A20939" t="s">
        <v>1626</v>
      </c>
    </row>
    <row r="20940" spans="1:1" x14ac:dyDescent="0.2">
      <c r="A20940" t="s">
        <v>1627</v>
      </c>
    </row>
    <row r="20941" spans="1:1" x14ac:dyDescent="0.2">
      <c r="A20941" t="s">
        <v>4200</v>
      </c>
    </row>
    <row r="20942" spans="1:1" x14ac:dyDescent="0.2">
      <c r="A20942" t="s">
        <v>1594</v>
      </c>
    </row>
    <row r="20943" spans="1:1" x14ac:dyDescent="0.2">
      <c r="A20943" t="s">
        <v>4201</v>
      </c>
    </row>
    <row r="20944" spans="1:1" x14ac:dyDescent="0.2">
      <c r="A20944" t="s">
        <v>4202</v>
      </c>
    </row>
    <row r="20945" spans="1:1" x14ac:dyDescent="0.2">
      <c r="A20945" t="s">
        <v>1652</v>
      </c>
    </row>
    <row r="20946" spans="1:1" x14ac:dyDescent="0.2">
      <c r="A20946" t="s">
        <v>3318</v>
      </c>
    </row>
    <row r="20947" spans="1:1" x14ac:dyDescent="0.2">
      <c r="A20947" t="s">
        <v>4179</v>
      </c>
    </row>
    <row r="20948" spans="1:1" x14ac:dyDescent="0.2">
      <c r="A20948" t="s">
        <v>1600</v>
      </c>
    </row>
    <row r="20949" spans="1:1" x14ac:dyDescent="0.2">
      <c r="A20949" t="s">
        <v>1633</v>
      </c>
    </row>
    <row r="20950" spans="1:1" x14ac:dyDescent="0.2">
      <c r="A20950" t="s">
        <v>3320</v>
      </c>
    </row>
    <row r="20951" spans="1:1" x14ac:dyDescent="0.2">
      <c r="A20951" t="s">
        <v>1635</v>
      </c>
    </row>
    <row r="20952" spans="1:1" x14ac:dyDescent="0.2">
      <c r="A20952" t="s">
        <v>1604</v>
      </c>
    </row>
    <row r="20953" spans="1:1" x14ac:dyDescent="0.2">
      <c r="A20953" t="s">
        <v>1605</v>
      </c>
    </row>
    <row r="20954" spans="1:1" x14ac:dyDescent="0.2">
      <c r="A20954" t="s">
        <v>1606</v>
      </c>
    </row>
    <row r="20955" spans="1:1" x14ac:dyDescent="0.2">
      <c r="A20955" t="s">
        <v>1607</v>
      </c>
    </row>
    <row r="20956" spans="1:1" x14ac:dyDescent="0.2">
      <c r="A20956" t="s">
        <v>1676</v>
      </c>
    </row>
    <row r="20957" spans="1:1" x14ac:dyDescent="0.2">
      <c r="A20957" t="s">
        <v>1677</v>
      </c>
    </row>
    <row r="20958" spans="1:1" x14ac:dyDescent="0.2">
      <c r="A20958" t="s">
        <v>1610</v>
      </c>
    </row>
    <row r="20959" spans="1:1" x14ac:dyDescent="0.2">
      <c r="A20959" t="s">
        <v>4203</v>
      </c>
    </row>
    <row r="20960" spans="1:1" x14ac:dyDescent="0.2">
      <c r="A20960" t="s">
        <v>4204</v>
      </c>
    </row>
    <row r="20961" spans="1:1" x14ac:dyDescent="0.2">
      <c r="A20961" t="s">
        <v>4205</v>
      </c>
    </row>
    <row r="20962" spans="1:1" x14ac:dyDescent="0.2">
      <c r="A20962" t="s">
        <v>4206</v>
      </c>
    </row>
    <row r="20963" spans="1:1" x14ac:dyDescent="0.2">
      <c r="A20963" t="s">
        <v>4207</v>
      </c>
    </row>
    <row r="20964" spans="1:1" x14ac:dyDescent="0.2">
      <c r="A20964" t="s">
        <v>4208</v>
      </c>
    </row>
    <row r="20965" spans="1:1" x14ac:dyDescent="0.2">
      <c r="A20965" t="s">
        <v>4209</v>
      </c>
    </row>
    <row r="20966" spans="1:1" x14ac:dyDescent="0.2">
      <c r="A20966" t="s">
        <v>4210</v>
      </c>
    </row>
    <row r="20967" spans="1:1" x14ac:dyDescent="0.2">
      <c r="A20967" t="s">
        <v>4211</v>
      </c>
    </row>
    <row r="20968" spans="1:1" x14ac:dyDescent="0.2">
      <c r="A20968" t="s">
        <v>4212</v>
      </c>
    </row>
    <row r="20969" spans="1:1" x14ac:dyDescent="0.2">
      <c r="A20969" t="s">
        <v>3580</v>
      </c>
    </row>
    <row r="20970" spans="1:1" x14ac:dyDescent="0.2">
      <c r="A20970" t="s">
        <v>4213</v>
      </c>
    </row>
    <row r="20971" spans="1:1" x14ac:dyDescent="0.2">
      <c r="A20971" t="s">
        <v>4214</v>
      </c>
    </row>
    <row r="20972" spans="1:1" x14ac:dyDescent="0.2">
      <c r="A20972" t="s">
        <v>4215</v>
      </c>
    </row>
    <row r="20973" spans="1:1" x14ac:dyDescent="0.2">
      <c r="A20973" t="s">
        <v>4216</v>
      </c>
    </row>
    <row r="20974" spans="1:1" x14ac:dyDescent="0.2">
      <c r="A20974" t="s">
        <v>4195</v>
      </c>
    </row>
    <row r="20975" spans="1:1" x14ac:dyDescent="0.2">
      <c r="A20975" t="s">
        <v>4196</v>
      </c>
    </row>
    <row r="20976" spans="1:1" x14ac:dyDescent="0.2">
      <c r="A20976" t="s">
        <v>4217</v>
      </c>
    </row>
    <row r="20977" spans="1:1" x14ac:dyDescent="0.2">
      <c r="A20977" t="s">
        <v>1594</v>
      </c>
    </row>
    <row r="20978" spans="1:1" x14ac:dyDescent="0.2">
      <c r="A20978" t="s">
        <v>4201</v>
      </c>
    </row>
    <row r="20979" spans="1:1" x14ac:dyDescent="0.2">
      <c r="A20979" t="s">
        <v>4202</v>
      </c>
    </row>
    <row r="20980" spans="1:1" x14ac:dyDescent="0.2">
      <c r="A20980" t="s">
        <v>1652</v>
      </c>
    </row>
    <row r="20981" spans="1:1" x14ac:dyDescent="0.2">
      <c r="A20981" t="s">
        <v>3318</v>
      </c>
    </row>
    <row r="20982" spans="1:1" x14ac:dyDescent="0.2">
      <c r="A20982" t="s">
        <v>4179</v>
      </c>
    </row>
    <row r="20983" spans="1:1" x14ac:dyDescent="0.2">
      <c r="A20983" t="s">
        <v>1674</v>
      </c>
    </row>
    <row r="20984" spans="1:1" x14ac:dyDescent="0.2">
      <c r="A20984" t="s">
        <v>1639</v>
      </c>
    </row>
    <row r="20985" spans="1:1" x14ac:dyDescent="0.2">
      <c r="A20985" t="s">
        <v>3320</v>
      </c>
    </row>
    <row r="20986" spans="1:1" x14ac:dyDescent="0.2">
      <c r="A20986" t="s">
        <v>1635</v>
      </c>
    </row>
    <row r="20987" spans="1:1" x14ac:dyDescent="0.2">
      <c r="A20987" t="s">
        <v>1604</v>
      </c>
    </row>
    <row r="20988" spans="1:1" x14ac:dyDescent="0.2">
      <c r="A20988" t="s">
        <v>1605</v>
      </c>
    </row>
    <row r="20989" spans="1:1" x14ac:dyDescent="0.2">
      <c r="A20989" t="s">
        <v>1606</v>
      </c>
    </row>
    <row r="20990" spans="1:1" x14ac:dyDescent="0.2">
      <c r="A20990" t="s">
        <v>1607</v>
      </c>
    </row>
    <row r="20991" spans="1:1" x14ac:dyDescent="0.2">
      <c r="A20991" t="s">
        <v>1676</v>
      </c>
    </row>
    <row r="20992" spans="1:1" x14ac:dyDescent="0.2">
      <c r="A20992" t="s">
        <v>1677</v>
      </c>
    </row>
    <row r="20993" spans="1:1" x14ac:dyDescent="0.2">
      <c r="A20993" t="s">
        <v>1610</v>
      </c>
    </row>
    <row r="20994" spans="1:1" x14ac:dyDescent="0.2">
      <c r="A20994" t="s">
        <v>4203</v>
      </c>
    </row>
    <row r="20995" spans="1:1" x14ac:dyDescent="0.2">
      <c r="A20995" t="s">
        <v>4204</v>
      </c>
    </row>
    <row r="20996" spans="1:1" x14ac:dyDescent="0.2">
      <c r="A20996" t="s">
        <v>4205</v>
      </c>
    </row>
    <row r="20997" spans="1:1" x14ac:dyDescent="0.2">
      <c r="A20997" t="s">
        <v>4206</v>
      </c>
    </row>
    <row r="20998" spans="1:1" x14ac:dyDescent="0.2">
      <c r="A20998" t="s">
        <v>4207</v>
      </c>
    </row>
    <row r="20999" spans="1:1" x14ac:dyDescent="0.2">
      <c r="A20999" t="s">
        <v>4208</v>
      </c>
    </row>
    <row r="21000" spans="1:1" x14ac:dyDescent="0.2">
      <c r="A21000" t="s">
        <v>4209</v>
      </c>
    </row>
    <row r="21001" spans="1:1" x14ac:dyDescent="0.2">
      <c r="A21001" t="s">
        <v>4210</v>
      </c>
    </row>
    <row r="21002" spans="1:1" x14ac:dyDescent="0.2">
      <c r="A21002" t="s">
        <v>4211</v>
      </c>
    </row>
    <row r="21003" spans="1:1" x14ac:dyDescent="0.2">
      <c r="A21003" t="s">
        <v>4212</v>
      </c>
    </row>
    <row r="21004" spans="1:1" x14ac:dyDescent="0.2">
      <c r="A21004" t="s">
        <v>3580</v>
      </c>
    </row>
    <row r="21005" spans="1:1" x14ac:dyDescent="0.2">
      <c r="A21005" t="s">
        <v>4213</v>
      </c>
    </row>
    <row r="21006" spans="1:1" x14ac:dyDescent="0.2">
      <c r="A21006" t="s">
        <v>4214</v>
      </c>
    </row>
    <row r="21007" spans="1:1" x14ac:dyDescent="0.2">
      <c r="A21007" t="s">
        <v>4215</v>
      </c>
    </row>
    <row r="21008" spans="1:1" x14ac:dyDescent="0.2">
      <c r="A21008" t="s">
        <v>4216</v>
      </c>
    </row>
    <row r="21009" spans="1:1" x14ac:dyDescent="0.2">
      <c r="A21009" t="s">
        <v>4195</v>
      </c>
    </row>
    <row r="21010" spans="1:1" x14ac:dyDescent="0.2">
      <c r="A21010" t="s">
        <v>4196</v>
      </c>
    </row>
    <row r="21011" spans="1:1" x14ac:dyDescent="0.2">
      <c r="A21011" t="s">
        <v>4218</v>
      </c>
    </row>
    <row r="21012" spans="1:1" x14ac:dyDescent="0.2">
      <c r="A21012" t="s">
        <v>1594</v>
      </c>
    </row>
    <row r="21013" spans="1:1" x14ac:dyDescent="0.2">
      <c r="A21013" t="s">
        <v>4201</v>
      </c>
    </row>
    <row r="21014" spans="1:1" x14ac:dyDescent="0.2">
      <c r="A21014" t="s">
        <v>4219</v>
      </c>
    </row>
    <row r="21015" spans="1:1" x14ac:dyDescent="0.2">
      <c r="A21015" t="s">
        <v>1652</v>
      </c>
    </row>
    <row r="21016" spans="1:1" x14ac:dyDescent="0.2">
      <c r="A21016" t="s">
        <v>3318</v>
      </c>
    </row>
    <row r="21017" spans="1:1" x14ac:dyDescent="0.2">
      <c r="A21017" t="s">
        <v>4179</v>
      </c>
    </row>
    <row r="21018" spans="1:1" x14ac:dyDescent="0.2">
      <c r="A21018" t="s">
        <v>1600</v>
      </c>
    </row>
    <row r="21019" spans="1:1" x14ac:dyDescent="0.2">
      <c r="A21019" t="s">
        <v>1633</v>
      </c>
    </row>
    <row r="21020" spans="1:1" x14ac:dyDescent="0.2">
      <c r="A21020" t="s">
        <v>3320</v>
      </c>
    </row>
    <row r="21021" spans="1:1" x14ac:dyDescent="0.2">
      <c r="A21021" t="s">
        <v>1635</v>
      </c>
    </row>
    <row r="21022" spans="1:1" x14ac:dyDescent="0.2">
      <c r="A21022" t="s">
        <v>1604</v>
      </c>
    </row>
    <row r="21023" spans="1:1" x14ac:dyDescent="0.2">
      <c r="A21023" t="s">
        <v>1605</v>
      </c>
    </row>
    <row r="21024" spans="1:1" x14ac:dyDescent="0.2">
      <c r="A21024" t="s">
        <v>1606</v>
      </c>
    </row>
    <row r="21025" spans="1:1" x14ac:dyDescent="0.2">
      <c r="A21025" t="s">
        <v>1607</v>
      </c>
    </row>
    <row r="21026" spans="1:1" x14ac:dyDescent="0.2">
      <c r="A21026" t="s">
        <v>1676</v>
      </c>
    </row>
    <row r="21027" spans="1:1" x14ac:dyDescent="0.2">
      <c r="A21027" t="s">
        <v>1677</v>
      </c>
    </row>
    <row r="21028" spans="1:1" x14ac:dyDescent="0.2">
      <c r="A21028" t="s">
        <v>1610</v>
      </c>
    </row>
    <row r="21029" spans="1:1" x14ac:dyDescent="0.2">
      <c r="A21029" t="s">
        <v>4203</v>
      </c>
    </row>
    <row r="21030" spans="1:1" x14ac:dyDescent="0.2">
      <c r="A21030" t="s">
        <v>4204</v>
      </c>
    </row>
    <row r="21031" spans="1:1" x14ac:dyDescent="0.2">
      <c r="A21031" t="s">
        <v>4205</v>
      </c>
    </row>
    <row r="21032" spans="1:1" x14ac:dyDescent="0.2">
      <c r="A21032" t="s">
        <v>4206</v>
      </c>
    </row>
    <row r="21033" spans="1:1" x14ac:dyDescent="0.2">
      <c r="A21033" t="s">
        <v>4207</v>
      </c>
    </row>
    <row r="21034" spans="1:1" x14ac:dyDescent="0.2">
      <c r="A21034" t="s">
        <v>4220</v>
      </c>
    </row>
    <row r="21035" spans="1:1" x14ac:dyDescent="0.2">
      <c r="A21035" t="s">
        <v>4221</v>
      </c>
    </row>
    <row r="21036" spans="1:1" x14ac:dyDescent="0.2">
      <c r="A21036" t="s">
        <v>4222</v>
      </c>
    </row>
    <row r="21037" spans="1:1" x14ac:dyDescent="0.2">
      <c r="A21037" t="s">
        <v>4223</v>
      </c>
    </row>
    <row r="21038" spans="1:1" x14ac:dyDescent="0.2">
      <c r="A21038" t="s">
        <v>4224</v>
      </c>
    </row>
    <row r="21039" spans="1:1" x14ac:dyDescent="0.2">
      <c r="A21039" t="s">
        <v>3451</v>
      </c>
    </row>
    <row r="21040" spans="1:1" x14ac:dyDescent="0.2">
      <c r="A21040" t="s">
        <v>1659</v>
      </c>
    </row>
    <row r="21041" spans="1:1" x14ac:dyDescent="0.2">
      <c r="A21041" t="s">
        <v>4225</v>
      </c>
    </row>
    <row r="21042" spans="1:1" x14ac:dyDescent="0.2">
      <c r="A21042" t="s">
        <v>4226</v>
      </c>
    </row>
    <row r="21043" spans="1:1" x14ac:dyDescent="0.2">
      <c r="A21043" t="s">
        <v>4227</v>
      </c>
    </row>
    <row r="21044" spans="1:1" x14ac:dyDescent="0.2">
      <c r="A21044" t="s">
        <v>4195</v>
      </c>
    </row>
    <row r="21045" spans="1:1" x14ac:dyDescent="0.2">
      <c r="A21045" t="s">
        <v>4196</v>
      </c>
    </row>
    <row r="21046" spans="1:1" x14ac:dyDescent="0.2">
      <c r="A21046" t="s">
        <v>4228</v>
      </c>
    </row>
    <row r="21047" spans="1:1" x14ac:dyDescent="0.2">
      <c r="A21047" t="s">
        <v>1594</v>
      </c>
    </row>
    <row r="21048" spans="1:1" x14ac:dyDescent="0.2">
      <c r="A21048" t="s">
        <v>4201</v>
      </c>
    </row>
    <row r="21049" spans="1:1" x14ac:dyDescent="0.2">
      <c r="A21049" t="s">
        <v>4219</v>
      </c>
    </row>
    <row r="21050" spans="1:1" x14ac:dyDescent="0.2">
      <c r="A21050" t="s">
        <v>1652</v>
      </c>
    </row>
    <row r="21051" spans="1:1" x14ac:dyDescent="0.2">
      <c r="A21051" t="s">
        <v>3318</v>
      </c>
    </row>
    <row r="21052" spans="1:1" x14ac:dyDescent="0.2">
      <c r="A21052" t="s">
        <v>4179</v>
      </c>
    </row>
    <row r="21053" spans="1:1" x14ac:dyDescent="0.2">
      <c r="A21053" t="s">
        <v>1674</v>
      </c>
    </row>
    <row r="21054" spans="1:1" x14ac:dyDescent="0.2">
      <c r="A21054" t="s">
        <v>1601</v>
      </c>
    </row>
    <row r="21055" spans="1:1" x14ac:dyDescent="0.2">
      <c r="A21055" t="s">
        <v>3320</v>
      </c>
    </row>
    <row r="21056" spans="1:1" x14ac:dyDescent="0.2">
      <c r="A21056" t="s">
        <v>1635</v>
      </c>
    </row>
    <row r="21057" spans="1:1" x14ac:dyDescent="0.2">
      <c r="A21057" t="s">
        <v>1604</v>
      </c>
    </row>
    <row r="21058" spans="1:1" x14ac:dyDescent="0.2">
      <c r="A21058" t="s">
        <v>1605</v>
      </c>
    </row>
    <row r="21059" spans="1:1" x14ac:dyDescent="0.2">
      <c r="A21059" t="s">
        <v>1606</v>
      </c>
    </row>
    <row r="21060" spans="1:1" x14ac:dyDescent="0.2">
      <c r="A21060" t="s">
        <v>1607</v>
      </c>
    </row>
    <row r="21061" spans="1:1" x14ac:dyDescent="0.2">
      <c r="A21061" t="s">
        <v>1676</v>
      </c>
    </row>
    <row r="21062" spans="1:1" x14ac:dyDescent="0.2">
      <c r="A21062" t="s">
        <v>1677</v>
      </c>
    </row>
    <row r="21063" spans="1:1" x14ac:dyDescent="0.2">
      <c r="A21063" t="s">
        <v>1610</v>
      </c>
    </row>
    <row r="21064" spans="1:1" x14ac:dyDescent="0.2">
      <c r="A21064" t="s">
        <v>4203</v>
      </c>
    </row>
    <row r="21065" spans="1:1" x14ac:dyDescent="0.2">
      <c r="A21065" t="s">
        <v>4204</v>
      </c>
    </row>
    <row r="21066" spans="1:1" x14ac:dyDescent="0.2">
      <c r="A21066" t="s">
        <v>4205</v>
      </c>
    </row>
    <row r="21067" spans="1:1" x14ac:dyDescent="0.2">
      <c r="A21067" t="s">
        <v>4206</v>
      </c>
    </row>
    <row r="21068" spans="1:1" x14ac:dyDescent="0.2">
      <c r="A21068" t="s">
        <v>4207</v>
      </c>
    </row>
    <row r="21069" spans="1:1" x14ac:dyDescent="0.2">
      <c r="A21069" t="s">
        <v>4220</v>
      </c>
    </row>
    <row r="21070" spans="1:1" x14ac:dyDescent="0.2">
      <c r="A21070" t="s">
        <v>4221</v>
      </c>
    </row>
    <row r="21071" spans="1:1" x14ac:dyDescent="0.2">
      <c r="A21071" t="s">
        <v>4222</v>
      </c>
    </row>
    <row r="21072" spans="1:1" x14ac:dyDescent="0.2">
      <c r="A21072" t="s">
        <v>4223</v>
      </c>
    </row>
    <row r="21073" spans="1:1" x14ac:dyDescent="0.2">
      <c r="A21073" t="s">
        <v>4224</v>
      </c>
    </row>
    <row r="21074" spans="1:1" x14ac:dyDescent="0.2">
      <c r="A21074" t="s">
        <v>3451</v>
      </c>
    </row>
    <row r="21075" spans="1:1" x14ac:dyDescent="0.2">
      <c r="A21075" t="s">
        <v>1659</v>
      </c>
    </row>
    <row r="21076" spans="1:1" x14ac:dyDescent="0.2">
      <c r="A21076" t="s">
        <v>4225</v>
      </c>
    </row>
    <row r="21077" spans="1:1" x14ac:dyDescent="0.2">
      <c r="A21077" t="s">
        <v>4226</v>
      </c>
    </row>
    <row r="21078" spans="1:1" x14ac:dyDescent="0.2">
      <c r="A21078" t="s">
        <v>4227</v>
      </c>
    </row>
    <row r="21079" spans="1:1" x14ac:dyDescent="0.2">
      <c r="A21079" t="s">
        <v>4195</v>
      </c>
    </row>
    <row r="21080" spans="1:1" x14ac:dyDescent="0.2">
      <c r="A21080" t="s">
        <v>4196</v>
      </c>
    </row>
    <row r="21081" spans="1:1" x14ac:dyDescent="0.2">
      <c r="A21081" t="s">
        <v>4229</v>
      </c>
    </row>
    <row r="21082" spans="1:1" x14ac:dyDescent="0.2">
      <c r="A21082" t="s">
        <v>1594</v>
      </c>
    </row>
    <row r="21083" spans="1:1" x14ac:dyDescent="0.2">
      <c r="A21083" t="s">
        <v>1692</v>
      </c>
    </row>
    <row r="21084" spans="1:1" x14ac:dyDescent="0.2">
      <c r="A21084" t="s">
        <v>4230</v>
      </c>
    </row>
    <row r="21085" spans="1:1" x14ac:dyDescent="0.2">
      <c r="A21085" t="s">
        <v>1652</v>
      </c>
    </row>
    <row r="21086" spans="1:1" x14ac:dyDescent="0.2">
      <c r="A21086" t="s">
        <v>3318</v>
      </c>
    </row>
    <row r="21087" spans="1:1" x14ac:dyDescent="0.2">
      <c r="A21087" t="s">
        <v>4179</v>
      </c>
    </row>
    <row r="21088" spans="1:1" x14ac:dyDescent="0.2">
      <c r="A21088" t="s">
        <v>1600</v>
      </c>
    </row>
    <row r="21089" spans="1:1" x14ac:dyDescent="0.2">
      <c r="A21089" t="s">
        <v>1633</v>
      </c>
    </row>
    <row r="21090" spans="1:1" x14ac:dyDescent="0.2">
      <c r="A21090" t="s">
        <v>3320</v>
      </c>
    </row>
    <row r="21091" spans="1:1" x14ac:dyDescent="0.2">
      <c r="A21091" t="s">
        <v>1635</v>
      </c>
    </row>
    <row r="21092" spans="1:1" x14ac:dyDescent="0.2">
      <c r="A21092" t="s">
        <v>1604</v>
      </c>
    </row>
    <row r="21093" spans="1:1" x14ac:dyDescent="0.2">
      <c r="A21093" t="s">
        <v>1605</v>
      </c>
    </row>
    <row r="21094" spans="1:1" x14ac:dyDescent="0.2">
      <c r="A21094" t="s">
        <v>1606</v>
      </c>
    </row>
    <row r="21095" spans="1:1" x14ac:dyDescent="0.2">
      <c r="A21095" t="s">
        <v>1607</v>
      </c>
    </row>
    <row r="21096" spans="1:1" x14ac:dyDescent="0.2">
      <c r="A21096" t="s">
        <v>1676</v>
      </c>
    </row>
    <row r="21097" spans="1:1" x14ac:dyDescent="0.2">
      <c r="A21097" t="s">
        <v>1677</v>
      </c>
    </row>
    <row r="21098" spans="1:1" x14ac:dyDescent="0.2">
      <c r="A21098" t="s">
        <v>1610</v>
      </c>
    </row>
    <row r="21099" spans="1:1" x14ac:dyDescent="0.2">
      <c r="A21099" t="s">
        <v>4231</v>
      </c>
    </row>
    <row r="21100" spans="1:1" x14ac:dyDescent="0.2">
      <c r="A21100" t="s">
        <v>4232</v>
      </c>
    </row>
    <row r="21101" spans="1:1" x14ac:dyDescent="0.2">
      <c r="A21101" t="s">
        <v>4233</v>
      </c>
    </row>
    <row r="21102" spans="1:1" x14ac:dyDescent="0.2">
      <c r="A21102" t="s">
        <v>4234</v>
      </c>
    </row>
    <row r="21103" spans="1:1" x14ac:dyDescent="0.2">
      <c r="A21103" t="s">
        <v>4235</v>
      </c>
    </row>
    <row r="21104" spans="1:1" x14ac:dyDescent="0.2">
      <c r="A21104" t="s">
        <v>4236</v>
      </c>
    </row>
    <row r="21105" spans="1:1" x14ac:dyDescent="0.2">
      <c r="A21105" t="s">
        <v>4237</v>
      </c>
    </row>
    <row r="21106" spans="1:1" x14ac:dyDescent="0.2">
      <c r="A21106" t="s">
        <v>4238</v>
      </c>
    </row>
    <row r="21107" spans="1:1" x14ac:dyDescent="0.2">
      <c r="A21107" t="s">
        <v>4239</v>
      </c>
    </row>
    <row r="21108" spans="1:1" x14ac:dyDescent="0.2">
      <c r="A21108" t="s">
        <v>4240</v>
      </c>
    </row>
    <row r="21109" spans="1:1" x14ac:dyDescent="0.2">
      <c r="A21109" t="s">
        <v>3502</v>
      </c>
    </row>
    <row r="21110" spans="1:1" x14ac:dyDescent="0.2">
      <c r="A21110" t="s">
        <v>4241</v>
      </c>
    </row>
    <row r="21111" spans="1:1" x14ac:dyDescent="0.2">
      <c r="A21111" t="s">
        <v>4242</v>
      </c>
    </row>
    <row r="21112" spans="1:1" x14ac:dyDescent="0.2">
      <c r="A21112" t="s">
        <v>4243</v>
      </c>
    </row>
    <row r="21113" spans="1:1" x14ac:dyDescent="0.2">
      <c r="A21113" t="s">
        <v>4244</v>
      </c>
    </row>
    <row r="21114" spans="1:1" x14ac:dyDescent="0.2">
      <c r="A21114" t="s">
        <v>4195</v>
      </c>
    </row>
    <row r="21115" spans="1:1" x14ac:dyDescent="0.2">
      <c r="A21115" t="s">
        <v>4196</v>
      </c>
    </row>
    <row r="21116" spans="1:1" x14ac:dyDescent="0.2">
      <c r="A21116" t="s">
        <v>4245</v>
      </c>
    </row>
    <row r="21117" spans="1:1" x14ac:dyDescent="0.2">
      <c r="A21117" t="s">
        <v>1594</v>
      </c>
    </row>
    <row r="21118" spans="1:1" x14ac:dyDescent="0.2">
      <c r="A21118" t="s">
        <v>1595</v>
      </c>
    </row>
    <row r="21119" spans="1:1" x14ac:dyDescent="0.2">
      <c r="A21119" t="s">
        <v>3439</v>
      </c>
    </row>
    <row r="21120" spans="1:1" x14ac:dyDescent="0.2">
      <c r="A21120" t="s">
        <v>1597</v>
      </c>
    </row>
    <row r="21121" spans="1:1" x14ac:dyDescent="0.2">
      <c r="A21121" t="s">
        <v>1598</v>
      </c>
    </row>
    <row r="21122" spans="1:1" x14ac:dyDescent="0.2">
      <c r="A21122" t="s">
        <v>1599</v>
      </c>
    </row>
    <row r="21123" spans="1:1" x14ac:dyDescent="0.2">
      <c r="A21123" t="s">
        <v>1600</v>
      </c>
    </row>
    <row r="21124" spans="1:1" x14ac:dyDescent="0.2">
      <c r="A21124" t="s">
        <v>1601</v>
      </c>
    </row>
    <row r="21125" spans="1:1" x14ac:dyDescent="0.2">
      <c r="A21125" t="s">
        <v>1602</v>
      </c>
    </row>
    <row r="21126" spans="1:1" x14ac:dyDescent="0.2">
      <c r="A21126" t="s">
        <v>1603</v>
      </c>
    </row>
    <row r="21127" spans="1:1" x14ac:dyDescent="0.2">
      <c r="A21127" t="s">
        <v>1604</v>
      </c>
    </row>
    <row r="21128" spans="1:1" x14ac:dyDescent="0.2">
      <c r="A21128" t="s">
        <v>1605</v>
      </c>
    </row>
    <row r="21129" spans="1:1" x14ac:dyDescent="0.2">
      <c r="A21129" t="s">
        <v>1606</v>
      </c>
    </row>
    <row r="21130" spans="1:1" x14ac:dyDescent="0.2">
      <c r="A21130" t="s">
        <v>1607</v>
      </c>
    </row>
    <row r="21131" spans="1:1" x14ac:dyDescent="0.2">
      <c r="A21131" t="s">
        <v>1608</v>
      </c>
    </row>
    <row r="21132" spans="1:1" x14ac:dyDescent="0.2">
      <c r="A21132" t="s">
        <v>1609</v>
      </c>
    </row>
    <row r="21133" spans="1:1" x14ac:dyDescent="0.2">
      <c r="A21133" t="s">
        <v>1610</v>
      </c>
    </row>
    <row r="21134" spans="1:1" x14ac:dyDescent="0.2">
      <c r="A21134" t="s">
        <v>1611</v>
      </c>
    </row>
    <row r="21135" spans="1:1" x14ac:dyDescent="0.2">
      <c r="A21135" t="s">
        <v>1612</v>
      </c>
    </row>
    <row r="21136" spans="1:1" x14ac:dyDescent="0.2">
      <c r="A21136" t="s">
        <v>1613</v>
      </c>
    </row>
    <row r="21137" spans="1:1" x14ac:dyDescent="0.2">
      <c r="A21137" t="s">
        <v>1614</v>
      </c>
    </row>
    <row r="21138" spans="1:1" x14ac:dyDescent="0.2">
      <c r="A21138" t="s">
        <v>1615</v>
      </c>
    </row>
    <row r="21139" spans="1:1" x14ac:dyDescent="0.2">
      <c r="A21139" t="s">
        <v>1616</v>
      </c>
    </row>
    <row r="21140" spans="1:1" x14ac:dyDescent="0.2">
      <c r="A21140" t="s">
        <v>1617</v>
      </c>
    </row>
    <row r="21141" spans="1:1" x14ac:dyDescent="0.2">
      <c r="A21141" t="s">
        <v>1618</v>
      </c>
    </row>
    <row r="21142" spans="1:1" x14ac:dyDescent="0.2">
      <c r="A21142" t="s">
        <v>1619</v>
      </c>
    </row>
    <row r="21143" spans="1:1" x14ac:dyDescent="0.2">
      <c r="A21143" t="s">
        <v>1620</v>
      </c>
    </row>
    <row r="21144" spans="1:1" x14ac:dyDescent="0.2">
      <c r="A21144" t="s">
        <v>1621</v>
      </c>
    </row>
    <row r="21145" spans="1:1" x14ac:dyDescent="0.2">
      <c r="A21145" t="s">
        <v>1622</v>
      </c>
    </row>
    <row r="21146" spans="1:1" x14ac:dyDescent="0.2">
      <c r="A21146" t="s">
        <v>1623</v>
      </c>
    </row>
    <row r="21147" spans="1:1" x14ac:dyDescent="0.2">
      <c r="A21147" t="s">
        <v>1624</v>
      </c>
    </row>
    <row r="21148" spans="1:1" x14ac:dyDescent="0.2">
      <c r="A21148" t="s">
        <v>1625</v>
      </c>
    </row>
    <row r="21149" spans="1:1" x14ac:dyDescent="0.2">
      <c r="A21149" t="s">
        <v>1626</v>
      </c>
    </row>
    <row r="21150" spans="1:1" x14ac:dyDescent="0.2">
      <c r="A21150" t="s">
        <v>1627</v>
      </c>
    </row>
    <row r="21151" spans="1:1" x14ac:dyDescent="0.2">
      <c r="A21151" t="s">
        <v>4246</v>
      </c>
    </row>
    <row r="21152" spans="1:1" x14ac:dyDescent="0.2">
      <c r="A21152" t="s">
        <v>1594</v>
      </c>
    </row>
    <row r="21153" spans="1:1" x14ac:dyDescent="0.2">
      <c r="A21153" t="s">
        <v>3489</v>
      </c>
    </row>
    <row r="21154" spans="1:1" x14ac:dyDescent="0.2">
      <c r="A21154" t="s">
        <v>3528</v>
      </c>
    </row>
    <row r="21155" spans="1:1" x14ac:dyDescent="0.2">
      <c r="A21155" t="s">
        <v>3491</v>
      </c>
    </row>
    <row r="21156" spans="1:1" x14ac:dyDescent="0.2">
      <c r="A21156" t="s">
        <v>1598</v>
      </c>
    </row>
    <row r="21157" spans="1:1" x14ac:dyDescent="0.2">
      <c r="A21157" t="s">
        <v>4179</v>
      </c>
    </row>
    <row r="21158" spans="1:1" x14ac:dyDescent="0.2">
      <c r="A21158" t="s">
        <v>1674</v>
      </c>
    </row>
    <row r="21159" spans="1:1" x14ac:dyDescent="0.2">
      <c r="A21159" t="s">
        <v>1633</v>
      </c>
    </row>
    <row r="21160" spans="1:1" x14ac:dyDescent="0.2">
      <c r="A21160" t="s">
        <v>3320</v>
      </c>
    </row>
    <row r="21161" spans="1:1" x14ac:dyDescent="0.2">
      <c r="A21161" t="s">
        <v>1635</v>
      </c>
    </row>
    <row r="21162" spans="1:1" x14ac:dyDescent="0.2">
      <c r="A21162" t="s">
        <v>1604</v>
      </c>
    </row>
    <row r="21163" spans="1:1" x14ac:dyDescent="0.2">
      <c r="A21163" t="s">
        <v>1605</v>
      </c>
    </row>
    <row r="21164" spans="1:1" x14ac:dyDescent="0.2">
      <c r="A21164" t="s">
        <v>1606</v>
      </c>
    </row>
    <row r="21165" spans="1:1" x14ac:dyDescent="0.2">
      <c r="A21165" t="s">
        <v>1607</v>
      </c>
    </row>
    <row r="21166" spans="1:1" x14ac:dyDescent="0.2">
      <c r="A21166" t="s">
        <v>1676</v>
      </c>
    </row>
    <row r="21167" spans="1:1" x14ac:dyDescent="0.2">
      <c r="A21167" t="s">
        <v>1677</v>
      </c>
    </row>
    <row r="21168" spans="1:1" x14ac:dyDescent="0.2">
      <c r="A21168" t="s">
        <v>1610</v>
      </c>
    </row>
    <row r="21169" spans="1:1" x14ac:dyDescent="0.2">
      <c r="A21169" t="s">
        <v>3529</v>
      </c>
    </row>
    <row r="21170" spans="1:1" x14ac:dyDescent="0.2">
      <c r="A21170" t="s">
        <v>3530</v>
      </c>
    </row>
    <row r="21171" spans="1:1" x14ac:dyDescent="0.2">
      <c r="A21171" t="s">
        <v>3531</v>
      </c>
    </row>
    <row r="21172" spans="1:1" x14ac:dyDescent="0.2">
      <c r="A21172" t="s">
        <v>3532</v>
      </c>
    </row>
    <row r="21173" spans="1:1" x14ac:dyDescent="0.2">
      <c r="A21173" t="s">
        <v>3533</v>
      </c>
    </row>
    <row r="21174" spans="1:1" x14ac:dyDescent="0.2">
      <c r="A21174" t="s">
        <v>3534</v>
      </c>
    </row>
    <row r="21175" spans="1:1" x14ac:dyDescent="0.2">
      <c r="A21175" t="s">
        <v>3535</v>
      </c>
    </row>
    <row r="21176" spans="1:1" x14ac:dyDescent="0.2">
      <c r="A21176" t="s">
        <v>3536</v>
      </c>
    </row>
    <row r="21177" spans="1:1" x14ac:dyDescent="0.2">
      <c r="A21177" t="s">
        <v>3537</v>
      </c>
    </row>
    <row r="21178" spans="1:1" x14ac:dyDescent="0.2">
      <c r="A21178" t="s">
        <v>3538</v>
      </c>
    </row>
    <row r="21179" spans="1:1" x14ac:dyDescent="0.2">
      <c r="A21179" t="s">
        <v>3539</v>
      </c>
    </row>
    <row r="21180" spans="1:1" x14ac:dyDescent="0.2">
      <c r="A21180" t="s">
        <v>3540</v>
      </c>
    </row>
    <row r="21181" spans="1:1" x14ac:dyDescent="0.2">
      <c r="A21181" t="s">
        <v>3541</v>
      </c>
    </row>
    <row r="21182" spans="1:1" x14ac:dyDescent="0.2">
      <c r="A21182" t="s">
        <v>3542</v>
      </c>
    </row>
    <row r="21183" spans="1:1" x14ac:dyDescent="0.2">
      <c r="A21183" t="s">
        <v>3543</v>
      </c>
    </row>
    <row r="21184" spans="1:1" x14ac:dyDescent="0.2">
      <c r="A21184" t="s">
        <v>4195</v>
      </c>
    </row>
    <row r="21185" spans="1:1" x14ac:dyDescent="0.2">
      <c r="A21185" t="s">
        <v>4196</v>
      </c>
    </row>
    <row r="21186" spans="1:1" x14ac:dyDescent="0.2">
      <c r="A21186" t="s">
        <v>4247</v>
      </c>
    </row>
    <row r="21187" spans="1:1" x14ac:dyDescent="0.2">
      <c r="A21187" t="s">
        <v>1594</v>
      </c>
    </row>
    <row r="21188" spans="1:1" x14ac:dyDescent="0.2">
      <c r="A21188" t="s">
        <v>3489</v>
      </c>
    </row>
    <row r="21189" spans="1:1" x14ac:dyDescent="0.2">
      <c r="A21189" t="s">
        <v>3528</v>
      </c>
    </row>
    <row r="21190" spans="1:1" x14ac:dyDescent="0.2">
      <c r="A21190" t="s">
        <v>3491</v>
      </c>
    </row>
    <row r="21191" spans="1:1" x14ac:dyDescent="0.2">
      <c r="A21191" t="s">
        <v>1598</v>
      </c>
    </row>
    <row r="21192" spans="1:1" x14ac:dyDescent="0.2">
      <c r="A21192" t="s">
        <v>4179</v>
      </c>
    </row>
    <row r="21193" spans="1:1" x14ac:dyDescent="0.2">
      <c r="A21193" t="s">
        <v>1674</v>
      </c>
    </row>
    <row r="21194" spans="1:1" x14ac:dyDescent="0.2">
      <c r="A21194" t="s">
        <v>1639</v>
      </c>
    </row>
    <row r="21195" spans="1:1" x14ac:dyDescent="0.2">
      <c r="A21195" t="s">
        <v>3320</v>
      </c>
    </row>
    <row r="21196" spans="1:1" x14ac:dyDescent="0.2">
      <c r="A21196" t="s">
        <v>1635</v>
      </c>
    </row>
    <row r="21197" spans="1:1" x14ac:dyDescent="0.2">
      <c r="A21197" t="s">
        <v>1604</v>
      </c>
    </row>
    <row r="21198" spans="1:1" x14ac:dyDescent="0.2">
      <c r="A21198" t="s">
        <v>1605</v>
      </c>
    </row>
    <row r="21199" spans="1:1" x14ac:dyDescent="0.2">
      <c r="A21199" t="s">
        <v>1606</v>
      </c>
    </row>
    <row r="21200" spans="1:1" x14ac:dyDescent="0.2">
      <c r="A21200" t="s">
        <v>1607</v>
      </c>
    </row>
    <row r="21201" spans="1:1" x14ac:dyDescent="0.2">
      <c r="A21201" t="s">
        <v>1676</v>
      </c>
    </row>
    <row r="21202" spans="1:1" x14ac:dyDescent="0.2">
      <c r="A21202" t="s">
        <v>1677</v>
      </c>
    </row>
    <row r="21203" spans="1:1" x14ac:dyDescent="0.2">
      <c r="A21203" t="s">
        <v>1610</v>
      </c>
    </row>
    <row r="21204" spans="1:1" x14ac:dyDescent="0.2">
      <c r="A21204" t="s">
        <v>3529</v>
      </c>
    </row>
    <row r="21205" spans="1:1" x14ac:dyDescent="0.2">
      <c r="A21205" t="s">
        <v>3530</v>
      </c>
    </row>
    <row r="21206" spans="1:1" x14ac:dyDescent="0.2">
      <c r="A21206" t="s">
        <v>3531</v>
      </c>
    </row>
    <row r="21207" spans="1:1" x14ac:dyDescent="0.2">
      <c r="A21207" t="s">
        <v>3532</v>
      </c>
    </row>
    <row r="21208" spans="1:1" x14ac:dyDescent="0.2">
      <c r="A21208" t="s">
        <v>3533</v>
      </c>
    </row>
    <row r="21209" spans="1:1" x14ac:dyDescent="0.2">
      <c r="A21209" t="s">
        <v>3534</v>
      </c>
    </row>
    <row r="21210" spans="1:1" x14ac:dyDescent="0.2">
      <c r="A21210" t="s">
        <v>3535</v>
      </c>
    </row>
    <row r="21211" spans="1:1" x14ac:dyDescent="0.2">
      <c r="A21211" t="s">
        <v>3536</v>
      </c>
    </row>
    <row r="21212" spans="1:1" x14ac:dyDescent="0.2">
      <c r="A21212" t="s">
        <v>3537</v>
      </c>
    </row>
    <row r="21213" spans="1:1" x14ac:dyDescent="0.2">
      <c r="A21213" t="s">
        <v>3538</v>
      </c>
    </row>
    <row r="21214" spans="1:1" x14ac:dyDescent="0.2">
      <c r="A21214" t="s">
        <v>3539</v>
      </c>
    </row>
    <row r="21215" spans="1:1" x14ac:dyDescent="0.2">
      <c r="A21215" t="s">
        <v>3540</v>
      </c>
    </row>
    <row r="21216" spans="1:1" x14ac:dyDescent="0.2">
      <c r="A21216" t="s">
        <v>3541</v>
      </c>
    </row>
    <row r="21217" spans="1:1" x14ac:dyDescent="0.2">
      <c r="A21217" t="s">
        <v>3542</v>
      </c>
    </row>
    <row r="21218" spans="1:1" x14ac:dyDescent="0.2">
      <c r="A21218" t="s">
        <v>3543</v>
      </c>
    </row>
    <row r="21219" spans="1:1" x14ac:dyDescent="0.2">
      <c r="A21219" t="s">
        <v>4195</v>
      </c>
    </row>
    <row r="21220" spans="1:1" x14ac:dyDescent="0.2">
      <c r="A21220" t="s">
        <v>4196</v>
      </c>
    </row>
    <row r="21221" spans="1:1" x14ac:dyDescent="0.2">
      <c r="A21221" t="s">
        <v>4248</v>
      </c>
    </row>
    <row r="21222" spans="1:1" x14ac:dyDescent="0.2">
      <c r="A21222" t="s">
        <v>1594</v>
      </c>
    </row>
    <row r="21223" spans="1:1" x14ac:dyDescent="0.2">
      <c r="A21223" t="s">
        <v>3489</v>
      </c>
    </row>
    <row r="21224" spans="1:1" x14ac:dyDescent="0.2">
      <c r="A21224" t="s">
        <v>3528</v>
      </c>
    </row>
    <row r="21225" spans="1:1" x14ac:dyDescent="0.2">
      <c r="A21225" t="s">
        <v>3491</v>
      </c>
    </row>
    <row r="21226" spans="1:1" x14ac:dyDescent="0.2">
      <c r="A21226" t="s">
        <v>1598</v>
      </c>
    </row>
    <row r="21227" spans="1:1" x14ac:dyDescent="0.2">
      <c r="A21227" t="s">
        <v>4179</v>
      </c>
    </row>
    <row r="21228" spans="1:1" x14ac:dyDescent="0.2">
      <c r="A21228" t="s">
        <v>1674</v>
      </c>
    </row>
    <row r="21229" spans="1:1" x14ac:dyDescent="0.2">
      <c r="A21229" t="s">
        <v>1601</v>
      </c>
    </row>
    <row r="21230" spans="1:1" x14ac:dyDescent="0.2">
      <c r="A21230" t="s">
        <v>3320</v>
      </c>
    </row>
    <row r="21231" spans="1:1" x14ac:dyDescent="0.2">
      <c r="A21231" t="s">
        <v>1635</v>
      </c>
    </row>
    <row r="21232" spans="1:1" x14ac:dyDescent="0.2">
      <c r="A21232" t="s">
        <v>1604</v>
      </c>
    </row>
    <row r="21233" spans="1:1" x14ac:dyDescent="0.2">
      <c r="A21233" t="s">
        <v>1605</v>
      </c>
    </row>
    <row r="21234" spans="1:1" x14ac:dyDescent="0.2">
      <c r="A21234" t="s">
        <v>1606</v>
      </c>
    </row>
    <row r="21235" spans="1:1" x14ac:dyDescent="0.2">
      <c r="A21235" t="s">
        <v>1607</v>
      </c>
    </row>
    <row r="21236" spans="1:1" x14ac:dyDescent="0.2">
      <c r="A21236" t="s">
        <v>1676</v>
      </c>
    </row>
    <row r="21237" spans="1:1" x14ac:dyDescent="0.2">
      <c r="A21237" t="s">
        <v>1677</v>
      </c>
    </row>
    <row r="21238" spans="1:1" x14ac:dyDescent="0.2">
      <c r="A21238" t="s">
        <v>1610</v>
      </c>
    </row>
    <row r="21239" spans="1:1" x14ac:dyDescent="0.2">
      <c r="A21239" t="s">
        <v>3529</v>
      </c>
    </row>
    <row r="21240" spans="1:1" x14ac:dyDescent="0.2">
      <c r="A21240" t="s">
        <v>3530</v>
      </c>
    </row>
    <row r="21241" spans="1:1" x14ac:dyDescent="0.2">
      <c r="A21241" t="s">
        <v>3531</v>
      </c>
    </row>
    <row r="21242" spans="1:1" x14ac:dyDescent="0.2">
      <c r="A21242" t="s">
        <v>3532</v>
      </c>
    </row>
    <row r="21243" spans="1:1" x14ac:dyDescent="0.2">
      <c r="A21243" t="s">
        <v>3533</v>
      </c>
    </row>
    <row r="21244" spans="1:1" x14ac:dyDescent="0.2">
      <c r="A21244" t="s">
        <v>3534</v>
      </c>
    </row>
    <row r="21245" spans="1:1" x14ac:dyDescent="0.2">
      <c r="A21245" t="s">
        <v>3535</v>
      </c>
    </row>
    <row r="21246" spans="1:1" x14ac:dyDescent="0.2">
      <c r="A21246" t="s">
        <v>3536</v>
      </c>
    </row>
    <row r="21247" spans="1:1" x14ac:dyDescent="0.2">
      <c r="A21247" t="s">
        <v>3537</v>
      </c>
    </row>
    <row r="21248" spans="1:1" x14ac:dyDescent="0.2">
      <c r="A21248" t="s">
        <v>3538</v>
      </c>
    </row>
    <row r="21249" spans="1:1" x14ac:dyDescent="0.2">
      <c r="A21249" t="s">
        <v>3539</v>
      </c>
    </row>
    <row r="21250" spans="1:1" x14ac:dyDescent="0.2">
      <c r="A21250" t="s">
        <v>3540</v>
      </c>
    </row>
    <row r="21251" spans="1:1" x14ac:dyDescent="0.2">
      <c r="A21251" t="s">
        <v>3541</v>
      </c>
    </row>
    <row r="21252" spans="1:1" x14ac:dyDescent="0.2">
      <c r="A21252" t="s">
        <v>3542</v>
      </c>
    </row>
    <row r="21253" spans="1:1" x14ac:dyDescent="0.2">
      <c r="A21253" t="s">
        <v>3543</v>
      </c>
    </row>
    <row r="21254" spans="1:1" x14ac:dyDescent="0.2">
      <c r="A21254" t="s">
        <v>4195</v>
      </c>
    </row>
    <row r="21255" spans="1:1" x14ac:dyDescent="0.2">
      <c r="A21255" t="s">
        <v>4196</v>
      </c>
    </row>
    <row r="21256" spans="1:1" x14ac:dyDescent="0.2">
      <c r="A21256" t="s">
        <v>4249</v>
      </c>
    </row>
    <row r="21257" spans="1:1" x14ac:dyDescent="0.2">
      <c r="A21257" t="s">
        <v>1594</v>
      </c>
    </row>
    <row r="21258" spans="1:1" x14ac:dyDescent="0.2">
      <c r="A21258" t="s">
        <v>1666</v>
      </c>
    </row>
    <row r="21259" spans="1:1" x14ac:dyDescent="0.2">
      <c r="A21259" t="s">
        <v>4250</v>
      </c>
    </row>
    <row r="21260" spans="1:1" x14ac:dyDescent="0.2">
      <c r="A21260" t="s">
        <v>1664</v>
      </c>
    </row>
    <row r="21261" spans="1:1" x14ac:dyDescent="0.2">
      <c r="A21261" t="s">
        <v>3318</v>
      </c>
    </row>
    <row r="21262" spans="1:1" x14ac:dyDescent="0.2">
      <c r="A21262" t="s">
        <v>4179</v>
      </c>
    </row>
    <row r="21263" spans="1:1" x14ac:dyDescent="0.2">
      <c r="A21263" t="s">
        <v>1600</v>
      </c>
    </row>
    <row r="21264" spans="1:1" x14ac:dyDescent="0.2">
      <c r="A21264" t="s">
        <v>1601</v>
      </c>
    </row>
    <row r="21265" spans="1:1" x14ac:dyDescent="0.2">
      <c r="A21265" t="s">
        <v>1602</v>
      </c>
    </row>
    <row r="21266" spans="1:1" x14ac:dyDescent="0.2">
      <c r="A21266" t="s">
        <v>1603</v>
      </c>
    </row>
    <row r="21267" spans="1:1" x14ac:dyDescent="0.2">
      <c r="A21267" t="s">
        <v>1604</v>
      </c>
    </row>
    <row r="21268" spans="1:1" x14ac:dyDescent="0.2">
      <c r="A21268" t="s">
        <v>1605</v>
      </c>
    </row>
    <row r="21269" spans="1:1" x14ac:dyDescent="0.2">
      <c r="A21269" t="s">
        <v>1606</v>
      </c>
    </row>
    <row r="21270" spans="1:1" x14ac:dyDescent="0.2">
      <c r="A21270" t="s">
        <v>4251</v>
      </c>
    </row>
    <row r="21271" spans="1:1" x14ac:dyDescent="0.2">
      <c r="A21271" t="s">
        <v>1608</v>
      </c>
    </row>
    <row r="21272" spans="1:1" x14ac:dyDescent="0.2">
      <c r="A21272" t="s">
        <v>1609</v>
      </c>
    </row>
    <row r="21273" spans="1:1" x14ac:dyDescent="0.2">
      <c r="A21273" t="s">
        <v>1610</v>
      </c>
    </row>
    <row r="21274" spans="1:1" x14ac:dyDescent="0.2">
      <c r="A21274" t="s">
        <v>4252</v>
      </c>
    </row>
    <row r="21275" spans="1:1" x14ac:dyDescent="0.2">
      <c r="A21275" t="s">
        <v>4253</v>
      </c>
    </row>
    <row r="21276" spans="1:1" x14ac:dyDescent="0.2">
      <c r="A21276" t="s">
        <v>4254</v>
      </c>
    </row>
    <row r="21277" spans="1:1" x14ac:dyDescent="0.2">
      <c r="A21277" t="s">
        <v>4255</v>
      </c>
    </row>
    <row r="21278" spans="1:1" x14ac:dyDescent="0.2">
      <c r="A21278" t="s">
        <v>4256</v>
      </c>
    </row>
    <row r="21279" spans="1:1" x14ac:dyDescent="0.2">
      <c r="A21279" t="s">
        <v>4257</v>
      </c>
    </row>
    <row r="21280" spans="1:1" x14ac:dyDescent="0.2">
      <c r="A21280" t="s">
        <v>4258</v>
      </c>
    </row>
    <row r="21281" spans="1:1" x14ac:dyDescent="0.2">
      <c r="A21281" t="s">
        <v>4259</v>
      </c>
    </row>
    <row r="21282" spans="1:1" x14ac:dyDescent="0.2">
      <c r="A21282" t="s">
        <v>4260</v>
      </c>
    </row>
    <row r="21283" spans="1:1" x14ac:dyDescent="0.2">
      <c r="A21283" t="s">
        <v>4261</v>
      </c>
    </row>
    <row r="21284" spans="1:1" x14ac:dyDescent="0.2">
      <c r="A21284" t="s">
        <v>4262</v>
      </c>
    </row>
    <row r="21285" spans="1:1" x14ac:dyDescent="0.2">
      <c r="A21285" t="s">
        <v>4263</v>
      </c>
    </row>
    <row r="21286" spans="1:1" x14ac:dyDescent="0.2">
      <c r="A21286" t="s">
        <v>4264</v>
      </c>
    </row>
    <row r="21287" spans="1:1" x14ac:dyDescent="0.2">
      <c r="A21287" t="s">
        <v>4265</v>
      </c>
    </row>
    <row r="21288" spans="1:1" x14ac:dyDescent="0.2">
      <c r="A21288" t="s">
        <v>4266</v>
      </c>
    </row>
    <row r="21289" spans="1:1" x14ac:dyDescent="0.2">
      <c r="A21289" t="s">
        <v>4195</v>
      </c>
    </row>
    <row r="21290" spans="1:1" x14ac:dyDescent="0.2">
      <c r="A21290" t="s">
        <v>4196</v>
      </c>
    </row>
    <row r="21291" spans="1:1" x14ac:dyDescent="0.2">
      <c r="A21291" t="s">
        <v>4267</v>
      </c>
    </row>
    <row r="21292" spans="1:1" x14ac:dyDescent="0.2">
      <c r="A21292" t="s">
        <v>1594</v>
      </c>
    </row>
    <row r="21293" spans="1:1" x14ac:dyDescent="0.2">
      <c r="A21293" t="s">
        <v>1595</v>
      </c>
    </row>
    <row r="21294" spans="1:1" x14ac:dyDescent="0.2">
      <c r="A21294" t="s">
        <v>1596</v>
      </c>
    </row>
    <row r="21295" spans="1:1" x14ac:dyDescent="0.2">
      <c r="A21295" t="s">
        <v>1597</v>
      </c>
    </row>
    <row r="21296" spans="1:1" x14ac:dyDescent="0.2">
      <c r="A21296" t="s">
        <v>1598</v>
      </c>
    </row>
    <row r="21297" spans="1:1" x14ac:dyDescent="0.2">
      <c r="A21297" t="s">
        <v>1599</v>
      </c>
    </row>
    <row r="21298" spans="1:1" x14ac:dyDescent="0.2">
      <c r="A21298" t="s">
        <v>1600</v>
      </c>
    </row>
    <row r="21299" spans="1:1" x14ac:dyDescent="0.2">
      <c r="A21299" t="s">
        <v>1601</v>
      </c>
    </row>
    <row r="21300" spans="1:1" x14ac:dyDescent="0.2">
      <c r="A21300" t="s">
        <v>1602</v>
      </c>
    </row>
    <row r="21301" spans="1:1" x14ac:dyDescent="0.2">
      <c r="A21301" t="s">
        <v>1603</v>
      </c>
    </row>
    <row r="21302" spans="1:1" x14ac:dyDescent="0.2">
      <c r="A21302" t="s">
        <v>1604</v>
      </c>
    </row>
    <row r="21303" spans="1:1" x14ac:dyDescent="0.2">
      <c r="A21303" t="s">
        <v>1605</v>
      </c>
    </row>
    <row r="21304" spans="1:1" x14ac:dyDescent="0.2">
      <c r="A21304" t="s">
        <v>1606</v>
      </c>
    </row>
    <row r="21305" spans="1:1" x14ac:dyDescent="0.2">
      <c r="A21305" t="s">
        <v>1607</v>
      </c>
    </row>
    <row r="21306" spans="1:1" x14ac:dyDescent="0.2">
      <c r="A21306" t="s">
        <v>1608</v>
      </c>
    </row>
    <row r="21307" spans="1:1" x14ac:dyDescent="0.2">
      <c r="A21307" t="s">
        <v>1609</v>
      </c>
    </row>
    <row r="21308" spans="1:1" x14ac:dyDescent="0.2">
      <c r="A21308" t="s">
        <v>1610</v>
      </c>
    </row>
    <row r="21309" spans="1:1" x14ac:dyDescent="0.2">
      <c r="A21309" t="s">
        <v>1611</v>
      </c>
    </row>
    <row r="21310" spans="1:1" x14ac:dyDescent="0.2">
      <c r="A21310" t="s">
        <v>1612</v>
      </c>
    </row>
    <row r="21311" spans="1:1" x14ac:dyDescent="0.2">
      <c r="A21311" t="s">
        <v>1613</v>
      </c>
    </row>
    <row r="21312" spans="1:1" x14ac:dyDescent="0.2">
      <c r="A21312" t="s">
        <v>1614</v>
      </c>
    </row>
    <row r="21313" spans="1:1" x14ac:dyDescent="0.2">
      <c r="A21313" t="s">
        <v>1615</v>
      </c>
    </row>
    <row r="21314" spans="1:1" x14ac:dyDescent="0.2">
      <c r="A21314" t="s">
        <v>1616</v>
      </c>
    </row>
    <row r="21315" spans="1:1" x14ac:dyDescent="0.2">
      <c r="A21315" t="s">
        <v>1617</v>
      </c>
    </row>
    <row r="21316" spans="1:1" x14ac:dyDescent="0.2">
      <c r="A21316" t="s">
        <v>1618</v>
      </c>
    </row>
    <row r="21317" spans="1:1" x14ac:dyDescent="0.2">
      <c r="A21317" t="s">
        <v>1619</v>
      </c>
    </row>
    <row r="21318" spans="1:1" x14ac:dyDescent="0.2">
      <c r="A21318" t="s">
        <v>1620</v>
      </c>
    </row>
    <row r="21319" spans="1:1" x14ac:dyDescent="0.2">
      <c r="A21319" t="s">
        <v>1621</v>
      </c>
    </row>
    <row r="21320" spans="1:1" x14ac:dyDescent="0.2">
      <c r="A21320" t="s">
        <v>1622</v>
      </c>
    </row>
    <row r="21321" spans="1:1" x14ac:dyDescent="0.2">
      <c r="A21321" t="s">
        <v>1623</v>
      </c>
    </row>
    <row r="21322" spans="1:1" x14ac:dyDescent="0.2">
      <c r="A21322" t="s">
        <v>1624</v>
      </c>
    </row>
    <row r="21323" spans="1:1" x14ac:dyDescent="0.2">
      <c r="A21323" t="s">
        <v>1625</v>
      </c>
    </row>
    <row r="21324" spans="1:1" x14ac:dyDescent="0.2">
      <c r="A21324" t="s">
        <v>1626</v>
      </c>
    </row>
    <row r="21325" spans="1:1" x14ac:dyDescent="0.2">
      <c r="A21325" t="s">
        <v>1627</v>
      </c>
    </row>
    <row r="21326" spans="1:1" x14ac:dyDescent="0.2">
      <c r="A21326" t="s">
        <v>4268</v>
      </c>
    </row>
    <row r="21327" spans="1:1" x14ac:dyDescent="0.2">
      <c r="A21327" t="s">
        <v>1594</v>
      </c>
    </row>
    <row r="21328" spans="1:1" x14ac:dyDescent="0.2">
      <c r="A21328" t="s">
        <v>1595</v>
      </c>
    </row>
    <row r="21329" spans="1:1" x14ac:dyDescent="0.2">
      <c r="A21329" t="s">
        <v>4269</v>
      </c>
    </row>
    <row r="21330" spans="1:1" x14ac:dyDescent="0.2">
      <c r="A21330" t="s">
        <v>1597</v>
      </c>
    </row>
    <row r="21331" spans="1:1" x14ac:dyDescent="0.2">
      <c r="A21331" t="s">
        <v>1598</v>
      </c>
    </row>
    <row r="21332" spans="1:1" x14ac:dyDescent="0.2">
      <c r="A21332" t="s">
        <v>1599</v>
      </c>
    </row>
    <row r="21333" spans="1:1" x14ac:dyDescent="0.2">
      <c r="A21333" t="s">
        <v>1600</v>
      </c>
    </row>
    <row r="21334" spans="1:1" x14ac:dyDescent="0.2">
      <c r="A21334" t="s">
        <v>1601</v>
      </c>
    </row>
    <row r="21335" spans="1:1" x14ac:dyDescent="0.2">
      <c r="A21335" t="s">
        <v>1602</v>
      </c>
    </row>
    <row r="21336" spans="1:1" x14ac:dyDescent="0.2">
      <c r="A21336" t="s">
        <v>1603</v>
      </c>
    </row>
    <row r="21337" spans="1:1" x14ac:dyDescent="0.2">
      <c r="A21337" t="s">
        <v>1604</v>
      </c>
    </row>
    <row r="21338" spans="1:1" x14ac:dyDescent="0.2">
      <c r="A21338" t="s">
        <v>1605</v>
      </c>
    </row>
    <row r="21339" spans="1:1" x14ac:dyDescent="0.2">
      <c r="A21339" t="s">
        <v>1606</v>
      </c>
    </row>
    <row r="21340" spans="1:1" x14ac:dyDescent="0.2">
      <c r="A21340" t="s">
        <v>1607</v>
      </c>
    </row>
    <row r="21341" spans="1:1" x14ac:dyDescent="0.2">
      <c r="A21341" t="s">
        <v>1608</v>
      </c>
    </row>
    <row r="21342" spans="1:1" x14ac:dyDescent="0.2">
      <c r="A21342" t="s">
        <v>1609</v>
      </c>
    </row>
    <row r="21343" spans="1:1" x14ac:dyDescent="0.2">
      <c r="A21343" t="s">
        <v>1610</v>
      </c>
    </row>
    <row r="21344" spans="1:1" x14ac:dyDescent="0.2">
      <c r="A21344" t="s">
        <v>1611</v>
      </c>
    </row>
    <row r="21345" spans="1:1" x14ac:dyDescent="0.2">
      <c r="A21345" t="s">
        <v>1612</v>
      </c>
    </row>
    <row r="21346" spans="1:1" x14ac:dyDescent="0.2">
      <c r="A21346" t="s">
        <v>1613</v>
      </c>
    </row>
    <row r="21347" spans="1:1" x14ac:dyDescent="0.2">
      <c r="A21347" t="s">
        <v>1614</v>
      </c>
    </row>
    <row r="21348" spans="1:1" x14ac:dyDescent="0.2">
      <c r="A21348" t="s">
        <v>1615</v>
      </c>
    </row>
    <row r="21349" spans="1:1" x14ac:dyDescent="0.2">
      <c r="A21349" t="s">
        <v>1616</v>
      </c>
    </row>
    <row r="21350" spans="1:1" x14ac:dyDescent="0.2">
      <c r="A21350" t="s">
        <v>1617</v>
      </c>
    </row>
    <row r="21351" spans="1:1" x14ac:dyDescent="0.2">
      <c r="A21351" t="s">
        <v>1618</v>
      </c>
    </row>
    <row r="21352" spans="1:1" x14ac:dyDescent="0.2">
      <c r="A21352" t="s">
        <v>1619</v>
      </c>
    </row>
    <row r="21353" spans="1:1" x14ac:dyDescent="0.2">
      <c r="A21353" t="s">
        <v>1620</v>
      </c>
    </row>
    <row r="21354" spans="1:1" x14ac:dyDescent="0.2">
      <c r="A21354" t="s">
        <v>1621</v>
      </c>
    </row>
    <row r="21355" spans="1:1" x14ac:dyDescent="0.2">
      <c r="A21355" t="s">
        <v>1622</v>
      </c>
    </row>
    <row r="21356" spans="1:1" x14ac:dyDescent="0.2">
      <c r="A21356" t="s">
        <v>1623</v>
      </c>
    </row>
    <row r="21357" spans="1:1" x14ac:dyDescent="0.2">
      <c r="A21357" t="s">
        <v>1624</v>
      </c>
    </row>
    <row r="21358" spans="1:1" x14ac:dyDescent="0.2">
      <c r="A21358" t="s">
        <v>1625</v>
      </c>
    </row>
    <row r="21359" spans="1:1" x14ac:dyDescent="0.2">
      <c r="A21359" t="s">
        <v>1626</v>
      </c>
    </row>
    <row r="21360" spans="1:1" x14ac:dyDescent="0.2">
      <c r="A21360" t="s">
        <v>1627</v>
      </c>
    </row>
    <row r="21361" spans="1:1" x14ac:dyDescent="0.2">
      <c r="A21361" t="s">
        <v>4270</v>
      </c>
    </row>
    <row r="21362" spans="1:1" x14ac:dyDescent="0.2">
      <c r="A21362" t="s">
        <v>1594</v>
      </c>
    </row>
    <row r="21363" spans="1:1" x14ac:dyDescent="0.2">
      <c r="A21363" t="s">
        <v>1630</v>
      </c>
    </row>
    <row r="21364" spans="1:1" x14ac:dyDescent="0.2">
      <c r="A21364" t="s">
        <v>4271</v>
      </c>
    </row>
    <row r="21365" spans="1:1" x14ac:dyDescent="0.2">
      <c r="A21365" t="s">
        <v>1631</v>
      </c>
    </row>
    <row r="21366" spans="1:1" x14ac:dyDescent="0.2">
      <c r="A21366" t="s">
        <v>1673</v>
      </c>
    </row>
    <row r="21367" spans="1:1" x14ac:dyDescent="0.2">
      <c r="A21367" t="s">
        <v>3319</v>
      </c>
    </row>
    <row r="21368" spans="1:1" x14ac:dyDescent="0.2">
      <c r="A21368" t="s">
        <v>1600</v>
      </c>
    </row>
    <row r="21369" spans="1:1" x14ac:dyDescent="0.2">
      <c r="A21369" t="s">
        <v>1639</v>
      </c>
    </row>
    <row r="21370" spans="1:1" x14ac:dyDescent="0.2">
      <c r="A21370" t="s">
        <v>1634</v>
      </c>
    </row>
    <row r="21371" spans="1:1" x14ac:dyDescent="0.2">
      <c r="A21371" t="s">
        <v>4272</v>
      </c>
    </row>
    <row r="21372" spans="1:1" x14ac:dyDescent="0.2">
      <c r="A21372" t="s">
        <v>1604</v>
      </c>
    </row>
    <row r="21373" spans="1:1" x14ac:dyDescent="0.2">
      <c r="A21373" t="s">
        <v>1605</v>
      </c>
    </row>
    <row r="21374" spans="1:1" x14ac:dyDescent="0.2">
      <c r="A21374" t="s">
        <v>1606</v>
      </c>
    </row>
    <row r="21375" spans="1:1" x14ac:dyDescent="0.2">
      <c r="A21375" t="s">
        <v>3569</v>
      </c>
    </row>
    <row r="21376" spans="1:1" x14ac:dyDescent="0.2">
      <c r="A21376" t="s">
        <v>1608</v>
      </c>
    </row>
    <row r="21377" spans="1:1" x14ac:dyDescent="0.2">
      <c r="A21377" t="s">
        <v>1609</v>
      </c>
    </row>
    <row r="21378" spans="1:1" x14ac:dyDescent="0.2">
      <c r="A21378" t="s">
        <v>1610</v>
      </c>
    </row>
    <row r="21379" spans="1:1" x14ac:dyDescent="0.2">
      <c r="A21379" t="s">
        <v>4273</v>
      </c>
    </row>
    <row r="21380" spans="1:1" x14ac:dyDescent="0.2">
      <c r="A21380" t="s">
        <v>4274</v>
      </c>
    </row>
    <row r="21381" spans="1:1" x14ac:dyDescent="0.2">
      <c r="A21381" t="s">
        <v>4275</v>
      </c>
    </row>
    <row r="21382" spans="1:1" x14ac:dyDescent="0.2">
      <c r="A21382" t="s">
        <v>4276</v>
      </c>
    </row>
    <row r="21383" spans="1:1" x14ac:dyDescent="0.2">
      <c r="A21383" t="s">
        <v>4277</v>
      </c>
    </row>
    <row r="21384" spans="1:1" x14ac:dyDescent="0.2">
      <c r="A21384" t="s">
        <v>4278</v>
      </c>
    </row>
    <row r="21385" spans="1:1" x14ac:dyDescent="0.2">
      <c r="A21385" t="s">
        <v>4279</v>
      </c>
    </row>
    <row r="21386" spans="1:1" x14ac:dyDescent="0.2">
      <c r="A21386" t="s">
        <v>4280</v>
      </c>
    </row>
    <row r="21387" spans="1:1" x14ac:dyDescent="0.2">
      <c r="A21387" t="s">
        <v>4281</v>
      </c>
    </row>
    <row r="21388" spans="1:1" x14ac:dyDescent="0.2">
      <c r="A21388" t="s">
        <v>4282</v>
      </c>
    </row>
    <row r="21389" spans="1:1" x14ac:dyDescent="0.2">
      <c r="A21389" t="s">
        <v>4283</v>
      </c>
    </row>
    <row r="21390" spans="1:1" x14ac:dyDescent="0.2">
      <c r="A21390" t="s">
        <v>4284</v>
      </c>
    </row>
    <row r="21391" spans="1:1" x14ac:dyDescent="0.2">
      <c r="A21391" t="s">
        <v>4285</v>
      </c>
    </row>
    <row r="21392" spans="1:1" x14ac:dyDescent="0.2">
      <c r="A21392" t="s">
        <v>4286</v>
      </c>
    </row>
    <row r="21393" spans="1:1" x14ac:dyDescent="0.2">
      <c r="A21393" t="s">
        <v>4287</v>
      </c>
    </row>
    <row r="21394" spans="1:1" x14ac:dyDescent="0.2">
      <c r="A21394" t="s">
        <v>4288</v>
      </c>
    </row>
    <row r="21395" spans="1:1" x14ac:dyDescent="0.2">
      <c r="A21395" t="s">
        <v>4289</v>
      </c>
    </row>
    <row r="21396" spans="1:1" x14ac:dyDescent="0.2">
      <c r="A21396" t="s">
        <v>4290</v>
      </c>
    </row>
    <row r="21397" spans="1:1" x14ac:dyDescent="0.2">
      <c r="A21397" t="s">
        <v>1594</v>
      </c>
    </row>
    <row r="21398" spans="1:1" x14ac:dyDescent="0.2">
      <c r="A21398" t="s">
        <v>3489</v>
      </c>
    </row>
    <row r="21399" spans="1:1" x14ac:dyDescent="0.2">
      <c r="A21399" t="s">
        <v>3490</v>
      </c>
    </row>
    <row r="21400" spans="1:1" x14ac:dyDescent="0.2">
      <c r="A21400" t="s">
        <v>3491</v>
      </c>
    </row>
    <row r="21401" spans="1:1" x14ac:dyDescent="0.2">
      <c r="A21401" t="s">
        <v>1598</v>
      </c>
    </row>
    <row r="21402" spans="1:1" x14ac:dyDescent="0.2">
      <c r="A21402" t="s">
        <v>3319</v>
      </c>
    </row>
    <row r="21403" spans="1:1" x14ac:dyDescent="0.2">
      <c r="A21403" t="s">
        <v>1600</v>
      </c>
    </row>
    <row r="21404" spans="1:1" x14ac:dyDescent="0.2">
      <c r="A21404" t="s">
        <v>1639</v>
      </c>
    </row>
    <row r="21405" spans="1:1" x14ac:dyDescent="0.2">
      <c r="A21405" t="s">
        <v>1634</v>
      </c>
    </row>
    <row r="21406" spans="1:1" x14ac:dyDescent="0.2">
      <c r="A21406" t="s">
        <v>4272</v>
      </c>
    </row>
    <row r="21407" spans="1:1" x14ac:dyDescent="0.2">
      <c r="A21407" t="s">
        <v>1604</v>
      </c>
    </row>
    <row r="21408" spans="1:1" x14ac:dyDescent="0.2">
      <c r="A21408" t="s">
        <v>1605</v>
      </c>
    </row>
    <row r="21409" spans="1:1" x14ac:dyDescent="0.2">
      <c r="A21409" t="s">
        <v>1606</v>
      </c>
    </row>
    <row r="21410" spans="1:1" x14ac:dyDescent="0.2">
      <c r="A21410" t="s">
        <v>3569</v>
      </c>
    </row>
    <row r="21411" spans="1:1" x14ac:dyDescent="0.2">
      <c r="A21411" t="s">
        <v>1608</v>
      </c>
    </row>
    <row r="21412" spans="1:1" x14ac:dyDescent="0.2">
      <c r="A21412" t="s">
        <v>1609</v>
      </c>
    </row>
    <row r="21413" spans="1:1" x14ac:dyDescent="0.2">
      <c r="A21413" t="s">
        <v>1610</v>
      </c>
    </row>
    <row r="21414" spans="1:1" x14ac:dyDescent="0.2">
      <c r="A21414" t="s">
        <v>3492</v>
      </c>
    </row>
    <row r="21415" spans="1:1" x14ac:dyDescent="0.2">
      <c r="A21415" t="s">
        <v>3493</v>
      </c>
    </row>
    <row r="21416" spans="1:1" x14ac:dyDescent="0.2">
      <c r="A21416" t="s">
        <v>3494</v>
      </c>
    </row>
    <row r="21417" spans="1:1" x14ac:dyDescent="0.2">
      <c r="A21417" t="s">
        <v>3495</v>
      </c>
    </row>
    <row r="21418" spans="1:1" x14ac:dyDescent="0.2">
      <c r="A21418" t="s">
        <v>3496</v>
      </c>
    </row>
    <row r="21419" spans="1:1" x14ac:dyDescent="0.2">
      <c r="A21419" t="s">
        <v>3497</v>
      </c>
    </row>
    <row r="21420" spans="1:1" x14ac:dyDescent="0.2">
      <c r="A21420" t="s">
        <v>3498</v>
      </c>
    </row>
    <row r="21421" spans="1:1" x14ac:dyDescent="0.2">
      <c r="A21421" t="s">
        <v>3499</v>
      </c>
    </row>
    <row r="21422" spans="1:1" x14ac:dyDescent="0.2">
      <c r="A21422" t="s">
        <v>3500</v>
      </c>
    </row>
    <row r="21423" spans="1:1" x14ac:dyDescent="0.2">
      <c r="A21423" t="s">
        <v>3501</v>
      </c>
    </row>
    <row r="21424" spans="1:1" x14ac:dyDescent="0.2">
      <c r="A21424" t="s">
        <v>3502</v>
      </c>
    </row>
    <row r="21425" spans="1:1" x14ac:dyDescent="0.2">
      <c r="A21425" t="s">
        <v>3503</v>
      </c>
    </row>
    <row r="21426" spans="1:1" x14ac:dyDescent="0.2">
      <c r="A21426" t="s">
        <v>3504</v>
      </c>
    </row>
    <row r="21427" spans="1:1" x14ac:dyDescent="0.2">
      <c r="A21427" t="s">
        <v>3505</v>
      </c>
    </row>
    <row r="21428" spans="1:1" x14ac:dyDescent="0.2">
      <c r="A21428" t="s">
        <v>3506</v>
      </c>
    </row>
    <row r="21429" spans="1:1" x14ac:dyDescent="0.2">
      <c r="A21429" t="s">
        <v>4288</v>
      </c>
    </row>
    <row r="21430" spans="1:1" x14ac:dyDescent="0.2">
      <c r="A21430" t="s">
        <v>4289</v>
      </c>
    </row>
    <row r="21431" spans="1:1" x14ac:dyDescent="0.2">
      <c r="A21431" t="s">
        <v>4291</v>
      </c>
    </row>
    <row r="21432" spans="1:1" x14ac:dyDescent="0.2">
      <c r="A21432" t="s">
        <v>1594</v>
      </c>
    </row>
    <row r="21433" spans="1:1" x14ac:dyDescent="0.2">
      <c r="A21433" t="s">
        <v>3509</v>
      </c>
    </row>
    <row r="21434" spans="1:1" x14ac:dyDescent="0.2">
      <c r="A21434" t="s">
        <v>4292</v>
      </c>
    </row>
    <row r="21435" spans="1:1" x14ac:dyDescent="0.2">
      <c r="A21435" t="s">
        <v>1664</v>
      </c>
    </row>
    <row r="21436" spans="1:1" x14ac:dyDescent="0.2">
      <c r="A21436" t="s">
        <v>1673</v>
      </c>
    </row>
    <row r="21437" spans="1:1" x14ac:dyDescent="0.2">
      <c r="A21437" t="s">
        <v>3319</v>
      </c>
    </row>
    <row r="21438" spans="1:1" x14ac:dyDescent="0.2">
      <c r="A21438" t="s">
        <v>1600</v>
      </c>
    </row>
    <row r="21439" spans="1:1" x14ac:dyDescent="0.2">
      <c r="A21439" t="s">
        <v>1639</v>
      </c>
    </row>
    <row r="21440" spans="1:1" x14ac:dyDescent="0.2">
      <c r="A21440" t="s">
        <v>1634</v>
      </c>
    </row>
    <row r="21441" spans="1:1" x14ac:dyDescent="0.2">
      <c r="A21441" t="s">
        <v>1693</v>
      </c>
    </row>
    <row r="21442" spans="1:1" x14ac:dyDescent="0.2">
      <c r="A21442" t="s">
        <v>1604</v>
      </c>
    </row>
    <row r="21443" spans="1:1" x14ac:dyDescent="0.2">
      <c r="A21443" t="s">
        <v>1605</v>
      </c>
    </row>
    <row r="21444" spans="1:1" x14ac:dyDescent="0.2">
      <c r="A21444" t="s">
        <v>1606</v>
      </c>
    </row>
    <row r="21445" spans="1:1" x14ac:dyDescent="0.2">
      <c r="A21445" t="s">
        <v>3569</v>
      </c>
    </row>
    <row r="21446" spans="1:1" x14ac:dyDescent="0.2">
      <c r="A21446" t="s">
        <v>1608</v>
      </c>
    </row>
    <row r="21447" spans="1:1" x14ac:dyDescent="0.2">
      <c r="A21447" t="s">
        <v>1609</v>
      </c>
    </row>
    <row r="21448" spans="1:1" x14ac:dyDescent="0.2">
      <c r="A21448" t="s">
        <v>1610</v>
      </c>
    </row>
    <row r="21449" spans="1:1" x14ac:dyDescent="0.2">
      <c r="A21449" t="s">
        <v>4293</v>
      </c>
    </row>
    <row r="21450" spans="1:1" x14ac:dyDescent="0.2">
      <c r="A21450" t="s">
        <v>4294</v>
      </c>
    </row>
    <row r="21451" spans="1:1" x14ac:dyDescent="0.2">
      <c r="A21451" t="s">
        <v>4295</v>
      </c>
    </row>
    <row r="21452" spans="1:1" x14ac:dyDescent="0.2">
      <c r="A21452" t="s">
        <v>4296</v>
      </c>
    </row>
    <row r="21453" spans="1:1" x14ac:dyDescent="0.2">
      <c r="A21453" t="s">
        <v>4297</v>
      </c>
    </row>
    <row r="21454" spans="1:1" x14ac:dyDescent="0.2">
      <c r="A21454" t="s">
        <v>4298</v>
      </c>
    </row>
    <row r="21455" spans="1:1" x14ac:dyDescent="0.2">
      <c r="A21455" t="s">
        <v>4299</v>
      </c>
    </row>
    <row r="21456" spans="1:1" x14ac:dyDescent="0.2">
      <c r="A21456" t="s">
        <v>4300</v>
      </c>
    </row>
    <row r="21457" spans="1:1" x14ac:dyDescent="0.2">
      <c r="A21457" t="s">
        <v>4301</v>
      </c>
    </row>
    <row r="21458" spans="1:1" x14ac:dyDescent="0.2">
      <c r="A21458" t="s">
        <v>4302</v>
      </c>
    </row>
    <row r="21459" spans="1:1" x14ac:dyDescent="0.2">
      <c r="A21459" t="s">
        <v>1669</v>
      </c>
    </row>
    <row r="21460" spans="1:1" x14ac:dyDescent="0.2">
      <c r="A21460" t="s">
        <v>4303</v>
      </c>
    </row>
    <row r="21461" spans="1:1" x14ac:dyDescent="0.2">
      <c r="A21461" t="s">
        <v>1670</v>
      </c>
    </row>
    <row r="21462" spans="1:1" x14ac:dyDescent="0.2">
      <c r="A21462" t="s">
        <v>4304</v>
      </c>
    </row>
    <row r="21463" spans="1:1" x14ac:dyDescent="0.2">
      <c r="A21463" t="s">
        <v>4305</v>
      </c>
    </row>
    <row r="21464" spans="1:1" x14ac:dyDescent="0.2">
      <c r="A21464" t="s">
        <v>4288</v>
      </c>
    </row>
    <row r="21465" spans="1:1" x14ac:dyDescent="0.2">
      <c r="A21465" t="s">
        <v>4289</v>
      </c>
    </row>
    <row r="21466" spans="1:1" x14ac:dyDescent="0.2">
      <c r="A21466" t="s">
        <v>4306</v>
      </c>
    </row>
    <row r="21467" spans="1:1" x14ac:dyDescent="0.2">
      <c r="A21467" t="s">
        <v>1594</v>
      </c>
    </row>
    <row r="21468" spans="1:1" x14ac:dyDescent="0.2">
      <c r="A21468" t="s">
        <v>1595</v>
      </c>
    </row>
    <row r="21469" spans="1:1" x14ac:dyDescent="0.2">
      <c r="A21469" t="s">
        <v>4307</v>
      </c>
    </row>
    <row r="21470" spans="1:1" x14ac:dyDescent="0.2">
      <c r="A21470" t="s">
        <v>1597</v>
      </c>
    </row>
    <row r="21471" spans="1:1" x14ac:dyDescent="0.2">
      <c r="A21471" t="s">
        <v>1598</v>
      </c>
    </row>
    <row r="21472" spans="1:1" x14ac:dyDescent="0.2">
      <c r="A21472" t="s">
        <v>1599</v>
      </c>
    </row>
    <row r="21473" spans="1:1" x14ac:dyDescent="0.2">
      <c r="A21473" t="s">
        <v>1600</v>
      </c>
    </row>
    <row r="21474" spans="1:1" x14ac:dyDescent="0.2">
      <c r="A21474" t="s">
        <v>1601</v>
      </c>
    </row>
    <row r="21475" spans="1:1" x14ac:dyDescent="0.2">
      <c r="A21475" t="s">
        <v>1602</v>
      </c>
    </row>
    <row r="21476" spans="1:1" x14ac:dyDescent="0.2">
      <c r="A21476" t="s">
        <v>1603</v>
      </c>
    </row>
    <row r="21477" spans="1:1" x14ac:dyDescent="0.2">
      <c r="A21477" t="s">
        <v>1604</v>
      </c>
    </row>
    <row r="21478" spans="1:1" x14ac:dyDescent="0.2">
      <c r="A21478" t="s">
        <v>1605</v>
      </c>
    </row>
    <row r="21479" spans="1:1" x14ac:dyDescent="0.2">
      <c r="A21479" t="s">
        <v>1606</v>
      </c>
    </row>
    <row r="21480" spans="1:1" x14ac:dyDescent="0.2">
      <c r="A21480" t="s">
        <v>1607</v>
      </c>
    </row>
    <row r="21481" spans="1:1" x14ac:dyDescent="0.2">
      <c r="A21481" t="s">
        <v>1608</v>
      </c>
    </row>
    <row r="21482" spans="1:1" x14ac:dyDescent="0.2">
      <c r="A21482" t="s">
        <v>1609</v>
      </c>
    </row>
    <row r="21483" spans="1:1" x14ac:dyDescent="0.2">
      <c r="A21483" t="s">
        <v>1610</v>
      </c>
    </row>
    <row r="21484" spans="1:1" x14ac:dyDescent="0.2">
      <c r="A21484" t="s">
        <v>1611</v>
      </c>
    </row>
    <row r="21485" spans="1:1" x14ac:dyDescent="0.2">
      <c r="A21485" t="s">
        <v>1612</v>
      </c>
    </row>
    <row r="21486" spans="1:1" x14ac:dyDescent="0.2">
      <c r="A21486" t="s">
        <v>1613</v>
      </c>
    </row>
    <row r="21487" spans="1:1" x14ac:dyDescent="0.2">
      <c r="A21487" t="s">
        <v>1614</v>
      </c>
    </row>
    <row r="21488" spans="1:1" x14ac:dyDescent="0.2">
      <c r="A21488" t="s">
        <v>1615</v>
      </c>
    </row>
    <row r="21489" spans="1:1" x14ac:dyDescent="0.2">
      <c r="A21489" t="s">
        <v>1616</v>
      </c>
    </row>
    <row r="21490" spans="1:1" x14ac:dyDescent="0.2">
      <c r="A21490" t="s">
        <v>1617</v>
      </c>
    </row>
    <row r="21491" spans="1:1" x14ac:dyDescent="0.2">
      <c r="A21491" t="s">
        <v>1618</v>
      </c>
    </row>
    <row r="21492" spans="1:1" x14ac:dyDescent="0.2">
      <c r="A21492" t="s">
        <v>1619</v>
      </c>
    </row>
    <row r="21493" spans="1:1" x14ac:dyDescent="0.2">
      <c r="A21493" t="s">
        <v>1620</v>
      </c>
    </row>
    <row r="21494" spans="1:1" x14ac:dyDescent="0.2">
      <c r="A21494" t="s">
        <v>1621</v>
      </c>
    </row>
    <row r="21495" spans="1:1" x14ac:dyDescent="0.2">
      <c r="A21495" t="s">
        <v>1622</v>
      </c>
    </row>
    <row r="21496" spans="1:1" x14ac:dyDescent="0.2">
      <c r="A21496" t="s">
        <v>1623</v>
      </c>
    </row>
    <row r="21497" spans="1:1" x14ac:dyDescent="0.2">
      <c r="A21497" t="s">
        <v>1624</v>
      </c>
    </row>
    <row r="21498" spans="1:1" x14ac:dyDescent="0.2">
      <c r="A21498" t="s">
        <v>1625</v>
      </c>
    </row>
    <row r="21499" spans="1:1" x14ac:dyDescent="0.2">
      <c r="A21499" t="s">
        <v>1626</v>
      </c>
    </row>
    <row r="21500" spans="1:1" x14ac:dyDescent="0.2">
      <c r="A21500" t="s">
        <v>1627</v>
      </c>
    </row>
    <row r="21501" spans="1:1" x14ac:dyDescent="0.2">
      <c r="A21501" t="s">
        <v>4308</v>
      </c>
    </row>
    <row r="21502" spans="1:1" x14ac:dyDescent="0.2">
      <c r="A21502" t="s">
        <v>1697</v>
      </c>
    </row>
    <row r="21503" spans="1:1" x14ac:dyDescent="0.2">
      <c r="A21503" t="s">
        <v>1698</v>
      </c>
    </row>
    <row r="21504" spans="1:1" x14ac:dyDescent="0.2">
      <c r="A21504" t="s">
        <v>1699</v>
      </c>
    </row>
    <row r="21505" spans="1:1" x14ac:dyDescent="0.2">
      <c r="A21505" t="s">
        <v>1700</v>
      </c>
    </row>
    <row r="21506" spans="1:1" x14ac:dyDescent="0.2">
      <c r="A21506" t="s">
        <v>4309</v>
      </c>
    </row>
    <row r="21507" spans="1:1" x14ac:dyDescent="0.2">
      <c r="A21507" t="s">
        <v>1701</v>
      </c>
    </row>
    <row r="21508" spans="1:1" x14ac:dyDescent="0.2">
      <c r="A21508" t="s">
        <v>1702</v>
      </c>
    </row>
    <row r="21509" spans="1:1" x14ac:dyDescent="0.2">
      <c r="A21509" t="s">
        <v>4310</v>
      </c>
    </row>
    <row r="21510" spans="1:1" x14ac:dyDescent="0.2">
      <c r="A21510" t="s">
        <v>1703</v>
      </c>
    </row>
    <row r="21511" spans="1:1" x14ac:dyDescent="0.2">
      <c r="A21511" t="s">
        <v>1704</v>
      </c>
    </row>
    <row r="21512" spans="1:1" x14ac:dyDescent="0.2">
      <c r="A21512" t="s">
        <v>1705</v>
      </c>
    </row>
    <row r="21513" spans="1:1" x14ac:dyDescent="0.2">
      <c r="A21513" t="s">
        <v>1706</v>
      </c>
    </row>
    <row r="21514" spans="1:1" x14ac:dyDescent="0.2">
      <c r="A21514" t="s">
        <v>1707</v>
      </c>
    </row>
    <row r="21515" spans="1:1" x14ac:dyDescent="0.2">
      <c r="A21515" t="s">
        <v>1708</v>
      </c>
    </row>
    <row r="21516" spans="1:1" x14ac:dyDescent="0.2">
      <c r="A21516" t="s">
        <v>1709</v>
      </c>
    </row>
    <row r="21517" spans="1:1" x14ac:dyDescent="0.2">
      <c r="A21517" t="s">
        <v>1710</v>
      </c>
    </row>
    <row r="21518" spans="1:1" x14ac:dyDescent="0.2">
      <c r="A21518" t="s">
        <v>1711</v>
      </c>
    </row>
    <row r="21519" spans="1:1" x14ac:dyDescent="0.2">
      <c r="A21519" t="s">
        <v>1712</v>
      </c>
    </row>
    <row r="21520" spans="1:1" x14ac:dyDescent="0.2">
      <c r="A21520" t="s">
        <v>1713</v>
      </c>
    </row>
    <row r="21521" spans="1:1" x14ac:dyDescent="0.2">
      <c r="A21521" t="s">
        <v>1714</v>
      </c>
    </row>
    <row r="21522" spans="1:1" x14ac:dyDescent="0.2">
      <c r="A21522" t="s">
        <v>1715</v>
      </c>
    </row>
    <row r="21523" spans="1:1" x14ac:dyDescent="0.2">
      <c r="A21523" t="s">
        <v>4311</v>
      </c>
    </row>
    <row r="21524" spans="1:1" x14ac:dyDescent="0.2">
      <c r="A21524" t="s">
        <v>1716</v>
      </c>
    </row>
    <row r="21525" spans="1:1" x14ac:dyDescent="0.2">
      <c r="A21525" t="s">
        <v>4312</v>
      </c>
    </row>
    <row r="21526" spans="1:1" x14ac:dyDescent="0.2">
      <c r="A21526" t="s">
        <v>1717</v>
      </c>
    </row>
    <row r="21527" spans="1:1" x14ac:dyDescent="0.2">
      <c r="A21527" t="s">
        <v>1718</v>
      </c>
    </row>
    <row r="21528" spans="1:1" x14ac:dyDescent="0.2">
      <c r="A21528" t="s">
        <v>1719</v>
      </c>
    </row>
    <row r="21529" spans="1:1" x14ac:dyDescent="0.2">
      <c r="A21529" t="s">
        <v>1720</v>
      </c>
    </row>
    <row r="21530" spans="1:1" x14ac:dyDescent="0.2">
      <c r="A21530" t="s">
        <v>1721</v>
      </c>
    </row>
    <row r="21531" spans="1:1" x14ac:dyDescent="0.2">
      <c r="A21531" t="s">
        <v>1722</v>
      </c>
    </row>
    <row r="21532" spans="1:1" x14ac:dyDescent="0.2">
      <c r="A21532" t="s">
        <v>1723</v>
      </c>
    </row>
    <row r="21533" spans="1:1" x14ac:dyDescent="0.2">
      <c r="A21533" t="s">
        <v>1724</v>
      </c>
    </row>
    <row r="21534" spans="1:1" x14ac:dyDescent="0.2">
      <c r="A21534" t="s">
        <v>1725</v>
      </c>
    </row>
    <row r="21535" spans="1:1" x14ac:dyDescent="0.2">
      <c r="A21535" t="s">
        <v>1726</v>
      </c>
    </row>
    <row r="21536" spans="1:1" x14ac:dyDescent="0.2">
      <c r="A21536" t="s">
        <v>1727</v>
      </c>
    </row>
    <row r="21537" spans="1:1" x14ac:dyDescent="0.2">
      <c r="A21537" t="s">
        <v>1728</v>
      </c>
    </row>
    <row r="21538" spans="1:1" x14ac:dyDescent="0.2">
      <c r="A21538" t="s">
        <v>1729</v>
      </c>
    </row>
    <row r="21539" spans="1:1" x14ac:dyDescent="0.2">
      <c r="A21539" t="s">
        <v>1730</v>
      </c>
    </row>
    <row r="21540" spans="1:1" x14ac:dyDescent="0.2">
      <c r="A21540" t="s">
        <v>1731</v>
      </c>
    </row>
    <row r="21541" spans="1:1" x14ac:dyDescent="0.2">
      <c r="A21541" t="s">
        <v>1732</v>
      </c>
    </row>
    <row r="21542" spans="1:1" x14ac:dyDescent="0.2">
      <c r="A21542" t="s">
        <v>1733</v>
      </c>
    </row>
    <row r="21543" spans="1:1" x14ac:dyDescent="0.2">
      <c r="A21543" t="s">
        <v>4313</v>
      </c>
    </row>
    <row r="21544" spans="1:1" x14ac:dyDescent="0.2">
      <c r="A21544" t="s">
        <v>4314</v>
      </c>
    </row>
    <row r="21545" spans="1:1" x14ac:dyDescent="0.2">
      <c r="A21545" t="s">
        <v>1734</v>
      </c>
    </row>
    <row r="21546" spans="1:1" x14ac:dyDescent="0.2">
      <c r="A21546" t="s">
        <v>1735</v>
      </c>
    </row>
    <row r="21547" spans="1:1" x14ac:dyDescent="0.2">
      <c r="A21547" t="s">
        <v>1736</v>
      </c>
    </row>
    <row r="21548" spans="1:1" x14ac:dyDescent="0.2">
      <c r="A21548" t="s">
        <v>1737</v>
      </c>
    </row>
    <row r="21549" spans="1:1" x14ac:dyDescent="0.2">
      <c r="A21549" t="s">
        <v>1738</v>
      </c>
    </row>
    <row r="21550" spans="1:1" x14ac:dyDescent="0.2">
      <c r="A21550" t="s">
        <v>1739</v>
      </c>
    </row>
    <row r="21551" spans="1:1" x14ac:dyDescent="0.2">
      <c r="A21551" t="s">
        <v>4315</v>
      </c>
    </row>
    <row r="21552" spans="1:1" x14ac:dyDescent="0.2">
      <c r="A21552" t="s">
        <v>4316</v>
      </c>
    </row>
    <row r="21553" spans="1:1" x14ac:dyDescent="0.2">
      <c r="A21553" t="s">
        <v>1740</v>
      </c>
    </row>
    <row r="21554" spans="1:1" x14ac:dyDescent="0.2">
      <c r="A21554" t="s">
        <v>1741</v>
      </c>
    </row>
    <row r="21555" spans="1:1" x14ac:dyDescent="0.2">
      <c r="A21555" t="s">
        <v>1742</v>
      </c>
    </row>
    <row r="21556" spans="1:1" x14ac:dyDescent="0.2">
      <c r="A21556" t="s">
        <v>1743</v>
      </c>
    </row>
    <row r="21557" spans="1:1" x14ac:dyDescent="0.2">
      <c r="A21557" t="s">
        <v>1744</v>
      </c>
    </row>
    <row r="21558" spans="1:1" x14ac:dyDescent="0.2">
      <c r="A21558" t="s">
        <v>1745</v>
      </c>
    </row>
    <row r="21559" spans="1:1" x14ac:dyDescent="0.2">
      <c r="A21559" t="s">
        <v>1746</v>
      </c>
    </row>
    <row r="21560" spans="1:1" x14ac:dyDescent="0.2">
      <c r="A21560" t="s">
        <v>1747</v>
      </c>
    </row>
    <row r="21561" spans="1:1" x14ac:dyDescent="0.2">
      <c r="A21561" t="s">
        <v>1748</v>
      </c>
    </row>
    <row r="21562" spans="1:1" x14ac:dyDescent="0.2">
      <c r="A21562" t="s">
        <v>1749</v>
      </c>
    </row>
    <row r="21563" spans="1:1" x14ac:dyDescent="0.2">
      <c r="A21563" t="s">
        <v>1750</v>
      </c>
    </row>
    <row r="21564" spans="1:1" x14ac:dyDescent="0.2">
      <c r="A21564" t="s">
        <v>1751</v>
      </c>
    </row>
    <row r="21565" spans="1:1" x14ac:dyDescent="0.2">
      <c r="A21565" t="s">
        <v>1752</v>
      </c>
    </row>
    <row r="21566" spans="1:1" x14ac:dyDescent="0.2">
      <c r="A21566" t="s">
        <v>1753</v>
      </c>
    </row>
    <row r="21567" spans="1:1" x14ac:dyDescent="0.2">
      <c r="A21567" t="s">
        <v>1754</v>
      </c>
    </row>
    <row r="21568" spans="1:1" x14ac:dyDescent="0.2">
      <c r="A21568" t="s">
        <v>1755</v>
      </c>
    </row>
    <row r="21569" spans="1:1" x14ac:dyDescent="0.2">
      <c r="A21569" t="s">
        <v>1756</v>
      </c>
    </row>
    <row r="21570" spans="1:1" x14ac:dyDescent="0.2">
      <c r="A21570" t="s">
        <v>1757</v>
      </c>
    </row>
    <row r="21571" spans="1:1" x14ac:dyDescent="0.2">
      <c r="A21571" t="s">
        <v>1758</v>
      </c>
    </row>
    <row r="21572" spans="1:1" x14ac:dyDescent="0.2">
      <c r="A21572" t="s">
        <v>1759</v>
      </c>
    </row>
    <row r="21573" spans="1:1" x14ac:dyDescent="0.2">
      <c r="A21573" t="s">
        <v>1760</v>
      </c>
    </row>
    <row r="21574" spans="1:1" x14ac:dyDescent="0.2">
      <c r="A21574" t="s">
        <v>1761</v>
      </c>
    </row>
    <row r="21575" spans="1:1" x14ac:dyDescent="0.2">
      <c r="A21575" t="s">
        <v>1762</v>
      </c>
    </row>
    <row r="21576" spans="1:1" x14ac:dyDescent="0.2">
      <c r="A21576" t="s">
        <v>1763</v>
      </c>
    </row>
    <row r="21577" spans="1:1" x14ac:dyDescent="0.2">
      <c r="A21577" t="s">
        <v>1764</v>
      </c>
    </row>
    <row r="21578" spans="1:1" x14ac:dyDescent="0.2">
      <c r="A21578" t="s">
        <v>1765</v>
      </c>
    </row>
    <row r="21579" spans="1:1" x14ac:dyDescent="0.2">
      <c r="A21579" t="s">
        <v>1766</v>
      </c>
    </row>
    <row r="21580" spans="1:1" x14ac:dyDescent="0.2">
      <c r="A21580" t="s">
        <v>1767</v>
      </c>
    </row>
    <row r="21581" spans="1:1" x14ac:dyDescent="0.2">
      <c r="A21581" t="s">
        <v>1768</v>
      </c>
    </row>
    <row r="21582" spans="1:1" x14ac:dyDescent="0.2">
      <c r="A21582" t="s">
        <v>1769</v>
      </c>
    </row>
    <row r="21583" spans="1:1" x14ac:dyDescent="0.2">
      <c r="A21583" t="s">
        <v>1770</v>
      </c>
    </row>
    <row r="21584" spans="1:1" x14ac:dyDescent="0.2">
      <c r="A21584" t="s">
        <v>1771</v>
      </c>
    </row>
    <row r="21585" spans="1:1" x14ac:dyDescent="0.2">
      <c r="A21585" t="s">
        <v>1772</v>
      </c>
    </row>
    <row r="21586" spans="1:1" x14ac:dyDescent="0.2">
      <c r="A21586" t="s">
        <v>1773</v>
      </c>
    </row>
    <row r="21587" spans="1:1" x14ac:dyDescent="0.2">
      <c r="A21587" t="s">
        <v>1774</v>
      </c>
    </row>
    <row r="21588" spans="1:1" x14ac:dyDescent="0.2">
      <c r="A21588" t="s">
        <v>1775</v>
      </c>
    </row>
    <row r="21589" spans="1:1" x14ac:dyDescent="0.2">
      <c r="A21589" t="s">
        <v>1776</v>
      </c>
    </row>
    <row r="21590" spans="1:1" x14ac:dyDescent="0.2">
      <c r="A21590" t="s">
        <v>1777</v>
      </c>
    </row>
    <row r="21591" spans="1:1" x14ac:dyDescent="0.2">
      <c r="A21591" t="s">
        <v>1778</v>
      </c>
    </row>
    <row r="21592" spans="1:1" x14ac:dyDescent="0.2">
      <c r="A21592" t="s">
        <v>1779</v>
      </c>
    </row>
    <row r="21593" spans="1:1" x14ac:dyDescent="0.2">
      <c r="A21593" t="s">
        <v>1780</v>
      </c>
    </row>
    <row r="21594" spans="1:1" x14ac:dyDescent="0.2">
      <c r="A21594" t="s">
        <v>1781</v>
      </c>
    </row>
    <row r="21595" spans="1:1" x14ac:dyDescent="0.2">
      <c r="A21595" t="s">
        <v>1782</v>
      </c>
    </row>
    <row r="21596" spans="1:1" x14ac:dyDescent="0.2">
      <c r="A21596" t="s">
        <v>1783</v>
      </c>
    </row>
    <row r="21597" spans="1:1" x14ac:dyDescent="0.2">
      <c r="A21597" t="s">
        <v>1784</v>
      </c>
    </row>
    <row r="21598" spans="1:1" x14ac:dyDescent="0.2">
      <c r="A21598" t="s">
        <v>1785</v>
      </c>
    </row>
    <row r="21599" spans="1:1" x14ac:dyDescent="0.2">
      <c r="A21599" t="s">
        <v>1786</v>
      </c>
    </row>
    <row r="21600" spans="1:1" x14ac:dyDescent="0.2">
      <c r="A21600" t="s">
        <v>1787</v>
      </c>
    </row>
    <row r="21601" spans="1:1" x14ac:dyDescent="0.2">
      <c r="A21601" t="s">
        <v>1788</v>
      </c>
    </row>
    <row r="21602" spans="1:1" x14ac:dyDescent="0.2">
      <c r="A21602" t="s">
        <v>1789</v>
      </c>
    </row>
    <row r="21603" spans="1:1" x14ac:dyDescent="0.2">
      <c r="A21603" t="s">
        <v>1790</v>
      </c>
    </row>
    <row r="21604" spans="1:1" x14ac:dyDescent="0.2">
      <c r="A21604" t="s">
        <v>1791</v>
      </c>
    </row>
    <row r="21605" spans="1:1" x14ac:dyDescent="0.2">
      <c r="A21605" t="s">
        <v>1792</v>
      </c>
    </row>
    <row r="21606" spans="1:1" x14ac:dyDescent="0.2">
      <c r="A21606" t="s">
        <v>1793</v>
      </c>
    </row>
    <row r="21607" spans="1:1" x14ac:dyDescent="0.2">
      <c r="A21607" t="s">
        <v>1794</v>
      </c>
    </row>
    <row r="21608" spans="1:1" x14ac:dyDescent="0.2">
      <c r="A21608" t="s">
        <v>1795</v>
      </c>
    </row>
    <row r="21609" spans="1:1" x14ac:dyDescent="0.2">
      <c r="A21609" t="s">
        <v>1796</v>
      </c>
    </row>
    <row r="21610" spans="1:1" x14ac:dyDescent="0.2">
      <c r="A21610" t="s">
        <v>1797</v>
      </c>
    </row>
    <row r="21611" spans="1:1" x14ac:dyDescent="0.2">
      <c r="A21611" t="s">
        <v>1798</v>
      </c>
    </row>
    <row r="21612" spans="1:1" x14ac:dyDescent="0.2">
      <c r="A21612" t="s">
        <v>1799</v>
      </c>
    </row>
    <row r="21613" spans="1:1" x14ac:dyDescent="0.2">
      <c r="A21613" t="s">
        <v>1800</v>
      </c>
    </row>
    <row r="21614" spans="1:1" x14ac:dyDescent="0.2">
      <c r="A21614" t="s">
        <v>1801</v>
      </c>
    </row>
    <row r="21615" spans="1:1" x14ac:dyDescent="0.2">
      <c r="A21615" t="s">
        <v>1802</v>
      </c>
    </row>
    <row r="21616" spans="1:1" x14ac:dyDescent="0.2">
      <c r="A21616" t="s">
        <v>1803</v>
      </c>
    </row>
    <row r="21617" spans="1:1" x14ac:dyDescent="0.2">
      <c r="A21617" t="s">
        <v>1804</v>
      </c>
    </row>
    <row r="21618" spans="1:1" x14ac:dyDescent="0.2">
      <c r="A21618" t="s">
        <v>1805</v>
      </c>
    </row>
    <row r="21619" spans="1:1" x14ac:dyDescent="0.2">
      <c r="A21619" t="s">
        <v>1806</v>
      </c>
    </row>
    <row r="21620" spans="1:1" x14ac:dyDescent="0.2">
      <c r="A21620" t="s">
        <v>1807</v>
      </c>
    </row>
    <row r="21621" spans="1:1" x14ac:dyDescent="0.2">
      <c r="A21621" t="s">
        <v>1808</v>
      </c>
    </row>
    <row r="21622" spans="1:1" x14ac:dyDescent="0.2">
      <c r="A21622" t="s">
        <v>1809</v>
      </c>
    </row>
    <row r="21623" spans="1:1" x14ac:dyDescent="0.2">
      <c r="A21623" t="s">
        <v>1810</v>
      </c>
    </row>
    <row r="21624" spans="1:1" x14ac:dyDescent="0.2">
      <c r="A21624" t="s">
        <v>1811</v>
      </c>
    </row>
    <row r="21625" spans="1:1" x14ac:dyDescent="0.2">
      <c r="A21625" t="s">
        <v>1812</v>
      </c>
    </row>
    <row r="21626" spans="1:1" x14ac:dyDescent="0.2">
      <c r="A21626" t="s">
        <v>1813</v>
      </c>
    </row>
    <row r="21627" spans="1:1" x14ac:dyDescent="0.2">
      <c r="A21627" t="s">
        <v>1814</v>
      </c>
    </row>
    <row r="21628" spans="1:1" x14ac:dyDescent="0.2">
      <c r="A21628" t="s">
        <v>1815</v>
      </c>
    </row>
    <row r="21629" spans="1:1" x14ac:dyDescent="0.2">
      <c r="A21629" t="s">
        <v>1816</v>
      </c>
    </row>
    <row r="21630" spans="1:1" x14ac:dyDescent="0.2">
      <c r="A21630" t="s">
        <v>1817</v>
      </c>
    </row>
    <row r="21631" spans="1:1" x14ac:dyDescent="0.2">
      <c r="A21631" t="s">
        <v>1818</v>
      </c>
    </row>
    <row r="21632" spans="1:1" x14ac:dyDescent="0.2">
      <c r="A21632" t="s">
        <v>1819</v>
      </c>
    </row>
    <row r="21633" spans="1:1" x14ac:dyDescent="0.2">
      <c r="A21633" t="s">
        <v>1820</v>
      </c>
    </row>
    <row r="21634" spans="1:1" x14ac:dyDescent="0.2">
      <c r="A21634" t="s">
        <v>1821</v>
      </c>
    </row>
    <row r="21635" spans="1:1" x14ac:dyDescent="0.2">
      <c r="A21635" t="s">
        <v>1822</v>
      </c>
    </row>
    <row r="21636" spans="1:1" x14ac:dyDescent="0.2">
      <c r="A21636" t="s">
        <v>1823</v>
      </c>
    </row>
    <row r="21637" spans="1:1" x14ac:dyDescent="0.2">
      <c r="A21637" t="s">
        <v>1824</v>
      </c>
    </row>
    <row r="21638" spans="1:1" x14ac:dyDescent="0.2">
      <c r="A21638" t="s">
        <v>1825</v>
      </c>
    </row>
    <row r="21639" spans="1:1" x14ac:dyDescent="0.2">
      <c r="A21639" t="s">
        <v>1826</v>
      </c>
    </row>
    <row r="21640" spans="1:1" x14ac:dyDescent="0.2">
      <c r="A21640" t="s">
        <v>1827</v>
      </c>
    </row>
    <row r="21641" spans="1:1" x14ac:dyDescent="0.2">
      <c r="A21641" t="s">
        <v>1828</v>
      </c>
    </row>
    <row r="21642" spans="1:1" x14ac:dyDescent="0.2">
      <c r="A21642" t="s">
        <v>4317</v>
      </c>
    </row>
    <row r="21643" spans="1:1" x14ac:dyDescent="0.2">
      <c r="A21643" t="s">
        <v>4318</v>
      </c>
    </row>
    <row r="21644" spans="1:1" x14ac:dyDescent="0.2">
      <c r="A21644" t="s">
        <v>4319</v>
      </c>
    </row>
    <row r="21645" spans="1:1" x14ac:dyDescent="0.2">
      <c r="A21645" t="s">
        <v>4320</v>
      </c>
    </row>
    <row r="21646" spans="1:1" x14ac:dyDescent="0.2">
      <c r="A21646" t="s">
        <v>4321</v>
      </c>
    </row>
    <row r="21647" spans="1:1" x14ac:dyDescent="0.2">
      <c r="A21647" t="s">
        <v>4322</v>
      </c>
    </row>
    <row r="21648" spans="1:1" x14ac:dyDescent="0.2">
      <c r="A21648" t="s">
        <v>4323</v>
      </c>
    </row>
    <row r="21649" spans="1:1" x14ac:dyDescent="0.2">
      <c r="A21649" t="s">
        <v>4324</v>
      </c>
    </row>
    <row r="21650" spans="1:1" x14ac:dyDescent="0.2">
      <c r="A21650" t="s">
        <v>4325</v>
      </c>
    </row>
    <row r="21651" spans="1:1" x14ac:dyDescent="0.2">
      <c r="A21651" t="s">
        <v>4326</v>
      </c>
    </row>
    <row r="21652" spans="1:1" x14ac:dyDescent="0.2">
      <c r="A21652" t="s">
        <v>4327</v>
      </c>
    </row>
    <row r="21653" spans="1:1" x14ac:dyDescent="0.2">
      <c r="A21653" t="s">
        <v>4328</v>
      </c>
    </row>
    <row r="21654" spans="1:1" x14ac:dyDescent="0.2">
      <c r="A21654" t="s">
        <v>4329</v>
      </c>
    </row>
    <row r="21655" spans="1:1" x14ac:dyDescent="0.2">
      <c r="A21655" t="s">
        <v>4330</v>
      </c>
    </row>
    <row r="21656" spans="1:1" x14ac:dyDescent="0.2">
      <c r="A21656" t="s">
        <v>4331</v>
      </c>
    </row>
    <row r="21657" spans="1:1" x14ac:dyDescent="0.2">
      <c r="A21657" t="s">
        <v>4332</v>
      </c>
    </row>
    <row r="21658" spans="1:1" x14ac:dyDescent="0.2">
      <c r="A21658" t="s">
        <v>4333</v>
      </c>
    </row>
    <row r="21659" spans="1:1" x14ac:dyDescent="0.2">
      <c r="A21659" t="s">
        <v>4334</v>
      </c>
    </row>
    <row r="21660" spans="1:1" x14ac:dyDescent="0.2">
      <c r="A21660" t="s">
        <v>4335</v>
      </c>
    </row>
    <row r="21661" spans="1:1" x14ac:dyDescent="0.2">
      <c r="A21661" t="s">
        <v>4336</v>
      </c>
    </row>
    <row r="21662" spans="1:1" x14ac:dyDescent="0.2">
      <c r="A21662" t="s">
        <v>4337</v>
      </c>
    </row>
    <row r="21663" spans="1:1" x14ac:dyDescent="0.2">
      <c r="A21663" t="s">
        <v>4338</v>
      </c>
    </row>
    <row r="21664" spans="1:1" x14ac:dyDescent="0.2">
      <c r="A21664" t="s">
        <v>4339</v>
      </c>
    </row>
    <row r="21665" spans="1:1" x14ac:dyDescent="0.2">
      <c r="A21665" t="s">
        <v>4340</v>
      </c>
    </row>
    <row r="21666" spans="1:1" x14ac:dyDescent="0.2">
      <c r="A21666" t="s">
        <v>4341</v>
      </c>
    </row>
    <row r="21667" spans="1:1" x14ac:dyDescent="0.2">
      <c r="A21667" t="s">
        <v>4342</v>
      </c>
    </row>
    <row r="21668" spans="1:1" x14ac:dyDescent="0.2">
      <c r="A21668" t="s">
        <v>4343</v>
      </c>
    </row>
    <row r="21669" spans="1:1" x14ac:dyDescent="0.2">
      <c r="A21669" t="s">
        <v>4344</v>
      </c>
    </row>
    <row r="21670" spans="1:1" x14ac:dyDescent="0.2">
      <c r="A21670" t="s">
        <v>4345</v>
      </c>
    </row>
    <row r="21671" spans="1:1" x14ac:dyDescent="0.2">
      <c r="A21671" t="s">
        <v>4346</v>
      </c>
    </row>
    <row r="21672" spans="1:1" x14ac:dyDescent="0.2">
      <c r="A21672" t="s">
        <v>4347</v>
      </c>
    </row>
    <row r="21673" spans="1:1" x14ac:dyDescent="0.2">
      <c r="A21673" t="s">
        <v>4348</v>
      </c>
    </row>
    <row r="21674" spans="1:1" x14ac:dyDescent="0.2">
      <c r="A21674" t="s">
        <v>4349</v>
      </c>
    </row>
    <row r="21675" spans="1:1" x14ac:dyDescent="0.2">
      <c r="A21675" t="s">
        <v>4350</v>
      </c>
    </row>
    <row r="21676" spans="1:1" x14ac:dyDescent="0.2">
      <c r="A21676" t="s">
        <v>4351</v>
      </c>
    </row>
    <row r="21677" spans="1:1" x14ac:dyDescent="0.2">
      <c r="A21677" t="s">
        <v>4352</v>
      </c>
    </row>
    <row r="21678" spans="1:1" x14ac:dyDescent="0.2">
      <c r="A21678" t="s">
        <v>4353</v>
      </c>
    </row>
    <row r="21679" spans="1:1" x14ac:dyDescent="0.2">
      <c r="A21679" t="s">
        <v>4354</v>
      </c>
    </row>
    <row r="21680" spans="1:1" x14ac:dyDescent="0.2">
      <c r="A21680" t="s">
        <v>4355</v>
      </c>
    </row>
    <row r="21681" spans="1:1" x14ac:dyDescent="0.2">
      <c r="A21681" t="s">
        <v>4356</v>
      </c>
    </row>
    <row r="21682" spans="1:1" x14ac:dyDescent="0.2">
      <c r="A21682" t="s">
        <v>4357</v>
      </c>
    </row>
    <row r="21683" spans="1:1" x14ac:dyDescent="0.2">
      <c r="A21683" t="s">
        <v>4358</v>
      </c>
    </row>
    <row r="21684" spans="1:1" x14ac:dyDescent="0.2">
      <c r="A21684" t="s">
        <v>4359</v>
      </c>
    </row>
    <row r="21685" spans="1:1" x14ac:dyDescent="0.2">
      <c r="A21685" t="s">
        <v>4360</v>
      </c>
    </row>
    <row r="21686" spans="1:1" x14ac:dyDescent="0.2">
      <c r="A21686" t="s">
        <v>4361</v>
      </c>
    </row>
    <row r="21687" spans="1:1" x14ac:dyDescent="0.2">
      <c r="A21687" t="s">
        <v>4362</v>
      </c>
    </row>
    <row r="21688" spans="1:1" x14ac:dyDescent="0.2">
      <c r="A21688" t="s">
        <v>4363</v>
      </c>
    </row>
    <row r="21689" spans="1:1" x14ac:dyDescent="0.2">
      <c r="A21689" t="s">
        <v>4364</v>
      </c>
    </row>
    <row r="21690" spans="1:1" x14ac:dyDescent="0.2">
      <c r="A21690" t="s">
        <v>4365</v>
      </c>
    </row>
    <row r="21691" spans="1:1" x14ac:dyDescent="0.2">
      <c r="A21691" t="s">
        <v>4366</v>
      </c>
    </row>
    <row r="21692" spans="1:1" x14ac:dyDescent="0.2">
      <c r="A21692" t="s">
        <v>4367</v>
      </c>
    </row>
    <row r="21693" spans="1:1" x14ac:dyDescent="0.2">
      <c r="A21693" t="s">
        <v>4368</v>
      </c>
    </row>
    <row r="21694" spans="1:1" x14ac:dyDescent="0.2">
      <c r="A21694" t="s">
        <v>4369</v>
      </c>
    </row>
    <row r="21695" spans="1:1" x14ac:dyDescent="0.2">
      <c r="A21695" t="s">
        <v>4370</v>
      </c>
    </row>
    <row r="21696" spans="1:1" x14ac:dyDescent="0.2">
      <c r="A21696" t="s">
        <v>4371</v>
      </c>
    </row>
    <row r="21697" spans="1:1" x14ac:dyDescent="0.2">
      <c r="A21697" t="s">
        <v>4372</v>
      </c>
    </row>
    <row r="21698" spans="1:1" x14ac:dyDescent="0.2">
      <c r="A21698" t="s">
        <v>4373</v>
      </c>
    </row>
    <row r="21699" spans="1:1" x14ac:dyDescent="0.2">
      <c r="A21699" t="s">
        <v>4374</v>
      </c>
    </row>
    <row r="21700" spans="1:1" x14ac:dyDescent="0.2">
      <c r="A21700" t="s">
        <v>4375</v>
      </c>
    </row>
    <row r="21701" spans="1:1" x14ac:dyDescent="0.2">
      <c r="A21701" t="s">
        <v>4376</v>
      </c>
    </row>
    <row r="21702" spans="1:1" x14ac:dyDescent="0.2">
      <c r="A21702" t="s">
        <v>4377</v>
      </c>
    </row>
    <row r="21703" spans="1:1" x14ac:dyDescent="0.2">
      <c r="A21703" t="s">
        <v>4378</v>
      </c>
    </row>
    <row r="21704" spans="1:1" x14ac:dyDescent="0.2">
      <c r="A21704" t="s">
        <v>4379</v>
      </c>
    </row>
    <row r="21705" spans="1:1" x14ac:dyDescent="0.2">
      <c r="A21705" t="s">
        <v>4380</v>
      </c>
    </row>
    <row r="21706" spans="1:1" x14ac:dyDescent="0.2">
      <c r="A21706" t="s">
        <v>4381</v>
      </c>
    </row>
    <row r="21707" spans="1:1" x14ac:dyDescent="0.2">
      <c r="A21707" t="s">
        <v>4382</v>
      </c>
    </row>
    <row r="21708" spans="1:1" x14ac:dyDescent="0.2">
      <c r="A21708" t="s">
        <v>4383</v>
      </c>
    </row>
    <row r="21709" spans="1:1" x14ac:dyDescent="0.2">
      <c r="A21709" t="s">
        <v>4384</v>
      </c>
    </row>
    <row r="21710" spans="1:1" x14ac:dyDescent="0.2">
      <c r="A21710" t="s">
        <v>4385</v>
      </c>
    </row>
    <row r="21711" spans="1:1" x14ac:dyDescent="0.2">
      <c r="A21711" t="s">
        <v>4386</v>
      </c>
    </row>
    <row r="21712" spans="1:1" x14ac:dyDescent="0.2">
      <c r="A21712" t="s">
        <v>4387</v>
      </c>
    </row>
    <row r="21713" spans="1:1" x14ac:dyDescent="0.2">
      <c r="A21713" t="s">
        <v>4388</v>
      </c>
    </row>
    <row r="21714" spans="1:1" x14ac:dyDescent="0.2">
      <c r="A21714" t="s">
        <v>4389</v>
      </c>
    </row>
    <row r="21715" spans="1:1" x14ac:dyDescent="0.2">
      <c r="A21715" t="s">
        <v>4390</v>
      </c>
    </row>
    <row r="21716" spans="1:1" x14ac:dyDescent="0.2">
      <c r="A21716" t="s">
        <v>4391</v>
      </c>
    </row>
    <row r="21717" spans="1:1" x14ac:dyDescent="0.2">
      <c r="A21717" t="s">
        <v>4392</v>
      </c>
    </row>
    <row r="21718" spans="1:1" x14ac:dyDescent="0.2">
      <c r="A21718" t="s">
        <v>4393</v>
      </c>
    </row>
    <row r="21719" spans="1:1" x14ac:dyDescent="0.2">
      <c r="A21719" t="s">
        <v>4394</v>
      </c>
    </row>
    <row r="21720" spans="1:1" x14ac:dyDescent="0.2">
      <c r="A21720" t="s">
        <v>4395</v>
      </c>
    </row>
    <row r="21721" spans="1:1" x14ac:dyDescent="0.2">
      <c r="A21721" t="s">
        <v>4396</v>
      </c>
    </row>
    <row r="21722" spans="1:1" x14ac:dyDescent="0.2">
      <c r="A21722" t="s">
        <v>4397</v>
      </c>
    </row>
    <row r="21723" spans="1:1" x14ac:dyDescent="0.2">
      <c r="A21723" t="s">
        <v>4398</v>
      </c>
    </row>
    <row r="21724" spans="1:1" x14ac:dyDescent="0.2">
      <c r="A21724" t="s">
        <v>4399</v>
      </c>
    </row>
    <row r="21725" spans="1:1" x14ac:dyDescent="0.2">
      <c r="A21725" t="s">
        <v>4400</v>
      </c>
    </row>
    <row r="21726" spans="1:1" x14ac:dyDescent="0.2">
      <c r="A21726" t="s">
        <v>4401</v>
      </c>
    </row>
    <row r="21727" spans="1:1" x14ac:dyDescent="0.2">
      <c r="A21727" t="s">
        <v>4402</v>
      </c>
    </row>
    <row r="21728" spans="1:1" x14ac:dyDescent="0.2">
      <c r="A21728" t="s">
        <v>4403</v>
      </c>
    </row>
    <row r="21729" spans="1:1" x14ac:dyDescent="0.2">
      <c r="A21729" t="s">
        <v>4404</v>
      </c>
    </row>
    <row r="21730" spans="1:1" x14ac:dyDescent="0.2">
      <c r="A21730" t="s">
        <v>4405</v>
      </c>
    </row>
    <row r="21731" spans="1:1" x14ac:dyDescent="0.2">
      <c r="A21731" t="s">
        <v>4406</v>
      </c>
    </row>
    <row r="21732" spans="1:1" x14ac:dyDescent="0.2">
      <c r="A21732" t="s">
        <v>4407</v>
      </c>
    </row>
    <row r="21733" spans="1:1" x14ac:dyDescent="0.2">
      <c r="A21733" t="s">
        <v>4408</v>
      </c>
    </row>
    <row r="21734" spans="1:1" x14ac:dyDescent="0.2">
      <c r="A21734" t="s">
        <v>4409</v>
      </c>
    </row>
    <row r="21735" spans="1:1" x14ac:dyDescent="0.2">
      <c r="A21735" t="s">
        <v>4410</v>
      </c>
    </row>
    <row r="21736" spans="1:1" x14ac:dyDescent="0.2">
      <c r="A21736" t="s">
        <v>4411</v>
      </c>
    </row>
    <row r="21737" spans="1:1" x14ac:dyDescent="0.2">
      <c r="A21737" t="s">
        <v>4412</v>
      </c>
    </row>
    <row r="21738" spans="1:1" x14ac:dyDescent="0.2">
      <c r="A21738" t="s">
        <v>4413</v>
      </c>
    </row>
    <row r="21739" spans="1:1" x14ac:dyDescent="0.2">
      <c r="A21739" t="s">
        <v>4414</v>
      </c>
    </row>
    <row r="21740" spans="1:1" x14ac:dyDescent="0.2">
      <c r="A21740" t="s">
        <v>4415</v>
      </c>
    </row>
    <row r="21741" spans="1:1" x14ac:dyDescent="0.2">
      <c r="A21741" t="s">
        <v>4416</v>
      </c>
    </row>
    <row r="21742" spans="1:1" x14ac:dyDescent="0.2">
      <c r="A21742" t="s">
        <v>4417</v>
      </c>
    </row>
    <row r="21743" spans="1:1" x14ac:dyDescent="0.2">
      <c r="A21743" t="s">
        <v>4418</v>
      </c>
    </row>
    <row r="21744" spans="1:1" x14ac:dyDescent="0.2">
      <c r="A21744" t="s">
        <v>4419</v>
      </c>
    </row>
    <row r="21745" spans="1:1" x14ac:dyDescent="0.2">
      <c r="A21745" t="s">
        <v>4420</v>
      </c>
    </row>
    <row r="21746" spans="1:1" x14ac:dyDescent="0.2">
      <c r="A21746" t="s">
        <v>4421</v>
      </c>
    </row>
    <row r="21747" spans="1:1" x14ac:dyDescent="0.2">
      <c r="A21747" t="s">
        <v>4422</v>
      </c>
    </row>
    <row r="21748" spans="1:1" x14ac:dyDescent="0.2">
      <c r="A21748" t="s">
        <v>4423</v>
      </c>
    </row>
    <row r="21749" spans="1:1" x14ac:dyDescent="0.2">
      <c r="A21749" t="s">
        <v>4424</v>
      </c>
    </row>
    <row r="21750" spans="1:1" x14ac:dyDescent="0.2">
      <c r="A21750" t="s">
        <v>4425</v>
      </c>
    </row>
    <row r="21751" spans="1:1" x14ac:dyDescent="0.2">
      <c r="A21751" t="s">
        <v>4426</v>
      </c>
    </row>
    <row r="21752" spans="1:1" x14ac:dyDescent="0.2">
      <c r="A21752" t="s">
        <v>4427</v>
      </c>
    </row>
    <row r="21753" spans="1:1" x14ac:dyDescent="0.2">
      <c r="A21753" t="s">
        <v>4428</v>
      </c>
    </row>
    <row r="21754" spans="1:1" x14ac:dyDescent="0.2">
      <c r="A21754" t="s">
        <v>4429</v>
      </c>
    </row>
    <row r="21755" spans="1:1" x14ac:dyDescent="0.2">
      <c r="A21755" t="s">
        <v>4430</v>
      </c>
    </row>
    <row r="21756" spans="1:1" x14ac:dyDescent="0.2">
      <c r="A21756" t="s">
        <v>4431</v>
      </c>
    </row>
    <row r="21757" spans="1:1" x14ac:dyDescent="0.2">
      <c r="A21757" t="s">
        <v>4432</v>
      </c>
    </row>
    <row r="21758" spans="1:1" x14ac:dyDescent="0.2">
      <c r="A21758" t="s">
        <v>4433</v>
      </c>
    </row>
    <row r="21759" spans="1:1" x14ac:dyDescent="0.2">
      <c r="A21759" t="s">
        <v>4434</v>
      </c>
    </row>
    <row r="21760" spans="1:1" x14ac:dyDescent="0.2">
      <c r="A21760" t="s">
        <v>4435</v>
      </c>
    </row>
    <row r="21761" spans="1:1" x14ac:dyDescent="0.2">
      <c r="A21761" t="s">
        <v>4436</v>
      </c>
    </row>
    <row r="21762" spans="1:1" x14ac:dyDescent="0.2">
      <c r="A21762" t="s">
        <v>4437</v>
      </c>
    </row>
    <row r="21763" spans="1:1" x14ac:dyDescent="0.2">
      <c r="A21763" t="s">
        <v>4438</v>
      </c>
    </row>
    <row r="21764" spans="1:1" x14ac:dyDescent="0.2">
      <c r="A21764" t="s">
        <v>4439</v>
      </c>
    </row>
    <row r="21765" spans="1:1" x14ac:dyDescent="0.2">
      <c r="A21765" t="s">
        <v>4440</v>
      </c>
    </row>
    <row r="21766" spans="1:1" x14ac:dyDescent="0.2">
      <c r="A21766" t="s">
        <v>4441</v>
      </c>
    </row>
    <row r="21767" spans="1:1" x14ac:dyDescent="0.2">
      <c r="A21767" t="s">
        <v>4442</v>
      </c>
    </row>
    <row r="21768" spans="1:1" x14ac:dyDescent="0.2">
      <c r="A21768" t="s">
        <v>4443</v>
      </c>
    </row>
    <row r="21769" spans="1:1" x14ac:dyDescent="0.2">
      <c r="A21769" t="s">
        <v>4444</v>
      </c>
    </row>
    <row r="21770" spans="1:1" x14ac:dyDescent="0.2">
      <c r="A21770" t="s">
        <v>4445</v>
      </c>
    </row>
    <row r="21771" spans="1:1" x14ac:dyDescent="0.2">
      <c r="A21771" t="s">
        <v>4446</v>
      </c>
    </row>
    <row r="21772" spans="1:1" x14ac:dyDescent="0.2">
      <c r="A21772" t="s">
        <v>4447</v>
      </c>
    </row>
    <row r="21773" spans="1:1" x14ac:dyDescent="0.2">
      <c r="A21773" t="s">
        <v>4448</v>
      </c>
    </row>
    <row r="21774" spans="1:1" x14ac:dyDescent="0.2">
      <c r="A21774" t="s">
        <v>4449</v>
      </c>
    </row>
    <row r="21775" spans="1:1" x14ac:dyDescent="0.2">
      <c r="A21775" t="s">
        <v>4450</v>
      </c>
    </row>
    <row r="21776" spans="1:1" x14ac:dyDescent="0.2">
      <c r="A21776" t="s">
        <v>4451</v>
      </c>
    </row>
    <row r="21777" spans="1:1" x14ac:dyDescent="0.2">
      <c r="A21777" t="s">
        <v>4452</v>
      </c>
    </row>
    <row r="21778" spans="1:1" x14ac:dyDescent="0.2">
      <c r="A21778" t="s">
        <v>4453</v>
      </c>
    </row>
    <row r="21779" spans="1:1" x14ac:dyDescent="0.2">
      <c r="A21779" t="s">
        <v>4454</v>
      </c>
    </row>
    <row r="21780" spans="1:1" x14ac:dyDescent="0.2">
      <c r="A21780" t="s">
        <v>4455</v>
      </c>
    </row>
    <row r="21781" spans="1:1" x14ac:dyDescent="0.2">
      <c r="A21781" t="s">
        <v>4456</v>
      </c>
    </row>
    <row r="21782" spans="1:1" x14ac:dyDescent="0.2">
      <c r="A21782" t="s">
        <v>1829</v>
      </c>
    </row>
    <row r="21783" spans="1:1" x14ac:dyDescent="0.2">
      <c r="A21783" t="s">
        <v>1830</v>
      </c>
    </row>
    <row r="21784" spans="1:1" x14ac:dyDescent="0.2">
      <c r="A21784" t="s">
        <v>4457</v>
      </c>
    </row>
    <row r="21785" spans="1:1" x14ac:dyDescent="0.2">
      <c r="A21785" t="s">
        <v>1831</v>
      </c>
    </row>
    <row r="21786" spans="1:1" x14ac:dyDescent="0.2">
      <c r="A21786" t="s">
        <v>1832</v>
      </c>
    </row>
    <row r="21787" spans="1:1" x14ac:dyDescent="0.2">
      <c r="A21787" t="s">
        <v>1833</v>
      </c>
    </row>
    <row r="21788" spans="1:1" x14ac:dyDescent="0.2">
      <c r="A21788" t="s">
        <v>1834</v>
      </c>
    </row>
    <row r="21789" spans="1:1" x14ac:dyDescent="0.2">
      <c r="A21789" t="s">
        <v>1835</v>
      </c>
    </row>
    <row r="21790" spans="1:1" x14ac:dyDescent="0.2">
      <c r="A21790" t="s">
        <v>1836</v>
      </c>
    </row>
    <row r="21791" spans="1:1" x14ac:dyDescent="0.2">
      <c r="A21791" t="s">
        <v>1837</v>
      </c>
    </row>
    <row r="21792" spans="1:1" x14ac:dyDescent="0.2">
      <c r="A21792" t="s">
        <v>1838</v>
      </c>
    </row>
    <row r="21793" spans="1:1" x14ac:dyDescent="0.2">
      <c r="A21793" t="s">
        <v>4458</v>
      </c>
    </row>
    <row r="21794" spans="1:1" x14ac:dyDescent="0.2">
      <c r="A21794" t="s">
        <v>4459</v>
      </c>
    </row>
    <row r="21795" spans="1:1" x14ac:dyDescent="0.2">
      <c r="A21795" t="s">
        <v>4460</v>
      </c>
    </row>
    <row r="21796" spans="1:1" x14ac:dyDescent="0.2">
      <c r="A21796" t="s">
        <v>4461</v>
      </c>
    </row>
    <row r="21797" spans="1:1" x14ac:dyDescent="0.2">
      <c r="A21797" t="s">
        <v>4462</v>
      </c>
    </row>
    <row r="21798" spans="1:1" x14ac:dyDescent="0.2">
      <c r="A21798" t="s">
        <v>4463</v>
      </c>
    </row>
    <row r="21799" spans="1:1" x14ac:dyDescent="0.2">
      <c r="A21799" t="s">
        <v>4464</v>
      </c>
    </row>
    <row r="21800" spans="1:1" x14ac:dyDescent="0.2">
      <c r="A21800" t="s">
        <v>4465</v>
      </c>
    </row>
    <row r="21801" spans="1:1" x14ac:dyDescent="0.2">
      <c r="A21801" t="s">
        <v>4466</v>
      </c>
    </row>
    <row r="21802" spans="1:1" x14ac:dyDescent="0.2">
      <c r="A21802" t="s">
        <v>4467</v>
      </c>
    </row>
    <row r="21803" spans="1:1" x14ac:dyDescent="0.2">
      <c r="A21803" t="s">
        <v>4468</v>
      </c>
    </row>
    <row r="21804" spans="1:1" x14ac:dyDescent="0.2">
      <c r="A21804" t="s">
        <v>4469</v>
      </c>
    </row>
    <row r="21805" spans="1:1" x14ac:dyDescent="0.2">
      <c r="A21805" t="s">
        <v>4470</v>
      </c>
    </row>
    <row r="21806" spans="1:1" x14ac:dyDescent="0.2">
      <c r="A21806" t="s">
        <v>4471</v>
      </c>
    </row>
    <row r="21807" spans="1:1" x14ac:dyDescent="0.2">
      <c r="A21807" t="s">
        <v>4472</v>
      </c>
    </row>
    <row r="21808" spans="1:1" x14ac:dyDescent="0.2">
      <c r="A21808" t="s">
        <v>4473</v>
      </c>
    </row>
    <row r="21809" spans="1:1" x14ac:dyDescent="0.2">
      <c r="A21809" t="s">
        <v>4474</v>
      </c>
    </row>
    <row r="21810" spans="1:1" x14ac:dyDescent="0.2">
      <c r="A21810" t="s">
        <v>4475</v>
      </c>
    </row>
    <row r="21811" spans="1:1" x14ac:dyDescent="0.2">
      <c r="A21811" t="s">
        <v>4476</v>
      </c>
    </row>
    <row r="21812" spans="1:1" x14ac:dyDescent="0.2">
      <c r="A21812" t="s">
        <v>4477</v>
      </c>
    </row>
    <row r="21813" spans="1:1" x14ac:dyDescent="0.2">
      <c r="A21813" t="s">
        <v>4478</v>
      </c>
    </row>
    <row r="21814" spans="1:1" x14ac:dyDescent="0.2">
      <c r="A21814" t="s">
        <v>4479</v>
      </c>
    </row>
    <row r="21815" spans="1:1" x14ac:dyDescent="0.2">
      <c r="A21815" t="s">
        <v>4480</v>
      </c>
    </row>
    <row r="21816" spans="1:1" x14ac:dyDescent="0.2">
      <c r="A21816" t="s">
        <v>4481</v>
      </c>
    </row>
    <row r="21817" spans="1:1" x14ac:dyDescent="0.2">
      <c r="A21817" t="s">
        <v>4482</v>
      </c>
    </row>
    <row r="21818" spans="1:1" x14ac:dyDescent="0.2">
      <c r="A21818" t="s">
        <v>4483</v>
      </c>
    </row>
    <row r="21819" spans="1:1" x14ac:dyDescent="0.2">
      <c r="A21819" t="s">
        <v>4484</v>
      </c>
    </row>
    <row r="21820" spans="1:1" x14ac:dyDescent="0.2">
      <c r="A21820" t="s">
        <v>4485</v>
      </c>
    </row>
    <row r="21821" spans="1:1" x14ac:dyDescent="0.2">
      <c r="A21821" t="s">
        <v>4486</v>
      </c>
    </row>
    <row r="21822" spans="1:1" x14ac:dyDescent="0.2">
      <c r="A21822" t="s">
        <v>4487</v>
      </c>
    </row>
    <row r="21823" spans="1:1" x14ac:dyDescent="0.2">
      <c r="A21823" t="s">
        <v>4488</v>
      </c>
    </row>
    <row r="21824" spans="1:1" x14ac:dyDescent="0.2">
      <c r="A21824" t="s">
        <v>4489</v>
      </c>
    </row>
    <row r="21825" spans="1:1" x14ac:dyDescent="0.2">
      <c r="A21825" t="s">
        <v>4490</v>
      </c>
    </row>
    <row r="21826" spans="1:1" x14ac:dyDescent="0.2">
      <c r="A21826" t="s">
        <v>4491</v>
      </c>
    </row>
    <row r="21827" spans="1:1" x14ac:dyDescent="0.2">
      <c r="A21827" t="s">
        <v>4492</v>
      </c>
    </row>
    <row r="21828" spans="1:1" x14ac:dyDescent="0.2">
      <c r="A21828" t="s">
        <v>4493</v>
      </c>
    </row>
    <row r="21829" spans="1:1" x14ac:dyDescent="0.2">
      <c r="A21829" t="s">
        <v>4494</v>
      </c>
    </row>
    <row r="21830" spans="1:1" x14ac:dyDescent="0.2">
      <c r="A21830" t="s">
        <v>4495</v>
      </c>
    </row>
    <row r="21831" spans="1:1" x14ac:dyDescent="0.2">
      <c r="A21831" t="s">
        <v>4496</v>
      </c>
    </row>
    <row r="21832" spans="1:1" x14ac:dyDescent="0.2">
      <c r="A21832" t="s">
        <v>4497</v>
      </c>
    </row>
    <row r="21833" spans="1:1" x14ac:dyDescent="0.2">
      <c r="A21833" t="s">
        <v>4498</v>
      </c>
    </row>
    <row r="21834" spans="1:1" x14ac:dyDescent="0.2">
      <c r="A21834" t="s">
        <v>4499</v>
      </c>
    </row>
    <row r="21835" spans="1:1" x14ac:dyDescent="0.2">
      <c r="A21835" t="s">
        <v>4500</v>
      </c>
    </row>
    <row r="21836" spans="1:1" x14ac:dyDescent="0.2">
      <c r="A21836" t="s">
        <v>4501</v>
      </c>
    </row>
    <row r="21837" spans="1:1" x14ac:dyDescent="0.2">
      <c r="A21837" t="s">
        <v>4502</v>
      </c>
    </row>
    <row r="21838" spans="1:1" x14ac:dyDescent="0.2">
      <c r="A21838" t="s">
        <v>4503</v>
      </c>
    </row>
    <row r="21839" spans="1:1" x14ac:dyDescent="0.2">
      <c r="A21839" t="s">
        <v>4504</v>
      </c>
    </row>
    <row r="21840" spans="1:1" x14ac:dyDescent="0.2">
      <c r="A21840" t="s">
        <v>4505</v>
      </c>
    </row>
    <row r="21841" spans="1:1" x14ac:dyDescent="0.2">
      <c r="A21841" t="s">
        <v>4506</v>
      </c>
    </row>
    <row r="21842" spans="1:1" x14ac:dyDescent="0.2">
      <c r="A21842" t="s">
        <v>4507</v>
      </c>
    </row>
    <row r="21843" spans="1:1" x14ac:dyDescent="0.2">
      <c r="A21843" t="s">
        <v>4508</v>
      </c>
    </row>
    <row r="21844" spans="1:1" x14ac:dyDescent="0.2">
      <c r="A21844" t="s">
        <v>4509</v>
      </c>
    </row>
    <row r="21845" spans="1:1" x14ac:dyDescent="0.2">
      <c r="A21845" t="s">
        <v>4510</v>
      </c>
    </row>
    <row r="21846" spans="1:1" x14ac:dyDescent="0.2">
      <c r="A21846" t="s">
        <v>4511</v>
      </c>
    </row>
    <row r="21847" spans="1:1" x14ac:dyDescent="0.2">
      <c r="A21847" t="s">
        <v>4512</v>
      </c>
    </row>
    <row r="21848" spans="1:1" x14ac:dyDescent="0.2">
      <c r="A21848" t="s">
        <v>4513</v>
      </c>
    </row>
    <row r="21849" spans="1:1" x14ac:dyDescent="0.2">
      <c r="A21849" t="s">
        <v>4514</v>
      </c>
    </row>
    <row r="21850" spans="1:1" x14ac:dyDescent="0.2">
      <c r="A21850" t="s">
        <v>4515</v>
      </c>
    </row>
    <row r="21851" spans="1:1" x14ac:dyDescent="0.2">
      <c r="A21851" t="s">
        <v>4516</v>
      </c>
    </row>
    <row r="21852" spans="1:1" x14ac:dyDescent="0.2">
      <c r="A21852" t="s">
        <v>4517</v>
      </c>
    </row>
    <row r="21853" spans="1:1" x14ac:dyDescent="0.2">
      <c r="A21853" t="s">
        <v>4518</v>
      </c>
    </row>
    <row r="21854" spans="1:1" x14ac:dyDescent="0.2">
      <c r="A21854" t="s">
        <v>4519</v>
      </c>
    </row>
    <row r="21855" spans="1:1" x14ac:dyDescent="0.2">
      <c r="A21855" t="s">
        <v>4520</v>
      </c>
    </row>
    <row r="21856" spans="1:1" x14ac:dyDescent="0.2">
      <c r="A21856" t="s">
        <v>4521</v>
      </c>
    </row>
    <row r="21857" spans="1:1" x14ac:dyDescent="0.2">
      <c r="A21857" t="s">
        <v>4522</v>
      </c>
    </row>
    <row r="21858" spans="1:1" x14ac:dyDescent="0.2">
      <c r="A21858" t="s">
        <v>4523</v>
      </c>
    </row>
    <row r="21859" spans="1:1" x14ac:dyDescent="0.2">
      <c r="A21859" t="s">
        <v>4524</v>
      </c>
    </row>
    <row r="21860" spans="1:1" x14ac:dyDescent="0.2">
      <c r="A21860" t="s">
        <v>4525</v>
      </c>
    </row>
    <row r="21861" spans="1:1" x14ac:dyDescent="0.2">
      <c r="A21861" t="s">
        <v>4526</v>
      </c>
    </row>
    <row r="21862" spans="1:1" x14ac:dyDescent="0.2">
      <c r="A21862" t="s">
        <v>4527</v>
      </c>
    </row>
    <row r="21863" spans="1:1" x14ac:dyDescent="0.2">
      <c r="A21863" t="s">
        <v>4528</v>
      </c>
    </row>
    <row r="21864" spans="1:1" x14ac:dyDescent="0.2">
      <c r="A21864" t="s">
        <v>4529</v>
      </c>
    </row>
    <row r="21865" spans="1:1" x14ac:dyDescent="0.2">
      <c r="A21865" t="s">
        <v>4530</v>
      </c>
    </row>
    <row r="21866" spans="1:1" x14ac:dyDescent="0.2">
      <c r="A21866" t="s">
        <v>4531</v>
      </c>
    </row>
    <row r="21867" spans="1:1" x14ac:dyDescent="0.2">
      <c r="A21867" t="s">
        <v>4532</v>
      </c>
    </row>
    <row r="21868" spans="1:1" x14ac:dyDescent="0.2">
      <c r="A21868" t="s">
        <v>4533</v>
      </c>
    </row>
    <row r="21869" spans="1:1" x14ac:dyDescent="0.2">
      <c r="A21869" t="s">
        <v>4534</v>
      </c>
    </row>
    <row r="21870" spans="1:1" x14ac:dyDescent="0.2">
      <c r="A21870" t="s">
        <v>4535</v>
      </c>
    </row>
    <row r="21871" spans="1:1" x14ac:dyDescent="0.2">
      <c r="A21871" t="s">
        <v>4536</v>
      </c>
    </row>
    <row r="21872" spans="1:1" x14ac:dyDescent="0.2">
      <c r="A21872" t="s">
        <v>4537</v>
      </c>
    </row>
    <row r="21873" spans="1:1" x14ac:dyDescent="0.2">
      <c r="A21873" t="s">
        <v>4538</v>
      </c>
    </row>
    <row r="21874" spans="1:1" x14ac:dyDescent="0.2">
      <c r="A21874" t="s">
        <v>4539</v>
      </c>
    </row>
    <row r="21875" spans="1:1" x14ac:dyDescent="0.2">
      <c r="A21875" t="s">
        <v>4540</v>
      </c>
    </row>
    <row r="21876" spans="1:1" x14ac:dyDescent="0.2">
      <c r="A21876" t="s">
        <v>4541</v>
      </c>
    </row>
    <row r="21877" spans="1:1" x14ac:dyDescent="0.2">
      <c r="A21877" t="s">
        <v>4542</v>
      </c>
    </row>
    <row r="21878" spans="1:1" x14ac:dyDescent="0.2">
      <c r="A21878" t="s">
        <v>4543</v>
      </c>
    </row>
    <row r="21879" spans="1:1" x14ac:dyDescent="0.2">
      <c r="A21879" t="s">
        <v>4544</v>
      </c>
    </row>
    <row r="21880" spans="1:1" x14ac:dyDescent="0.2">
      <c r="A21880" t="s">
        <v>4545</v>
      </c>
    </row>
    <row r="21881" spans="1:1" x14ac:dyDescent="0.2">
      <c r="A21881" t="s">
        <v>4546</v>
      </c>
    </row>
    <row r="21882" spans="1:1" x14ac:dyDescent="0.2">
      <c r="A21882" t="s">
        <v>4547</v>
      </c>
    </row>
    <row r="21883" spans="1:1" x14ac:dyDescent="0.2">
      <c r="A21883" t="s">
        <v>4548</v>
      </c>
    </row>
    <row r="21884" spans="1:1" x14ac:dyDescent="0.2">
      <c r="A21884" t="s">
        <v>4549</v>
      </c>
    </row>
    <row r="21885" spans="1:1" x14ac:dyDescent="0.2">
      <c r="A21885" t="s">
        <v>4550</v>
      </c>
    </row>
    <row r="21886" spans="1:1" x14ac:dyDescent="0.2">
      <c r="A21886" t="s">
        <v>4551</v>
      </c>
    </row>
    <row r="21887" spans="1:1" x14ac:dyDescent="0.2">
      <c r="A21887" t="s">
        <v>4552</v>
      </c>
    </row>
    <row r="21888" spans="1:1" x14ac:dyDescent="0.2">
      <c r="A21888" t="s">
        <v>4553</v>
      </c>
    </row>
    <row r="21889" spans="1:1" x14ac:dyDescent="0.2">
      <c r="A21889" t="s">
        <v>4554</v>
      </c>
    </row>
    <row r="21890" spans="1:1" x14ac:dyDescent="0.2">
      <c r="A21890" t="s">
        <v>4555</v>
      </c>
    </row>
    <row r="21891" spans="1:1" x14ac:dyDescent="0.2">
      <c r="A21891" t="s">
        <v>4556</v>
      </c>
    </row>
    <row r="21892" spans="1:1" x14ac:dyDescent="0.2">
      <c r="A21892" t="s">
        <v>4557</v>
      </c>
    </row>
    <row r="21893" spans="1:1" x14ac:dyDescent="0.2">
      <c r="A21893" t="s">
        <v>4558</v>
      </c>
    </row>
    <row r="21894" spans="1:1" x14ac:dyDescent="0.2">
      <c r="A21894" t="s">
        <v>4559</v>
      </c>
    </row>
    <row r="21895" spans="1:1" x14ac:dyDescent="0.2">
      <c r="A21895" t="s">
        <v>4560</v>
      </c>
    </row>
    <row r="21896" spans="1:1" x14ac:dyDescent="0.2">
      <c r="A21896" t="s">
        <v>4561</v>
      </c>
    </row>
    <row r="21897" spans="1:1" x14ac:dyDescent="0.2">
      <c r="A21897" t="s">
        <v>4562</v>
      </c>
    </row>
    <row r="21898" spans="1:1" x14ac:dyDescent="0.2">
      <c r="A21898" t="s">
        <v>4563</v>
      </c>
    </row>
    <row r="21899" spans="1:1" x14ac:dyDescent="0.2">
      <c r="A21899" t="s">
        <v>4564</v>
      </c>
    </row>
    <row r="21900" spans="1:1" x14ac:dyDescent="0.2">
      <c r="A21900" t="s">
        <v>4565</v>
      </c>
    </row>
    <row r="21901" spans="1:1" x14ac:dyDescent="0.2">
      <c r="A21901" t="s">
        <v>4566</v>
      </c>
    </row>
    <row r="21902" spans="1:1" x14ac:dyDescent="0.2">
      <c r="A21902" t="s">
        <v>4567</v>
      </c>
    </row>
    <row r="21903" spans="1:1" x14ac:dyDescent="0.2">
      <c r="A21903" t="s">
        <v>4568</v>
      </c>
    </row>
    <row r="21904" spans="1:1" x14ac:dyDescent="0.2">
      <c r="A21904" t="s">
        <v>4569</v>
      </c>
    </row>
    <row r="21905" spans="1:1" x14ac:dyDescent="0.2">
      <c r="A21905" t="s">
        <v>4570</v>
      </c>
    </row>
    <row r="21906" spans="1:1" x14ac:dyDescent="0.2">
      <c r="A21906" t="s">
        <v>4571</v>
      </c>
    </row>
    <row r="21907" spans="1:1" x14ac:dyDescent="0.2">
      <c r="A21907" t="s">
        <v>4572</v>
      </c>
    </row>
    <row r="21908" spans="1:1" x14ac:dyDescent="0.2">
      <c r="A21908" t="s">
        <v>4573</v>
      </c>
    </row>
    <row r="21909" spans="1:1" x14ac:dyDescent="0.2">
      <c r="A21909" t="s">
        <v>4574</v>
      </c>
    </row>
    <row r="21910" spans="1:1" x14ac:dyDescent="0.2">
      <c r="A21910" t="s">
        <v>4575</v>
      </c>
    </row>
    <row r="21911" spans="1:1" x14ac:dyDescent="0.2">
      <c r="A21911" t="s">
        <v>4576</v>
      </c>
    </row>
    <row r="21912" spans="1:1" x14ac:dyDescent="0.2">
      <c r="A21912" t="s">
        <v>4577</v>
      </c>
    </row>
    <row r="21913" spans="1:1" x14ac:dyDescent="0.2">
      <c r="A21913" t="s">
        <v>4578</v>
      </c>
    </row>
    <row r="21914" spans="1:1" x14ac:dyDescent="0.2">
      <c r="A21914" t="s">
        <v>4579</v>
      </c>
    </row>
    <row r="21915" spans="1:1" x14ac:dyDescent="0.2">
      <c r="A21915" t="s">
        <v>4580</v>
      </c>
    </row>
    <row r="21916" spans="1:1" x14ac:dyDescent="0.2">
      <c r="A21916" t="s">
        <v>4581</v>
      </c>
    </row>
    <row r="21917" spans="1:1" x14ac:dyDescent="0.2">
      <c r="A21917" t="s">
        <v>4582</v>
      </c>
    </row>
    <row r="21918" spans="1:1" x14ac:dyDescent="0.2">
      <c r="A21918" t="s">
        <v>4583</v>
      </c>
    </row>
    <row r="21919" spans="1:1" x14ac:dyDescent="0.2">
      <c r="A21919" t="s">
        <v>4584</v>
      </c>
    </row>
    <row r="21920" spans="1:1" x14ac:dyDescent="0.2">
      <c r="A21920" t="s">
        <v>4585</v>
      </c>
    </row>
    <row r="21921" spans="1:1" x14ac:dyDescent="0.2">
      <c r="A21921" t="s">
        <v>4586</v>
      </c>
    </row>
    <row r="21922" spans="1:1" x14ac:dyDescent="0.2">
      <c r="A21922" t="s">
        <v>4587</v>
      </c>
    </row>
    <row r="21923" spans="1:1" x14ac:dyDescent="0.2">
      <c r="A21923" t="s">
        <v>4588</v>
      </c>
    </row>
    <row r="21924" spans="1:1" x14ac:dyDescent="0.2">
      <c r="A21924" t="s">
        <v>4589</v>
      </c>
    </row>
    <row r="21925" spans="1:1" x14ac:dyDescent="0.2">
      <c r="A21925" t="s">
        <v>4590</v>
      </c>
    </row>
    <row r="21926" spans="1:1" x14ac:dyDescent="0.2">
      <c r="A21926" t="s">
        <v>4591</v>
      </c>
    </row>
    <row r="21927" spans="1:1" x14ac:dyDescent="0.2">
      <c r="A21927" t="s">
        <v>1839</v>
      </c>
    </row>
    <row r="21928" spans="1:1" x14ac:dyDescent="0.2">
      <c r="A21928" t="s">
        <v>1840</v>
      </c>
    </row>
    <row r="21929" spans="1:1" x14ac:dyDescent="0.2">
      <c r="A21929" t="s">
        <v>1841</v>
      </c>
    </row>
    <row r="21930" spans="1:1" x14ac:dyDescent="0.2">
      <c r="A21930" t="s">
        <v>1842</v>
      </c>
    </row>
    <row r="21931" spans="1:1" x14ac:dyDescent="0.2">
      <c r="A21931" t="s">
        <v>1843</v>
      </c>
    </row>
    <row r="21932" spans="1:1" x14ac:dyDescent="0.2">
      <c r="A21932" t="s">
        <v>1844</v>
      </c>
    </row>
    <row r="21933" spans="1:1" x14ac:dyDescent="0.2">
      <c r="A21933" t="s">
        <v>1845</v>
      </c>
    </row>
    <row r="21934" spans="1:1" x14ac:dyDescent="0.2">
      <c r="A21934" t="s">
        <v>4592</v>
      </c>
    </row>
    <row r="21935" spans="1:1" x14ac:dyDescent="0.2">
      <c r="A21935" t="s">
        <v>1846</v>
      </c>
    </row>
    <row r="21936" spans="1:1" x14ac:dyDescent="0.2">
      <c r="A21936" t="s">
        <v>1895</v>
      </c>
    </row>
    <row r="21937" spans="1:1" x14ac:dyDescent="0.2">
      <c r="A21937" t="s">
        <v>1848</v>
      </c>
    </row>
    <row r="21938" spans="1:1" x14ac:dyDescent="0.2">
      <c r="A21938" t="s">
        <v>4593</v>
      </c>
    </row>
    <row r="21939" spans="1:1" x14ac:dyDescent="0.2">
      <c r="A21939" t="s">
        <v>4594</v>
      </c>
    </row>
    <row r="21940" spans="1:1" x14ac:dyDescent="0.2">
      <c r="A21940" t="s">
        <v>4595</v>
      </c>
    </row>
    <row r="21941" spans="1:1" x14ac:dyDescent="0.2">
      <c r="A21941" t="s">
        <v>4596</v>
      </c>
    </row>
    <row r="21942" spans="1:1" x14ac:dyDescent="0.2">
      <c r="A21942" t="s">
        <v>4597</v>
      </c>
    </row>
    <row r="21943" spans="1:1" x14ac:dyDescent="0.2">
      <c r="A21943" t="s">
        <v>4598</v>
      </c>
    </row>
    <row r="21944" spans="1:1" x14ac:dyDescent="0.2">
      <c r="A21944" t="s">
        <v>4599</v>
      </c>
    </row>
    <row r="21945" spans="1:1" x14ac:dyDescent="0.2">
      <c r="A21945" t="s">
        <v>4600</v>
      </c>
    </row>
    <row r="21946" spans="1:1" x14ac:dyDescent="0.2">
      <c r="A21946" t="s">
        <v>4601</v>
      </c>
    </row>
    <row r="21947" spans="1:1" x14ac:dyDescent="0.2">
      <c r="A21947" t="s">
        <v>4602</v>
      </c>
    </row>
    <row r="21948" spans="1:1" x14ac:dyDescent="0.2">
      <c r="A21948" t="s">
        <v>4603</v>
      </c>
    </row>
    <row r="21949" spans="1:1" x14ac:dyDescent="0.2">
      <c r="A21949" t="s">
        <v>4604</v>
      </c>
    </row>
    <row r="21950" spans="1:1" x14ac:dyDescent="0.2">
      <c r="A21950" t="s">
        <v>4605</v>
      </c>
    </row>
    <row r="21951" spans="1:1" x14ac:dyDescent="0.2">
      <c r="A21951" t="s">
        <v>4606</v>
      </c>
    </row>
    <row r="21952" spans="1:1" x14ac:dyDescent="0.2">
      <c r="A21952" t="s">
        <v>4607</v>
      </c>
    </row>
    <row r="21953" spans="1:1" x14ac:dyDescent="0.2">
      <c r="A21953" t="s">
        <v>4608</v>
      </c>
    </row>
    <row r="21954" spans="1:1" x14ac:dyDescent="0.2">
      <c r="A21954" t="s">
        <v>4609</v>
      </c>
    </row>
    <row r="21955" spans="1:1" x14ac:dyDescent="0.2">
      <c r="A21955" t="s">
        <v>4610</v>
      </c>
    </row>
    <row r="21956" spans="1:1" x14ac:dyDescent="0.2">
      <c r="A21956" t="s">
        <v>4611</v>
      </c>
    </row>
    <row r="21957" spans="1:1" x14ac:dyDescent="0.2">
      <c r="A21957" t="s">
        <v>4612</v>
      </c>
    </row>
    <row r="21958" spans="1:1" x14ac:dyDescent="0.2">
      <c r="A21958" t="s">
        <v>4613</v>
      </c>
    </row>
    <row r="21959" spans="1:1" x14ac:dyDescent="0.2">
      <c r="A21959" t="s">
        <v>4614</v>
      </c>
    </row>
    <row r="21960" spans="1:1" x14ac:dyDescent="0.2">
      <c r="A21960" t="s">
        <v>4615</v>
      </c>
    </row>
    <row r="21961" spans="1:1" x14ac:dyDescent="0.2">
      <c r="A21961" t="s">
        <v>4616</v>
      </c>
    </row>
    <row r="21962" spans="1:1" x14ac:dyDescent="0.2">
      <c r="A21962" t="s">
        <v>4617</v>
      </c>
    </row>
    <row r="21963" spans="1:1" x14ac:dyDescent="0.2">
      <c r="A21963" t="s">
        <v>4618</v>
      </c>
    </row>
    <row r="21964" spans="1:1" x14ac:dyDescent="0.2">
      <c r="A21964" t="s">
        <v>4619</v>
      </c>
    </row>
    <row r="21965" spans="1:1" x14ac:dyDescent="0.2">
      <c r="A21965" t="s">
        <v>4620</v>
      </c>
    </row>
    <row r="21966" spans="1:1" x14ac:dyDescent="0.2">
      <c r="A21966" t="s">
        <v>4621</v>
      </c>
    </row>
    <row r="21967" spans="1:1" x14ac:dyDescent="0.2">
      <c r="A21967" t="s">
        <v>4622</v>
      </c>
    </row>
    <row r="21968" spans="1:1" x14ac:dyDescent="0.2">
      <c r="A21968" t="s">
        <v>4623</v>
      </c>
    </row>
    <row r="21969" spans="1:1" x14ac:dyDescent="0.2">
      <c r="A21969" t="s">
        <v>4624</v>
      </c>
    </row>
    <row r="21970" spans="1:1" x14ac:dyDescent="0.2">
      <c r="A21970" t="s">
        <v>4625</v>
      </c>
    </row>
    <row r="21971" spans="1:1" x14ac:dyDescent="0.2">
      <c r="A21971" t="s">
        <v>4626</v>
      </c>
    </row>
    <row r="21972" spans="1:1" x14ac:dyDescent="0.2">
      <c r="A21972" t="s">
        <v>4627</v>
      </c>
    </row>
    <row r="21973" spans="1:1" x14ac:dyDescent="0.2">
      <c r="A21973" t="s">
        <v>4628</v>
      </c>
    </row>
    <row r="21974" spans="1:1" x14ac:dyDescent="0.2">
      <c r="A21974" t="s">
        <v>4629</v>
      </c>
    </row>
    <row r="21975" spans="1:1" x14ac:dyDescent="0.2">
      <c r="A21975" t="s">
        <v>4630</v>
      </c>
    </row>
    <row r="21976" spans="1:1" x14ac:dyDescent="0.2">
      <c r="A21976" t="s">
        <v>4631</v>
      </c>
    </row>
    <row r="21977" spans="1:1" x14ac:dyDescent="0.2">
      <c r="A21977" t="s">
        <v>4632</v>
      </c>
    </row>
    <row r="21978" spans="1:1" x14ac:dyDescent="0.2">
      <c r="A21978" t="s">
        <v>4633</v>
      </c>
    </row>
    <row r="21979" spans="1:1" x14ac:dyDescent="0.2">
      <c r="A21979" t="s">
        <v>4634</v>
      </c>
    </row>
    <row r="21980" spans="1:1" x14ac:dyDescent="0.2">
      <c r="A21980" t="s">
        <v>4635</v>
      </c>
    </row>
    <row r="21981" spans="1:1" x14ac:dyDescent="0.2">
      <c r="A21981" t="s">
        <v>4636</v>
      </c>
    </row>
    <row r="21982" spans="1:1" x14ac:dyDescent="0.2">
      <c r="A21982" t="s">
        <v>4637</v>
      </c>
    </row>
    <row r="21983" spans="1:1" x14ac:dyDescent="0.2">
      <c r="A21983" t="s">
        <v>4638</v>
      </c>
    </row>
    <row r="21984" spans="1:1" x14ac:dyDescent="0.2">
      <c r="A21984" t="s">
        <v>4639</v>
      </c>
    </row>
    <row r="21985" spans="1:1" x14ac:dyDescent="0.2">
      <c r="A21985" t="s">
        <v>4640</v>
      </c>
    </row>
    <row r="21986" spans="1:1" x14ac:dyDescent="0.2">
      <c r="A21986" t="s">
        <v>4641</v>
      </c>
    </row>
    <row r="21987" spans="1:1" x14ac:dyDescent="0.2">
      <c r="A21987" t="s">
        <v>4642</v>
      </c>
    </row>
    <row r="21988" spans="1:1" x14ac:dyDescent="0.2">
      <c r="A21988" t="s">
        <v>4643</v>
      </c>
    </row>
    <row r="21989" spans="1:1" x14ac:dyDescent="0.2">
      <c r="A21989" t="s">
        <v>4644</v>
      </c>
    </row>
    <row r="21990" spans="1:1" x14ac:dyDescent="0.2">
      <c r="A21990" t="s">
        <v>4645</v>
      </c>
    </row>
    <row r="21991" spans="1:1" x14ac:dyDescent="0.2">
      <c r="A21991" t="s">
        <v>4646</v>
      </c>
    </row>
    <row r="21992" spans="1:1" x14ac:dyDescent="0.2">
      <c r="A21992" t="s">
        <v>4647</v>
      </c>
    </row>
    <row r="21993" spans="1:1" x14ac:dyDescent="0.2">
      <c r="A21993" t="s">
        <v>4648</v>
      </c>
    </row>
    <row r="21994" spans="1:1" x14ac:dyDescent="0.2">
      <c r="A21994" t="s">
        <v>4649</v>
      </c>
    </row>
    <row r="21995" spans="1:1" x14ac:dyDescent="0.2">
      <c r="A21995" t="s">
        <v>4650</v>
      </c>
    </row>
    <row r="21996" spans="1:1" x14ac:dyDescent="0.2">
      <c r="A21996" t="s">
        <v>4651</v>
      </c>
    </row>
    <row r="21997" spans="1:1" x14ac:dyDescent="0.2">
      <c r="A21997" t="s">
        <v>4652</v>
      </c>
    </row>
    <row r="21998" spans="1:1" x14ac:dyDescent="0.2">
      <c r="A21998" t="s">
        <v>4653</v>
      </c>
    </row>
    <row r="21999" spans="1:1" x14ac:dyDescent="0.2">
      <c r="A21999" t="s">
        <v>4654</v>
      </c>
    </row>
    <row r="22000" spans="1:1" x14ac:dyDescent="0.2">
      <c r="A22000" t="s">
        <v>4655</v>
      </c>
    </row>
    <row r="22001" spans="1:1" x14ac:dyDescent="0.2">
      <c r="A22001" t="s">
        <v>4656</v>
      </c>
    </row>
    <row r="22002" spans="1:1" x14ac:dyDescent="0.2">
      <c r="A22002" t="s">
        <v>4657</v>
      </c>
    </row>
    <row r="22003" spans="1:1" x14ac:dyDescent="0.2">
      <c r="A22003" t="s">
        <v>4658</v>
      </c>
    </row>
    <row r="22004" spans="1:1" x14ac:dyDescent="0.2">
      <c r="A22004" t="s">
        <v>4659</v>
      </c>
    </row>
    <row r="22005" spans="1:1" x14ac:dyDescent="0.2">
      <c r="A22005" t="s">
        <v>4660</v>
      </c>
    </row>
    <row r="22006" spans="1:1" x14ac:dyDescent="0.2">
      <c r="A22006" t="s">
        <v>4661</v>
      </c>
    </row>
    <row r="22007" spans="1:1" x14ac:dyDescent="0.2">
      <c r="A22007" t="s">
        <v>4662</v>
      </c>
    </row>
    <row r="22008" spans="1:1" x14ac:dyDescent="0.2">
      <c r="A22008" t="s">
        <v>4663</v>
      </c>
    </row>
    <row r="22009" spans="1:1" x14ac:dyDescent="0.2">
      <c r="A22009" t="s">
        <v>4664</v>
      </c>
    </row>
    <row r="22010" spans="1:1" x14ac:dyDescent="0.2">
      <c r="A22010" t="s">
        <v>4665</v>
      </c>
    </row>
    <row r="22011" spans="1:1" x14ac:dyDescent="0.2">
      <c r="A22011" t="s">
        <v>4666</v>
      </c>
    </row>
    <row r="22012" spans="1:1" x14ac:dyDescent="0.2">
      <c r="A22012" t="s">
        <v>4667</v>
      </c>
    </row>
    <row r="22013" spans="1:1" x14ac:dyDescent="0.2">
      <c r="A22013" t="s">
        <v>4668</v>
      </c>
    </row>
    <row r="22014" spans="1:1" x14ac:dyDescent="0.2">
      <c r="A22014" t="s">
        <v>4669</v>
      </c>
    </row>
    <row r="22015" spans="1:1" x14ac:dyDescent="0.2">
      <c r="A22015" t="s">
        <v>4670</v>
      </c>
    </row>
    <row r="22016" spans="1:1" x14ac:dyDescent="0.2">
      <c r="A22016" t="s">
        <v>4671</v>
      </c>
    </row>
    <row r="22017" spans="1:1" x14ac:dyDescent="0.2">
      <c r="A22017" t="s">
        <v>4672</v>
      </c>
    </row>
    <row r="22018" spans="1:1" x14ac:dyDescent="0.2">
      <c r="A22018" t="s">
        <v>4673</v>
      </c>
    </row>
    <row r="22019" spans="1:1" x14ac:dyDescent="0.2">
      <c r="A22019" t="s">
        <v>4674</v>
      </c>
    </row>
    <row r="22020" spans="1:1" x14ac:dyDescent="0.2">
      <c r="A22020" t="s">
        <v>4675</v>
      </c>
    </row>
    <row r="22021" spans="1:1" x14ac:dyDescent="0.2">
      <c r="A22021" t="s">
        <v>4676</v>
      </c>
    </row>
    <row r="22022" spans="1:1" x14ac:dyDescent="0.2">
      <c r="A22022" t="s">
        <v>4677</v>
      </c>
    </row>
    <row r="22023" spans="1:1" x14ac:dyDescent="0.2">
      <c r="A22023" t="s">
        <v>4678</v>
      </c>
    </row>
    <row r="22024" spans="1:1" x14ac:dyDescent="0.2">
      <c r="A22024" t="s">
        <v>4679</v>
      </c>
    </row>
    <row r="22025" spans="1:1" x14ac:dyDescent="0.2">
      <c r="A22025" t="s">
        <v>4680</v>
      </c>
    </row>
    <row r="22026" spans="1:1" x14ac:dyDescent="0.2">
      <c r="A22026" t="s">
        <v>4681</v>
      </c>
    </row>
    <row r="22027" spans="1:1" x14ac:dyDescent="0.2">
      <c r="A22027" t="s">
        <v>4682</v>
      </c>
    </row>
    <row r="22028" spans="1:1" x14ac:dyDescent="0.2">
      <c r="A22028" t="s">
        <v>4683</v>
      </c>
    </row>
    <row r="22029" spans="1:1" x14ac:dyDescent="0.2">
      <c r="A22029" t="s">
        <v>4684</v>
      </c>
    </row>
    <row r="22030" spans="1:1" x14ac:dyDescent="0.2">
      <c r="A22030" t="s">
        <v>4685</v>
      </c>
    </row>
    <row r="22031" spans="1:1" x14ac:dyDescent="0.2">
      <c r="A22031" t="s">
        <v>4686</v>
      </c>
    </row>
    <row r="22032" spans="1:1" x14ac:dyDescent="0.2">
      <c r="A22032" t="s">
        <v>4687</v>
      </c>
    </row>
    <row r="22033" spans="1:1" x14ac:dyDescent="0.2">
      <c r="A22033" t="s">
        <v>4688</v>
      </c>
    </row>
    <row r="22034" spans="1:1" x14ac:dyDescent="0.2">
      <c r="A22034" t="s">
        <v>4689</v>
      </c>
    </row>
    <row r="22035" spans="1:1" x14ac:dyDescent="0.2">
      <c r="A22035" t="s">
        <v>4690</v>
      </c>
    </row>
    <row r="22036" spans="1:1" x14ac:dyDescent="0.2">
      <c r="A22036" t="s">
        <v>4691</v>
      </c>
    </row>
    <row r="22037" spans="1:1" x14ac:dyDescent="0.2">
      <c r="A22037" t="s">
        <v>4692</v>
      </c>
    </row>
    <row r="22038" spans="1:1" x14ac:dyDescent="0.2">
      <c r="A22038" t="s">
        <v>4693</v>
      </c>
    </row>
    <row r="22039" spans="1:1" x14ac:dyDescent="0.2">
      <c r="A22039" t="s">
        <v>4694</v>
      </c>
    </row>
    <row r="22040" spans="1:1" x14ac:dyDescent="0.2">
      <c r="A22040" t="s">
        <v>4695</v>
      </c>
    </row>
    <row r="22041" spans="1:1" x14ac:dyDescent="0.2">
      <c r="A22041" t="s">
        <v>4696</v>
      </c>
    </row>
    <row r="22042" spans="1:1" x14ac:dyDescent="0.2">
      <c r="A22042" t="s">
        <v>4697</v>
      </c>
    </row>
    <row r="22043" spans="1:1" x14ac:dyDescent="0.2">
      <c r="A22043" t="s">
        <v>4698</v>
      </c>
    </row>
    <row r="22044" spans="1:1" x14ac:dyDescent="0.2">
      <c r="A22044" t="s">
        <v>4699</v>
      </c>
    </row>
    <row r="22045" spans="1:1" x14ac:dyDescent="0.2">
      <c r="A22045" t="s">
        <v>4700</v>
      </c>
    </row>
    <row r="22046" spans="1:1" x14ac:dyDescent="0.2">
      <c r="A22046" t="s">
        <v>4701</v>
      </c>
    </row>
    <row r="22047" spans="1:1" x14ac:dyDescent="0.2">
      <c r="A22047" t="s">
        <v>4702</v>
      </c>
    </row>
    <row r="22048" spans="1:1" x14ac:dyDescent="0.2">
      <c r="A22048" t="s">
        <v>4703</v>
      </c>
    </row>
    <row r="22049" spans="1:1" x14ac:dyDescent="0.2">
      <c r="A22049" t="s">
        <v>4704</v>
      </c>
    </row>
    <row r="22050" spans="1:1" x14ac:dyDescent="0.2">
      <c r="A22050" t="s">
        <v>4705</v>
      </c>
    </row>
    <row r="22051" spans="1:1" x14ac:dyDescent="0.2">
      <c r="A22051" t="s">
        <v>4704</v>
      </c>
    </row>
    <row r="22052" spans="1:1" x14ac:dyDescent="0.2">
      <c r="A22052" t="s">
        <v>4704</v>
      </c>
    </row>
    <row r="22053" spans="1:1" x14ac:dyDescent="0.2">
      <c r="A22053" t="s">
        <v>4706</v>
      </c>
    </row>
    <row r="22054" spans="1:1" x14ac:dyDescent="0.2">
      <c r="A22054" t="s">
        <v>4704</v>
      </c>
    </row>
    <row r="22055" spans="1:1" x14ac:dyDescent="0.2">
      <c r="A22055" t="s">
        <v>4705</v>
      </c>
    </row>
    <row r="22056" spans="1:1" x14ac:dyDescent="0.2">
      <c r="A22056" t="s">
        <v>4704</v>
      </c>
    </row>
    <row r="22057" spans="1:1" x14ac:dyDescent="0.2">
      <c r="A22057" t="s">
        <v>4704</v>
      </c>
    </row>
    <row r="22058" spans="1:1" x14ac:dyDescent="0.2">
      <c r="A22058" t="s">
        <v>4707</v>
      </c>
    </row>
    <row r="22059" spans="1:1" x14ac:dyDescent="0.2">
      <c r="A22059" t="s">
        <v>4704</v>
      </c>
    </row>
    <row r="22060" spans="1:1" x14ac:dyDescent="0.2">
      <c r="A22060" t="s">
        <v>4705</v>
      </c>
    </row>
    <row r="22061" spans="1:1" x14ac:dyDescent="0.2">
      <c r="A22061" t="s">
        <v>4704</v>
      </c>
    </row>
    <row r="22062" spans="1:1" x14ac:dyDescent="0.2">
      <c r="A22062" t="s">
        <v>4704</v>
      </c>
    </row>
    <row r="22063" spans="1:1" x14ac:dyDescent="0.2">
      <c r="A22063" t="s">
        <v>4708</v>
      </c>
    </row>
    <row r="22064" spans="1:1" x14ac:dyDescent="0.2">
      <c r="A22064" t="s">
        <v>4704</v>
      </c>
    </row>
    <row r="22065" spans="1:1" x14ac:dyDescent="0.2">
      <c r="A22065" t="s">
        <v>4705</v>
      </c>
    </row>
    <row r="22066" spans="1:1" x14ac:dyDescent="0.2">
      <c r="A22066" t="s">
        <v>4704</v>
      </c>
    </row>
    <row r="22067" spans="1:1" x14ac:dyDescent="0.2">
      <c r="A22067" t="s">
        <v>4704</v>
      </c>
    </row>
    <row r="22068" spans="1:1" x14ac:dyDescent="0.2">
      <c r="A22068" t="s">
        <v>4709</v>
      </c>
    </row>
    <row r="22069" spans="1:1" x14ac:dyDescent="0.2">
      <c r="A22069" t="s">
        <v>4704</v>
      </c>
    </row>
    <row r="22070" spans="1:1" x14ac:dyDescent="0.2">
      <c r="A22070" t="s">
        <v>4705</v>
      </c>
    </row>
    <row r="22071" spans="1:1" x14ac:dyDescent="0.2">
      <c r="A22071" t="s">
        <v>4704</v>
      </c>
    </row>
    <row r="22072" spans="1:1" x14ac:dyDescent="0.2">
      <c r="A22072" t="s">
        <v>4704</v>
      </c>
    </row>
    <row r="22073" spans="1:1" x14ac:dyDescent="0.2">
      <c r="A22073" t="s">
        <v>4710</v>
      </c>
    </row>
    <row r="22074" spans="1:1" x14ac:dyDescent="0.2">
      <c r="A22074" t="s">
        <v>4704</v>
      </c>
    </row>
    <row r="22075" spans="1:1" x14ac:dyDescent="0.2">
      <c r="A22075" t="s">
        <v>4705</v>
      </c>
    </row>
    <row r="22076" spans="1:1" x14ac:dyDescent="0.2">
      <c r="A22076" t="s">
        <v>4704</v>
      </c>
    </row>
    <row r="22077" spans="1:1" x14ac:dyDescent="0.2">
      <c r="A22077" t="s">
        <v>4704</v>
      </c>
    </row>
    <row r="22078" spans="1:1" x14ac:dyDescent="0.2">
      <c r="A22078" t="s">
        <v>4711</v>
      </c>
    </row>
    <row r="22079" spans="1:1" x14ac:dyDescent="0.2">
      <c r="A22079" t="s">
        <v>4704</v>
      </c>
    </row>
    <row r="22080" spans="1:1" x14ac:dyDescent="0.2">
      <c r="A22080" t="s">
        <v>4705</v>
      </c>
    </row>
    <row r="22081" spans="1:1" x14ac:dyDescent="0.2">
      <c r="A22081" t="s">
        <v>4704</v>
      </c>
    </row>
    <row r="22082" spans="1:1" x14ac:dyDescent="0.2">
      <c r="A22082" t="s">
        <v>4704</v>
      </c>
    </row>
    <row r="22083" spans="1:1" x14ac:dyDescent="0.2">
      <c r="A22083" t="s">
        <v>4712</v>
      </c>
    </row>
    <row r="22084" spans="1:1" x14ac:dyDescent="0.2">
      <c r="A22084" t="s">
        <v>4704</v>
      </c>
    </row>
    <row r="22085" spans="1:1" x14ac:dyDescent="0.2">
      <c r="A22085" t="s">
        <v>4705</v>
      </c>
    </row>
    <row r="22086" spans="1:1" x14ac:dyDescent="0.2">
      <c r="A22086" t="s">
        <v>4704</v>
      </c>
    </row>
    <row r="22087" spans="1:1" x14ac:dyDescent="0.2">
      <c r="A22087" t="s">
        <v>4704</v>
      </c>
    </row>
    <row r="22088" spans="1:1" x14ac:dyDescent="0.2">
      <c r="A22088" t="s">
        <v>4713</v>
      </c>
    </row>
    <row r="22089" spans="1:1" x14ac:dyDescent="0.2">
      <c r="A22089" t="s">
        <v>4704</v>
      </c>
    </row>
    <row r="22090" spans="1:1" x14ac:dyDescent="0.2">
      <c r="A22090" t="s">
        <v>4705</v>
      </c>
    </row>
    <row r="22091" spans="1:1" x14ac:dyDescent="0.2">
      <c r="A22091" t="s">
        <v>4704</v>
      </c>
    </row>
    <row r="22092" spans="1:1" x14ac:dyDescent="0.2">
      <c r="A22092" t="s">
        <v>4704</v>
      </c>
    </row>
    <row r="22093" spans="1:1" x14ac:dyDescent="0.2">
      <c r="A22093" t="s">
        <v>4714</v>
      </c>
    </row>
    <row r="22094" spans="1:1" x14ac:dyDescent="0.2">
      <c r="A22094" t="s">
        <v>4704</v>
      </c>
    </row>
    <row r="22095" spans="1:1" x14ac:dyDescent="0.2">
      <c r="A22095" t="s">
        <v>4705</v>
      </c>
    </row>
    <row r="22096" spans="1:1" x14ac:dyDescent="0.2">
      <c r="A22096" t="s">
        <v>4704</v>
      </c>
    </row>
    <row r="22097" spans="1:1" x14ac:dyDescent="0.2">
      <c r="A22097" t="s">
        <v>4704</v>
      </c>
    </row>
    <row r="22098" spans="1:1" x14ac:dyDescent="0.2">
      <c r="A22098" t="s">
        <v>4715</v>
      </c>
    </row>
    <row r="22099" spans="1:1" x14ac:dyDescent="0.2">
      <c r="A22099" t="s">
        <v>4704</v>
      </c>
    </row>
    <row r="22100" spans="1:1" x14ac:dyDescent="0.2">
      <c r="A22100" t="s">
        <v>4705</v>
      </c>
    </row>
    <row r="22101" spans="1:1" x14ac:dyDescent="0.2">
      <c r="A22101" t="s">
        <v>4704</v>
      </c>
    </row>
    <row r="22102" spans="1:1" x14ac:dyDescent="0.2">
      <c r="A22102" t="s">
        <v>4704</v>
      </c>
    </row>
    <row r="22103" spans="1:1" x14ac:dyDescent="0.2">
      <c r="A22103" t="s">
        <v>4716</v>
      </c>
    </row>
    <row r="22104" spans="1:1" x14ac:dyDescent="0.2">
      <c r="A22104" t="s">
        <v>4704</v>
      </c>
    </row>
    <row r="22105" spans="1:1" x14ac:dyDescent="0.2">
      <c r="A22105" t="s">
        <v>4705</v>
      </c>
    </row>
    <row r="22106" spans="1:1" x14ac:dyDescent="0.2">
      <c r="A22106" t="s">
        <v>4704</v>
      </c>
    </row>
    <row r="22107" spans="1:1" x14ac:dyDescent="0.2">
      <c r="A22107" t="s">
        <v>4704</v>
      </c>
    </row>
    <row r="22108" spans="1:1" x14ac:dyDescent="0.2">
      <c r="A22108" t="s">
        <v>4717</v>
      </c>
    </row>
    <row r="22109" spans="1:1" x14ac:dyDescent="0.2">
      <c r="A22109" t="s">
        <v>4704</v>
      </c>
    </row>
    <row r="22110" spans="1:1" x14ac:dyDescent="0.2">
      <c r="A22110" t="s">
        <v>4705</v>
      </c>
    </row>
    <row r="22111" spans="1:1" x14ac:dyDescent="0.2">
      <c r="A22111" t="s">
        <v>4704</v>
      </c>
    </row>
    <row r="22112" spans="1:1" x14ac:dyDescent="0.2">
      <c r="A22112" t="s">
        <v>4704</v>
      </c>
    </row>
    <row r="22113" spans="1:1" x14ac:dyDescent="0.2">
      <c r="A22113" t="s">
        <v>4718</v>
      </c>
    </row>
    <row r="22114" spans="1:1" x14ac:dyDescent="0.2">
      <c r="A22114" t="s">
        <v>4704</v>
      </c>
    </row>
    <row r="22115" spans="1:1" x14ac:dyDescent="0.2">
      <c r="A22115" t="s">
        <v>4705</v>
      </c>
    </row>
    <row r="22116" spans="1:1" x14ac:dyDescent="0.2">
      <c r="A22116" t="s">
        <v>4704</v>
      </c>
    </row>
    <row r="22117" spans="1:1" x14ac:dyDescent="0.2">
      <c r="A22117" t="s">
        <v>4704</v>
      </c>
    </row>
    <row r="22118" spans="1:1" x14ac:dyDescent="0.2">
      <c r="A22118" t="s">
        <v>4719</v>
      </c>
    </row>
    <row r="22119" spans="1:1" x14ac:dyDescent="0.2">
      <c r="A22119" t="s">
        <v>4704</v>
      </c>
    </row>
    <row r="22120" spans="1:1" x14ac:dyDescent="0.2">
      <c r="A22120" t="s">
        <v>4705</v>
      </c>
    </row>
    <row r="22121" spans="1:1" x14ac:dyDescent="0.2">
      <c r="A22121" t="s">
        <v>4704</v>
      </c>
    </row>
    <row r="22122" spans="1:1" x14ac:dyDescent="0.2">
      <c r="A22122" t="s">
        <v>4704</v>
      </c>
    </row>
    <row r="22123" spans="1:1" x14ac:dyDescent="0.2">
      <c r="A22123" t="s">
        <v>4720</v>
      </c>
    </row>
    <row r="22124" spans="1:1" x14ac:dyDescent="0.2">
      <c r="A22124" t="s">
        <v>4704</v>
      </c>
    </row>
    <row r="22125" spans="1:1" x14ac:dyDescent="0.2">
      <c r="A22125" t="s">
        <v>4705</v>
      </c>
    </row>
    <row r="22126" spans="1:1" x14ac:dyDescent="0.2">
      <c r="A22126" t="s">
        <v>4704</v>
      </c>
    </row>
    <row r="22127" spans="1:1" x14ac:dyDescent="0.2">
      <c r="A22127" t="s">
        <v>4704</v>
      </c>
    </row>
    <row r="22128" spans="1:1" x14ac:dyDescent="0.2">
      <c r="A22128" t="s">
        <v>4721</v>
      </c>
    </row>
    <row r="22129" spans="1:1" x14ac:dyDescent="0.2">
      <c r="A22129" t="s">
        <v>4704</v>
      </c>
    </row>
    <row r="22130" spans="1:1" x14ac:dyDescent="0.2">
      <c r="A22130" t="s">
        <v>4705</v>
      </c>
    </row>
    <row r="22131" spans="1:1" x14ac:dyDescent="0.2">
      <c r="A22131" t="s">
        <v>4704</v>
      </c>
    </row>
    <row r="22132" spans="1:1" x14ac:dyDescent="0.2">
      <c r="A22132" t="s">
        <v>4704</v>
      </c>
    </row>
    <row r="22133" spans="1:1" x14ac:dyDescent="0.2">
      <c r="A22133" t="s">
        <v>4722</v>
      </c>
    </row>
    <row r="22134" spans="1:1" x14ac:dyDescent="0.2">
      <c r="A22134" t="s">
        <v>4704</v>
      </c>
    </row>
    <row r="22135" spans="1:1" x14ac:dyDescent="0.2">
      <c r="A22135" t="s">
        <v>4705</v>
      </c>
    </row>
    <row r="22136" spans="1:1" x14ac:dyDescent="0.2">
      <c r="A22136" t="s">
        <v>4704</v>
      </c>
    </row>
    <row r="22137" spans="1:1" x14ac:dyDescent="0.2">
      <c r="A22137" t="s">
        <v>4704</v>
      </c>
    </row>
    <row r="22138" spans="1:1" x14ac:dyDescent="0.2">
      <c r="A22138" t="s">
        <v>4723</v>
      </c>
    </row>
    <row r="22139" spans="1:1" x14ac:dyDescent="0.2">
      <c r="A22139" t="s">
        <v>4704</v>
      </c>
    </row>
    <row r="22140" spans="1:1" x14ac:dyDescent="0.2">
      <c r="A22140" t="s">
        <v>4705</v>
      </c>
    </row>
    <row r="22141" spans="1:1" x14ac:dyDescent="0.2">
      <c r="A22141" t="s">
        <v>4704</v>
      </c>
    </row>
    <row r="22142" spans="1:1" x14ac:dyDescent="0.2">
      <c r="A22142" t="s">
        <v>4704</v>
      </c>
    </row>
    <row r="22143" spans="1:1" x14ac:dyDescent="0.2">
      <c r="A22143" t="s">
        <v>4724</v>
      </c>
    </row>
    <row r="22144" spans="1:1" x14ac:dyDescent="0.2">
      <c r="A22144" t="s">
        <v>4704</v>
      </c>
    </row>
    <row r="22145" spans="1:1" x14ac:dyDescent="0.2">
      <c r="A22145" t="s">
        <v>4705</v>
      </c>
    </row>
    <row r="22146" spans="1:1" x14ac:dyDescent="0.2">
      <c r="A22146" t="s">
        <v>4704</v>
      </c>
    </row>
    <row r="22147" spans="1:1" x14ac:dyDescent="0.2">
      <c r="A22147" t="s">
        <v>4704</v>
      </c>
    </row>
    <row r="22148" spans="1:1" x14ac:dyDescent="0.2">
      <c r="A22148" t="s">
        <v>4725</v>
      </c>
    </row>
    <row r="22149" spans="1:1" x14ac:dyDescent="0.2">
      <c r="A22149" t="s">
        <v>4704</v>
      </c>
    </row>
    <row r="22150" spans="1:1" x14ac:dyDescent="0.2">
      <c r="A22150" t="s">
        <v>4705</v>
      </c>
    </row>
    <row r="22151" spans="1:1" x14ac:dyDescent="0.2">
      <c r="A22151" t="s">
        <v>4704</v>
      </c>
    </row>
    <row r="22152" spans="1:1" x14ac:dyDescent="0.2">
      <c r="A22152" t="s">
        <v>4704</v>
      </c>
    </row>
    <row r="22153" spans="1:1" x14ac:dyDescent="0.2">
      <c r="A22153" t="s">
        <v>4726</v>
      </c>
    </row>
    <row r="22154" spans="1:1" x14ac:dyDescent="0.2">
      <c r="A22154" t="s">
        <v>4704</v>
      </c>
    </row>
    <row r="22155" spans="1:1" x14ac:dyDescent="0.2">
      <c r="A22155" t="s">
        <v>4705</v>
      </c>
    </row>
    <row r="22156" spans="1:1" x14ac:dyDescent="0.2">
      <c r="A22156" t="s">
        <v>4704</v>
      </c>
    </row>
    <row r="22157" spans="1:1" x14ac:dyDescent="0.2">
      <c r="A22157" t="s">
        <v>4704</v>
      </c>
    </row>
    <row r="22158" spans="1:1" x14ac:dyDescent="0.2">
      <c r="A22158" t="s">
        <v>4727</v>
      </c>
    </row>
    <row r="22159" spans="1:1" x14ac:dyDescent="0.2">
      <c r="A22159" t="s">
        <v>4704</v>
      </c>
    </row>
    <row r="22160" spans="1:1" x14ac:dyDescent="0.2">
      <c r="A22160" t="s">
        <v>4705</v>
      </c>
    </row>
    <row r="22161" spans="1:1" x14ac:dyDescent="0.2">
      <c r="A22161" t="s">
        <v>4704</v>
      </c>
    </row>
    <row r="22162" spans="1:1" x14ac:dyDescent="0.2">
      <c r="A22162" t="s">
        <v>4704</v>
      </c>
    </row>
    <row r="22163" spans="1:1" x14ac:dyDescent="0.2">
      <c r="A22163" t="s">
        <v>4728</v>
      </c>
    </row>
    <row r="22164" spans="1:1" x14ac:dyDescent="0.2">
      <c r="A22164" t="s">
        <v>4704</v>
      </c>
    </row>
    <row r="22165" spans="1:1" x14ac:dyDescent="0.2">
      <c r="A22165" t="s">
        <v>4705</v>
      </c>
    </row>
    <row r="22166" spans="1:1" x14ac:dyDescent="0.2">
      <c r="A22166" t="s">
        <v>4704</v>
      </c>
    </row>
    <row r="22167" spans="1:1" x14ac:dyDescent="0.2">
      <c r="A22167" t="s">
        <v>4704</v>
      </c>
    </row>
    <row r="22168" spans="1:1" x14ac:dyDescent="0.2">
      <c r="A22168" t="s">
        <v>4729</v>
      </c>
    </row>
    <row r="22169" spans="1:1" x14ac:dyDescent="0.2">
      <c r="A22169" t="s">
        <v>4704</v>
      </c>
    </row>
    <row r="22170" spans="1:1" x14ac:dyDescent="0.2">
      <c r="A22170" t="s">
        <v>4705</v>
      </c>
    </row>
    <row r="22171" spans="1:1" x14ac:dyDescent="0.2">
      <c r="A22171" t="s">
        <v>4704</v>
      </c>
    </row>
    <row r="22172" spans="1:1" x14ac:dyDescent="0.2">
      <c r="A22172" t="s">
        <v>4704</v>
      </c>
    </row>
    <row r="22173" spans="1:1" x14ac:dyDescent="0.2">
      <c r="A22173" t="s">
        <v>4730</v>
      </c>
    </row>
    <row r="22174" spans="1:1" x14ac:dyDescent="0.2">
      <c r="A22174" t="s">
        <v>4704</v>
      </c>
    </row>
    <row r="22175" spans="1:1" x14ac:dyDescent="0.2">
      <c r="A22175" t="s">
        <v>4705</v>
      </c>
    </row>
    <row r="22176" spans="1:1" x14ac:dyDescent="0.2">
      <c r="A22176" t="s">
        <v>4704</v>
      </c>
    </row>
    <row r="22177" spans="1:1" x14ac:dyDescent="0.2">
      <c r="A22177" t="s">
        <v>4704</v>
      </c>
    </row>
    <row r="22178" spans="1:1" x14ac:dyDescent="0.2">
      <c r="A22178" t="s">
        <v>4731</v>
      </c>
    </row>
    <row r="22179" spans="1:1" x14ac:dyDescent="0.2">
      <c r="A22179" t="s">
        <v>4704</v>
      </c>
    </row>
    <row r="22180" spans="1:1" x14ac:dyDescent="0.2">
      <c r="A22180" t="s">
        <v>4705</v>
      </c>
    </row>
    <row r="22181" spans="1:1" x14ac:dyDescent="0.2">
      <c r="A22181" t="s">
        <v>4704</v>
      </c>
    </row>
    <row r="22182" spans="1:1" x14ac:dyDescent="0.2">
      <c r="A22182" t="s">
        <v>4704</v>
      </c>
    </row>
    <row r="22183" spans="1:1" x14ac:dyDescent="0.2">
      <c r="A22183" t="s">
        <v>4732</v>
      </c>
    </row>
    <row r="22184" spans="1:1" x14ac:dyDescent="0.2">
      <c r="A22184" t="s">
        <v>4704</v>
      </c>
    </row>
    <row r="22185" spans="1:1" x14ac:dyDescent="0.2">
      <c r="A22185" t="s">
        <v>4705</v>
      </c>
    </row>
    <row r="22186" spans="1:1" x14ac:dyDescent="0.2">
      <c r="A22186" t="s">
        <v>4704</v>
      </c>
    </row>
    <row r="22187" spans="1:1" x14ac:dyDescent="0.2">
      <c r="A22187" t="s">
        <v>4704</v>
      </c>
    </row>
    <row r="22188" spans="1:1" x14ac:dyDescent="0.2">
      <c r="A22188" t="s">
        <v>4733</v>
      </c>
    </row>
    <row r="22189" spans="1:1" x14ac:dyDescent="0.2">
      <c r="A22189" t="s">
        <v>4704</v>
      </c>
    </row>
    <row r="22190" spans="1:1" x14ac:dyDescent="0.2">
      <c r="A22190" t="s">
        <v>4705</v>
      </c>
    </row>
    <row r="22191" spans="1:1" x14ac:dyDescent="0.2">
      <c r="A22191" t="s">
        <v>4704</v>
      </c>
    </row>
    <row r="22192" spans="1:1" x14ac:dyDescent="0.2">
      <c r="A22192" t="s">
        <v>4704</v>
      </c>
    </row>
    <row r="22193" spans="1:1" x14ac:dyDescent="0.2">
      <c r="A22193" t="s">
        <v>4734</v>
      </c>
    </row>
    <row r="22194" spans="1:1" x14ac:dyDescent="0.2">
      <c r="A22194" t="s">
        <v>4704</v>
      </c>
    </row>
    <row r="22195" spans="1:1" x14ac:dyDescent="0.2">
      <c r="A22195" t="s">
        <v>4705</v>
      </c>
    </row>
    <row r="22196" spans="1:1" x14ac:dyDescent="0.2">
      <c r="A22196" t="s">
        <v>4704</v>
      </c>
    </row>
    <row r="22197" spans="1:1" x14ac:dyDescent="0.2">
      <c r="A22197" t="s">
        <v>4704</v>
      </c>
    </row>
    <row r="22198" spans="1:1" x14ac:dyDescent="0.2">
      <c r="A22198" t="s">
        <v>4735</v>
      </c>
    </row>
    <row r="22199" spans="1:1" x14ac:dyDescent="0.2">
      <c r="A22199" t="s">
        <v>4704</v>
      </c>
    </row>
    <row r="22200" spans="1:1" x14ac:dyDescent="0.2">
      <c r="A22200" t="s">
        <v>4705</v>
      </c>
    </row>
    <row r="22201" spans="1:1" x14ac:dyDescent="0.2">
      <c r="A22201" t="s">
        <v>4704</v>
      </c>
    </row>
    <row r="22202" spans="1:1" x14ac:dyDescent="0.2">
      <c r="A22202" t="s">
        <v>4704</v>
      </c>
    </row>
    <row r="22203" spans="1:1" x14ac:dyDescent="0.2">
      <c r="A22203" t="s">
        <v>4736</v>
      </c>
    </row>
    <row r="22204" spans="1:1" x14ac:dyDescent="0.2">
      <c r="A22204" t="s">
        <v>4704</v>
      </c>
    </row>
    <row r="22205" spans="1:1" x14ac:dyDescent="0.2">
      <c r="A22205" t="s">
        <v>4705</v>
      </c>
    </row>
    <row r="22206" spans="1:1" x14ac:dyDescent="0.2">
      <c r="A22206" t="s">
        <v>4704</v>
      </c>
    </row>
    <row r="22207" spans="1:1" x14ac:dyDescent="0.2">
      <c r="A22207" t="s">
        <v>4704</v>
      </c>
    </row>
    <row r="22208" spans="1:1" x14ac:dyDescent="0.2">
      <c r="A22208" t="s">
        <v>4737</v>
      </c>
    </row>
    <row r="22209" spans="1:1" x14ac:dyDescent="0.2">
      <c r="A22209" t="s">
        <v>4704</v>
      </c>
    </row>
    <row r="22210" spans="1:1" x14ac:dyDescent="0.2">
      <c r="A22210" t="s">
        <v>4705</v>
      </c>
    </row>
    <row r="22211" spans="1:1" x14ac:dyDescent="0.2">
      <c r="A22211" t="s">
        <v>4704</v>
      </c>
    </row>
    <row r="22212" spans="1:1" x14ac:dyDescent="0.2">
      <c r="A22212" t="s">
        <v>4704</v>
      </c>
    </row>
    <row r="22213" spans="1:1" x14ac:dyDescent="0.2">
      <c r="A22213" t="s">
        <v>4738</v>
      </c>
    </row>
    <row r="22214" spans="1:1" x14ac:dyDescent="0.2">
      <c r="A22214" t="s">
        <v>4704</v>
      </c>
    </row>
    <row r="22215" spans="1:1" x14ac:dyDescent="0.2">
      <c r="A22215" t="s">
        <v>4705</v>
      </c>
    </row>
    <row r="22216" spans="1:1" x14ac:dyDescent="0.2">
      <c r="A22216" t="s">
        <v>4704</v>
      </c>
    </row>
    <row r="22217" spans="1:1" x14ac:dyDescent="0.2">
      <c r="A22217" t="s">
        <v>4704</v>
      </c>
    </row>
    <row r="22218" spans="1:1" x14ac:dyDescent="0.2">
      <c r="A22218" t="s">
        <v>4739</v>
      </c>
    </row>
    <row r="22219" spans="1:1" x14ac:dyDescent="0.2">
      <c r="A22219" t="s">
        <v>4704</v>
      </c>
    </row>
    <row r="22220" spans="1:1" x14ac:dyDescent="0.2">
      <c r="A22220" t="s">
        <v>4705</v>
      </c>
    </row>
    <row r="22221" spans="1:1" x14ac:dyDescent="0.2">
      <c r="A22221" t="s">
        <v>4704</v>
      </c>
    </row>
    <row r="22222" spans="1:1" x14ac:dyDescent="0.2">
      <c r="A22222" t="s">
        <v>4704</v>
      </c>
    </row>
    <row r="22223" spans="1:1" x14ac:dyDescent="0.2">
      <c r="A22223" t="s">
        <v>4740</v>
      </c>
    </row>
    <row r="22224" spans="1:1" x14ac:dyDescent="0.2">
      <c r="A22224" t="s">
        <v>4704</v>
      </c>
    </row>
    <row r="22225" spans="1:1" x14ac:dyDescent="0.2">
      <c r="A22225" t="s">
        <v>4705</v>
      </c>
    </row>
    <row r="22226" spans="1:1" x14ac:dyDescent="0.2">
      <c r="A22226" t="s">
        <v>4704</v>
      </c>
    </row>
    <row r="22227" spans="1:1" x14ac:dyDescent="0.2">
      <c r="A22227" t="s">
        <v>4704</v>
      </c>
    </row>
    <row r="22228" spans="1:1" x14ac:dyDescent="0.2">
      <c r="A22228" t="s">
        <v>4741</v>
      </c>
    </row>
    <row r="22229" spans="1:1" x14ac:dyDescent="0.2">
      <c r="A22229" t="s">
        <v>4704</v>
      </c>
    </row>
    <row r="22230" spans="1:1" x14ac:dyDescent="0.2">
      <c r="A22230" t="s">
        <v>4705</v>
      </c>
    </row>
    <row r="22231" spans="1:1" x14ac:dyDescent="0.2">
      <c r="A22231" t="s">
        <v>4704</v>
      </c>
    </row>
    <row r="22232" spans="1:1" x14ac:dyDescent="0.2">
      <c r="A22232" t="s">
        <v>4704</v>
      </c>
    </row>
    <row r="22233" spans="1:1" x14ac:dyDescent="0.2">
      <c r="A22233" t="s">
        <v>4742</v>
      </c>
    </row>
    <row r="22234" spans="1:1" x14ac:dyDescent="0.2">
      <c r="A22234" t="s">
        <v>4704</v>
      </c>
    </row>
    <row r="22235" spans="1:1" x14ac:dyDescent="0.2">
      <c r="A22235" t="s">
        <v>4705</v>
      </c>
    </row>
    <row r="22236" spans="1:1" x14ac:dyDescent="0.2">
      <c r="A22236" t="s">
        <v>4704</v>
      </c>
    </row>
    <row r="22237" spans="1:1" x14ac:dyDescent="0.2">
      <c r="A22237" t="s">
        <v>4704</v>
      </c>
    </row>
    <row r="22238" spans="1:1" x14ac:dyDescent="0.2">
      <c r="A22238" t="s">
        <v>4743</v>
      </c>
    </row>
    <row r="22239" spans="1:1" x14ac:dyDescent="0.2">
      <c r="A22239" t="s">
        <v>4704</v>
      </c>
    </row>
    <row r="22240" spans="1:1" x14ac:dyDescent="0.2">
      <c r="A22240" t="s">
        <v>4705</v>
      </c>
    </row>
    <row r="22241" spans="1:1" x14ac:dyDescent="0.2">
      <c r="A22241" t="s">
        <v>4704</v>
      </c>
    </row>
    <row r="22242" spans="1:1" x14ac:dyDescent="0.2">
      <c r="A22242" t="s">
        <v>4704</v>
      </c>
    </row>
    <row r="22243" spans="1:1" x14ac:dyDescent="0.2">
      <c r="A22243" t="s">
        <v>4744</v>
      </c>
    </row>
    <row r="22244" spans="1:1" x14ac:dyDescent="0.2">
      <c r="A22244" t="s">
        <v>4704</v>
      </c>
    </row>
    <row r="22245" spans="1:1" x14ac:dyDescent="0.2">
      <c r="A22245" t="s">
        <v>4705</v>
      </c>
    </row>
    <row r="22246" spans="1:1" x14ac:dyDescent="0.2">
      <c r="A22246" t="s">
        <v>4704</v>
      </c>
    </row>
    <row r="22247" spans="1:1" x14ac:dyDescent="0.2">
      <c r="A22247" t="s">
        <v>4704</v>
      </c>
    </row>
    <row r="22248" spans="1:1" x14ac:dyDescent="0.2">
      <c r="A22248" t="s">
        <v>4745</v>
      </c>
    </row>
    <row r="22249" spans="1:1" x14ac:dyDescent="0.2">
      <c r="A22249" t="s">
        <v>4704</v>
      </c>
    </row>
    <row r="22250" spans="1:1" x14ac:dyDescent="0.2">
      <c r="A22250" t="s">
        <v>4705</v>
      </c>
    </row>
    <row r="22251" spans="1:1" x14ac:dyDescent="0.2">
      <c r="A22251" t="s">
        <v>4704</v>
      </c>
    </row>
    <row r="22252" spans="1:1" x14ac:dyDescent="0.2">
      <c r="A22252" t="s">
        <v>4704</v>
      </c>
    </row>
    <row r="22253" spans="1:1" x14ac:dyDescent="0.2">
      <c r="A22253" t="s">
        <v>4746</v>
      </c>
    </row>
    <row r="22254" spans="1:1" x14ac:dyDescent="0.2">
      <c r="A22254" t="s">
        <v>4704</v>
      </c>
    </row>
    <row r="22255" spans="1:1" x14ac:dyDescent="0.2">
      <c r="A22255" t="s">
        <v>4705</v>
      </c>
    </row>
    <row r="22256" spans="1:1" x14ac:dyDescent="0.2">
      <c r="A22256" t="s">
        <v>4704</v>
      </c>
    </row>
    <row r="22257" spans="1:1" x14ac:dyDescent="0.2">
      <c r="A22257" t="s">
        <v>4704</v>
      </c>
    </row>
    <row r="22258" spans="1:1" x14ac:dyDescent="0.2">
      <c r="A22258" t="s">
        <v>4747</v>
      </c>
    </row>
    <row r="22259" spans="1:1" x14ac:dyDescent="0.2">
      <c r="A22259" t="s">
        <v>4704</v>
      </c>
    </row>
    <row r="22260" spans="1:1" x14ac:dyDescent="0.2">
      <c r="A22260" t="s">
        <v>4705</v>
      </c>
    </row>
    <row r="22261" spans="1:1" x14ac:dyDescent="0.2">
      <c r="A22261" t="s">
        <v>4704</v>
      </c>
    </row>
    <row r="22262" spans="1:1" x14ac:dyDescent="0.2">
      <c r="A22262" t="s">
        <v>4704</v>
      </c>
    </row>
    <row r="22263" spans="1:1" x14ac:dyDescent="0.2">
      <c r="A22263" t="s">
        <v>4748</v>
      </c>
    </row>
    <row r="22264" spans="1:1" x14ac:dyDescent="0.2">
      <c r="A22264" t="s">
        <v>4704</v>
      </c>
    </row>
    <row r="22265" spans="1:1" x14ac:dyDescent="0.2">
      <c r="A22265" t="s">
        <v>4705</v>
      </c>
    </row>
    <row r="22266" spans="1:1" x14ac:dyDescent="0.2">
      <c r="A22266" t="s">
        <v>4704</v>
      </c>
    </row>
    <row r="22267" spans="1:1" x14ac:dyDescent="0.2">
      <c r="A22267" t="s">
        <v>4704</v>
      </c>
    </row>
    <row r="22268" spans="1:1" x14ac:dyDescent="0.2">
      <c r="A22268" t="s">
        <v>4749</v>
      </c>
    </row>
    <row r="22269" spans="1:1" x14ac:dyDescent="0.2">
      <c r="A22269" t="s">
        <v>4704</v>
      </c>
    </row>
    <row r="22270" spans="1:1" x14ac:dyDescent="0.2">
      <c r="A22270" t="s">
        <v>4705</v>
      </c>
    </row>
    <row r="22271" spans="1:1" x14ac:dyDescent="0.2">
      <c r="A22271" t="s">
        <v>4704</v>
      </c>
    </row>
    <row r="22272" spans="1:1" x14ac:dyDescent="0.2">
      <c r="A22272" t="s">
        <v>4704</v>
      </c>
    </row>
    <row r="22273" spans="1:1" x14ac:dyDescent="0.2">
      <c r="A22273" t="s">
        <v>4750</v>
      </c>
    </row>
    <row r="22274" spans="1:1" x14ac:dyDescent="0.2">
      <c r="A22274" t="s">
        <v>4704</v>
      </c>
    </row>
    <row r="22275" spans="1:1" x14ac:dyDescent="0.2">
      <c r="A22275" t="s">
        <v>4705</v>
      </c>
    </row>
    <row r="22276" spans="1:1" x14ac:dyDescent="0.2">
      <c r="A22276" t="s">
        <v>4704</v>
      </c>
    </row>
    <row r="22277" spans="1:1" x14ac:dyDescent="0.2">
      <c r="A22277" t="s">
        <v>4704</v>
      </c>
    </row>
    <row r="22278" spans="1:1" x14ac:dyDescent="0.2">
      <c r="A22278" t="s">
        <v>4751</v>
      </c>
    </row>
    <row r="22279" spans="1:1" x14ac:dyDescent="0.2">
      <c r="A22279" t="s">
        <v>4704</v>
      </c>
    </row>
    <row r="22280" spans="1:1" x14ac:dyDescent="0.2">
      <c r="A22280" t="s">
        <v>4705</v>
      </c>
    </row>
    <row r="22281" spans="1:1" x14ac:dyDescent="0.2">
      <c r="A22281" t="s">
        <v>4704</v>
      </c>
    </row>
    <row r="22282" spans="1:1" x14ac:dyDescent="0.2">
      <c r="A22282" t="s">
        <v>4704</v>
      </c>
    </row>
    <row r="22283" spans="1:1" x14ac:dyDescent="0.2">
      <c r="A22283" t="s">
        <v>4752</v>
      </c>
    </row>
    <row r="22284" spans="1:1" x14ac:dyDescent="0.2">
      <c r="A22284" t="s">
        <v>4704</v>
      </c>
    </row>
    <row r="22285" spans="1:1" x14ac:dyDescent="0.2">
      <c r="A22285" t="s">
        <v>4705</v>
      </c>
    </row>
    <row r="22286" spans="1:1" x14ac:dyDescent="0.2">
      <c r="A22286" t="s">
        <v>4704</v>
      </c>
    </row>
    <row r="22287" spans="1:1" x14ac:dyDescent="0.2">
      <c r="A22287" t="s">
        <v>4704</v>
      </c>
    </row>
    <row r="22288" spans="1:1" x14ac:dyDescent="0.2">
      <c r="A22288" t="s">
        <v>4753</v>
      </c>
    </row>
    <row r="22289" spans="1:1" x14ac:dyDescent="0.2">
      <c r="A22289" t="s">
        <v>4704</v>
      </c>
    </row>
    <row r="22290" spans="1:1" x14ac:dyDescent="0.2">
      <c r="A22290" t="s">
        <v>4705</v>
      </c>
    </row>
    <row r="22291" spans="1:1" x14ac:dyDescent="0.2">
      <c r="A22291" t="s">
        <v>4704</v>
      </c>
    </row>
    <row r="22292" spans="1:1" x14ac:dyDescent="0.2">
      <c r="A22292" t="s">
        <v>4704</v>
      </c>
    </row>
    <row r="22293" spans="1:1" x14ac:dyDescent="0.2">
      <c r="A22293" t="s">
        <v>4754</v>
      </c>
    </row>
    <row r="22294" spans="1:1" x14ac:dyDescent="0.2">
      <c r="A22294" t="s">
        <v>4704</v>
      </c>
    </row>
    <row r="22295" spans="1:1" x14ac:dyDescent="0.2">
      <c r="A22295" t="s">
        <v>4705</v>
      </c>
    </row>
    <row r="22296" spans="1:1" x14ac:dyDescent="0.2">
      <c r="A22296" t="s">
        <v>4704</v>
      </c>
    </row>
    <row r="22297" spans="1:1" x14ac:dyDescent="0.2">
      <c r="A22297" t="s">
        <v>4704</v>
      </c>
    </row>
    <row r="22298" spans="1:1" x14ac:dyDescent="0.2">
      <c r="A22298" t="s">
        <v>4755</v>
      </c>
    </row>
    <row r="22299" spans="1:1" x14ac:dyDescent="0.2">
      <c r="A22299" t="s">
        <v>4704</v>
      </c>
    </row>
    <row r="22300" spans="1:1" x14ac:dyDescent="0.2">
      <c r="A22300" t="s">
        <v>4705</v>
      </c>
    </row>
    <row r="22301" spans="1:1" x14ac:dyDescent="0.2">
      <c r="A22301" t="s">
        <v>4704</v>
      </c>
    </row>
    <row r="22302" spans="1:1" x14ac:dyDescent="0.2">
      <c r="A22302" t="s">
        <v>4704</v>
      </c>
    </row>
    <row r="22303" spans="1:1" x14ac:dyDescent="0.2">
      <c r="A22303" t="s">
        <v>1849</v>
      </c>
    </row>
    <row r="22304" spans="1:1" x14ac:dyDescent="0.2">
      <c r="A22304" t="s">
        <v>1850</v>
      </c>
    </row>
    <row r="22305" spans="1:1" x14ac:dyDescent="0.2">
      <c r="A22305" t="s">
        <v>1851</v>
      </c>
    </row>
    <row r="22306" spans="1:1" x14ac:dyDescent="0.2">
      <c r="A22306" t="s">
        <v>4756</v>
      </c>
    </row>
    <row r="22307" spans="1:1" x14ac:dyDescent="0.2">
      <c r="A22307" t="s">
        <v>4757</v>
      </c>
    </row>
    <row r="22308" spans="1:1" x14ac:dyDescent="0.2">
      <c r="A22308" t="s">
        <v>4758</v>
      </c>
    </row>
    <row r="22309" spans="1:1" x14ac:dyDescent="0.2">
      <c r="A22309" t="s">
        <v>4759</v>
      </c>
    </row>
    <row r="22310" spans="1:1" x14ac:dyDescent="0.2">
      <c r="A22310" t="s">
        <v>4760</v>
      </c>
    </row>
    <row r="22311" spans="1:1" x14ac:dyDescent="0.2">
      <c r="A22311" t="s">
        <v>4761</v>
      </c>
    </row>
    <row r="22312" spans="1:1" x14ac:dyDescent="0.2">
      <c r="A22312" t="s">
        <v>4762</v>
      </c>
    </row>
    <row r="22313" spans="1:1" x14ac:dyDescent="0.2">
      <c r="A22313" t="s">
        <v>4763</v>
      </c>
    </row>
    <row r="22314" spans="1:1" x14ac:dyDescent="0.2">
      <c r="A22314" t="s">
        <v>4764</v>
      </c>
    </row>
    <row r="22315" spans="1:1" x14ac:dyDescent="0.2">
      <c r="A22315" t="s">
        <v>4765</v>
      </c>
    </row>
    <row r="22316" spans="1:1" x14ac:dyDescent="0.2">
      <c r="A22316" t="s">
        <v>4766</v>
      </c>
    </row>
    <row r="22317" spans="1:1" x14ac:dyDescent="0.2">
      <c r="A22317" t="s">
        <v>4767</v>
      </c>
    </row>
    <row r="22318" spans="1:1" x14ac:dyDescent="0.2">
      <c r="A22318" t="s">
        <v>4768</v>
      </c>
    </row>
    <row r="22319" spans="1:1" x14ac:dyDescent="0.2">
      <c r="A22319" t="s">
        <v>4769</v>
      </c>
    </row>
    <row r="22320" spans="1:1" x14ac:dyDescent="0.2">
      <c r="A22320" t="s">
        <v>4770</v>
      </c>
    </row>
    <row r="22321" spans="1:1" x14ac:dyDescent="0.2">
      <c r="A22321" t="s">
        <v>4771</v>
      </c>
    </row>
    <row r="22322" spans="1:1" x14ac:dyDescent="0.2">
      <c r="A22322" t="s">
        <v>4772</v>
      </c>
    </row>
    <row r="22323" spans="1:1" x14ac:dyDescent="0.2">
      <c r="A22323" t="s">
        <v>4773</v>
      </c>
    </row>
    <row r="22324" spans="1:1" x14ac:dyDescent="0.2">
      <c r="A22324" t="s">
        <v>1907</v>
      </c>
    </row>
    <row r="22325" spans="1:1" x14ac:dyDescent="0.2">
      <c r="A22325" t="s">
        <v>4774</v>
      </c>
    </row>
    <row r="22326" spans="1:1" x14ac:dyDescent="0.2">
      <c r="A22326" t="s">
        <v>1910</v>
      </c>
    </row>
    <row r="22327" spans="1:1" x14ac:dyDescent="0.2">
      <c r="A22327" t="s">
        <v>4775</v>
      </c>
    </row>
    <row r="22328" spans="1:1" x14ac:dyDescent="0.2">
      <c r="A22328" t="s">
        <v>1913</v>
      </c>
    </row>
    <row r="22329" spans="1:1" x14ac:dyDescent="0.2">
      <c r="A22329" t="s">
        <v>4776</v>
      </c>
    </row>
    <row r="22330" spans="1:1" x14ac:dyDescent="0.2">
      <c r="A22330" t="s">
        <v>4777</v>
      </c>
    </row>
    <row r="22331" spans="1:1" x14ac:dyDescent="0.2">
      <c r="A22331" t="s">
        <v>4778</v>
      </c>
    </row>
    <row r="22332" spans="1:1" x14ac:dyDescent="0.2">
      <c r="A22332" t="s">
        <v>1922</v>
      </c>
    </row>
    <row r="22333" spans="1:1" x14ac:dyDescent="0.2">
      <c r="A22333" t="s">
        <v>4779</v>
      </c>
    </row>
    <row r="22334" spans="1:1" x14ac:dyDescent="0.2">
      <c r="A22334" t="s">
        <v>4780</v>
      </c>
    </row>
    <row r="22335" spans="1:1" x14ac:dyDescent="0.2">
      <c r="A22335" t="s">
        <v>4781</v>
      </c>
    </row>
    <row r="22336" spans="1:1" x14ac:dyDescent="0.2">
      <c r="A22336" t="s">
        <v>4782</v>
      </c>
    </row>
    <row r="22337" spans="1:1" x14ac:dyDescent="0.2">
      <c r="A22337" t="s">
        <v>4783</v>
      </c>
    </row>
    <row r="22338" spans="1:1" x14ac:dyDescent="0.2">
      <c r="A22338" t="s">
        <v>4784</v>
      </c>
    </row>
    <row r="22339" spans="1:1" x14ac:dyDescent="0.2">
      <c r="A22339" t="s">
        <v>4785</v>
      </c>
    </row>
    <row r="22340" spans="1:1" x14ac:dyDescent="0.2">
      <c r="A22340" t="s">
        <v>4786</v>
      </c>
    </row>
    <row r="22341" spans="1:1" x14ac:dyDescent="0.2">
      <c r="A22341" t="s">
        <v>4787</v>
      </c>
    </row>
    <row r="22342" spans="1:1" x14ac:dyDescent="0.2">
      <c r="A22342" t="s">
        <v>4788</v>
      </c>
    </row>
    <row r="22343" spans="1:1" x14ac:dyDescent="0.2">
      <c r="A22343" t="s">
        <v>4789</v>
      </c>
    </row>
    <row r="22344" spans="1:1" x14ac:dyDescent="0.2">
      <c r="A22344" t="s">
        <v>1961</v>
      </c>
    </row>
    <row r="22345" spans="1:1" x14ac:dyDescent="0.2">
      <c r="A22345" t="s">
        <v>4790</v>
      </c>
    </row>
    <row r="22346" spans="1:1" x14ac:dyDescent="0.2">
      <c r="A22346" t="s">
        <v>4791</v>
      </c>
    </row>
    <row r="22347" spans="1:1" x14ac:dyDescent="0.2">
      <c r="A22347" t="s">
        <v>4792</v>
      </c>
    </row>
    <row r="22348" spans="1:1" x14ac:dyDescent="0.2">
      <c r="A22348" t="s">
        <v>4793</v>
      </c>
    </row>
    <row r="22349" spans="1:1" x14ac:dyDescent="0.2">
      <c r="A22349" t="s">
        <v>4794</v>
      </c>
    </row>
    <row r="22350" spans="1:1" x14ac:dyDescent="0.2">
      <c r="A22350" t="s">
        <v>4795</v>
      </c>
    </row>
    <row r="22351" spans="1:1" x14ac:dyDescent="0.2">
      <c r="A22351" t="s">
        <v>4796</v>
      </c>
    </row>
    <row r="22352" spans="1:1" x14ac:dyDescent="0.2">
      <c r="A22352" t="s">
        <v>4797</v>
      </c>
    </row>
    <row r="22353" spans="1:1" x14ac:dyDescent="0.2">
      <c r="A22353" t="s">
        <v>4798</v>
      </c>
    </row>
    <row r="22354" spans="1:1" x14ac:dyDescent="0.2">
      <c r="A22354" t="s">
        <v>4799</v>
      </c>
    </row>
    <row r="22355" spans="1:1" x14ac:dyDescent="0.2">
      <c r="A22355" t="s">
        <v>4800</v>
      </c>
    </row>
    <row r="22356" spans="1:1" x14ac:dyDescent="0.2">
      <c r="A22356" t="s">
        <v>4801</v>
      </c>
    </row>
    <row r="22357" spans="1:1" x14ac:dyDescent="0.2">
      <c r="A22357" t="s">
        <v>4802</v>
      </c>
    </row>
    <row r="22358" spans="1:1" x14ac:dyDescent="0.2">
      <c r="A22358" t="s">
        <v>4803</v>
      </c>
    </row>
    <row r="22359" spans="1:1" x14ac:dyDescent="0.2">
      <c r="A22359" t="s">
        <v>4804</v>
      </c>
    </row>
    <row r="22360" spans="1:1" x14ac:dyDescent="0.2">
      <c r="A22360" t="s">
        <v>4805</v>
      </c>
    </row>
    <row r="22361" spans="1:1" x14ac:dyDescent="0.2">
      <c r="A22361" t="s">
        <v>4806</v>
      </c>
    </row>
    <row r="22362" spans="1:1" x14ac:dyDescent="0.2">
      <c r="A22362" t="s">
        <v>4807</v>
      </c>
    </row>
    <row r="22363" spans="1:1" x14ac:dyDescent="0.2">
      <c r="A22363" t="s">
        <v>4808</v>
      </c>
    </row>
    <row r="22364" spans="1:1" x14ac:dyDescent="0.2">
      <c r="A22364" t="s">
        <v>4809</v>
      </c>
    </row>
    <row r="22365" spans="1:1" x14ac:dyDescent="0.2">
      <c r="A22365" t="s">
        <v>4810</v>
      </c>
    </row>
    <row r="22366" spans="1:1" x14ac:dyDescent="0.2">
      <c r="A22366" t="s">
        <v>4811</v>
      </c>
    </row>
    <row r="22367" spans="1:1" x14ac:dyDescent="0.2">
      <c r="A22367" t="s">
        <v>4812</v>
      </c>
    </row>
    <row r="22368" spans="1:1" x14ac:dyDescent="0.2">
      <c r="A22368" t="s">
        <v>1852</v>
      </c>
    </row>
    <row r="22369" spans="1:1" x14ac:dyDescent="0.2">
      <c r="A22369" t="s">
        <v>1853</v>
      </c>
    </row>
    <row r="22370" spans="1:1" x14ac:dyDescent="0.2">
      <c r="A22370" t="s">
        <v>1854</v>
      </c>
    </row>
    <row r="22371" spans="1:1" x14ac:dyDescent="0.2">
      <c r="A22371" t="s">
        <v>1855</v>
      </c>
    </row>
    <row r="22372" spans="1:1" x14ac:dyDescent="0.2">
      <c r="A22372" t="s">
        <v>1856</v>
      </c>
    </row>
    <row r="22373" spans="1:1" x14ac:dyDescent="0.2">
      <c r="A22373" t="s">
        <v>4813</v>
      </c>
    </row>
    <row r="22374" spans="1:1" x14ac:dyDescent="0.2">
      <c r="A22374" t="s">
        <v>1857</v>
      </c>
    </row>
    <row r="22375" spans="1:1" x14ac:dyDescent="0.2">
      <c r="A22375" t="s">
        <v>1858</v>
      </c>
    </row>
    <row r="22376" spans="1:1" x14ac:dyDescent="0.2">
      <c r="A22376" t="s">
        <v>4814</v>
      </c>
    </row>
    <row r="22377" spans="1:1" x14ac:dyDescent="0.2">
      <c r="A22377" t="s">
        <v>1857</v>
      </c>
    </row>
    <row r="22378" spans="1:1" x14ac:dyDescent="0.2">
      <c r="A22378" t="s">
        <v>1859</v>
      </c>
    </row>
    <row r="22379" spans="1:1" x14ac:dyDescent="0.2">
      <c r="A22379" t="s">
        <v>4815</v>
      </c>
    </row>
    <row r="22380" spans="1:1" x14ac:dyDescent="0.2">
      <c r="A22380" t="s">
        <v>1857</v>
      </c>
    </row>
    <row r="22381" spans="1:1" x14ac:dyDescent="0.2">
      <c r="A22381" t="s">
        <v>1886</v>
      </c>
    </row>
    <row r="22382" spans="1:1" x14ac:dyDescent="0.2">
      <c r="A22382" t="s">
        <v>4816</v>
      </c>
    </row>
    <row r="22383" spans="1:1" x14ac:dyDescent="0.2">
      <c r="A22383" t="s">
        <v>1857</v>
      </c>
    </row>
    <row r="22384" spans="1:1" x14ac:dyDescent="0.2">
      <c r="A22384" t="s">
        <v>1889</v>
      </c>
    </row>
    <row r="22385" spans="1:1" x14ac:dyDescent="0.2">
      <c r="A22385" t="s">
        <v>4817</v>
      </c>
    </row>
    <row r="22386" spans="1:1" x14ac:dyDescent="0.2">
      <c r="A22386" t="s">
        <v>1857</v>
      </c>
    </row>
    <row r="22387" spans="1:1" x14ac:dyDescent="0.2">
      <c r="A22387" t="s">
        <v>1892</v>
      </c>
    </row>
    <row r="22388" spans="1:1" x14ac:dyDescent="0.2">
      <c r="A22388" t="s">
        <v>4818</v>
      </c>
    </row>
    <row r="22389" spans="1:1" x14ac:dyDescent="0.2">
      <c r="A22389" t="s">
        <v>1857</v>
      </c>
    </row>
    <row r="22390" spans="1:1" x14ac:dyDescent="0.2">
      <c r="A22390" t="s">
        <v>1895</v>
      </c>
    </row>
    <row r="22391" spans="1:1" x14ac:dyDescent="0.2">
      <c r="A22391" t="s">
        <v>4819</v>
      </c>
    </row>
    <row r="22392" spans="1:1" x14ac:dyDescent="0.2">
      <c r="A22392" t="s">
        <v>1857</v>
      </c>
    </row>
    <row r="22393" spans="1:1" x14ac:dyDescent="0.2">
      <c r="A22393" t="s">
        <v>1898</v>
      </c>
    </row>
    <row r="22394" spans="1:1" x14ac:dyDescent="0.2">
      <c r="A22394" t="s">
        <v>4820</v>
      </c>
    </row>
    <row r="22395" spans="1:1" x14ac:dyDescent="0.2">
      <c r="A22395" t="s">
        <v>1857</v>
      </c>
    </row>
    <row r="22396" spans="1:1" x14ac:dyDescent="0.2">
      <c r="A22396" t="s">
        <v>1901</v>
      </c>
    </row>
    <row r="22397" spans="1:1" x14ac:dyDescent="0.2">
      <c r="A22397" t="s">
        <v>4821</v>
      </c>
    </row>
    <row r="22398" spans="1:1" x14ac:dyDescent="0.2">
      <c r="A22398" t="s">
        <v>1857</v>
      </c>
    </row>
    <row r="22399" spans="1:1" x14ac:dyDescent="0.2">
      <c r="A22399" t="s">
        <v>1904</v>
      </c>
    </row>
    <row r="22400" spans="1:1" x14ac:dyDescent="0.2">
      <c r="A22400" t="s">
        <v>4822</v>
      </c>
    </row>
    <row r="22401" spans="1:1" x14ac:dyDescent="0.2">
      <c r="A22401" t="s">
        <v>1857</v>
      </c>
    </row>
    <row r="22402" spans="1:1" x14ac:dyDescent="0.2">
      <c r="A22402" t="s">
        <v>1907</v>
      </c>
    </row>
    <row r="22403" spans="1:1" x14ac:dyDescent="0.2">
      <c r="A22403" t="s">
        <v>4823</v>
      </c>
    </row>
    <row r="22404" spans="1:1" x14ac:dyDescent="0.2">
      <c r="A22404" t="s">
        <v>1857</v>
      </c>
    </row>
    <row r="22405" spans="1:1" x14ac:dyDescent="0.2">
      <c r="A22405" t="s">
        <v>1910</v>
      </c>
    </row>
    <row r="22406" spans="1:1" x14ac:dyDescent="0.2">
      <c r="A22406" t="s">
        <v>4824</v>
      </c>
    </row>
    <row r="22407" spans="1:1" x14ac:dyDescent="0.2">
      <c r="A22407" t="s">
        <v>1857</v>
      </c>
    </row>
    <row r="22408" spans="1:1" x14ac:dyDescent="0.2">
      <c r="A22408" t="s">
        <v>1913</v>
      </c>
    </row>
    <row r="22409" spans="1:1" x14ac:dyDescent="0.2">
      <c r="A22409" t="s">
        <v>4825</v>
      </c>
    </row>
    <row r="22410" spans="1:1" x14ac:dyDescent="0.2">
      <c r="A22410" t="s">
        <v>1857</v>
      </c>
    </row>
    <row r="22411" spans="1:1" x14ac:dyDescent="0.2">
      <c r="A22411" t="s">
        <v>1916</v>
      </c>
    </row>
    <row r="22412" spans="1:1" x14ac:dyDescent="0.2">
      <c r="A22412" t="s">
        <v>4826</v>
      </c>
    </row>
    <row r="22413" spans="1:1" x14ac:dyDescent="0.2">
      <c r="A22413" t="s">
        <v>1857</v>
      </c>
    </row>
    <row r="22414" spans="1:1" x14ac:dyDescent="0.2">
      <c r="A22414" t="s">
        <v>1919</v>
      </c>
    </row>
    <row r="22415" spans="1:1" x14ac:dyDescent="0.2">
      <c r="A22415" t="s">
        <v>4827</v>
      </c>
    </row>
    <row r="22416" spans="1:1" x14ac:dyDescent="0.2">
      <c r="A22416" t="s">
        <v>1857</v>
      </c>
    </row>
    <row r="22417" spans="1:1" x14ac:dyDescent="0.2">
      <c r="A22417" t="s">
        <v>1922</v>
      </c>
    </row>
    <row r="22418" spans="1:1" x14ac:dyDescent="0.2">
      <c r="A22418" t="s">
        <v>4828</v>
      </c>
    </row>
    <row r="22419" spans="1:1" x14ac:dyDescent="0.2">
      <c r="A22419" t="s">
        <v>1857</v>
      </c>
    </row>
    <row r="22420" spans="1:1" x14ac:dyDescent="0.2">
      <c r="A22420" t="s">
        <v>1847</v>
      </c>
    </row>
    <row r="22421" spans="1:1" x14ac:dyDescent="0.2">
      <c r="A22421" t="s">
        <v>4829</v>
      </c>
    </row>
    <row r="22422" spans="1:1" x14ac:dyDescent="0.2">
      <c r="A22422" t="s">
        <v>1857</v>
      </c>
    </row>
    <row r="22423" spans="1:1" x14ac:dyDescent="0.2">
      <c r="A22423" t="s">
        <v>1927</v>
      </c>
    </row>
    <row r="22424" spans="1:1" x14ac:dyDescent="0.2">
      <c r="A22424" t="s">
        <v>4830</v>
      </c>
    </row>
    <row r="22425" spans="1:1" x14ac:dyDescent="0.2">
      <c r="A22425" t="s">
        <v>1857</v>
      </c>
    </row>
    <row r="22426" spans="1:1" x14ac:dyDescent="0.2">
      <c r="A22426" t="s">
        <v>1930</v>
      </c>
    </row>
    <row r="22427" spans="1:1" x14ac:dyDescent="0.2">
      <c r="A22427" t="s">
        <v>4831</v>
      </c>
    </row>
    <row r="22428" spans="1:1" x14ac:dyDescent="0.2">
      <c r="A22428" t="s">
        <v>1857</v>
      </c>
    </row>
    <row r="22429" spans="1:1" x14ac:dyDescent="0.2">
      <c r="A22429" t="s">
        <v>1933</v>
      </c>
    </row>
    <row r="22430" spans="1:1" x14ac:dyDescent="0.2">
      <c r="A22430" t="s">
        <v>4832</v>
      </c>
    </row>
    <row r="22431" spans="1:1" x14ac:dyDescent="0.2">
      <c r="A22431" t="s">
        <v>1857</v>
      </c>
    </row>
    <row r="22432" spans="1:1" x14ac:dyDescent="0.2">
      <c r="A22432" t="s">
        <v>1936</v>
      </c>
    </row>
    <row r="22433" spans="1:1" x14ac:dyDescent="0.2">
      <c r="A22433" t="s">
        <v>4833</v>
      </c>
    </row>
    <row r="22434" spans="1:1" x14ac:dyDescent="0.2">
      <c r="A22434" t="s">
        <v>1857</v>
      </c>
    </row>
    <row r="22435" spans="1:1" x14ac:dyDescent="0.2">
      <c r="A22435" t="s">
        <v>1939</v>
      </c>
    </row>
    <row r="22436" spans="1:1" x14ac:dyDescent="0.2">
      <c r="A22436" t="s">
        <v>4834</v>
      </c>
    </row>
    <row r="22437" spans="1:1" x14ac:dyDescent="0.2">
      <c r="A22437" t="s">
        <v>1857</v>
      </c>
    </row>
    <row r="22438" spans="1:1" x14ac:dyDescent="0.2">
      <c r="A22438" t="s">
        <v>1942</v>
      </c>
    </row>
    <row r="22439" spans="1:1" x14ac:dyDescent="0.2">
      <c r="A22439" t="s">
        <v>4835</v>
      </c>
    </row>
    <row r="22440" spans="1:1" x14ac:dyDescent="0.2">
      <c r="A22440" t="s">
        <v>1857</v>
      </c>
    </row>
    <row r="22441" spans="1:1" x14ac:dyDescent="0.2">
      <c r="A22441" t="s">
        <v>1945</v>
      </c>
    </row>
    <row r="22442" spans="1:1" x14ac:dyDescent="0.2">
      <c r="A22442" t="s">
        <v>4836</v>
      </c>
    </row>
    <row r="22443" spans="1:1" x14ac:dyDescent="0.2">
      <c r="A22443" t="s">
        <v>1857</v>
      </c>
    </row>
    <row r="22444" spans="1:1" x14ac:dyDescent="0.2">
      <c r="A22444" t="s">
        <v>1948</v>
      </c>
    </row>
    <row r="22445" spans="1:1" x14ac:dyDescent="0.2">
      <c r="A22445" t="s">
        <v>4837</v>
      </c>
    </row>
    <row r="22446" spans="1:1" x14ac:dyDescent="0.2">
      <c r="A22446" t="s">
        <v>1857</v>
      </c>
    </row>
    <row r="22447" spans="1:1" x14ac:dyDescent="0.2">
      <c r="A22447" t="s">
        <v>1951</v>
      </c>
    </row>
    <row r="22448" spans="1:1" x14ac:dyDescent="0.2">
      <c r="A22448" t="s">
        <v>4838</v>
      </c>
    </row>
    <row r="22449" spans="1:1" x14ac:dyDescent="0.2">
      <c r="A22449" t="s">
        <v>1857</v>
      </c>
    </row>
    <row r="22450" spans="1:1" x14ac:dyDescent="0.2">
      <c r="A22450" t="s">
        <v>1953</v>
      </c>
    </row>
    <row r="22451" spans="1:1" x14ac:dyDescent="0.2">
      <c r="A22451" t="s">
        <v>4839</v>
      </c>
    </row>
    <row r="22452" spans="1:1" x14ac:dyDescent="0.2">
      <c r="A22452" t="s">
        <v>1857</v>
      </c>
    </row>
    <row r="22453" spans="1:1" x14ac:dyDescent="0.2">
      <c r="A22453" t="s">
        <v>1955</v>
      </c>
    </row>
    <row r="22454" spans="1:1" x14ac:dyDescent="0.2">
      <c r="A22454" t="s">
        <v>4840</v>
      </c>
    </row>
    <row r="22455" spans="1:1" x14ac:dyDescent="0.2">
      <c r="A22455" t="s">
        <v>1857</v>
      </c>
    </row>
    <row r="22456" spans="1:1" x14ac:dyDescent="0.2">
      <c r="A22456" t="s">
        <v>1957</v>
      </c>
    </row>
    <row r="22457" spans="1:1" x14ac:dyDescent="0.2">
      <c r="A22457" t="s">
        <v>4841</v>
      </c>
    </row>
    <row r="22458" spans="1:1" x14ac:dyDescent="0.2">
      <c r="A22458" t="s">
        <v>1857</v>
      </c>
    </row>
    <row r="22459" spans="1:1" x14ac:dyDescent="0.2">
      <c r="A22459" t="s">
        <v>1959</v>
      </c>
    </row>
    <row r="22460" spans="1:1" x14ac:dyDescent="0.2">
      <c r="A22460" t="s">
        <v>4842</v>
      </c>
    </row>
    <row r="22461" spans="1:1" x14ac:dyDescent="0.2">
      <c r="A22461" t="s">
        <v>1857</v>
      </c>
    </row>
    <row r="22462" spans="1:1" x14ac:dyDescent="0.2">
      <c r="A22462" t="s">
        <v>1961</v>
      </c>
    </row>
    <row r="22463" spans="1:1" x14ac:dyDescent="0.2">
      <c r="A22463" t="s">
        <v>4843</v>
      </c>
    </row>
    <row r="22464" spans="1:1" x14ac:dyDescent="0.2">
      <c r="A22464" t="s">
        <v>1857</v>
      </c>
    </row>
    <row r="22465" spans="1:1" x14ac:dyDescent="0.2">
      <c r="A22465" t="s">
        <v>1963</v>
      </c>
    </row>
    <row r="22466" spans="1:1" x14ac:dyDescent="0.2">
      <c r="A22466" t="s">
        <v>4844</v>
      </c>
    </row>
    <row r="22467" spans="1:1" x14ac:dyDescent="0.2">
      <c r="A22467" t="s">
        <v>1857</v>
      </c>
    </row>
    <row r="22468" spans="1:1" x14ac:dyDescent="0.2">
      <c r="A22468" t="s">
        <v>1965</v>
      </c>
    </row>
    <row r="22469" spans="1:1" x14ac:dyDescent="0.2">
      <c r="A22469" t="s">
        <v>4845</v>
      </c>
    </row>
    <row r="22470" spans="1:1" x14ac:dyDescent="0.2">
      <c r="A22470" t="s">
        <v>1857</v>
      </c>
    </row>
    <row r="22471" spans="1:1" x14ac:dyDescent="0.2">
      <c r="A22471" t="s">
        <v>1967</v>
      </c>
    </row>
    <row r="22472" spans="1:1" x14ac:dyDescent="0.2">
      <c r="A22472" t="s">
        <v>4846</v>
      </c>
    </row>
    <row r="22473" spans="1:1" x14ac:dyDescent="0.2">
      <c r="A22473" t="s">
        <v>1857</v>
      </c>
    </row>
    <row r="22474" spans="1:1" x14ac:dyDescent="0.2">
      <c r="A22474" t="s">
        <v>1969</v>
      </c>
    </row>
    <row r="22475" spans="1:1" x14ac:dyDescent="0.2">
      <c r="A22475" t="s">
        <v>4847</v>
      </c>
    </row>
    <row r="22476" spans="1:1" x14ac:dyDescent="0.2">
      <c r="A22476" t="s">
        <v>1857</v>
      </c>
    </row>
    <row r="22477" spans="1:1" x14ac:dyDescent="0.2">
      <c r="A22477" t="s">
        <v>1971</v>
      </c>
    </row>
    <row r="22478" spans="1:1" x14ac:dyDescent="0.2">
      <c r="A22478" t="s">
        <v>4848</v>
      </c>
    </row>
    <row r="22479" spans="1:1" x14ac:dyDescent="0.2">
      <c r="A22479" t="s">
        <v>1857</v>
      </c>
    </row>
    <row r="22480" spans="1:1" x14ac:dyDescent="0.2">
      <c r="A22480" t="s">
        <v>1973</v>
      </c>
    </row>
    <row r="22481" spans="1:1" x14ac:dyDescent="0.2">
      <c r="A22481" t="s">
        <v>4849</v>
      </c>
    </row>
    <row r="22482" spans="1:1" x14ac:dyDescent="0.2">
      <c r="A22482" t="s">
        <v>1857</v>
      </c>
    </row>
    <row r="22483" spans="1:1" x14ac:dyDescent="0.2">
      <c r="A22483" t="s">
        <v>4801</v>
      </c>
    </row>
    <row r="22484" spans="1:1" x14ac:dyDescent="0.2">
      <c r="A22484" t="s">
        <v>4850</v>
      </c>
    </row>
    <row r="22485" spans="1:1" x14ac:dyDescent="0.2">
      <c r="A22485" t="s">
        <v>1857</v>
      </c>
    </row>
    <row r="22486" spans="1:1" x14ac:dyDescent="0.2">
      <c r="A22486" t="s">
        <v>4851</v>
      </c>
    </row>
    <row r="22487" spans="1:1" x14ac:dyDescent="0.2">
      <c r="A22487" t="s">
        <v>4852</v>
      </c>
    </row>
    <row r="22488" spans="1:1" x14ac:dyDescent="0.2">
      <c r="A22488" t="s">
        <v>1857</v>
      </c>
    </row>
    <row r="22489" spans="1:1" x14ac:dyDescent="0.2">
      <c r="A22489" t="s">
        <v>4853</v>
      </c>
    </row>
    <row r="22490" spans="1:1" x14ac:dyDescent="0.2">
      <c r="A22490" t="s">
        <v>4854</v>
      </c>
    </row>
    <row r="22491" spans="1:1" x14ac:dyDescent="0.2">
      <c r="A22491" t="s">
        <v>1857</v>
      </c>
    </row>
    <row r="22492" spans="1:1" x14ac:dyDescent="0.2">
      <c r="A22492" t="s">
        <v>4855</v>
      </c>
    </row>
    <row r="22493" spans="1:1" x14ac:dyDescent="0.2">
      <c r="A22493" t="s">
        <v>4856</v>
      </c>
    </row>
    <row r="22494" spans="1:1" x14ac:dyDescent="0.2">
      <c r="A22494" t="s">
        <v>1857</v>
      </c>
    </row>
    <row r="22495" spans="1:1" x14ac:dyDescent="0.2">
      <c r="A22495" t="s">
        <v>4857</v>
      </c>
    </row>
    <row r="22496" spans="1:1" x14ac:dyDescent="0.2">
      <c r="A22496" t="s">
        <v>4858</v>
      </c>
    </row>
    <row r="22497" spans="1:1" x14ac:dyDescent="0.2">
      <c r="A22497" t="s">
        <v>1857</v>
      </c>
    </row>
    <row r="22498" spans="1:1" x14ac:dyDescent="0.2">
      <c r="A22498" t="s">
        <v>4859</v>
      </c>
    </row>
    <row r="22499" spans="1:1" x14ac:dyDescent="0.2">
      <c r="A22499" t="s">
        <v>4860</v>
      </c>
    </row>
    <row r="22500" spans="1:1" x14ac:dyDescent="0.2">
      <c r="A22500" t="s">
        <v>1857</v>
      </c>
    </row>
    <row r="22501" spans="1:1" x14ac:dyDescent="0.2">
      <c r="A22501" t="s">
        <v>4861</v>
      </c>
    </row>
    <row r="22502" spans="1:1" x14ac:dyDescent="0.2">
      <c r="A22502" t="s">
        <v>4862</v>
      </c>
    </row>
    <row r="22503" spans="1:1" x14ac:dyDescent="0.2">
      <c r="A22503" t="s">
        <v>1857</v>
      </c>
    </row>
    <row r="22504" spans="1:1" x14ac:dyDescent="0.2">
      <c r="A22504" t="s">
        <v>4863</v>
      </c>
    </row>
    <row r="22505" spans="1:1" x14ac:dyDescent="0.2">
      <c r="A22505" t="s">
        <v>4864</v>
      </c>
    </row>
    <row r="22506" spans="1:1" x14ac:dyDescent="0.2">
      <c r="A22506" t="s">
        <v>1857</v>
      </c>
    </row>
    <row r="22507" spans="1:1" x14ac:dyDescent="0.2">
      <c r="A22507" t="s">
        <v>4865</v>
      </c>
    </row>
    <row r="22508" spans="1:1" x14ac:dyDescent="0.2">
      <c r="A22508" t="s">
        <v>4866</v>
      </c>
    </row>
    <row r="22509" spans="1:1" x14ac:dyDescent="0.2">
      <c r="A22509" t="s">
        <v>1857</v>
      </c>
    </row>
    <row r="22510" spans="1:1" x14ac:dyDescent="0.2">
      <c r="A22510" t="s">
        <v>4809</v>
      </c>
    </row>
    <row r="22511" spans="1:1" x14ac:dyDescent="0.2">
      <c r="A22511" t="s">
        <v>4867</v>
      </c>
    </row>
    <row r="22512" spans="1:1" x14ac:dyDescent="0.2">
      <c r="A22512" t="s">
        <v>1857</v>
      </c>
    </row>
    <row r="22513" spans="1:1" x14ac:dyDescent="0.2">
      <c r="A22513" t="s">
        <v>4868</v>
      </c>
    </row>
    <row r="22514" spans="1:1" x14ac:dyDescent="0.2">
      <c r="A22514" t="s">
        <v>4869</v>
      </c>
    </row>
    <row r="22515" spans="1:1" x14ac:dyDescent="0.2">
      <c r="A22515" t="s">
        <v>1857</v>
      </c>
    </row>
    <row r="22516" spans="1:1" x14ac:dyDescent="0.2">
      <c r="A22516" t="s">
        <v>4870</v>
      </c>
    </row>
    <row r="22517" spans="1:1" x14ac:dyDescent="0.2">
      <c r="A22517" t="s">
        <v>4871</v>
      </c>
    </row>
    <row r="22518" spans="1:1" x14ac:dyDescent="0.2">
      <c r="A22518" t="s">
        <v>1857</v>
      </c>
    </row>
    <row r="22519" spans="1:1" x14ac:dyDescent="0.2">
      <c r="A22519" t="s">
        <v>4872</v>
      </c>
    </row>
    <row r="22520" spans="1:1" x14ac:dyDescent="0.2">
      <c r="A22520" t="s">
        <v>4873</v>
      </c>
    </row>
    <row r="22521" spans="1:1" x14ac:dyDescent="0.2">
      <c r="A22521" t="s">
        <v>1857</v>
      </c>
    </row>
    <row r="22522" spans="1:1" x14ac:dyDescent="0.2">
      <c r="A22522" t="s">
        <v>4874</v>
      </c>
    </row>
    <row r="22523" spans="1:1" x14ac:dyDescent="0.2">
      <c r="A22523" t="s">
        <v>4875</v>
      </c>
    </row>
    <row r="22524" spans="1:1" x14ac:dyDescent="0.2">
      <c r="A22524" t="s">
        <v>1857</v>
      </c>
    </row>
    <row r="22525" spans="1:1" x14ac:dyDescent="0.2">
      <c r="A22525" t="s">
        <v>1860</v>
      </c>
    </row>
    <row r="22526" spans="1:1" x14ac:dyDescent="0.2">
      <c r="A22526" t="s">
        <v>1861</v>
      </c>
    </row>
    <row r="22527" spans="1:1" x14ac:dyDescent="0.2">
      <c r="A22527" t="s">
        <v>1862</v>
      </c>
    </row>
    <row r="22528" spans="1:1" x14ac:dyDescent="0.2">
      <c r="A22528" t="s">
        <v>1863</v>
      </c>
    </row>
    <row r="22529" spans="1:1" x14ac:dyDescent="0.2">
      <c r="A22529" t="s">
        <v>1864</v>
      </c>
    </row>
    <row r="22530" spans="1:1" x14ac:dyDescent="0.2">
      <c r="A22530" t="s">
        <v>1865</v>
      </c>
    </row>
    <row r="22531" spans="1:1" x14ac:dyDescent="0.2">
      <c r="A22531" t="s">
        <v>1866</v>
      </c>
    </row>
    <row r="22532" spans="1:1" x14ac:dyDescent="0.2">
      <c r="A22532" t="s">
        <v>1867</v>
      </c>
    </row>
    <row r="22533" spans="1:1" x14ac:dyDescent="0.2">
      <c r="A22533" t="s">
        <v>1868</v>
      </c>
    </row>
    <row r="22534" spans="1:1" x14ac:dyDescent="0.2">
      <c r="A22534" t="s">
        <v>1869</v>
      </c>
    </row>
    <row r="22535" spans="1:1" x14ac:dyDescent="0.2">
      <c r="A22535" t="s">
        <v>1870</v>
      </c>
    </row>
    <row r="22536" spans="1:1" x14ac:dyDescent="0.2">
      <c r="A22536" t="s">
        <v>1871</v>
      </c>
    </row>
    <row r="22537" spans="1:1" x14ac:dyDescent="0.2">
      <c r="A22537" t="s">
        <v>1872</v>
      </c>
    </row>
    <row r="22538" spans="1:1" x14ac:dyDescent="0.2">
      <c r="A22538" t="s">
        <v>1873</v>
      </c>
    </row>
    <row r="22539" spans="1:1" x14ac:dyDescent="0.2">
      <c r="A22539" t="s">
        <v>1874</v>
      </c>
    </row>
    <row r="22540" spans="1:1" x14ac:dyDescent="0.2">
      <c r="A22540" t="s">
        <v>4876</v>
      </c>
    </row>
    <row r="22542" spans="1:1" x14ac:dyDescent="0.2">
      <c r="A22542" t="s">
        <v>4877</v>
      </c>
    </row>
    <row r="22543" spans="1:1" x14ac:dyDescent="0.2">
      <c r="A22543" t="s">
        <v>1875</v>
      </c>
    </row>
    <row r="22544" spans="1:1" x14ac:dyDescent="0.2">
      <c r="A22544" t="s">
        <v>4878</v>
      </c>
    </row>
    <row r="22546" spans="1:1" x14ac:dyDescent="0.2">
      <c r="A22546" t="s">
        <v>4879</v>
      </c>
    </row>
    <row r="22547" spans="1:1" x14ac:dyDescent="0.2">
      <c r="A22547" t="s">
        <v>1876</v>
      </c>
    </row>
    <row r="22548" spans="1:1" x14ac:dyDescent="0.2">
      <c r="A22548" t="s">
        <v>4880</v>
      </c>
    </row>
    <row r="22550" spans="1:1" x14ac:dyDescent="0.2">
      <c r="A22550" t="s">
        <v>4881</v>
      </c>
    </row>
    <row r="22551" spans="1:1" x14ac:dyDescent="0.2">
      <c r="A22551" t="s">
        <v>4882</v>
      </c>
    </row>
    <row r="22552" spans="1:1" x14ac:dyDescent="0.2">
      <c r="A22552" t="s">
        <v>4883</v>
      </c>
    </row>
    <row r="22554" spans="1:1" x14ac:dyDescent="0.2">
      <c r="A22554" t="s">
        <v>4884</v>
      </c>
    </row>
    <row r="22555" spans="1:1" x14ac:dyDescent="0.2">
      <c r="A22555" t="s">
        <v>4885</v>
      </c>
    </row>
    <row r="22556" spans="1:1" x14ac:dyDescent="0.2">
      <c r="A22556" t="s">
        <v>4886</v>
      </c>
    </row>
    <row r="22558" spans="1:1" x14ac:dyDescent="0.2">
      <c r="A22558" t="s">
        <v>4887</v>
      </c>
    </row>
    <row r="22559" spans="1:1" x14ac:dyDescent="0.2">
      <c r="A22559" t="s">
        <v>4888</v>
      </c>
    </row>
    <row r="22560" spans="1:1" x14ac:dyDescent="0.2">
      <c r="A22560" t="s">
        <v>4889</v>
      </c>
    </row>
    <row r="22562" spans="1:1" x14ac:dyDescent="0.2">
      <c r="A22562" t="s">
        <v>4890</v>
      </c>
    </row>
    <row r="22563" spans="1:1" x14ac:dyDescent="0.2">
      <c r="A22563" t="s">
        <v>4891</v>
      </c>
    </row>
    <row r="22564" spans="1:1" x14ac:dyDescent="0.2">
      <c r="A22564" t="s">
        <v>4892</v>
      </c>
    </row>
    <row r="22566" spans="1:1" x14ac:dyDescent="0.2">
      <c r="A22566" t="s">
        <v>4893</v>
      </c>
    </row>
    <row r="22567" spans="1:1" x14ac:dyDescent="0.2">
      <c r="A22567" t="s">
        <v>4894</v>
      </c>
    </row>
    <row r="22568" spans="1:1" x14ac:dyDescent="0.2">
      <c r="A22568" t="s">
        <v>4895</v>
      </c>
    </row>
    <row r="22570" spans="1:1" x14ac:dyDescent="0.2">
      <c r="A22570" t="s">
        <v>4896</v>
      </c>
    </row>
    <row r="22571" spans="1:1" x14ac:dyDescent="0.2">
      <c r="A22571" t="s">
        <v>4897</v>
      </c>
    </row>
    <row r="22572" spans="1:1" x14ac:dyDescent="0.2">
      <c r="A22572" t="s">
        <v>4898</v>
      </c>
    </row>
    <row r="22574" spans="1:1" x14ac:dyDescent="0.2">
      <c r="A22574" t="s">
        <v>4899</v>
      </c>
    </row>
    <row r="22575" spans="1:1" x14ac:dyDescent="0.2">
      <c r="A22575" t="s">
        <v>4900</v>
      </c>
    </row>
    <row r="22576" spans="1:1" x14ac:dyDescent="0.2">
      <c r="A22576" t="s">
        <v>4901</v>
      </c>
    </row>
    <row r="22578" spans="1:1" x14ac:dyDescent="0.2">
      <c r="A22578" t="s">
        <v>4902</v>
      </c>
    </row>
    <row r="22579" spans="1:1" x14ac:dyDescent="0.2">
      <c r="A22579" t="s">
        <v>4903</v>
      </c>
    </row>
    <row r="22580" spans="1:1" x14ac:dyDescent="0.2">
      <c r="A22580" t="s">
        <v>4904</v>
      </c>
    </row>
    <row r="22582" spans="1:1" x14ac:dyDescent="0.2">
      <c r="A22582" t="s">
        <v>4905</v>
      </c>
    </row>
    <row r="22583" spans="1:1" x14ac:dyDescent="0.2">
      <c r="A22583" t="s">
        <v>4906</v>
      </c>
    </row>
    <row r="22584" spans="1:1" x14ac:dyDescent="0.2">
      <c r="A22584" t="s">
        <v>4907</v>
      </c>
    </row>
    <row r="22586" spans="1:1" x14ac:dyDescent="0.2">
      <c r="A22586" t="s">
        <v>4908</v>
      </c>
    </row>
    <row r="22587" spans="1:1" x14ac:dyDescent="0.2">
      <c r="A22587" t="s">
        <v>4909</v>
      </c>
    </row>
    <row r="22588" spans="1:1" x14ac:dyDescent="0.2">
      <c r="A22588" t="s">
        <v>4910</v>
      </c>
    </row>
    <row r="22590" spans="1:1" x14ac:dyDescent="0.2">
      <c r="A22590" t="s">
        <v>4911</v>
      </c>
    </row>
    <row r="22591" spans="1:1" x14ac:dyDescent="0.2">
      <c r="A22591" t="s">
        <v>4912</v>
      </c>
    </row>
    <row r="22592" spans="1:1" x14ac:dyDescent="0.2">
      <c r="A22592" t="s">
        <v>4913</v>
      </c>
    </row>
    <row r="22594" spans="1:1" x14ac:dyDescent="0.2">
      <c r="A22594" t="s">
        <v>4914</v>
      </c>
    </row>
    <row r="22595" spans="1:1" x14ac:dyDescent="0.2">
      <c r="A22595" t="s">
        <v>4915</v>
      </c>
    </row>
    <row r="22596" spans="1:1" x14ac:dyDescent="0.2">
      <c r="A22596" t="s">
        <v>4916</v>
      </c>
    </row>
    <row r="22598" spans="1:1" x14ac:dyDescent="0.2">
      <c r="A22598" t="s">
        <v>4917</v>
      </c>
    </row>
    <row r="22599" spans="1:1" x14ac:dyDescent="0.2">
      <c r="A22599" t="s">
        <v>4918</v>
      </c>
    </row>
    <row r="22600" spans="1:1" x14ac:dyDescent="0.2">
      <c r="A22600" t="s">
        <v>4919</v>
      </c>
    </row>
    <row r="22602" spans="1:1" x14ac:dyDescent="0.2">
      <c r="A22602" t="s">
        <v>4920</v>
      </c>
    </row>
    <row r="22603" spans="1:1" x14ac:dyDescent="0.2">
      <c r="A22603" t="s">
        <v>4921</v>
      </c>
    </row>
    <row r="22604" spans="1:1" x14ac:dyDescent="0.2">
      <c r="A22604" t="s">
        <v>4922</v>
      </c>
    </row>
    <row r="22606" spans="1:1" x14ac:dyDescent="0.2">
      <c r="A22606" t="s">
        <v>4923</v>
      </c>
    </row>
    <row r="22607" spans="1:1" x14ac:dyDescent="0.2">
      <c r="A22607" t="s">
        <v>4924</v>
      </c>
    </row>
    <row r="22608" spans="1:1" x14ac:dyDescent="0.2">
      <c r="A22608" t="s">
        <v>4925</v>
      </c>
    </row>
    <row r="22610" spans="1:1" x14ac:dyDescent="0.2">
      <c r="A22610" t="s">
        <v>4926</v>
      </c>
    </row>
    <row r="22611" spans="1:1" x14ac:dyDescent="0.2">
      <c r="A22611" t="s">
        <v>4927</v>
      </c>
    </row>
    <row r="22612" spans="1:1" x14ac:dyDescent="0.2">
      <c r="A22612" t="s">
        <v>4928</v>
      </c>
    </row>
    <row r="22614" spans="1:1" x14ac:dyDescent="0.2">
      <c r="A22614" t="s">
        <v>4929</v>
      </c>
    </row>
    <row r="22615" spans="1:1" x14ac:dyDescent="0.2">
      <c r="A22615" t="s">
        <v>4930</v>
      </c>
    </row>
    <row r="22616" spans="1:1" x14ac:dyDescent="0.2">
      <c r="A22616" t="s">
        <v>4931</v>
      </c>
    </row>
    <row r="22618" spans="1:1" x14ac:dyDescent="0.2">
      <c r="A22618" t="s">
        <v>4932</v>
      </c>
    </row>
    <row r="22619" spans="1:1" x14ac:dyDescent="0.2">
      <c r="A22619" t="s">
        <v>4933</v>
      </c>
    </row>
    <row r="22620" spans="1:1" x14ac:dyDescent="0.2">
      <c r="A22620" t="s">
        <v>4934</v>
      </c>
    </row>
    <row r="22622" spans="1:1" x14ac:dyDescent="0.2">
      <c r="A22622" t="s">
        <v>4935</v>
      </c>
    </row>
    <row r="22623" spans="1:1" x14ac:dyDescent="0.2">
      <c r="A22623" t="s">
        <v>4936</v>
      </c>
    </row>
    <row r="22624" spans="1:1" x14ac:dyDescent="0.2">
      <c r="A22624" t="s">
        <v>4937</v>
      </c>
    </row>
    <row r="22626" spans="1:1" x14ac:dyDescent="0.2">
      <c r="A22626" t="s">
        <v>4938</v>
      </c>
    </row>
    <row r="22627" spans="1:1" x14ac:dyDescent="0.2">
      <c r="A22627" t="s">
        <v>4939</v>
      </c>
    </row>
    <row r="22628" spans="1:1" x14ac:dyDescent="0.2">
      <c r="A22628" t="s">
        <v>4940</v>
      </c>
    </row>
    <row r="22630" spans="1:1" x14ac:dyDescent="0.2">
      <c r="A22630" t="s">
        <v>4941</v>
      </c>
    </row>
    <row r="22631" spans="1:1" x14ac:dyDescent="0.2">
      <c r="A22631" t="s">
        <v>4942</v>
      </c>
    </row>
    <row r="22632" spans="1:1" x14ac:dyDescent="0.2">
      <c r="A22632" t="s">
        <v>4943</v>
      </c>
    </row>
    <row r="22634" spans="1:1" x14ac:dyDescent="0.2">
      <c r="A22634" t="s">
        <v>4944</v>
      </c>
    </row>
    <row r="22635" spans="1:1" x14ac:dyDescent="0.2">
      <c r="A22635" t="s">
        <v>4945</v>
      </c>
    </row>
    <row r="22636" spans="1:1" x14ac:dyDescent="0.2">
      <c r="A22636" t="s">
        <v>4946</v>
      </c>
    </row>
    <row r="22638" spans="1:1" x14ac:dyDescent="0.2">
      <c r="A22638" t="s">
        <v>4947</v>
      </c>
    </row>
    <row r="22639" spans="1:1" x14ac:dyDescent="0.2">
      <c r="A22639" t="s">
        <v>4948</v>
      </c>
    </row>
    <row r="22640" spans="1:1" x14ac:dyDescent="0.2">
      <c r="A22640" t="s">
        <v>4949</v>
      </c>
    </row>
    <row r="22642" spans="1:1" x14ac:dyDescent="0.2">
      <c r="A22642" t="s">
        <v>4950</v>
      </c>
    </row>
    <row r="22643" spans="1:1" x14ac:dyDescent="0.2">
      <c r="A22643" t="s">
        <v>4951</v>
      </c>
    </row>
    <row r="22644" spans="1:1" x14ac:dyDescent="0.2">
      <c r="A22644" t="s">
        <v>4952</v>
      </c>
    </row>
    <row r="22646" spans="1:1" x14ac:dyDescent="0.2">
      <c r="A22646" t="s">
        <v>4953</v>
      </c>
    </row>
    <row r="22647" spans="1:1" x14ac:dyDescent="0.2">
      <c r="A22647" t="s">
        <v>4954</v>
      </c>
    </row>
    <row r="22648" spans="1:1" x14ac:dyDescent="0.2">
      <c r="A22648" t="s">
        <v>4955</v>
      </c>
    </row>
    <row r="22650" spans="1:1" x14ac:dyDescent="0.2">
      <c r="A22650" t="s">
        <v>4956</v>
      </c>
    </row>
    <row r="22651" spans="1:1" x14ac:dyDescent="0.2">
      <c r="A22651" t="s">
        <v>4957</v>
      </c>
    </row>
    <row r="22652" spans="1:1" x14ac:dyDescent="0.2">
      <c r="A22652" t="s">
        <v>4958</v>
      </c>
    </row>
    <row r="22654" spans="1:1" x14ac:dyDescent="0.2">
      <c r="A22654" t="s">
        <v>4959</v>
      </c>
    </row>
    <row r="22655" spans="1:1" x14ac:dyDescent="0.2">
      <c r="A22655" t="s">
        <v>4960</v>
      </c>
    </row>
    <row r="22656" spans="1:1" x14ac:dyDescent="0.2">
      <c r="A22656" t="s">
        <v>4961</v>
      </c>
    </row>
    <row r="22658" spans="1:1" x14ac:dyDescent="0.2">
      <c r="A22658" t="s">
        <v>4962</v>
      </c>
    </row>
    <row r="22659" spans="1:1" x14ac:dyDescent="0.2">
      <c r="A22659" t="s">
        <v>4963</v>
      </c>
    </row>
    <row r="22660" spans="1:1" x14ac:dyDescent="0.2">
      <c r="A22660" t="s">
        <v>4964</v>
      </c>
    </row>
    <row r="22662" spans="1:1" x14ac:dyDescent="0.2">
      <c r="A22662" t="s">
        <v>4965</v>
      </c>
    </row>
    <row r="22663" spans="1:1" x14ac:dyDescent="0.2">
      <c r="A22663" t="s">
        <v>4966</v>
      </c>
    </row>
    <row r="22664" spans="1:1" x14ac:dyDescent="0.2">
      <c r="A22664" t="s">
        <v>4967</v>
      </c>
    </row>
    <row r="22666" spans="1:1" x14ac:dyDescent="0.2">
      <c r="A22666" t="s">
        <v>4968</v>
      </c>
    </row>
    <row r="22667" spans="1:1" x14ac:dyDescent="0.2">
      <c r="A22667" t="s">
        <v>4969</v>
      </c>
    </row>
    <row r="22668" spans="1:1" x14ac:dyDescent="0.2">
      <c r="A22668" t="s">
        <v>4970</v>
      </c>
    </row>
    <row r="22670" spans="1:1" x14ac:dyDescent="0.2">
      <c r="A22670" t="s">
        <v>4971</v>
      </c>
    </row>
    <row r="22671" spans="1:1" x14ac:dyDescent="0.2">
      <c r="A22671" t="s">
        <v>4972</v>
      </c>
    </row>
    <row r="22672" spans="1:1" x14ac:dyDescent="0.2">
      <c r="A22672" t="s">
        <v>4973</v>
      </c>
    </row>
    <row r="22674" spans="1:1" x14ac:dyDescent="0.2">
      <c r="A22674" t="s">
        <v>4974</v>
      </c>
    </row>
    <row r="22675" spans="1:1" x14ac:dyDescent="0.2">
      <c r="A22675" t="s">
        <v>4975</v>
      </c>
    </row>
    <row r="22676" spans="1:1" x14ac:dyDescent="0.2">
      <c r="A22676" t="s">
        <v>4976</v>
      </c>
    </row>
    <row r="22678" spans="1:1" x14ac:dyDescent="0.2">
      <c r="A22678" t="s">
        <v>4977</v>
      </c>
    </row>
    <row r="22679" spans="1:1" x14ac:dyDescent="0.2">
      <c r="A22679" t="s">
        <v>4978</v>
      </c>
    </row>
    <row r="22680" spans="1:1" x14ac:dyDescent="0.2">
      <c r="A22680" t="s">
        <v>4979</v>
      </c>
    </row>
    <row r="22682" spans="1:1" x14ac:dyDescent="0.2">
      <c r="A22682" t="s">
        <v>4980</v>
      </c>
    </row>
    <row r="22683" spans="1:1" x14ac:dyDescent="0.2">
      <c r="A22683" t="s">
        <v>4981</v>
      </c>
    </row>
    <row r="22684" spans="1:1" x14ac:dyDescent="0.2">
      <c r="A22684" t="s">
        <v>4982</v>
      </c>
    </row>
    <row r="22686" spans="1:1" x14ac:dyDescent="0.2">
      <c r="A22686" t="s">
        <v>4983</v>
      </c>
    </row>
    <row r="22687" spans="1:1" x14ac:dyDescent="0.2">
      <c r="A22687" t="s">
        <v>4984</v>
      </c>
    </row>
    <row r="22688" spans="1:1" x14ac:dyDescent="0.2">
      <c r="A22688" t="s">
        <v>4985</v>
      </c>
    </row>
    <row r="22690" spans="1:1" x14ac:dyDescent="0.2">
      <c r="A22690" t="s">
        <v>4986</v>
      </c>
    </row>
    <row r="22691" spans="1:1" x14ac:dyDescent="0.2">
      <c r="A22691" t="s">
        <v>4987</v>
      </c>
    </row>
    <row r="22692" spans="1:1" x14ac:dyDescent="0.2">
      <c r="A22692" t="s">
        <v>4988</v>
      </c>
    </row>
    <row r="22694" spans="1:1" x14ac:dyDescent="0.2">
      <c r="A22694" t="s">
        <v>4989</v>
      </c>
    </row>
    <row r="22695" spans="1:1" x14ac:dyDescent="0.2">
      <c r="A22695" t="s">
        <v>4990</v>
      </c>
    </row>
    <row r="22696" spans="1:1" x14ac:dyDescent="0.2">
      <c r="A22696" t="s">
        <v>4991</v>
      </c>
    </row>
    <row r="22698" spans="1:1" x14ac:dyDescent="0.2">
      <c r="A22698" t="s">
        <v>4992</v>
      </c>
    </row>
    <row r="22699" spans="1:1" x14ac:dyDescent="0.2">
      <c r="A22699" t="s">
        <v>4993</v>
      </c>
    </row>
    <row r="22700" spans="1:1" x14ac:dyDescent="0.2">
      <c r="A22700" t="s">
        <v>4994</v>
      </c>
    </row>
    <row r="22702" spans="1:1" x14ac:dyDescent="0.2">
      <c r="A22702" t="s">
        <v>4995</v>
      </c>
    </row>
    <row r="22703" spans="1:1" x14ac:dyDescent="0.2">
      <c r="A22703" t="s">
        <v>4996</v>
      </c>
    </row>
    <row r="22704" spans="1:1" x14ac:dyDescent="0.2">
      <c r="A22704" t="s">
        <v>4997</v>
      </c>
    </row>
    <row r="22706" spans="1:1" x14ac:dyDescent="0.2">
      <c r="A22706" t="s">
        <v>4998</v>
      </c>
    </row>
    <row r="22707" spans="1:1" x14ac:dyDescent="0.2">
      <c r="A22707" t="s">
        <v>4999</v>
      </c>
    </row>
    <row r="22708" spans="1:1" x14ac:dyDescent="0.2">
      <c r="A22708" t="s">
        <v>5000</v>
      </c>
    </row>
    <row r="22710" spans="1:1" x14ac:dyDescent="0.2">
      <c r="A22710" t="s">
        <v>5001</v>
      </c>
    </row>
    <row r="22711" spans="1:1" x14ac:dyDescent="0.2">
      <c r="A22711" t="s">
        <v>5002</v>
      </c>
    </row>
    <row r="22712" spans="1:1" x14ac:dyDescent="0.2">
      <c r="A22712" t="s">
        <v>5003</v>
      </c>
    </row>
    <row r="22714" spans="1:1" x14ac:dyDescent="0.2">
      <c r="A22714" t="s">
        <v>5004</v>
      </c>
    </row>
    <row r="22715" spans="1:1" x14ac:dyDescent="0.2">
      <c r="A22715" t="s">
        <v>5005</v>
      </c>
    </row>
    <row r="22716" spans="1:1" x14ac:dyDescent="0.2">
      <c r="A22716" t="s">
        <v>5006</v>
      </c>
    </row>
    <row r="22718" spans="1:1" x14ac:dyDescent="0.2">
      <c r="A22718" t="s">
        <v>5007</v>
      </c>
    </row>
    <row r="22719" spans="1:1" x14ac:dyDescent="0.2">
      <c r="A22719" t="s">
        <v>5008</v>
      </c>
    </row>
    <row r="22720" spans="1:1" x14ac:dyDescent="0.2">
      <c r="A22720" t="s">
        <v>5009</v>
      </c>
    </row>
    <row r="22722" spans="1:1" x14ac:dyDescent="0.2">
      <c r="A22722" t="s">
        <v>5010</v>
      </c>
    </row>
    <row r="22723" spans="1:1" x14ac:dyDescent="0.2">
      <c r="A22723" t="s">
        <v>5011</v>
      </c>
    </row>
    <row r="22724" spans="1:1" x14ac:dyDescent="0.2">
      <c r="A22724" t="s">
        <v>5012</v>
      </c>
    </row>
    <row r="22726" spans="1:1" x14ac:dyDescent="0.2">
      <c r="A22726" t="s">
        <v>5013</v>
      </c>
    </row>
    <row r="22727" spans="1:1" x14ac:dyDescent="0.2">
      <c r="A22727" t="s">
        <v>5014</v>
      </c>
    </row>
    <row r="22728" spans="1:1" x14ac:dyDescent="0.2">
      <c r="A22728" t="s">
        <v>5015</v>
      </c>
    </row>
    <row r="22730" spans="1:1" x14ac:dyDescent="0.2">
      <c r="A22730" t="s">
        <v>5016</v>
      </c>
    </row>
    <row r="22731" spans="1:1" x14ac:dyDescent="0.2">
      <c r="A22731" t="s">
        <v>5017</v>
      </c>
    </row>
    <row r="22732" spans="1:1" x14ac:dyDescent="0.2">
      <c r="A22732" t="s">
        <v>5018</v>
      </c>
    </row>
    <row r="22734" spans="1:1" x14ac:dyDescent="0.2">
      <c r="A22734" t="s">
        <v>5019</v>
      </c>
    </row>
    <row r="22735" spans="1:1" x14ac:dyDescent="0.2">
      <c r="A22735" t="s">
        <v>5020</v>
      </c>
    </row>
    <row r="22736" spans="1:1" x14ac:dyDescent="0.2">
      <c r="A22736" t="s">
        <v>5021</v>
      </c>
    </row>
    <row r="22738" spans="1:1" x14ac:dyDescent="0.2">
      <c r="A22738" t="s">
        <v>5022</v>
      </c>
    </row>
    <row r="22739" spans="1:1" x14ac:dyDescent="0.2">
      <c r="A22739" t="s">
        <v>5023</v>
      </c>
    </row>
    <row r="22740" spans="1:1" x14ac:dyDescent="0.2">
      <c r="A22740" t="s">
        <v>5024</v>
      </c>
    </row>
    <row r="22742" spans="1:1" x14ac:dyDescent="0.2">
      <c r="A22742" t="s">
        <v>5025</v>
      </c>
    </row>
    <row r="22743" spans="1:1" x14ac:dyDescent="0.2">
      <c r="A22743" t="s">
        <v>5026</v>
      </c>
    </row>
    <row r="22744" spans="1:1" x14ac:dyDescent="0.2">
      <c r="A22744" t="s">
        <v>5027</v>
      </c>
    </row>
    <row r="22745" spans="1:1" x14ac:dyDescent="0.2">
      <c r="A22745" t="s">
        <v>1854</v>
      </c>
    </row>
    <row r="22746" spans="1:1" x14ac:dyDescent="0.2">
      <c r="A22746" t="s">
        <v>5028</v>
      </c>
    </row>
    <row r="22747" spans="1:1" x14ac:dyDescent="0.2">
      <c r="A22747" t="s">
        <v>5029</v>
      </c>
    </row>
    <row r="22748" spans="1:1" x14ac:dyDescent="0.2">
      <c r="A22748" t="s">
        <v>5030</v>
      </c>
    </row>
    <row r="22749" spans="1:1" x14ac:dyDescent="0.2">
      <c r="A22749" t="s">
        <v>5031</v>
      </c>
    </row>
    <row r="22750" spans="1:1" x14ac:dyDescent="0.2">
      <c r="A22750" t="s">
        <v>5027</v>
      </c>
    </row>
    <row r="22751" spans="1:1" x14ac:dyDescent="0.2">
      <c r="A22751" t="s">
        <v>1854</v>
      </c>
    </row>
    <row r="22752" spans="1:1" x14ac:dyDescent="0.2">
      <c r="A22752" t="s">
        <v>5028</v>
      </c>
    </row>
    <row r="22753" spans="1:1" x14ac:dyDescent="0.2">
      <c r="A22753" t="s">
        <v>5029</v>
      </c>
    </row>
    <row r="22754" spans="1:1" x14ac:dyDescent="0.2">
      <c r="A22754" t="s">
        <v>5032</v>
      </c>
    </row>
    <row r="22755" spans="1:1" x14ac:dyDescent="0.2">
      <c r="A22755" t="s">
        <v>1856</v>
      </c>
    </row>
    <row r="22756" spans="1:1" x14ac:dyDescent="0.2">
      <c r="A22756" t="s">
        <v>5033</v>
      </c>
    </row>
    <row r="22757" spans="1:1" x14ac:dyDescent="0.2">
      <c r="A22757" t="s">
        <v>2612</v>
      </c>
    </row>
    <row r="22758" spans="1:1" x14ac:dyDescent="0.2">
      <c r="A22758" t="s">
        <v>2058</v>
      </c>
    </row>
    <row r="22759" spans="1:1" x14ac:dyDescent="0.2">
      <c r="A22759" t="s">
        <v>2608</v>
      </c>
    </row>
    <row r="22760" spans="1:1" x14ac:dyDescent="0.2">
      <c r="A22760" t="s">
        <v>1877</v>
      </c>
    </row>
    <row r="22761" spans="1:1" x14ac:dyDescent="0.2">
      <c r="A22761" t="s">
        <v>1878</v>
      </c>
    </row>
    <row r="22762" spans="1:1" x14ac:dyDescent="0.2">
      <c r="A22762" t="s">
        <v>1854</v>
      </c>
    </row>
    <row r="22763" spans="1:1" x14ac:dyDescent="0.2">
      <c r="A22763" t="s">
        <v>1879</v>
      </c>
    </row>
    <row r="22764" spans="1:1" x14ac:dyDescent="0.2">
      <c r="A22764" t="s">
        <v>1856</v>
      </c>
    </row>
    <row r="22765" spans="1:1" x14ac:dyDescent="0.2">
      <c r="A22765" t="s">
        <v>1880</v>
      </c>
    </row>
    <row r="22766" spans="1:1" x14ac:dyDescent="0.2">
      <c r="A22766" t="s">
        <v>1881</v>
      </c>
    </row>
    <row r="22767" spans="1:1" x14ac:dyDescent="0.2">
      <c r="A22767" t="s">
        <v>1858</v>
      </c>
    </row>
    <row r="22768" spans="1:1" x14ac:dyDescent="0.2">
      <c r="A22768" t="s">
        <v>1882</v>
      </c>
    </row>
    <row r="22769" spans="1:1" x14ac:dyDescent="0.2">
      <c r="A22769" t="s">
        <v>1883</v>
      </c>
    </row>
    <row r="22770" spans="1:1" x14ac:dyDescent="0.2">
      <c r="A22770" t="s">
        <v>1859</v>
      </c>
    </row>
    <row r="22771" spans="1:1" x14ac:dyDescent="0.2">
      <c r="A22771" t="s">
        <v>1884</v>
      </c>
    </row>
    <row r="22772" spans="1:1" x14ac:dyDescent="0.2">
      <c r="A22772" t="s">
        <v>1885</v>
      </c>
    </row>
    <row r="22773" spans="1:1" x14ac:dyDescent="0.2">
      <c r="A22773" t="s">
        <v>1886</v>
      </c>
    </row>
    <row r="22774" spans="1:1" x14ac:dyDescent="0.2">
      <c r="A22774" t="s">
        <v>1887</v>
      </c>
    </row>
    <row r="22775" spans="1:1" x14ac:dyDescent="0.2">
      <c r="A22775" t="s">
        <v>1888</v>
      </c>
    </row>
    <row r="22776" spans="1:1" x14ac:dyDescent="0.2">
      <c r="A22776" t="s">
        <v>1889</v>
      </c>
    </row>
    <row r="22777" spans="1:1" x14ac:dyDescent="0.2">
      <c r="A22777" t="s">
        <v>1890</v>
      </c>
    </row>
    <row r="22778" spans="1:1" x14ac:dyDescent="0.2">
      <c r="A22778" t="s">
        <v>1891</v>
      </c>
    </row>
    <row r="22779" spans="1:1" x14ac:dyDescent="0.2">
      <c r="A22779" t="s">
        <v>1892</v>
      </c>
    </row>
    <row r="22780" spans="1:1" x14ac:dyDescent="0.2">
      <c r="A22780" t="s">
        <v>1893</v>
      </c>
    </row>
    <row r="22781" spans="1:1" x14ac:dyDescent="0.2">
      <c r="A22781" t="s">
        <v>1894</v>
      </c>
    </row>
    <row r="22782" spans="1:1" x14ac:dyDescent="0.2">
      <c r="A22782" t="s">
        <v>1895</v>
      </c>
    </row>
    <row r="22783" spans="1:1" x14ac:dyDescent="0.2">
      <c r="A22783" t="s">
        <v>1896</v>
      </c>
    </row>
    <row r="22784" spans="1:1" x14ac:dyDescent="0.2">
      <c r="A22784" t="s">
        <v>1897</v>
      </c>
    </row>
    <row r="22785" spans="1:1" x14ac:dyDescent="0.2">
      <c r="A22785" t="s">
        <v>1898</v>
      </c>
    </row>
    <row r="22786" spans="1:1" x14ac:dyDescent="0.2">
      <c r="A22786" t="s">
        <v>1899</v>
      </c>
    </row>
    <row r="22787" spans="1:1" x14ac:dyDescent="0.2">
      <c r="A22787" t="s">
        <v>1900</v>
      </c>
    </row>
    <row r="22788" spans="1:1" x14ac:dyDescent="0.2">
      <c r="A22788" t="s">
        <v>1901</v>
      </c>
    </row>
    <row r="22789" spans="1:1" x14ac:dyDescent="0.2">
      <c r="A22789" t="s">
        <v>1902</v>
      </c>
    </row>
    <row r="22790" spans="1:1" x14ac:dyDescent="0.2">
      <c r="A22790" t="s">
        <v>1903</v>
      </c>
    </row>
    <row r="22791" spans="1:1" x14ac:dyDescent="0.2">
      <c r="A22791" t="s">
        <v>1904</v>
      </c>
    </row>
    <row r="22792" spans="1:1" x14ac:dyDescent="0.2">
      <c r="A22792" t="s">
        <v>1905</v>
      </c>
    </row>
    <row r="22793" spans="1:1" x14ac:dyDescent="0.2">
      <c r="A22793" t="s">
        <v>1906</v>
      </c>
    </row>
    <row r="22794" spans="1:1" x14ac:dyDescent="0.2">
      <c r="A22794" t="s">
        <v>1907</v>
      </c>
    </row>
    <row r="22795" spans="1:1" x14ac:dyDescent="0.2">
      <c r="A22795" t="s">
        <v>1908</v>
      </c>
    </row>
    <row r="22796" spans="1:1" x14ac:dyDescent="0.2">
      <c r="A22796" t="s">
        <v>1909</v>
      </c>
    </row>
    <row r="22797" spans="1:1" x14ac:dyDescent="0.2">
      <c r="A22797" t="s">
        <v>1910</v>
      </c>
    </row>
    <row r="22798" spans="1:1" x14ac:dyDescent="0.2">
      <c r="A22798" t="s">
        <v>1911</v>
      </c>
    </row>
    <row r="22799" spans="1:1" x14ac:dyDescent="0.2">
      <c r="A22799" t="s">
        <v>1912</v>
      </c>
    </row>
    <row r="22800" spans="1:1" x14ac:dyDescent="0.2">
      <c r="A22800" t="s">
        <v>1913</v>
      </c>
    </row>
    <row r="22801" spans="1:1" x14ac:dyDescent="0.2">
      <c r="A22801" t="s">
        <v>1914</v>
      </c>
    </row>
    <row r="22802" spans="1:1" x14ac:dyDescent="0.2">
      <c r="A22802" t="s">
        <v>1915</v>
      </c>
    </row>
    <row r="22803" spans="1:1" x14ac:dyDescent="0.2">
      <c r="A22803" t="s">
        <v>1916</v>
      </c>
    </row>
    <row r="22804" spans="1:1" x14ac:dyDescent="0.2">
      <c r="A22804" t="s">
        <v>1917</v>
      </c>
    </row>
    <row r="22805" spans="1:1" x14ac:dyDescent="0.2">
      <c r="A22805" t="s">
        <v>1918</v>
      </c>
    </row>
    <row r="22806" spans="1:1" x14ac:dyDescent="0.2">
      <c r="A22806" t="s">
        <v>1919</v>
      </c>
    </row>
    <row r="22807" spans="1:1" x14ac:dyDescent="0.2">
      <c r="A22807" t="s">
        <v>1920</v>
      </c>
    </row>
    <row r="22808" spans="1:1" x14ac:dyDescent="0.2">
      <c r="A22808" t="s">
        <v>1921</v>
      </c>
    </row>
    <row r="22809" spans="1:1" x14ac:dyDescent="0.2">
      <c r="A22809" t="s">
        <v>1922</v>
      </c>
    </row>
    <row r="22810" spans="1:1" x14ac:dyDescent="0.2">
      <c r="A22810" t="s">
        <v>1923</v>
      </c>
    </row>
    <row r="22811" spans="1:1" x14ac:dyDescent="0.2">
      <c r="A22811" t="s">
        <v>1924</v>
      </c>
    </row>
    <row r="22812" spans="1:1" x14ac:dyDescent="0.2">
      <c r="A22812" t="s">
        <v>1847</v>
      </c>
    </row>
    <row r="22813" spans="1:1" x14ac:dyDescent="0.2">
      <c r="A22813" t="s">
        <v>1925</v>
      </c>
    </row>
    <row r="22814" spans="1:1" x14ac:dyDescent="0.2">
      <c r="A22814" t="s">
        <v>1926</v>
      </c>
    </row>
    <row r="22815" spans="1:1" x14ac:dyDescent="0.2">
      <c r="A22815" t="s">
        <v>1927</v>
      </c>
    </row>
    <row r="22816" spans="1:1" x14ac:dyDescent="0.2">
      <c r="A22816" t="s">
        <v>1928</v>
      </c>
    </row>
    <row r="22817" spans="1:1" x14ac:dyDescent="0.2">
      <c r="A22817" t="s">
        <v>1929</v>
      </c>
    </row>
    <row r="22818" spans="1:1" x14ac:dyDescent="0.2">
      <c r="A22818" t="s">
        <v>1930</v>
      </c>
    </row>
    <row r="22819" spans="1:1" x14ac:dyDescent="0.2">
      <c r="A22819" t="s">
        <v>1931</v>
      </c>
    </row>
    <row r="22820" spans="1:1" x14ac:dyDescent="0.2">
      <c r="A22820" t="s">
        <v>1932</v>
      </c>
    </row>
    <row r="22821" spans="1:1" x14ac:dyDescent="0.2">
      <c r="A22821" t="s">
        <v>1933</v>
      </c>
    </row>
    <row r="22822" spans="1:1" x14ac:dyDescent="0.2">
      <c r="A22822" t="s">
        <v>1934</v>
      </c>
    </row>
    <row r="22823" spans="1:1" x14ac:dyDescent="0.2">
      <c r="A22823" t="s">
        <v>1935</v>
      </c>
    </row>
    <row r="22824" spans="1:1" x14ac:dyDescent="0.2">
      <c r="A22824" t="s">
        <v>1936</v>
      </c>
    </row>
    <row r="22825" spans="1:1" x14ac:dyDescent="0.2">
      <c r="A22825" t="s">
        <v>1937</v>
      </c>
    </row>
    <row r="22826" spans="1:1" x14ac:dyDescent="0.2">
      <c r="A22826" t="s">
        <v>1938</v>
      </c>
    </row>
    <row r="22827" spans="1:1" x14ac:dyDescent="0.2">
      <c r="A22827" t="s">
        <v>1939</v>
      </c>
    </row>
    <row r="22828" spans="1:1" x14ac:dyDescent="0.2">
      <c r="A22828" t="s">
        <v>1940</v>
      </c>
    </row>
    <row r="22829" spans="1:1" x14ac:dyDescent="0.2">
      <c r="A22829" t="s">
        <v>1941</v>
      </c>
    </row>
    <row r="22830" spans="1:1" x14ac:dyDescent="0.2">
      <c r="A22830" t="s">
        <v>1942</v>
      </c>
    </row>
    <row r="22831" spans="1:1" x14ac:dyDescent="0.2">
      <c r="A22831" t="s">
        <v>1943</v>
      </c>
    </row>
    <row r="22832" spans="1:1" x14ac:dyDescent="0.2">
      <c r="A22832" t="s">
        <v>1944</v>
      </c>
    </row>
    <row r="22833" spans="1:1" x14ac:dyDescent="0.2">
      <c r="A22833" t="s">
        <v>1945</v>
      </c>
    </row>
    <row r="22834" spans="1:1" x14ac:dyDescent="0.2">
      <c r="A22834" t="s">
        <v>1946</v>
      </c>
    </row>
    <row r="22835" spans="1:1" x14ac:dyDescent="0.2">
      <c r="A22835" t="s">
        <v>1947</v>
      </c>
    </row>
    <row r="22836" spans="1:1" x14ac:dyDescent="0.2">
      <c r="A22836" t="s">
        <v>1948</v>
      </c>
    </row>
    <row r="22837" spans="1:1" x14ac:dyDescent="0.2">
      <c r="A22837" t="s">
        <v>1949</v>
      </c>
    </row>
    <row r="22838" spans="1:1" x14ac:dyDescent="0.2">
      <c r="A22838" t="s">
        <v>1950</v>
      </c>
    </row>
    <row r="22839" spans="1:1" x14ac:dyDescent="0.2">
      <c r="A22839" t="s">
        <v>1951</v>
      </c>
    </row>
    <row r="22840" spans="1:1" x14ac:dyDescent="0.2">
      <c r="A22840" t="s">
        <v>5034</v>
      </c>
    </row>
    <row r="22841" spans="1:1" x14ac:dyDescent="0.2">
      <c r="A22841" t="s">
        <v>5035</v>
      </c>
    </row>
    <row r="22842" spans="1:1" x14ac:dyDescent="0.2">
      <c r="A22842" t="s">
        <v>1953</v>
      </c>
    </row>
    <row r="22843" spans="1:1" x14ac:dyDescent="0.2">
      <c r="A22843" t="s">
        <v>5036</v>
      </c>
    </row>
    <row r="22844" spans="1:1" x14ac:dyDescent="0.2">
      <c r="A22844" t="s">
        <v>5037</v>
      </c>
    </row>
    <row r="22845" spans="1:1" x14ac:dyDescent="0.2">
      <c r="A22845" t="s">
        <v>1955</v>
      </c>
    </row>
    <row r="22846" spans="1:1" x14ac:dyDescent="0.2">
      <c r="A22846" t="s">
        <v>5038</v>
      </c>
    </row>
    <row r="22847" spans="1:1" x14ac:dyDescent="0.2">
      <c r="A22847" t="s">
        <v>5039</v>
      </c>
    </row>
    <row r="22848" spans="1:1" x14ac:dyDescent="0.2">
      <c r="A22848" t="s">
        <v>1957</v>
      </c>
    </row>
    <row r="22849" spans="1:1" x14ac:dyDescent="0.2">
      <c r="A22849" t="s">
        <v>5040</v>
      </c>
    </row>
    <row r="22850" spans="1:1" x14ac:dyDescent="0.2">
      <c r="A22850" t="s">
        <v>5041</v>
      </c>
    </row>
    <row r="22851" spans="1:1" x14ac:dyDescent="0.2">
      <c r="A22851" t="s">
        <v>1959</v>
      </c>
    </row>
    <row r="22852" spans="1:1" x14ac:dyDescent="0.2">
      <c r="A22852" t="s">
        <v>5042</v>
      </c>
    </row>
    <row r="22853" spans="1:1" x14ac:dyDescent="0.2">
      <c r="A22853" t="s">
        <v>5043</v>
      </c>
    </row>
    <row r="22854" spans="1:1" x14ac:dyDescent="0.2">
      <c r="A22854" t="s">
        <v>1961</v>
      </c>
    </row>
    <row r="22855" spans="1:1" x14ac:dyDescent="0.2">
      <c r="A22855" t="s">
        <v>5044</v>
      </c>
    </row>
    <row r="22856" spans="1:1" x14ac:dyDescent="0.2">
      <c r="A22856" t="s">
        <v>5045</v>
      </c>
    </row>
    <row r="22857" spans="1:1" x14ac:dyDescent="0.2">
      <c r="A22857" t="s">
        <v>1963</v>
      </c>
    </row>
    <row r="22858" spans="1:1" x14ac:dyDescent="0.2">
      <c r="A22858" t="s">
        <v>5046</v>
      </c>
    </row>
    <row r="22859" spans="1:1" x14ac:dyDescent="0.2">
      <c r="A22859" t="s">
        <v>5047</v>
      </c>
    </row>
    <row r="22860" spans="1:1" x14ac:dyDescent="0.2">
      <c r="A22860" t="s">
        <v>1965</v>
      </c>
    </row>
    <row r="22861" spans="1:1" x14ac:dyDescent="0.2">
      <c r="A22861" t="s">
        <v>5048</v>
      </c>
    </row>
    <row r="22862" spans="1:1" x14ac:dyDescent="0.2">
      <c r="A22862" t="s">
        <v>5049</v>
      </c>
    </row>
    <row r="22863" spans="1:1" x14ac:dyDescent="0.2">
      <c r="A22863" t="s">
        <v>1967</v>
      </c>
    </row>
    <row r="22864" spans="1:1" x14ac:dyDescent="0.2">
      <c r="A22864" t="s">
        <v>5050</v>
      </c>
    </row>
    <row r="22865" spans="1:1" x14ac:dyDescent="0.2">
      <c r="A22865" t="s">
        <v>5051</v>
      </c>
    </row>
    <row r="22866" spans="1:1" x14ac:dyDescent="0.2">
      <c r="A22866" t="s">
        <v>1969</v>
      </c>
    </row>
    <row r="22867" spans="1:1" x14ac:dyDescent="0.2">
      <c r="A22867" t="s">
        <v>5052</v>
      </c>
    </row>
    <row r="22868" spans="1:1" x14ac:dyDescent="0.2">
      <c r="A22868" t="s">
        <v>5053</v>
      </c>
    </row>
    <row r="22869" spans="1:1" x14ac:dyDescent="0.2">
      <c r="A22869" t="s">
        <v>1971</v>
      </c>
    </row>
    <row r="22870" spans="1:1" x14ac:dyDescent="0.2">
      <c r="A22870" t="s">
        <v>5054</v>
      </c>
    </row>
    <row r="22871" spans="1:1" x14ac:dyDescent="0.2">
      <c r="A22871" t="s">
        <v>5055</v>
      </c>
    </row>
    <row r="22872" spans="1:1" x14ac:dyDescent="0.2">
      <c r="A22872" t="s">
        <v>1973</v>
      </c>
    </row>
    <row r="22873" spans="1:1" x14ac:dyDescent="0.2">
      <c r="A22873" t="s">
        <v>5056</v>
      </c>
    </row>
    <row r="22874" spans="1:1" x14ac:dyDescent="0.2">
      <c r="A22874" t="s">
        <v>5057</v>
      </c>
    </row>
    <row r="22875" spans="1:1" x14ac:dyDescent="0.2">
      <c r="A22875" t="s">
        <v>4801</v>
      </c>
    </row>
    <row r="22876" spans="1:1" x14ac:dyDescent="0.2">
      <c r="A22876" t="s">
        <v>5058</v>
      </c>
    </row>
    <row r="22877" spans="1:1" x14ac:dyDescent="0.2">
      <c r="A22877" t="s">
        <v>5059</v>
      </c>
    </row>
    <row r="22878" spans="1:1" x14ac:dyDescent="0.2">
      <c r="A22878" t="s">
        <v>4851</v>
      </c>
    </row>
    <row r="22879" spans="1:1" x14ac:dyDescent="0.2">
      <c r="A22879" t="s">
        <v>1952</v>
      </c>
    </row>
    <row r="22880" spans="1:1" x14ac:dyDescent="0.2">
      <c r="A22880" t="s">
        <v>5060</v>
      </c>
    </row>
    <row r="22881" spans="1:1" x14ac:dyDescent="0.2">
      <c r="A22881" t="s">
        <v>4853</v>
      </c>
    </row>
    <row r="22882" spans="1:1" x14ac:dyDescent="0.2">
      <c r="A22882" t="s">
        <v>1954</v>
      </c>
    </row>
    <row r="22883" spans="1:1" x14ac:dyDescent="0.2">
      <c r="A22883" t="s">
        <v>5061</v>
      </c>
    </row>
    <row r="22884" spans="1:1" x14ac:dyDescent="0.2">
      <c r="A22884" t="s">
        <v>4855</v>
      </c>
    </row>
    <row r="22885" spans="1:1" x14ac:dyDescent="0.2">
      <c r="A22885" t="s">
        <v>1956</v>
      </c>
    </row>
    <row r="22886" spans="1:1" x14ac:dyDescent="0.2">
      <c r="A22886" t="s">
        <v>5062</v>
      </c>
    </row>
    <row r="22887" spans="1:1" x14ac:dyDescent="0.2">
      <c r="A22887" t="s">
        <v>4857</v>
      </c>
    </row>
    <row r="22888" spans="1:1" x14ac:dyDescent="0.2">
      <c r="A22888" t="s">
        <v>1958</v>
      </c>
    </row>
    <row r="22889" spans="1:1" x14ac:dyDescent="0.2">
      <c r="A22889" t="s">
        <v>5063</v>
      </c>
    </row>
    <row r="22890" spans="1:1" x14ac:dyDescent="0.2">
      <c r="A22890" t="s">
        <v>4859</v>
      </c>
    </row>
    <row r="22891" spans="1:1" x14ac:dyDescent="0.2">
      <c r="A22891" t="s">
        <v>1960</v>
      </c>
    </row>
    <row r="22892" spans="1:1" x14ac:dyDescent="0.2">
      <c r="A22892" t="s">
        <v>5064</v>
      </c>
    </row>
    <row r="22893" spans="1:1" x14ac:dyDescent="0.2">
      <c r="A22893" t="s">
        <v>4861</v>
      </c>
    </row>
    <row r="22894" spans="1:1" x14ac:dyDescent="0.2">
      <c r="A22894" t="s">
        <v>1962</v>
      </c>
    </row>
    <row r="22895" spans="1:1" x14ac:dyDescent="0.2">
      <c r="A22895" t="s">
        <v>5065</v>
      </c>
    </row>
    <row r="22896" spans="1:1" x14ac:dyDescent="0.2">
      <c r="A22896" t="s">
        <v>4863</v>
      </c>
    </row>
    <row r="22897" spans="1:1" x14ac:dyDescent="0.2">
      <c r="A22897" t="s">
        <v>1964</v>
      </c>
    </row>
    <row r="22898" spans="1:1" x14ac:dyDescent="0.2">
      <c r="A22898" t="s">
        <v>5066</v>
      </c>
    </row>
    <row r="22899" spans="1:1" x14ac:dyDescent="0.2">
      <c r="A22899" t="s">
        <v>4865</v>
      </c>
    </row>
    <row r="22900" spans="1:1" x14ac:dyDescent="0.2">
      <c r="A22900" t="s">
        <v>1966</v>
      </c>
    </row>
    <row r="22901" spans="1:1" x14ac:dyDescent="0.2">
      <c r="A22901" t="s">
        <v>5067</v>
      </c>
    </row>
    <row r="22902" spans="1:1" x14ac:dyDescent="0.2">
      <c r="A22902" t="s">
        <v>4809</v>
      </c>
    </row>
    <row r="22903" spans="1:1" x14ac:dyDescent="0.2">
      <c r="A22903" t="s">
        <v>1968</v>
      </c>
    </row>
    <row r="22904" spans="1:1" x14ac:dyDescent="0.2">
      <c r="A22904" t="s">
        <v>5068</v>
      </c>
    </row>
    <row r="22905" spans="1:1" x14ac:dyDescent="0.2">
      <c r="A22905" t="s">
        <v>4868</v>
      </c>
    </row>
    <row r="22906" spans="1:1" x14ac:dyDescent="0.2">
      <c r="A22906" t="s">
        <v>1970</v>
      </c>
    </row>
    <row r="22907" spans="1:1" x14ac:dyDescent="0.2">
      <c r="A22907" t="s">
        <v>5069</v>
      </c>
    </row>
    <row r="22908" spans="1:1" x14ac:dyDescent="0.2">
      <c r="A22908" t="s">
        <v>4870</v>
      </c>
    </row>
    <row r="22909" spans="1:1" x14ac:dyDescent="0.2">
      <c r="A22909" t="s">
        <v>1972</v>
      </c>
    </row>
    <row r="22910" spans="1:1" x14ac:dyDescent="0.2">
      <c r="A22910" t="s">
        <v>5070</v>
      </c>
    </row>
    <row r="22911" spans="1:1" x14ac:dyDescent="0.2">
      <c r="A22911" t="s">
        <v>4872</v>
      </c>
    </row>
    <row r="22912" spans="1:1" x14ac:dyDescent="0.2">
      <c r="A22912" t="s">
        <v>1974</v>
      </c>
    </row>
    <row r="22913" spans="1:1" x14ac:dyDescent="0.2">
      <c r="A22913" t="s">
        <v>5071</v>
      </c>
    </row>
    <row r="22914" spans="1:1" x14ac:dyDescent="0.2">
      <c r="A22914" t="s">
        <v>1975</v>
      </c>
    </row>
    <row r="22915" spans="1:1" x14ac:dyDescent="0.2">
      <c r="A22915" t="s">
        <v>1976</v>
      </c>
    </row>
    <row r="22916" spans="1:1" x14ac:dyDescent="0.2">
      <c r="A22916" t="s">
        <v>1854</v>
      </c>
    </row>
    <row r="22917" spans="1:1" x14ac:dyDescent="0.2">
      <c r="A22917" t="s">
        <v>1977</v>
      </c>
    </row>
    <row r="22918" spans="1:1" x14ac:dyDescent="0.2">
      <c r="A22918" t="s">
        <v>1856</v>
      </c>
    </row>
    <row r="22919" spans="1:1" x14ac:dyDescent="0.2">
      <c r="A22919" t="s">
        <v>1880</v>
      </c>
    </row>
    <row r="22920" spans="1:1" x14ac:dyDescent="0.2">
      <c r="A22920" t="s">
        <v>2608</v>
      </c>
    </row>
    <row r="22921" spans="1:1" x14ac:dyDescent="0.2">
      <c r="A22921" t="s">
        <v>1858</v>
      </c>
    </row>
    <row r="22922" spans="1:1" x14ac:dyDescent="0.2">
      <c r="A22922" t="s">
        <v>1882</v>
      </c>
    </row>
    <row r="22923" spans="1:1" x14ac:dyDescent="0.2">
      <c r="A22923" t="s">
        <v>2620</v>
      </c>
    </row>
    <row r="22924" spans="1:1" x14ac:dyDescent="0.2">
      <c r="A22924" t="s">
        <v>1859</v>
      </c>
    </row>
    <row r="22925" spans="1:1" x14ac:dyDescent="0.2">
      <c r="A22925" t="s">
        <v>1884</v>
      </c>
    </row>
    <row r="22926" spans="1:1" x14ac:dyDescent="0.2">
      <c r="A22926" t="s">
        <v>2619</v>
      </c>
    </row>
    <row r="22927" spans="1:1" x14ac:dyDescent="0.2">
      <c r="A22927" t="s">
        <v>1886</v>
      </c>
    </row>
    <row r="22928" spans="1:1" x14ac:dyDescent="0.2">
      <c r="A22928" t="s">
        <v>1887</v>
      </c>
    </row>
    <row r="22929" spans="1:1" x14ac:dyDescent="0.2">
      <c r="A22929" t="s">
        <v>2606</v>
      </c>
    </row>
    <row r="22930" spans="1:1" x14ac:dyDescent="0.2">
      <c r="A22930" t="s">
        <v>1889</v>
      </c>
    </row>
    <row r="22931" spans="1:1" x14ac:dyDescent="0.2">
      <c r="A22931" t="s">
        <v>1890</v>
      </c>
    </row>
    <row r="22932" spans="1:1" x14ac:dyDescent="0.2">
      <c r="A22932" t="s">
        <v>2609</v>
      </c>
    </row>
    <row r="22933" spans="1:1" x14ac:dyDescent="0.2">
      <c r="A22933" t="s">
        <v>1892</v>
      </c>
    </row>
    <row r="22934" spans="1:1" x14ac:dyDescent="0.2">
      <c r="A22934" t="s">
        <v>1893</v>
      </c>
    </row>
    <row r="22935" spans="1:1" x14ac:dyDescent="0.2">
      <c r="A22935" t="s">
        <v>2610</v>
      </c>
    </row>
    <row r="22936" spans="1:1" x14ac:dyDescent="0.2">
      <c r="A22936" t="s">
        <v>1895</v>
      </c>
    </row>
    <row r="22937" spans="1:1" x14ac:dyDescent="0.2">
      <c r="A22937" t="s">
        <v>1896</v>
      </c>
    </row>
    <row r="22938" spans="1:1" x14ac:dyDescent="0.2">
      <c r="A22938" t="s">
        <v>5072</v>
      </c>
    </row>
    <row r="22939" spans="1:1" x14ac:dyDescent="0.2">
      <c r="A22939" t="s">
        <v>1898</v>
      </c>
    </row>
    <row r="22940" spans="1:1" x14ac:dyDescent="0.2">
      <c r="A22940" t="s">
        <v>1899</v>
      </c>
    </row>
    <row r="22941" spans="1:1" x14ac:dyDescent="0.2">
      <c r="A22941" t="s">
        <v>5073</v>
      </c>
    </row>
    <row r="22942" spans="1:1" x14ac:dyDescent="0.2">
      <c r="A22942" t="s">
        <v>1901</v>
      </c>
    </row>
    <row r="22943" spans="1:1" x14ac:dyDescent="0.2">
      <c r="A22943" t="s">
        <v>1902</v>
      </c>
    </row>
    <row r="22944" spans="1:1" x14ac:dyDescent="0.2">
      <c r="A22944" t="s">
        <v>5074</v>
      </c>
    </row>
    <row r="22945" spans="1:1" x14ac:dyDescent="0.2">
      <c r="A22945" t="s">
        <v>1904</v>
      </c>
    </row>
    <row r="22946" spans="1:1" x14ac:dyDescent="0.2">
      <c r="A22946" t="s">
        <v>1905</v>
      </c>
    </row>
    <row r="22947" spans="1:1" x14ac:dyDescent="0.2">
      <c r="A22947" t="s">
        <v>2618</v>
      </c>
    </row>
    <row r="22948" spans="1:1" x14ac:dyDescent="0.2">
      <c r="A22948" t="s">
        <v>1907</v>
      </c>
    </row>
    <row r="22949" spans="1:1" x14ac:dyDescent="0.2">
      <c r="A22949" t="s">
        <v>1908</v>
      </c>
    </row>
    <row r="22950" spans="1:1" x14ac:dyDescent="0.2">
      <c r="A22950" t="s">
        <v>5075</v>
      </c>
    </row>
    <row r="22951" spans="1:1" x14ac:dyDescent="0.2">
      <c r="A22951" t="s">
        <v>1910</v>
      </c>
    </row>
    <row r="22952" spans="1:1" x14ac:dyDescent="0.2">
      <c r="A22952" t="s">
        <v>1911</v>
      </c>
    </row>
    <row r="22953" spans="1:1" x14ac:dyDescent="0.2">
      <c r="A22953" t="s">
        <v>2611</v>
      </c>
    </row>
    <row r="22954" spans="1:1" x14ac:dyDescent="0.2">
      <c r="A22954" t="s">
        <v>1913</v>
      </c>
    </row>
    <row r="22955" spans="1:1" x14ac:dyDescent="0.2">
      <c r="A22955" t="s">
        <v>1914</v>
      </c>
    </row>
    <row r="22956" spans="1:1" x14ac:dyDescent="0.2">
      <c r="A22956" t="s">
        <v>5076</v>
      </c>
    </row>
    <row r="22957" spans="1:1" x14ac:dyDescent="0.2">
      <c r="A22957" t="s">
        <v>1916</v>
      </c>
    </row>
    <row r="22958" spans="1:1" x14ac:dyDescent="0.2">
      <c r="A22958" t="s">
        <v>1917</v>
      </c>
    </row>
    <row r="22959" spans="1:1" x14ac:dyDescent="0.2">
      <c r="A22959" t="s">
        <v>5077</v>
      </c>
    </row>
    <row r="22960" spans="1:1" x14ac:dyDescent="0.2">
      <c r="A22960" t="s">
        <v>1919</v>
      </c>
    </row>
    <row r="22961" spans="1:1" x14ac:dyDescent="0.2">
      <c r="A22961" t="s">
        <v>1920</v>
      </c>
    </row>
    <row r="22962" spans="1:1" x14ac:dyDescent="0.2">
      <c r="A22962" t="s">
        <v>2612</v>
      </c>
    </row>
    <row r="22963" spans="1:1" x14ac:dyDescent="0.2">
      <c r="A22963" t="s">
        <v>1922</v>
      </c>
    </row>
    <row r="22964" spans="1:1" x14ac:dyDescent="0.2">
      <c r="A22964" t="s">
        <v>1923</v>
      </c>
    </row>
    <row r="22965" spans="1:1" x14ac:dyDescent="0.2">
      <c r="A22965" t="s">
        <v>5078</v>
      </c>
    </row>
    <row r="22966" spans="1:1" x14ac:dyDescent="0.2">
      <c r="A22966" t="s">
        <v>1847</v>
      </c>
    </row>
    <row r="22967" spans="1:1" x14ac:dyDescent="0.2">
      <c r="A22967" t="s">
        <v>1925</v>
      </c>
    </row>
    <row r="22968" spans="1:1" x14ac:dyDescent="0.2">
      <c r="A22968" t="s">
        <v>5079</v>
      </c>
    </row>
    <row r="22969" spans="1:1" x14ac:dyDescent="0.2">
      <c r="A22969" t="s">
        <v>1927</v>
      </c>
    </row>
    <row r="22970" spans="1:1" x14ac:dyDescent="0.2">
      <c r="A22970" t="s">
        <v>1928</v>
      </c>
    </row>
    <row r="22971" spans="1:1" x14ac:dyDescent="0.2">
      <c r="A22971" t="s">
        <v>5080</v>
      </c>
    </row>
    <row r="22972" spans="1:1" x14ac:dyDescent="0.2">
      <c r="A22972" t="s">
        <v>1930</v>
      </c>
    </row>
    <row r="22973" spans="1:1" x14ac:dyDescent="0.2">
      <c r="A22973" t="s">
        <v>1931</v>
      </c>
    </row>
    <row r="22974" spans="1:1" x14ac:dyDescent="0.2">
      <c r="A22974" t="s">
        <v>5081</v>
      </c>
    </row>
    <row r="22975" spans="1:1" x14ac:dyDescent="0.2">
      <c r="A22975" t="s">
        <v>1933</v>
      </c>
    </row>
    <row r="22976" spans="1:1" x14ac:dyDescent="0.2">
      <c r="A22976" t="s">
        <v>1934</v>
      </c>
    </row>
    <row r="22977" spans="1:1" x14ac:dyDescent="0.2">
      <c r="A22977" t="s">
        <v>2617</v>
      </c>
    </row>
    <row r="22978" spans="1:1" x14ac:dyDescent="0.2">
      <c r="A22978" t="s">
        <v>1936</v>
      </c>
    </row>
    <row r="22979" spans="1:1" x14ac:dyDescent="0.2">
      <c r="A22979" t="s">
        <v>1937</v>
      </c>
    </row>
    <row r="22980" spans="1:1" x14ac:dyDescent="0.2">
      <c r="A22980" t="s">
        <v>477</v>
      </c>
    </row>
    <row r="22981" spans="1:1" x14ac:dyDescent="0.2">
      <c r="A22981" t="s">
        <v>1939</v>
      </c>
    </row>
    <row r="22982" spans="1:1" x14ac:dyDescent="0.2">
      <c r="A22982" t="s">
        <v>1940</v>
      </c>
    </row>
    <row r="22983" spans="1:1" x14ac:dyDescent="0.2">
      <c r="A22983" t="s">
        <v>5082</v>
      </c>
    </row>
    <row r="22984" spans="1:1" x14ac:dyDescent="0.2">
      <c r="A22984" t="s">
        <v>1942</v>
      </c>
    </row>
    <row r="22985" spans="1:1" x14ac:dyDescent="0.2">
      <c r="A22985" t="s">
        <v>1943</v>
      </c>
    </row>
    <row r="22986" spans="1:1" x14ac:dyDescent="0.2">
      <c r="A22986" t="s">
        <v>5083</v>
      </c>
    </row>
    <row r="22987" spans="1:1" x14ac:dyDescent="0.2">
      <c r="A22987" t="s">
        <v>1945</v>
      </c>
    </row>
    <row r="22988" spans="1:1" x14ac:dyDescent="0.2">
      <c r="A22988" t="s">
        <v>1946</v>
      </c>
    </row>
    <row r="22989" spans="1:1" x14ac:dyDescent="0.2">
      <c r="A22989" t="s">
        <v>5084</v>
      </c>
    </row>
    <row r="22990" spans="1:1" x14ac:dyDescent="0.2">
      <c r="A22990" t="s">
        <v>1948</v>
      </c>
    </row>
    <row r="22991" spans="1:1" x14ac:dyDescent="0.2">
      <c r="A22991" t="s">
        <v>1949</v>
      </c>
    </row>
    <row r="22992" spans="1:1" x14ac:dyDescent="0.2">
      <c r="A22992" t="s">
        <v>5085</v>
      </c>
    </row>
    <row r="22993" spans="1:1" x14ac:dyDescent="0.2">
      <c r="A22993" t="s">
        <v>1951</v>
      </c>
    </row>
    <row r="22994" spans="1:1" x14ac:dyDescent="0.2">
      <c r="A22994" t="s">
        <v>5034</v>
      </c>
    </row>
    <row r="22995" spans="1:1" x14ac:dyDescent="0.2">
      <c r="A22995" t="s">
        <v>5086</v>
      </c>
    </row>
    <row r="22996" spans="1:1" x14ac:dyDescent="0.2">
      <c r="A22996" t="s">
        <v>1953</v>
      </c>
    </row>
    <row r="22997" spans="1:1" x14ac:dyDescent="0.2">
      <c r="A22997" t="s">
        <v>5036</v>
      </c>
    </row>
    <row r="22998" spans="1:1" x14ac:dyDescent="0.2">
      <c r="A22998" t="s">
        <v>2613</v>
      </c>
    </row>
    <row r="22999" spans="1:1" x14ac:dyDescent="0.2">
      <c r="A22999" t="s">
        <v>1955</v>
      </c>
    </row>
    <row r="23000" spans="1:1" x14ac:dyDescent="0.2">
      <c r="A23000" t="s">
        <v>5038</v>
      </c>
    </row>
    <row r="23001" spans="1:1" x14ac:dyDescent="0.2">
      <c r="A23001" t="s">
        <v>5087</v>
      </c>
    </row>
    <row r="23002" spans="1:1" x14ac:dyDescent="0.2">
      <c r="A23002" t="s">
        <v>1957</v>
      </c>
    </row>
    <row r="23003" spans="1:1" x14ac:dyDescent="0.2">
      <c r="A23003" t="s">
        <v>5040</v>
      </c>
    </row>
    <row r="23004" spans="1:1" x14ac:dyDescent="0.2">
      <c r="A23004" t="s">
        <v>2621</v>
      </c>
    </row>
    <row r="23005" spans="1:1" x14ac:dyDescent="0.2">
      <c r="A23005" t="s">
        <v>1959</v>
      </c>
    </row>
    <row r="23006" spans="1:1" x14ac:dyDescent="0.2">
      <c r="A23006" t="s">
        <v>5042</v>
      </c>
    </row>
    <row r="23007" spans="1:1" x14ac:dyDescent="0.2">
      <c r="A23007" t="s">
        <v>478</v>
      </c>
    </row>
    <row r="23008" spans="1:1" x14ac:dyDescent="0.2">
      <c r="A23008" t="s">
        <v>1961</v>
      </c>
    </row>
    <row r="23009" spans="1:1" x14ac:dyDescent="0.2">
      <c r="A23009" t="s">
        <v>5044</v>
      </c>
    </row>
    <row r="23010" spans="1:1" x14ac:dyDescent="0.2">
      <c r="A23010" t="s">
        <v>5088</v>
      </c>
    </row>
    <row r="23011" spans="1:1" x14ac:dyDescent="0.2">
      <c r="A23011" t="s">
        <v>1963</v>
      </c>
    </row>
    <row r="23012" spans="1:1" x14ac:dyDescent="0.2">
      <c r="A23012" t="s">
        <v>5046</v>
      </c>
    </row>
    <row r="23013" spans="1:1" x14ac:dyDescent="0.2">
      <c r="A23013" t="s">
        <v>5089</v>
      </c>
    </row>
    <row r="23014" spans="1:1" x14ac:dyDescent="0.2">
      <c r="A23014" t="s">
        <v>1965</v>
      </c>
    </row>
    <row r="23015" spans="1:1" x14ac:dyDescent="0.2">
      <c r="A23015" t="s">
        <v>5048</v>
      </c>
    </row>
    <row r="23016" spans="1:1" x14ac:dyDescent="0.2">
      <c r="A23016" t="s">
        <v>5090</v>
      </c>
    </row>
    <row r="23017" spans="1:1" x14ac:dyDescent="0.2">
      <c r="A23017" t="s">
        <v>1967</v>
      </c>
    </row>
    <row r="23018" spans="1:1" x14ac:dyDescent="0.2">
      <c r="A23018" t="s">
        <v>5050</v>
      </c>
    </row>
    <row r="23019" spans="1:1" x14ac:dyDescent="0.2">
      <c r="A23019" t="s">
        <v>5091</v>
      </c>
    </row>
    <row r="23020" spans="1:1" x14ac:dyDescent="0.2">
      <c r="A23020" t="s">
        <v>1969</v>
      </c>
    </row>
    <row r="23021" spans="1:1" x14ac:dyDescent="0.2">
      <c r="A23021" t="s">
        <v>5052</v>
      </c>
    </row>
    <row r="23022" spans="1:1" x14ac:dyDescent="0.2">
      <c r="A23022" t="s">
        <v>5092</v>
      </c>
    </row>
    <row r="23023" spans="1:1" x14ac:dyDescent="0.2">
      <c r="A23023" t="s">
        <v>1971</v>
      </c>
    </row>
    <row r="23024" spans="1:1" x14ac:dyDescent="0.2">
      <c r="A23024" t="s">
        <v>5054</v>
      </c>
    </row>
    <row r="23025" spans="1:1" x14ac:dyDescent="0.2">
      <c r="A23025" t="s">
        <v>5093</v>
      </c>
    </row>
    <row r="23026" spans="1:1" x14ac:dyDescent="0.2">
      <c r="A23026" t="s">
        <v>1973</v>
      </c>
    </row>
    <row r="23027" spans="1:1" x14ac:dyDescent="0.2">
      <c r="A23027" t="s">
        <v>5056</v>
      </c>
    </row>
    <row r="23028" spans="1:1" x14ac:dyDescent="0.2">
      <c r="A23028" t="s">
        <v>5094</v>
      </c>
    </row>
    <row r="23029" spans="1:1" x14ac:dyDescent="0.2">
      <c r="A23029" t="s">
        <v>4801</v>
      </c>
    </row>
    <row r="23030" spans="1:1" x14ac:dyDescent="0.2">
      <c r="A23030" t="s">
        <v>5058</v>
      </c>
    </row>
    <row r="23031" spans="1:1" x14ac:dyDescent="0.2">
      <c r="A23031" t="s">
        <v>5095</v>
      </c>
    </row>
    <row r="23032" spans="1:1" x14ac:dyDescent="0.2">
      <c r="A23032" t="s">
        <v>4851</v>
      </c>
    </row>
    <row r="23033" spans="1:1" x14ac:dyDescent="0.2">
      <c r="A23033" t="s">
        <v>1952</v>
      </c>
    </row>
    <row r="23034" spans="1:1" x14ac:dyDescent="0.2">
      <c r="A23034" t="s">
        <v>2614</v>
      </c>
    </row>
    <row r="23035" spans="1:1" x14ac:dyDescent="0.2">
      <c r="A23035" t="s">
        <v>4853</v>
      </c>
    </row>
    <row r="23036" spans="1:1" x14ac:dyDescent="0.2">
      <c r="A23036" t="s">
        <v>1954</v>
      </c>
    </row>
    <row r="23037" spans="1:1" x14ac:dyDescent="0.2">
      <c r="A23037" t="s">
        <v>5096</v>
      </c>
    </row>
    <row r="23038" spans="1:1" x14ac:dyDescent="0.2">
      <c r="A23038" t="s">
        <v>4855</v>
      </c>
    </row>
    <row r="23039" spans="1:1" x14ac:dyDescent="0.2">
      <c r="A23039" t="s">
        <v>1956</v>
      </c>
    </row>
    <row r="23040" spans="1:1" x14ac:dyDescent="0.2">
      <c r="A23040" t="s">
        <v>5097</v>
      </c>
    </row>
    <row r="23041" spans="1:1" x14ac:dyDescent="0.2">
      <c r="A23041" t="s">
        <v>4857</v>
      </c>
    </row>
    <row r="23042" spans="1:1" x14ac:dyDescent="0.2">
      <c r="A23042" t="s">
        <v>1958</v>
      </c>
    </row>
    <row r="23043" spans="1:1" x14ac:dyDescent="0.2">
      <c r="A23043" t="s">
        <v>5098</v>
      </c>
    </row>
    <row r="23044" spans="1:1" x14ac:dyDescent="0.2">
      <c r="A23044" t="s">
        <v>4859</v>
      </c>
    </row>
    <row r="23045" spans="1:1" x14ac:dyDescent="0.2">
      <c r="A23045" t="s">
        <v>1960</v>
      </c>
    </row>
    <row r="23046" spans="1:1" x14ac:dyDescent="0.2">
      <c r="A23046" t="s">
        <v>5099</v>
      </c>
    </row>
    <row r="23047" spans="1:1" x14ac:dyDescent="0.2">
      <c r="A23047" t="s">
        <v>4861</v>
      </c>
    </row>
    <row r="23048" spans="1:1" x14ac:dyDescent="0.2">
      <c r="A23048" t="s">
        <v>1962</v>
      </c>
    </row>
    <row r="23049" spans="1:1" x14ac:dyDescent="0.2">
      <c r="A23049" t="s">
        <v>5100</v>
      </c>
    </row>
    <row r="23050" spans="1:1" x14ac:dyDescent="0.2">
      <c r="A23050" t="s">
        <v>4863</v>
      </c>
    </row>
    <row r="23051" spans="1:1" x14ac:dyDescent="0.2">
      <c r="A23051" t="s">
        <v>1964</v>
      </c>
    </row>
    <row r="23052" spans="1:1" x14ac:dyDescent="0.2">
      <c r="A23052" t="s">
        <v>2607</v>
      </c>
    </row>
    <row r="23053" spans="1:1" x14ac:dyDescent="0.2">
      <c r="A23053" t="s">
        <v>4865</v>
      </c>
    </row>
    <row r="23054" spans="1:1" x14ac:dyDescent="0.2">
      <c r="A23054" t="s">
        <v>1966</v>
      </c>
    </row>
    <row r="23055" spans="1:1" x14ac:dyDescent="0.2">
      <c r="A23055" t="s">
        <v>5101</v>
      </c>
    </row>
    <row r="23056" spans="1:1" x14ac:dyDescent="0.2">
      <c r="A23056" t="s">
        <v>4809</v>
      </c>
    </row>
    <row r="23057" spans="1:1" x14ac:dyDescent="0.2">
      <c r="A23057" t="s">
        <v>1968</v>
      </c>
    </row>
    <row r="23058" spans="1:1" x14ac:dyDescent="0.2">
      <c r="A23058" t="s">
        <v>5102</v>
      </c>
    </row>
    <row r="23059" spans="1:1" x14ac:dyDescent="0.2">
      <c r="A23059" t="s">
        <v>4868</v>
      </c>
    </row>
    <row r="23060" spans="1:1" x14ac:dyDescent="0.2">
      <c r="A23060" t="s">
        <v>1970</v>
      </c>
    </row>
    <row r="23061" spans="1:1" x14ac:dyDescent="0.2">
      <c r="A23061" t="s">
        <v>5103</v>
      </c>
    </row>
    <row r="23062" spans="1:1" x14ac:dyDescent="0.2">
      <c r="A23062" t="s">
        <v>4870</v>
      </c>
    </row>
    <row r="23063" spans="1:1" x14ac:dyDescent="0.2">
      <c r="A23063" t="s">
        <v>1972</v>
      </c>
    </row>
    <row r="23064" spans="1:1" x14ac:dyDescent="0.2">
      <c r="A23064" t="s">
        <v>5104</v>
      </c>
    </row>
    <row r="23065" spans="1:1" x14ac:dyDescent="0.2">
      <c r="A23065" t="s">
        <v>4872</v>
      </c>
    </row>
    <row r="23066" spans="1:1" x14ac:dyDescent="0.2">
      <c r="A23066" t="s">
        <v>1974</v>
      </c>
    </row>
    <row r="23067" spans="1:1" x14ac:dyDescent="0.2">
      <c r="A23067" t="s">
        <v>4776</v>
      </c>
    </row>
    <row r="23068" spans="1:1" x14ac:dyDescent="0.2">
      <c r="A23068" t="s">
        <v>1978</v>
      </c>
    </row>
    <row r="23069" spans="1:1" x14ac:dyDescent="0.2">
      <c r="A23069" t="s">
        <v>1979</v>
      </c>
    </row>
    <row r="23070" spans="1:1" x14ac:dyDescent="0.2">
      <c r="A23070" t="s">
        <v>1854</v>
      </c>
    </row>
    <row r="23071" spans="1:1" x14ac:dyDescent="0.2">
      <c r="A23071" t="s">
        <v>1980</v>
      </c>
    </row>
    <row r="23072" spans="1:1" x14ac:dyDescent="0.2">
      <c r="A23072" t="s">
        <v>1981</v>
      </c>
    </row>
    <row r="23073" spans="1:1" x14ac:dyDescent="0.2">
      <c r="A23073" t="s">
        <v>1982</v>
      </c>
    </row>
    <row r="23074" spans="1:1" x14ac:dyDescent="0.2">
      <c r="A23074" t="s">
        <v>1983</v>
      </c>
    </row>
    <row r="23075" spans="1:1" x14ac:dyDescent="0.2">
      <c r="A23075" t="s">
        <v>1984</v>
      </c>
    </row>
    <row r="23076" spans="1:1" x14ac:dyDescent="0.2">
      <c r="A23076" t="s">
        <v>1985</v>
      </c>
    </row>
    <row r="23077" spans="1:1" x14ac:dyDescent="0.2">
      <c r="A23077" t="s">
        <v>1986</v>
      </c>
    </row>
    <row r="23078" spans="1:1" x14ac:dyDescent="0.2">
      <c r="A23078" t="s">
        <v>1987</v>
      </c>
    </row>
    <row r="23079" spans="1:1" x14ac:dyDescent="0.2">
      <c r="A23079" t="s">
        <v>1988</v>
      </c>
    </row>
    <row r="23080" spans="1:1" x14ac:dyDescent="0.2">
      <c r="A23080" t="s">
        <v>1989</v>
      </c>
    </row>
    <row r="23081" spans="1:1" x14ac:dyDescent="0.2">
      <c r="A23081" t="s">
        <v>1990</v>
      </c>
    </row>
    <row r="23082" spans="1:1" x14ac:dyDescent="0.2">
      <c r="A23082" t="s">
        <v>1991</v>
      </c>
    </row>
    <row r="23083" spans="1:1" x14ac:dyDescent="0.2">
      <c r="A23083" t="s">
        <v>1992</v>
      </c>
    </row>
    <row r="23084" spans="1:1" x14ac:dyDescent="0.2">
      <c r="A23084" t="s">
        <v>1993</v>
      </c>
    </row>
    <row r="23085" spans="1:1" x14ac:dyDescent="0.2">
      <c r="A23085" t="s">
        <v>1994</v>
      </c>
    </row>
    <row r="23086" spans="1:1" x14ac:dyDescent="0.2">
      <c r="A23086" t="s">
        <v>1995</v>
      </c>
    </row>
    <row r="23087" spans="1:1" x14ac:dyDescent="0.2">
      <c r="A23087" t="s">
        <v>1996</v>
      </c>
    </row>
    <row r="23088" spans="1:1" x14ac:dyDescent="0.2">
      <c r="A23088" t="s">
        <v>1997</v>
      </c>
    </row>
    <row r="23089" spans="1:1" x14ac:dyDescent="0.2">
      <c r="A23089" t="s">
        <v>1998</v>
      </c>
    </row>
    <row r="23090" spans="1:1" x14ac:dyDescent="0.2">
      <c r="A23090" t="s">
        <v>1999</v>
      </c>
    </row>
    <row r="23091" spans="1:1" x14ac:dyDescent="0.2">
      <c r="A23091" t="s">
        <v>2000</v>
      </c>
    </row>
    <row r="23092" spans="1:1" x14ac:dyDescent="0.2">
      <c r="A23092" t="s">
        <v>2001</v>
      </c>
    </row>
    <row r="23093" spans="1:1" x14ac:dyDescent="0.2">
      <c r="A23093" t="s">
        <v>2002</v>
      </c>
    </row>
    <row r="23094" spans="1:1" x14ac:dyDescent="0.2">
      <c r="A23094" t="s">
        <v>2003</v>
      </c>
    </row>
    <row r="23095" spans="1:1" x14ac:dyDescent="0.2">
      <c r="A23095" t="s">
        <v>2004</v>
      </c>
    </row>
    <row r="23096" spans="1:1" x14ac:dyDescent="0.2">
      <c r="A23096" t="s">
        <v>2005</v>
      </c>
    </row>
    <row r="23097" spans="1:1" x14ac:dyDescent="0.2">
      <c r="A23097" t="s">
        <v>5105</v>
      </c>
    </row>
    <row r="23098" spans="1:1" x14ac:dyDescent="0.2">
      <c r="A23098" t="s">
        <v>5106</v>
      </c>
    </row>
    <row r="23099" spans="1:1" x14ac:dyDescent="0.2">
      <c r="A23099" t="s">
        <v>5107</v>
      </c>
    </row>
    <row r="23100" spans="1:1" x14ac:dyDescent="0.2">
      <c r="A23100" t="s">
        <v>5033</v>
      </c>
    </row>
    <row r="23101" spans="1:1" x14ac:dyDescent="0.2">
      <c r="A23101" t="s">
        <v>2008</v>
      </c>
    </row>
    <row r="23102" spans="1:1" x14ac:dyDescent="0.2">
      <c r="A23102" t="s">
        <v>5108</v>
      </c>
    </row>
    <row r="23103" spans="1:1" x14ac:dyDescent="0.2">
      <c r="A23103" t="s">
        <v>2010</v>
      </c>
    </row>
    <row r="23104" spans="1:1" x14ac:dyDescent="0.2">
      <c r="A23104" t="s">
        <v>5109</v>
      </c>
    </row>
    <row r="23105" spans="1:1" x14ac:dyDescent="0.2">
      <c r="A23105" t="s">
        <v>2012</v>
      </c>
    </row>
    <row r="23106" spans="1:1" x14ac:dyDescent="0.2">
      <c r="A23106" t="s">
        <v>5110</v>
      </c>
    </row>
    <row r="23107" spans="1:1" x14ac:dyDescent="0.2">
      <c r="A23107" t="s">
        <v>2014</v>
      </c>
    </row>
    <row r="23108" spans="1:1" x14ac:dyDescent="0.2">
      <c r="A23108" t="s">
        <v>5111</v>
      </c>
    </row>
    <row r="23109" spans="1:1" x14ac:dyDescent="0.2">
      <c r="A23109" t="s">
        <v>2016</v>
      </c>
    </row>
    <row r="23110" spans="1:1" x14ac:dyDescent="0.2">
      <c r="A23110" t="s">
        <v>5112</v>
      </c>
    </row>
    <row r="23111" spans="1:1" x14ac:dyDescent="0.2">
      <c r="A23111" t="s">
        <v>2018</v>
      </c>
    </row>
    <row r="23112" spans="1:1" x14ac:dyDescent="0.2">
      <c r="A23112" t="s">
        <v>5113</v>
      </c>
    </row>
    <row r="23113" spans="1:1" x14ac:dyDescent="0.2">
      <c r="A23113" t="s">
        <v>2020</v>
      </c>
    </row>
    <row r="23114" spans="1:1" x14ac:dyDescent="0.2">
      <c r="A23114" t="s">
        <v>5114</v>
      </c>
    </row>
    <row r="23115" spans="1:1" x14ac:dyDescent="0.2">
      <c r="A23115" t="s">
        <v>2022</v>
      </c>
    </row>
    <row r="23116" spans="1:1" x14ac:dyDescent="0.2">
      <c r="A23116" t="s">
        <v>5115</v>
      </c>
    </row>
    <row r="23117" spans="1:1" x14ac:dyDescent="0.2">
      <c r="A23117" t="s">
        <v>2024</v>
      </c>
    </row>
    <row r="23118" spans="1:1" x14ac:dyDescent="0.2">
      <c r="A23118" t="s">
        <v>5116</v>
      </c>
    </row>
    <row r="23119" spans="1:1" x14ac:dyDescent="0.2">
      <c r="A23119" t="s">
        <v>2026</v>
      </c>
    </row>
    <row r="23120" spans="1:1" x14ac:dyDescent="0.2">
      <c r="A23120" t="s">
        <v>5117</v>
      </c>
    </row>
    <row r="23121" spans="1:1" x14ac:dyDescent="0.2">
      <c r="A23121" t="s">
        <v>5118</v>
      </c>
    </row>
    <row r="23122" spans="1:1" x14ac:dyDescent="0.2">
      <c r="A23122" t="s">
        <v>5119</v>
      </c>
    </row>
    <row r="23123" spans="1:1" x14ac:dyDescent="0.2">
      <c r="A23123" t="s">
        <v>5120</v>
      </c>
    </row>
    <row r="23124" spans="1:1" x14ac:dyDescent="0.2">
      <c r="A23124" t="s">
        <v>5121</v>
      </c>
    </row>
    <row r="23125" spans="1:1" x14ac:dyDescent="0.2">
      <c r="A23125" t="s">
        <v>5122</v>
      </c>
    </row>
    <row r="23126" spans="1:1" x14ac:dyDescent="0.2">
      <c r="A23126" t="s">
        <v>2006</v>
      </c>
    </row>
    <row r="23127" spans="1:1" x14ac:dyDescent="0.2">
      <c r="A23127" t="s">
        <v>5123</v>
      </c>
    </row>
    <row r="23128" spans="1:1" x14ac:dyDescent="0.2">
      <c r="A23128" t="s">
        <v>2007</v>
      </c>
    </row>
    <row r="23129" spans="1:1" x14ac:dyDescent="0.2">
      <c r="A23129" t="s">
        <v>5124</v>
      </c>
    </row>
    <row r="23130" spans="1:1" x14ac:dyDescent="0.2">
      <c r="A23130" t="s">
        <v>2009</v>
      </c>
    </row>
    <row r="23131" spans="1:1" x14ac:dyDescent="0.2">
      <c r="A23131" t="s">
        <v>5125</v>
      </c>
    </row>
    <row r="23132" spans="1:1" x14ac:dyDescent="0.2">
      <c r="A23132" t="s">
        <v>2011</v>
      </c>
    </row>
    <row r="23133" spans="1:1" x14ac:dyDescent="0.2">
      <c r="A23133" t="s">
        <v>5126</v>
      </c>
    </row>
    <row r="23134" spans="1:1" x14ac:dyDescent="0.2">
      <c r="A23134" t="s">
        <v>2013</v>
      </c>
    </row>
    <row r="23135" spans="1:1" x14ac:dyDescent="0.2">
      <c r="A23135" t="s">
        <v>5127</v>
      </c>
    </row>
    <row r="23136" spans="1:1" x14ac:dyDescent="0.2">
      <c r="A23136" t="s">
        <v>2015</v>
      </c>
    </row>
    <row r="23137" spans="1:1" x14ac:dyDescent="0.2">
      <c r="A23137" t="s">
        <v>5128</v>
      </c>
    </row>
    <row r="23138" spans="1:1" x14ac:dyDescent="0.2">
      <c r="A23138" t="s">
        <v>2017</v>
      </c>
    </row>
    <row r="23139" spans="1:1" x14ac:dyDescent="0.2">
      <c r="A23139" t="s">
        <v>5129</v>
      </c>
    </row>
    <row r="23140" spans="1:1" x14ac:dyDescent="0.2">
      <c r="A23140" t="s">
        <v>2019</v>
      </c>
    </row>
    <row r="23141" spans="1:1" x14ac:dyDescent="0.2">
      <c r="A23141" t="s">
        <v>5130</v>
      </c>
    </row>
    <row r="23142" spans="1:1" x14ac:dyDescent="0.2">
      <c r="A23142" t="s">
        <v>2021</v>
      </c>
    </row>
    <row r="23143" spans="1:1" x14ac:dyDescent="0.2">
      <c r="A23143" t="s">
        <v>5131</v>
      </c>
    </row>
    <row r="23144" spans="1:1" x14ac:dyDescent="0.2">
      <c r="A23144" t="s">
        <v>2023</v>
      </c>
    </row>
    <row r="23145" spans="1:1" x14ac:dyDescent="0.2">
      <c r="A23145" t="s">
        <v>5132</v>
      </c>
    </row>
    <row r="23146" spans="1:1" x14ac:dyDescent="0.2">
      <c r="A23146" t="s">
        <v>2025</v>
      </c>
    </row>
    <row r="23147" spans="1:1" x14ac:dyDescent="0.2">
      <c r="A23147" t="s">
        <v>5133</v>
      </c>
    </row>
    <row r="23148" spans="1:1" x14ac:dyDescent="0.2">
      <c r="A23148" t="s">
        <v>2027</v>
      </c>
    </row>
    <row r="23149" spans="1:1" x14ac:dyDescent="0.2">
      <c r="A23149" t="s">
        <v>2028</v>
      </c>
    </row>
    <row r="23150" spans="1:1" x14ac:dyDescent="0.2">
      <c r="A23150" t="s">
        <v>2029</v>
      </c>
    </row>
    <row r="23151" spans="1:1" x14ac:dyDescent="0.2">
      <c r="A23151" t="s">
        <v>2030</v>
      </c>
    </row>
    <row r="23152" spans="1:1" x14ac:dyDescent="0.2">
      <c r="A23152" t="s">
        <v>2031</v>
      </c>
    </row>
    <row r="23153" spans="1:1" x14ac:dyDescent="0.2">
      <c r="A23153" t="s">
        <v>2032</v>
      </c>
    </row>
    <row r="23154" spans="1:1" x14ac:dyDescent="0.2">
      <c r="A23154" t="s">
        <v>2033</v>
      </c>
    </row>
    <row r="23155" spans="1:1" x14ac:dyDescent="0.2">
      <c r="A23155" t="s">
        <v>2034</v>
      </c>
    </row>
    <row r="23156" spans="1:1" x14ac:dyDescent="0.2">
      <c r="A23156" t="s">
        <v>2035</v>
      </c>
    </row>
    <row r="23157" spans="1:1" x14ac:dyDescent="0.2">
      <c r="A23157" t="s">
        <v>2036</v>
      </c>
    </row>
    <row r="23158" spans="1:1" x14ac:dyDescent="0.2">
      <c r="A23158" t="s">
        <v>2037</v>
      </c>
    </row>
    <row r="23159" spans="1:1" x14ac:dyDescent="0.2">
      <c r="A23159" t="s">
        <v>2038</v>
      </c>
    </row>
    <row r="23160" spans="1:1" x14ac:dyDescent="0.2">
      <c r="A23160" t="s">
        <v>2039</v>
      </c>
    </row>
    <row r="23161" spans="1:1" x14ac:dyDescent="0.2">
      <c r="A23161" t="s">
        <v>2040</v>
      </c>
    </row>
    <row r="23162" spans="1:1" x14ac:dyDescent="0.2">
      <c r="A23162" t="s">
        <v>2041</v>
      </c>
    </row>
    <row r="23163" spans="1:1" x14ac:dyDescent="0.2">
      <c r="A23163" t="s">
        <v>2042</v>
      </c>
    </row>
    <row r="23164" spans="1:1" x14ac:dyDescent="0.2">
      <c r="A23164" t="s">
        <v>2043</v>
      </c>
    </row>
    <row r="23165" spans="1:1" x14ac:dyDescent="0.2">
      <c r="A23165" t="s">
        <v>2044</v>
      </c>
    </row>
    <row r="23166" spans="1:1" x14ac:dyDescent="0.2">
      <c r="A23166" t="s">
        <v>2045</v>
      </c>
    </row>
    <row r="23167" spans="1:1" x14ac:dyDescent="0.2">
      <c r="A23167" t="s">
        <v>2046</v>
      </c>
    </row>
    <row r="23168" spans="1:1" x14ac:dyDescent="0.2">
      <c r="A23168" t="s">
        <v>2047</v>
      </c>
    </row>
    <row r="23169" spans="1:1" x14ac:dyDescent="0.2">
      <c r="A23169" t="s">
        <v>2048</v>
      </c>
    </row>
    <row r="23170" spans="1:1" x14ac:dyDescent="0.2">
      <c r="A23170" t="s">
        <v>2049</v>
      </c>
    </row>
    <row r="23171" spans="1:1" x14ac:dyDescent="0.2">
      <c r="A23171" t="s">
        <v>2047</v>
      </c>
    </row>
    <row r="23172" spans="1:1" x14ac:dyDescent="0.2">
      <c r="A23172" t="s">
        <v>2050</v>
      </c>
    </row>
    <row r="23173" spans="1:1" x14ac:dyDescent="0.2">
      <c r="A23173" t="s">
        <v>2051</v>
      </c>
    </row>
    <row r="23174" spans="1:1" x14ac:dyDescent="0.2">
      <c r="A23174" t="s">
        <v>2047</v>
      </c>
    </row>
    <row r="23175" spans="1:1" x14ac:dyDescent="0.2">
      <c r="A23175" t="s">
        <v>2052</v>
      </c>
    </row>
    <row r="23176" spans="1:1" x14ac:dyDescent="0.2">
      <c r="A23176" t="s">
        <v>2053</v>
      </c>
    </row>
    <row r="23177" spans="1:1" x14ac:dyDescent="0.2">
      <c r="A23177" t="s">
        <v>2054</v>
      </c>
    </row>
    <row r="23178" spans="1:1" x14ac:dyDescent="0.2">
      <c r="A23178" t="s">
        <v>2055</v>
      </c>
    </row>
    <row r="23179" spans="1:1" x14ac:dyDescent="0.2">
      <c r="A23179" t="s">
        <v>2056</v>
      </c>
    </row>
    <row r="23180" spans="1:1" x14ac:dyDescent="0.2">
      <c r="A23180" t="s">
        <v>2057</v>
      </c>
    </row>
    <row r="23181" spans="1:1" x14ac:dyDescent="0.2">
      <c r="A23181" t="s">
        <v>357</v>
      </c>
    </row>
    <row r="23182" spans="1:1" x14ac:dyDescent="0.2">
      <c r="A23182" t="s">
        <v>2058</v>
      </c>
    </row>
    <row r="23183" spans="1:1" x14ac:dyDescent="0.2">
      <c r="A23183" t="s">
        <v>2058</v>
      </c>
    </row>
    <row r="23184" spans="1:1" x14ac:dyDescent="0.2">
      <c r="A23184" t="s">
        <v>2058</v>
      </c>
    </row>
    <row r="23185" spans="1:1" x14ac:dyDescent="0.2">
      <c r="A23185" t="s">
        <v>2602</v>
      </c>
    </row>
    <row r="23186" spans="1:1" x14ac:dyDescent="0.2">
      <c r="A23186" t="s">
        <v>356</v>
      </c>
    </row>
    <row r="23187" spans="1:1" x14ac:dyDescent="0.2">
      <c r="A23187" t="s">
        <v>353</v>
      </c>
    </row>
    <row r="23188" spans="1:1" x14ac:dyDescent="0.2">
      <c r="A23188" t="s">
        <v>353</v>
      </c>
    </row>
    <row r="23189" spans="1:1" x14ac:dyDescent="0.2">
      <c r="A23189" t="s">
        <v>2608</v>
      </c>
    </row>
    <row r="23190" spans="1:1" x14ac:dyDescent="0.2">
      <c r="A23190" t="s">
        <v>2058</v>
      </c>
    </row>
    <row r="23191" spans="1:1" x14ac:dyDescent="0.2">
      <c r="A23191" t="s">
        <v>2058</v>
      </c>
    </row>
    <row r="23192" spans="1:1" x14ac:dyDescent="0.2">
      <c r="A23192" t="s">
        <v>2058</v>
      </c>
    </row>
    <row r="23193" spans="1:1" x14ac:dyDescent="0.2">
      <c r="A23193" t="s">
        <v>2059</v>
      </c>
    </row>
    <row r="23194" spans="1:1" x14ac:dyDescent="0.2">
      <c r="A23194" t="s">
        <v>2060</v>
      </c>
    </row>
    <row r="23195" spans="1:1" x14ac:dyDescent="0.2">
      <c r="A23195" t="s">
        <v>2061</v>
      </c>
    </row>
    <row r="23196" spans="1:1" x14ac:dyDescent="0.2">
      <c r="A23196" t="s">
        <v>1854</v>
      </c>
    </row>
    <row r="23197" spans="1:1" x14ac:dyDescent="0.2">
      <c r="A23197" t="s">
        <v>2062</v>
      </c>
    </row>
    <row r="23198" spans="1:1" x14ac:dyDescent="0.2">
      <c r="A23198" t="s">
        <v>2063</v>
      </c>
    </row>
    <row r="23199" spans="1:1" x14ac:dyDescent="0.2">
      <c r="A23199" t="s">
        <v>2064</v>
      </c>
    </row>
    <row r="23200" spans="1:1" x14ac:dyDescent="0.2">
      <c r="A23200" t="s">
        <v>2065</v>
      </c>
    </row>
    <row r="23201" spans="1:1" x14ac:dyDescent="0.2">
      <c r="A23201" t="s">
        <v>2066</v>
      </c>
    </row>
    <row r="23202" spans="1:1" x14ac:dyDescent="0.2">
      <c r="A23202" t="s">
        <v>2608</v>
      </c>
    </row>
    <row r="23203" spans="1:1" x14ac:dyDescent="0.2">
      <c r="A23203" t="s">
        <v>5134</v>
      </c>
    </row>
    <row r="23204" spans="1:1" x14ac:dyDescent="0.2">
      <c r="A23204" t="s">
        <v>2067</v>
      </c>
    </row>
    <row r="23205" spans="1:1" x14ac:dyDescent="0.2">
      <c r="A23205" t="s">
        <v>2620</v>
      </c>
    </row>
    <row r="23206" spans="1:1" x14ac:dyDescent="0.2">
      <c r="A23206" t="s">
        <v>5135</v>
      </c>
    </row>
    <row r="23207" spans="1:1" x14ac:dyDescent="0.2">
      <c r="A23207" t="s">
        <v>2068</v>
      </c>
    </row>
    <row r="23208" spans="1:1" x14ac:dyDescent="0.2">
      <c r="A23208" t="s">
        <v>2619</v>
      </c>
    </row>
    <row r="23209" spans="1:1" x14ac:dyDescent="0.2">
      <c r="A23209" t="s">
        <v>5136</v>
      </c>
    </row>
    <row r="23210" spans="1:1" x14ac:dyDescent="0.2">
      <c r="A23210" t="s">
        <v>5137</v>
      </c>
    </row>
    <row r="23211" spans="1:1" x14ac:dyDescent="0.2">
      <c r="A23211" t="s">
        <v>2606</v>
      </c>
    </row>
    <row r="23212" spans="1:1" x14ac:dyDescent="0.2">
      <c r="A23212" t="s">
        <v>5138</v>
      </c>
    </row>
    <row r="23213" spans="1:1" x14ac:dyDescent="0.2">
      <c r="A23213" t="s">
        <v>5139</v>
      </c>
    </row>
    <row r="23214" spans="1:1" x14ac:dyDescent="0.2">
      <c r="A23214" t="s">
        <v>2609</v>
      </c>
    </row>
    <row r="23215" spans="1:1" x14ac:dyDescent="0.2">
      <c r="A23215" t="s">
        <v>5140</v>
      </c>
    </row>
    <row r="23216" spans="1:1" x14ac:dyDescent="0.2">
      <c r="A23216" t="s">
        <v>5141</v>
      </c>
    </row>
    <row r="23217" spans="1:1" x14ac:dyDescent="0.2">
      <c r="A23217" t="s">
        <v>2610</v>
      </c>
    </row>
    <row r="23218" spans="1:1" x14ac:dyDescent="0.2">
      <c r="A23218" t="s">
        <v>5142</v>
      </c>
    </row>
    <row r="23219" spans="1:1" x14ac:dyDescent="0.2">
      <c r="A23219" t="s">
        <v>5143</v>
      </c>
    </row>
    <row r="23220" spans="1:1" x14ac:dyDescent="0.2">
      <c r="A23220" t="s">
        <v>5072</v>
      </c>
    </row>
    <row r="23221" spans="1:1" x14ac:dyDescent="0.2">
      <c r="A23221" t="s">
        <v>5144</v>
      </c>
    </row>
    <row r="23222" spans="1:1" x14ac:dyDescent="0.2">
      <c r="A23222" t="s">
        <v>5145</v>
      </c>
    </row>
    <row r="23223" spans="1:1" x14ac:dyDescent="0.2">
      <c r="A23223" t="s">
        <v>5073</v>
      </c>
    </row>
    <row r="23224" spans="1:1" x14ac:dyDescent="0.2">
      <c r="A23224" t="s">
        <v>5146</v>
      </c>
    </row>
    <row r="23225" spans="1:1" x14ac:dyDescent="0.2">
      <c r="A23225" t="s">
        <v>5147</v>
      </c>
    </row>
    <row r="23226" spans="1:1" x14ac:dyDescent="0.2">
      <c r="A23226" t="s">
        <v>5074</v>
      </c>
    </row>
    <row r="23227" spans="1:1" x14ac:dyDescent="0.2">
      <c r="A23227" t="s">
        <v>5148</v>
      </c>
    </row>
    <row r="23228" spans="1:1" x14ac:dyDescent="0.2">
      <c r="A23228" t="s">
        <v>5149</v>
      </c>
    </row>
    <row r="23229" spans="1:1" x14ac:dyDescent="0.2">
      <c r="A23229" t="s">
        <v>2618</v>
      </c>
    </row>
    <row r="23230" spans="1:1" x14ac:dyDescent="0.2">
      <c r="A23230" t="s">
        <v>5150</v>
      </c>
    </row>
    <row r="23231" spans="1:1" x14ac:dyDescent="0.2">
      <c r="A23231" t="s">
        <v>5151</v>
      </c>
    </row>
    <row r="23232" spans="1:1" x14ac:dyDescent="0.2">
      <c r="A23232" t="s">
        <v>5075</v>
      </c>
    </row>
    <row r="23233" spans="1:1" x14ac:dyDescent="0.2">
      <c r="A23233" t="s">
        <v>5152</v>
      </c>
    </row>
    <row r="23234" spans="1:1" x14ac:dyDescent="0.2">
      <c r="A23234" t="s">
        <v>5153</v>
      </c>
    </row>
    <row r="23235" spans="1:1" x14ac:dyDescent="0.2">
      <c r="A23235" t="s">
        <v>2611</v>
      </c>
    </row>
    <row r="23236" spans="1:1" x14ac:dyDescent="0.2">
      <c r="A23236" t="s">
        <v>5154</v>
      </c>
    </row>
    <row r="23237" spans="1:1" x14ac:dyDescent="0.2">
      <c r="A23237" t="s">
        <v>5155</v>
      </c>
    </row>
    <row r="23238" spans="1:1" x14ac:dyDescent="0.2">
      <c r="A23238" t="s">
        <v>5076</v>
      </c>
    </row>
    <row r="23239" spans="1:1" x14ac:dyDescent="0.2">
      <c r="A23239" t="s">
        <v>5156</v>
      </c>
    </row>
    <row r="23240" spans="1:1" x14ac:dyDescent="0.2">
      <c r="A23240" t="s">
        <v>5157</v>
      </c>
    </row>
    <row r="23241" spans="1:1" x14ac:dyDescent="0.2">
      <c r="A23241" t="s">
        <v>5077</v>
      </c>
    </row>
    <row r="23242" spans="1:1" x14ac:dyDescent="0.2">
      <c r="A23242" t="s">
        <v>5158</v>
      </c>
    </row>
    <row r="23243" spans="1:1" x14ac:dyDescent="0.2">
      <c r="A23243" t="s">
        <v>5159</v>
      </c>
    </row>
    <row r="23244" spans="1:1" x14ac:dyDescent="0.2">
      <c r="A23244" t="s">
        <v>2612</v>
      </c>
    </row>
    <row r="23245" spans="1:1" x14ac:dyDescent="0.2">
      <c r="A23245" t="s">
        <v>5160</v>
      </c>
    </row>
    <row r="23246" spans="1:1" x14ac:dyDescent="0.2">
      <c r="A23246" t="s">
        <v>5161</v>
      </c>
    </row>
    <row r="23247" spans="1:1" x14ac:dyDescent="0.2">
      <c r="A23247" t="s">
        <v>5078</v>
      </c>
    </row>
    <row r="23248" spans="1:1" x14ac:dyDescent="0.2">
      <c r="A23248" t="s">
        <v>5162</v>
      </c>
    </row>
    <row r="23249" spans="1:1" x14ac:dyDescent="0.2">
      <c r="A23249" t="s">
        <v>5163</v>
      </c>
    </row>
    <row r="23250" spans="1:1" x14ac:dyDescent="0.2">
      <c r="A23250" t="s">
        <v>5079</v>
      </c>
    </row>
    <row r="23251" spans="1:1" x14ac:dyDescent="0.2">
      <c r="A23251" t="s">
        <v>5164</v>
      </c>
    </row>
    <row r="23252" spans="1:1" x14ac:dyDescent="0.2">
      <c r="A23252" t="s">
        <v>5165</v>
      </c>
    </row>
    <row r="23253" spans="1:1" x14ac:dyDescent="0.2">
      <c r="A23253" t="s">
        <v>5080</v>
      </c>
    </row>
    <row r="23254" spans="1:1" x14ac:dyDescent="0.2">
      <c r="A23254" t="s">
        <v>5166</v>
      </c>
    </row>
    <row r="23255" spans="1:1" x14ac:dyDescent="0.2">
      <c r="A23255" t="s">
        <v>5167</v>
      </c>
    </row>
    <row r="23256" spans="1:1" x14ac:dyDescent="0.2">
      <c r="A23256" t="s">
        <v>5081</v>
      </c>
    </row>
    <row r="23257" spans="1:1" x14ac:dyDescent="0.2">
      <c r="A23257" t="s">
        <v>5168</v>
      </c>
    </row>
    <row r="23258" spans="1:1" x14ac:dyDescent="0.2">
      <c r="A23258" t="s">
        <v>5169</v>
      </c>
    </row>
    <row r="23259" spans="1:1" x14ac:dyDescent="0.2">
      <c r="A23259" t="s">
        <v>2617</v>
      </c>
    </row>
    <row r="23260" spans="1:1" x14ac:dyDescent="0.2">
      <c r="A23260" t="s">
        <v>5170</v>
      </c>
    </row>
    <row r="23261" spans="1:1" x14ac:dyDescent="0.2">
      <c r="A23261" t="s">
        <v>5171</v>
      </c>
    </row>
    <row r="23262" spans="1:1" x14ac:dyDescent="0.2">
      <c r="A23262" t="s">
        <v>477</v>
      </c>
    </row>
    <row r="23263" spans="1:1" x14ac:dyDescent="0.2">
      <c r="A23263" t="s">
        <v>5172</v>
      </c>
    </row>
    <row r="23264" spans="1:1" x14ac:dyDescent="0.2">
      <c r="A23264" t="s">
        <v>5173</v>
      </c>
    </row>
    <row r="23265" spans="1:1" x14ac:dyDescent="0.2">
      <c r="A23265" t="s">
        <v>5082</v>
      </c>
    </row>
    <row r="23266" spans="1:1" x14ac:dyDescent="0.2">
      <c r="A23266" t="s">
        <v>5174</v>
      </c>
    </row>
    <row r="23267" spans="1:1" x14ac:dyDescent="0.2">
      <c r="A23267" t="s">
        <v>5175</v>
      </c>
    </row>
    <row r="23268" spans="1:1" x14ac:dyDescent="0.2">
      <c r="A23268" t="s">
        <v>5083</v>
      </c>
    </row>
    <row r="23269" spans="1:1" x14ac:dyDescent="0.2">
      <c r="A23269" t="s">
        <v>5176</v>
      </c>
    </row>
    <row r="23270" spans="1:1" x14ac:dyDescent="0.2">
      <c r="A23270" t="s">
        <v>5177</v>
      </c>
    </row>
    <row r="23271" spans="1:1" x14ac:dyDescent="0.2">
      <c r="A23271" t="s">
        <v>5084</v>
      </c>
    </row>
    <row r="23272" spans="1:1" x14ac:dyDescent="0.2">
      <c r="A23272" t="s">
        <v>5178</v>
      </c>
    </row>
    <row r="23273" spans="1:1" x14ac:dyDescent="0.2">
      <c r="A23273" t="s">
        <v>5179</v>
      </c>
    </row>
    <row r="23274" spans="1:1" x14ac:dyDescent="0.2">
      <c r="A23274" t="s">
        <v>5085</v>
      </c>
    </row>
    <row r="23275" spans="1:1" x14ac:dyDescent="0.2">
      <c r="A23275" t="s">
        <v>5180</v>
      </c>
    </row>
    <row r="23276" spans="1:1" x14ac:dyDescent="0.2">
      <c r="A23276" t="s">
        <v>5181</v>
      </c>
    </row>
    <row r="23277" spans="1:1" x14ac:dyDescent="0.2">
      <c r="A23277" t="s">
        <v>5086</v>
      </c>
    </row>
    <row r="23278" spans="1:1" x14ac:dyDescent="0.2">
      <c r="A23278" t="s">
        <v>5182</v>
      </c>
    </row>
    <row r="23279" spans="1:1" x14ac:dyDescent="0.2">
      <c r="A23279" t="s">
        <v>5183</v>
      </c>
    </row>
    <row r="23280" spans="1:1" x14ac:dyDescent="0.2">
      <c r="A23280" t="s">
        <v>2613</v>
      </c>
    </row>
    <row r="23281" spans="1:1" x14ac:dyDescent="0.2">
      <c r="A23281" t="s">
        <v>5184</v>
      </c>
    </row>
    <row r="23282" spans="1:1" x14ac:dyDescent="0.2">
      <c r="A23282" t="s">
        <v>5185</v>
      </c>
    </row>
    <row r="23283" spans="1:1" x14ac:dyDescent="0.2">
      <c r="A23283" t="s">
        <v>5087</v>
      </c>
    </row>
    <row r="23284" spans="1:1" x14ac:dyDescent="0.2">
      <c r="A23284" t="s">
        <v>5186</v>
      </c>
    </row>
    <row r="23285" spans="1:1" x14ac:dyDescent="0.2">
      <c r="A23285" t="s">
        <v>5187</v>
      </c>
    </row>
    <row r="23286" spans="1:1" x14ac:dyDescent="0.2">
      <c r="A23286" t="s">
        <v>2621</v>
      </c>
    </row>
    <row r="23287" spans="1:1" x14ac:dyDescent="0.2">
      <c r="A23287" t="s">
        <v>5188</v>
      </c>
    </row>
    <row r="23288" spans="1:1" x14ac:dyDescent="0.2">
      <c r="A23288" t="s">
        <v>5189</v>
      </c>
    </row>
    <row r="23289" spans="1:1" x14ac:dyDescent="0.2">
      <c r="A23289" t="s">
        <v>478</v>
      </c>
    </row>
    <row r="23290" spans="1:1" x14ac:dyDescent="0.2">
      <c r="A23290" t="s">
        <v>5190</v>
      </c>
    </row>
    <row r="23291" spans="1:1" x14ac:dyDescent="0.2">
      <c r="A23291" t="s">
        <v>5191</v>
      </c>
    </row>
    <row r="23292" spans="1:1" x14ac:dyDescent="0.2">
      <c r="A23292" t="s">
        <v>5088</v>
      </c>
    </row>
    <row r="23293" spans="1:1" x14ac:dyDescent="0.2">
      <c r="A23293" t="s">
        <v>5192</v>
      </c>
    </row>
    <row r="23294" spans="1:1" x14ac:dyDescent="0.2">
      <c r="A23294" t="s">
        <v>5193</v>
      </c>
    </row>
    <row r="23295" spans="1:1" x14ac:dyDescent="0.2">
      <c r="A23295" t="s">
        <v>5089</v>
      </c>
    </row>
    <row r="23296" spans="1:1" x14ac:dyDescent="0.2">
      <c r="A23296" t="s">
        <v>5194</v>
      </c>
    </row>
    <row r="23297" spans="1:1" x14ac:dyDescent="0.2">
      <c r="A23297" t="s">
        <v>5195</v>
      </c>
    </row>
    <row r="23298" spans="1:1" x14ac:dyDescent="0.2">
      <c r="A23298" t="s">
        <v>5090</v>
      </c>
    </row>
    <row r="23299" spans="1:1" x14ac:dyDescent="0.2">
      <c r="A23299" t="s">
        <v>5196</v>
      </c>
    </row>
    <row r="23300" spans="1:1" x14ac:dyDescent="0.2">
      <c r="A23300" t="s">
        <v>5197</v>
      </c>
    </row>
    <row r="23301" spans="1:1" x14ac:dyDescent="0.2">
      <c r="A23301" t="s">
        <v>5091</v>
      </c>
    </row>
    <row r="23302" spans="1:1" x14ac:dyDescent="0.2">
      <c r="A23302" t="s">
        <v>5198</v>
      </c>
    </row>
    <row r="23303" spans="1:1" x14ac:dyDescent="0.2">
      <c r="A23303" t="s">
        <v>5199</v>
      </c>
    </row>
    <row r="23304" spans="1:1" x14ac:dyDescent="0.2">
      <c r="A23304" t="s">
        <v>5092</v>
      </c>
    </row>
    <row r="23305" spans="1:1" x14ac:dyDescent="0.2">
      <c r="A23305" t="s">
        <v>5200</v>
      </c>
    </row>
    <row r="23306" spans="1:1" x14ac:dyDescent="0.2">
      <c r="A23306" t="s">
        <v>5201</v>
      </c>
    </row>
    <row r="23307" spans="1:1" x14ac:dyDescent="0.2">
      <c r="A23307" t="s">
        <v>5093</v>
      </c>
    </row>
    <row r="23308" spans="1:1" x14ac:dyDescent="0.2">
      <c r="A23308" t="s">
        <v>5202</v>
      </c>
    </row>
    <row r="23309" spans="1:1" x14ac:dyDescent="0.2">
      <c r="A23309" t="s">
        <v>5203</v>
      </c>
    </row>
    <row r="23310" spans="1:1" x14ac:dyDescent="0.2">
      <c r="A23310" t="s">
        <v>5094</v>
      </c>
    </row>
    <row r="23311" spans="1:1" x14ac:dyDescent="0.2">
      <c r="A23311" t="s">
        <v>5204</v>
      </c>
    </row>
    <row r="23312" spans="1:1" x14ac:dyDescent="0.2">
      <c r="A23312" t="s">
        <v>5205</v>
      </c>
    </row>
    <row r="23313" spans="1:1" x14ac:dyDescent="0.2">
      <c r="A23313" t="s">
        <v>5095</v>
      </c>
    </row>
    <row r="23314" spans="1:1" x14ac:dyDescent="0.2">
      <c r="A23314" t="s">
        <v>5206</v>
      </c>
    </row>
    <row r="23315" spans="1:1" x14ac:dyDescent="0.2">
      <c r="A23315" t="s">
        <v>5207</v>
      </c>
    </row>
    <row r="23316" spans="1:1" x14ac:dyDescent="0.2">
      <c r="A23316" t="s">
        <v>2614</v>
      </c>
    </row>
    <row r="23317" spans="1:1" x14ac:dyDescent="0.2">
      <c r="A23317" t="s">
        <v>5208</v>
      </c>
    </row>
    <row r="23318" spans="1:1" x14ac:dyDescent="0.2">
      <c r="A23318" t="s">
        <v>5209</v>
      </c>
    </row>
    <row r="23319" spans="1:1" x14ac:dyDescent="0.2">
      <c r="A23319" t="s">
        <v>5096</v>
      </c>
    </row>
    <row r="23320" spans="1:1" x14ac:dyDescent="0.2">
      <c r="A23320" t="s">
        <v>5210</v>
      </c>
    </row>
    <row r="23321" spans="1:1" x14ac:dyDescent="0.2">
      <c r="A23321" t="s">
        <v>5211</v>
      </c>
    </row>
    <row r="23322" spans="1:1" x14ac:dyDescent="0.2">
      <c r="A23322" t="s">
        <v>5097</v>
      </c>
    </row>
    <row r="23323" spans="1:1" x14ac:dyDescent="0.2">
      <c r="A23323" t="s">
        <v>5212</v>
      </c>
    </row>
    <row r="23324" spans="1:1" x14ac:dyDescent="0.2">
      <c r="A23324" t="s">
        <v>5213</v>
      </c>
    </row>
    <row r="23325" spans="1:1" x14ac:dyDescent="0.2">
      <c r="A23325" t="s">
        <v>5098</v>
      </c>
    </row>
    <row r="23326" spans="1:1" x14ac:dyDescent="0.2">
      <c r="A23326" t="s">
        <v>5214</v>
      </c>
    </row>
    <row r="23327" spans="1:1" x14ac:dyDescent="0.2">
      <c r="A23327" t="s">
        <v>5215</v>
      </c>
    </row>
    <row r="23328" spans="1:1" x14ac:dyDescent="0.2">
      <c r="A23328" t="s">
        <v>5099</v>
      </c>
    </row>
    <row r="23329" spans="1:1" x14ac:dyDescent="0.2">
      <c r="A23329" t="s">
        <v>5216</v>
      </c>
    </row>
    <row r="23330" spans="1:1" x14ac:dyDescent="0.2">
      <c r="A23330" t="s">
        <v>5217</v>
      </c>
    </row>
    <row r="23331" spans="1:1" x14ac:dyDescent="0.2">
      <c r="A23331" t="s">
        <v>5100</v>
      </c>
    </row>
    <row r="23332" spans="1:1" x14ac:dyDescent="0.2">
      <c r="A23332" t="s">
        <v>5218</v>
      </c>
    </row>
    <row r="23333" spans="1:1" x14ac:dyDescent="0.2">
      <c r="A23333" t="s">
        <v>5219</v>
      </c>
    </row>
    <row r="23334" spans="1:1" x14ac:dyDescent="0.2">
      <c r="A23334" t="s">
        <v>2607</v>
      </c>
    </row>
    <row r="23335" spans="1:1" x14ac:dyDescent="0.2">
      <c r="A23335" t="s">
        <v>5220</v>
      </c>
    </row>
    <row r="23336" spans="1:1" x14ac:dyDescent="0.2">
      <c r="A23336" t="s">
        <v>5221</v>
      </c>
    </row>
    <row r="23337" spans="1:1" x14ac:dyDescent="0.2">
      <c r="A23337" t="s">
        <v>5101</v>
      </c>
    </row>
    <row r="23338" spans="1:1" x14ac:dyDescent="0.2">
      <c r="A23338" t="s">
        <v>5222</v>
      </c>
    </row>
    <row r="23339" spans="1:1" x14ac:dyDescent="0.2">
      <c r="A23339" t="s">
        <v>5223</v>
      </c>
    </row>
    <row r="23340" spans="1:1" x14ac:dyDescent="0.2">
      <c r="A23340" t="s">
        <v>5102</v>
      </c>
    </row>
    <row r="23341" spans="1:1" x14ac:dyDescent="0.2">
      <c r="A23341" t="s">
        <v>5224</v>
      </c>
    </row>
    <row r="23342" spans="1:1" x14ac:dyDescent="0.2">
      <c r="A23342" t="s">
        <v>5225</v>
      </c>
    </row>
    <row r="23343" spans="1:1" x14ac:dyDescent="0.2">
      <c r="A23343" t="s">
        <v>5103</v>
      </c>
    </row>
    <row r="23344" spans="1:1" x14ac:dyDescent="0.2">
      <c r="A23344" t="s">
        <v>5226</v>
      </c>
    </row>
    <row r="23345" spans="1:1" x14ac:dyDescent="0.2">
      <c r="A23345" t="s">
        <v>5227</v>
      </c>
    </row>
    <row r="23346" spans="1:1" x14ac:dyDescent="0.2">
      <c r="A23346" t="s">
        <v>5104</v>
      </c>
    </row>
    <row r="23347" spans="1:1" x14ac:dyDescent="0.2">
      <c r="A23347" t="s">
        <v>5228</v>
      </c>
    </row>
    <row r="23348" spans="1:1" x14ac:dyDescent="0.2">
      <c r="A23348" t="s">
        <v>5229</v>
      </c>
    </row>
    <row r="23349" spans="1:1" x14ac:dyDescent="0.2">
      <c r="A23349" t="s">
        <v>4776</v>
      </c>
    </row>
    <row r="23350" spans="1:1" x14ac:dyDescent="0.2">
      <c r="A23350" t="s">
        <v>5230</v>
      </c>
    </row>
    <row r="23351" spans="1:1" x14ac:dyDescent="0.2">
      <c r="A23351" t="s">
        <v>5231</v>
      </c>
    </row>
    <row r="23352" spans="1:1" x14ac:dyDescent="0.2">
      <c r="A23352" t="s">
        <v>5232</v>
      </c>
    </row>
    <row r="23353" spans="1:1" x14ac:dyDescent="0.2">
      <c r="A23353" t="s">
        <v>5233</v>
      </c>
    </row>
    <row r="23354" spans="1:1" x14ac:dyDescent="0.2">
      <c r="A23354" t="s">
        <v>5234</v>
      </c>
    </row>
    <row r="23355" spans="1:1" x14ac:dyDescent="0.2">
      <c r="A23355" t="s">
        <v>2608</v>
      </c>
    </row>
    <row r="23356" spans="1:1" x14ac:dyDescent="0.2">
      <c r="A23356" t="s">
        <v>5134</v>
      </c>
    </row>
    <row r="23357" spans="1:1" x14ac:dyDescent="0.2">
      <c r="A23357" t="s">
        <v>5235</v>
      </c>
    </row>
    <row r="23358" spans="1:1" x14ac:dyDescent="0.2">
      <c r="A23358" t="s">
        <v>2620</v>
      </c>
    </row>
    <row r="23359" spans="1:1" x14ac:dyDescent="0.2">
      <c r="A23359" t="s">
        <v>5135</v>
      </c>
    </row>
    <row r="23360" spans="1:1" x14ac:dyDescent="0.2">
      <c r="A23360" t="s">
        <v>5236</v>
      </c>
    </row>
    <row r="23361" spans="1:1" x14ac:dyDescent="0.2">
      <c r="A23361" t="s">
        <v>2619</v>
      </c>
    </row>
    <row r="23362" spans="1:1" x14ac:dyDescent="0.2">
      <c r="A23362" t="s">
        <v>5136</v>
      </c>
    </row>
    <row r="23363" spans="1:1" x14ac:dyDescent="0.2">
      <c r="A23363" t="s">
        <v>5237</v>
      </c>
    </row>
    <row r="23364" spans="1:1" x14ac:dyDescent="0.2">
      <c r="A23364" t="s">
        <v>2606</v>
      </c>
    </row>
    <row r="23365" spans="1:1" x14ac:dyDescent="0.2">
      <c r="A23365" t="s">
        <v>5138</v>
      </c>
    </row>
    <row r="23366" spans="1:1" x14ac:dyDescent="0.2">
      <c r="A23366" t="s">
        <v>5238</v>
      </c>
    </row>
    <row r="23367" spans="1:1" x14ac:dyDescent="0.2">
      <c r="A23367" t="s">
        <v>2609</v>
      </c>
    </row>
    <row r="23368" spans="1:1" x14ac:dyDescent="0.2">
      <c r="A23368" t="s">
        <v>5140</v>
      </c>
    </row>
    <row r="23369" spans="1:1" x14ac:dyDescent="0.2">
      <c r="A23369" t="s">
        <v>5239</v>
      </c>
    </row>
    <row r="23370" spans="1:1" x14ac:dyDescent="0.2">
      <c r="A23370" t="s">
        <v>2610</v>
      </c>
    </row>
    <row r="23371" spans="1:1" x14ac:dyDescent="0.2">
      <c r="A23371" t="s">
        <v>5142</v>
      </c>
    </row>
    <row r="23372" spans="1:1" x14ac:dyDescent="0.2">
      <c r="A23372" t="s">
        <v>5240</v>
      </c>
    </row>
    <row r="23373" spans="1:1" x14ac:dyDescent="0.2">
      <c r="A23373" t="s">
        <v>5072</v>
      </c>
    </row>
    <row r="23374" spans="1:1" x14ac:dyDescent="0.2">
      <c r="A23374" t="s">
        <v>5144</v>
      </c>
    </row>
    <row r="23375" spans="1:1" x14ac:dyDescent="0.2">
      <c r="A23375" t="s">
        <v>5241</v>
      </c>
    </row>
    <row r="23376" spans="1:1" x14ac:dyDescent="0.2">
      <c r="A23376" t="s">
        <v>5073</v>
      </c>
    </row>
    <row r="23377" spans="1:1" x14ac:dyDescent="0.2">
      <c r="A23377" t="s">
        <v>5146</v>
      </c>
    </row>
    <row r="23378" spans="1:1" x14ac:dyDescent="0.2">
      <c r="A23378" t="s">
        <v>5242</v>
      </c>
    </row>
    <row r="23379" spans="1:1" x14ac:dyDescent="0.2">
      <c r="A23379" t="s">
        <v>5074</v>
      </c>
    </row>
    <row r="23380" spans="1:1" x14ac:dyDescent="0.2">
      <c r="A23380" t="s">
        <v>5148</v>
      </c>
    </row>
    <row r="23381" spans="1:1" x14ac:dyDescent="0.2">
      <c r="A23381" t="s">
        <v>5243</v>
      </c>
    </row>
    <row r="23382" spans="1:1" x14ac:dyDescent="0.2">
      <c r="A23382" t="s">
        <v>2618</v>
      </c>
    </row>
    <row r="23383" spans="1:1" x14ac:dyDescent="0.2">
      <c r="A23383" t="s">
        <v>5150</v>
      </c>
    </row>
    <row r="23384" spans="1:1" x14ac:dyDescent="0.2">
      <c r="A23384" t="s">
        <v>5244</v>
      </c>
    </row>
    <row r="23385" spans="1:1" x14ac:dyDescent="0.2">
      <c r="A23385" t="s">
        <v>5075</v>
      </c>
    </row>
    <row r="23386" spans="1:1" x14ac:dyDescent="0.2">
      <c r="A23386" t="s">
        <v>5152</v>
      </c>
    </row>
    <row r="23387" spans="1:1" x14ac:dyDescent="0.2">
      <c r="A23387" t="s">
        <v>5245</v>
      </c>
    </row>
    <row r="23388" spans="1:1" x14ac:dyDescent="0.2">
      <c r="A23388" t="s">
        <v>2611</v>
      </c>
    </row>
    <row r="23389" spans="1:1" x14ac:dyDescent="0.2">
      <c r="A23389" t="s">
        <v>5154</v>
      </c>
    </row>
    <row r="23390" spans="1:1" x14ac:dyDescent="0.2">
      <c r="A23390" t="s">
        <v>5246</v>
      </c>
    </row>
    <row r="23391" spans="1:1" x14ac:dyDescent="0.2">
      <c r="A23391" t="s">
        <v>5076</v>
      </c>
    </row>
    <row r="23392" spans="1:1" x14ac:dyDescent="0.2">
      <c r="A23392" t="s">
        <v>5156</v>
      </c>
    </row>
    <row r="23393" spans="1:1" x14ac:dyDescent="0.2">
      <c r="A23393" t="s">
        <v>5247</v>
      </c>
    </row>
    <row r="23394" spans="1:1" x14ac:dyDescent="0.2">
      <c r="A23394" t="s">
        <v>5077</v>
      </c>
    </row>
    <row r="23395" spans="1:1" x14ac:dyDescent="0.2">
      <c r="A23395" t="s">
        <v>5158</v>
      </c>
    </row>
    <row r="23396" spans="1:1" x14ac:dyDescent="0.2">
      <c r="A23396" t="s">
        <v>5248</v>
      </c>
    </row>
    <row r="23397" spans="1:1" x14ac:dyDescent="0.2">
      <c r="A23397" t="s">
        <v>2612</v>
      </c>
    </row>
    <row r="23398" spans="1:1" x14ac:dyDescent="0.2">
      <c r="A23398" t="s">
        <v>5160</v>
      </c>
    </row>
    <row r="23399" spans="1:1" x14ac:dyDescent="0.2">
      <c r="A23399" t="s">
        <v>5249</v>
      </c>
    </row>
    <row r="23400" spans="1:1" x14ac:dyDescent="0.2">
      <c r="A23400" t="s">
        <v>5078</v>
      </c>
    </row>
    <row r="23401" spans="1:1" x14ac:dyDescent="0.2">
      <c r="A23401" t="s">
        <v>5162</v>
      </c>
    </row>
    <row r="23402" spans="1:1" x14ac:dyDescent="0.2">
      <c r="A23402" t="s">
        <v>5250</v>
      </c>
    </row>
    <row r="23403" spans="1:1" x14ac:dyDescent="0.2">
      <c r="A23403" t="s">
        <v>5079</v>
      </c>
    </row>
    <row r="23404" spans="1:1" x14ac:dyDescent="0.2">
      <c r="A23404" t="s">
        <v>5164</v>
      </c>
    </row>
    <row r="23405" spans="1:1" x14ac:dyDescent="0.2">
      <c r="A23405" t="s">
        <v>5251</v>
      </c>
    </row>
    <row r="23406" spans="1:1" x14ac:dyDescent="0.2">
      <c r="A23406" t="s">
        <v>5080</v>
      </c>
    </row>
    <row r="23407" spans="1:1" x14ac:dyDescent="0.2">
      <c r="A23407" t="s">
        <v>5166</v>
      </c>
    </row>
    <row r="23408" spans="1:1" x14ac:dyDescent="0.2">
      <c r="A23408" t="s">
        <v>5252</v>
      </c>
    </row>
    <row r="23409" spans="1:1" x14ac:dyDescent="0.2">
      <c r="A23409" t="s">
        <v>5081</v>
      </c>
    </row>
    <row r="23410" spans="1:1" x14ac:dyDescent="0.2">
      <c r="A23410" t="s">
        <v>5168</v>
      </c>
    </row>
    <row r="23411" spans="1:1" x14ac:dyDescent="0.2">
      <c r="A23411" t="s">
        <v>5253</v>
      </c>
    </row>
    <row r="23412" spans="1:1" x14ac:dyDescent="0.2">
      <c r="A23412" t="s">
        <v>2617</v>
      </c>
    </row>
    <row r="23413" spans="1:1" x14ac:dyDescent="0.2">
      <c r="A23413" t="s">
        <v>5170</v>
      </c>
    </row>
    <row r="23414" spans="1:1" x14ac:dyDescent="0.2">
      <c r="A23414" t="s">
        <v>5254</v>
      </c>
    </row>
    <row r="23415" spans="1:1" x14ac:dyDescent="0.2">
      <c r="A23415" t="s">
        <v>477</v>
      </c>
    </row>
    <row r="23416" spans="1:1" x14ac:dyDescent="0.2">
      <c r="A23416" t="s">
        <v>5172</v>
      </c>
    </row>
    <row r="23417" spans="1:1" x14ac:dyDescent="0.2">
      <c r="A23417" t="s">
        <v>5255</v>
      </c>
    </row>
    <row r="23418" spans="1:1" x14ac:dyDescent="0.2">
      <c r="A23418" t="s">
        <v>5082</v>
      </c>
    </row>
    <row r="23419" spans="1:1" x14ac:dyDescent="0.2">
      <c r="A23419" t="s">
        <v>5174</v>
      </c>
    </row>
    <row r="23420" spans="1:1" x14ac:dyDescent="0.2">
      <c r="A23420" t="s">
        <v>5256</v>
      </c>
    </row>
    <row r="23421" spans="1:1" x14ac:dyDescent="0.2">
      <c r="A23421" t="s">
        <v>5083</v>
      </c>
    </row>
    <row r="23422" spans="1:1" x14ac:dyDescent="0.2">
      <c r="A23422" t="s">
        <v>5176</v>
      </c>
    </row>
    <row r="23423" spans="1:1" x14ac:dyDescent="0.2">
      <c r="A23423" t="s">
        <v>5257</v>
      </c>
    </row>
    <row r="23424" spans="1:1" x14ac:dyDescent="0.2">
      <c r="A23424" t="s">
        <v>5084</v>
      </c>
    </row>
    <row r="23425" spans="1:1" x14ac:dyDescent="0.2">
      <c r="A23425" t="s">
        <v>5178</v>
      </c>
    </row>
    <row r="23426" spans="1:1" x14ac:dyDescent="0.2">
      <c r="A23426" t="s">
        <v>5258</v>
      </c>
    </row>
    <row r="23427" spans="1:1" x14ac:dyDescent="0.2">
      <c r="A23427" t="s">
        <v>5085</v>
      </c>
    </row>
    <row r="23428" spans="1:1" x14ac:dyDescent="0.2">
      <c r="A23428" t="s">
        <v>5180</v>
      </c>
    </row>
    <row r="23429" spans="1:1" x14ac:dyDescent="0.2">
      <c r="A23429" t="s">
        <v>5259</v>
      </c>
    </row>
    <row r="23430" spans="1:1" x14ac:dyDescent="0.2">
      <c r="A23430" t="s">
        <v>5086</v>
      </c>
    </row>
    <row r="23431" spans="1:1" x14ac:dyDescent="0.2">
      <c r="A23431" t="s">
        <v>5182</v>
      </c>
    </row>
    <row r="23432" spans="1:1" x14ac:dyDescent="0.2">
      <c r="A23432" t="s">
        <v>5260</v>
      </c>
    </row>
    <row r="23433" spans="1:1" x14ac:dyDescent="0.2">
      <c r="A23433" t="s">
        <v>2613</v>
      </c>
    </row>
    <row r="23434" spans="1:1" x14ac:dyDescent="0.2">
      <c r="A23434" t="s">
        <v>5184</v>
      </c>
    </row>
    <row r="23435" spans="1:1" x14ac:dyDescent="0.2">
      <c r="A23435" t="s">
        <v>5261</v>
      </c>
    </row>
    <row r="23436" spans="1:1" x14ac:dyDescent="0.2">
      <c r="A23436" t="s">
        <v>5087</v>
      </c>
    </row>
    <row r="23437" spans="1:1" x14ac:dyDescent="0.2">
      <c r="A23437" t="s">
        <v>5186</v>
      </c>
    </row>
    <row r="23438" spans="1:1" x14ac:dyDescent="0.2">
      <c r="A23438" t="s">
        <v>5262</v>
      </c>
    </row>
    <row r="23439" spans="1:1" x14ac:dyDescent="0.2">
      <c r="A23439" t="s">
        <v>2621</v>
      </c>
    </row>
    <row r="23440" spans="1:1" x14ac:dyDescent="0.2">
      <c r="A23440" t="s">
        <v>5188</v>
      </c>
    </row>
    <row r="23441" spans="1:1" x14ac:dyDescent="0.2">
      <c r="A23441" t="s">
        <v>5263</v>
      </c>
    </row>
    <row r="23442" spans="1:1" x14ac:dyDescent="0.2">
      <c r="A23442" t="s">
        <v>478</v>
      </c>
    </row>
    <row r="23443" spans="1:1" x14ac:dyDescent="0.2">
      <c r="A23443" t="s">
        <v>5190</v>
      </c>
    </row>
    <row r="23444" spans="1:1" x14ac:dyDescent="0.2">
      <c r="A23444" t="s">
        <v>5264</v>
      </c>
    </row>
    <row r="23445" spans="1:1" x14ac:dyDescent="0.2">
      <c r="A23445" t="s">
        <v>5088</v>
      </c>
    </row>
    <row r="23446" spans="1:1" x14ac:dyDescent="0.2">
      <c r="A23446" t="s">
        <v>5192</v>
      </c>
    </row>
    <row r="23447" spans="1:1" x14ac:dyDescent="0.2">
      <c r="A23447" t="s">
        <v>5265</v>
      </c>
    </row>
    <row r="23448" spans="1:1" x14ac:dyDescent="0.2">
      <c r="A23448" t="s">
        <v>5089</v>
      </c>
    </row>
    <row r="23449" spans="1:1" x14ac:dyDescent="0.2">
      <c r="A23449" t="s">
        <v>5194</v>
      </c>
    </row>
    <row r="23450" spans="1:1" x14ac:dyDescent="0.2">
      <c r="A23450" t="s">
        <v>5266</v>
      </c>
    </row>
    <row r="23451" spans="1:1" x14ac:dyDescent="0.2">
      <c r="A23451" t="s">
        <v>5090</v>
      </c>
    </row>
    <row r="23452" spans="1:1" x14ac:dyDescent="0.2">
      <c r="A23452" t="s">
        <v>5196</v>
      </c>
    </row>
    <row r="23453" spans="1:1" x14ac:dyDescent="0.2">
      <c r="A23453" t="s">
        <v>5267</v>
      </c>
    </row>
    <row r="23454" spans="1:1" x14ac:dyDescent="0.2">
      <c r="A23454" t="s">
        <v>5091</v>
      </c>
    </row>
    <row r="23455" spans="1:1" x14ac:dyDescent="0.2">
      <c r="A23455" t="s">
        <v>5198</v>
      </c>
    </row>
    <row r="23456" spans="1:1" x14ac:dyDescent="0.2">
      <c r="A23456" t="s">
        <v>5268</v>
      </c>
    </row>
    <row r="23457" spans="1:1" x14ac:dyDescent="0.2">
      <c r="A23457" t="s">
        <v>5092</v>
      </c>
    </row>
    <row r="23458" spans="1:1" x14ac:dyDescent="0.2">
      <c r="A23458" t="s">
        <v>5200</v>
      </c>
    </row>
    <row r="23459" spans="1:1" x14ac:dyDescent="0.2">
      <c r="A23459" t="s">
        <v>5269</v>
      </c>
    </row>
    <row r="23460" spans="1:1" x14ac:dyDescent="0.2">
      <c r="A23460" t="s">
        <v>5093</v>
      </c>
    </row>
    <row r="23461" spans="1:1" x14ac:dyDescent="0.2">
      <c r="A23461" t="s">
        <v>5202</v>
      </c>
    </row>
    <row r="23462" spans="1:1" x14ac:dyDescent="0.2">
      <c r="A23462" t="s">
        <v>5270</v>
      </c>
    </row>
    <row r="23463" spans="1:1" x14ac:dyDescent="0.2">
      <c r="A23463" t="s">
        <v>5094</v>
      </c>
    </row>
    <row r="23464" spans="1:1" x14ac:dyDescent="0.2">
      <c r="A23464" t="s">
        <v>5204</v>
      </c>
    </row>
    <row r="23465" spans="1:1" x14ac:dyDescent="0.2">
      <c r="A23465" t="s">
        <v>5271</v>
      </c>
    </row>
    <row r="23466" spans="1:1" x14ac:dyDescent="0.2">
      <c r="A23466" t="s">
        <v>5095</v>
      </c>
    </row>
    <row r="23467" spans="1:1" x14ac:dyDescent="0.2">
      <c r="A23467" t="s">
        <v>5206</v>
      </c>
    </row>
    <row r="23468" spans="1:1" x14ac:dyDescent="0.2">
      <c r="A23468" t="s">
        <v>5272</v>
      </c>
    </row>
    <row r="23469" spans="1:1" x14ac:dyDescent="0.2">
      <c r="A23469" t="s">
        <v>2614</v>
      </c>
    </row>
    <row r="23470" spans="1:1" x14ac:dyDescent="0.2">
      <c r="A23470" t="s">
        <v>5208</v>
      </c>
    </row>
    <row r="23471" spans="1:1" x14ac:dyDescent="0.2">
      <c r="A23471" t="s">
        <v>5273</v>
      </c>
    </row>
    <row r="23472" spans="1:1" x14ac:dyDescent="0.2">
      <c r="A23472" t="s">
        <v>5096</v>
      </c>
    </row>
    <row r="23473" spans="1:1" x14ac:dyDescent="0.2">
      <c r="A23473" t="s">
        <v>5210</v>
      </c>
    </row>
    <row r="23474" spans="1:1" x14ac:dyDescent="0.2">
      <c r="A23474" t="s">
        <v>5274</v>
      </c>
    </row>
    <row r="23475" spans="1:1" x14ac:dyDescent="0.2">
      <c r="A23475" t="s">
        <v>5097</v>
      </c>
    </row>
    <row r="23476" spans="1:1" x14ac:dyDescent="0.2">
      <c r="A23476" t="s">
        <v>5212</v>
      </c>
    </row>
    <row r="23477" spans="1:1" x14ac:dyDescent="0.2">
      <c r="A23477" t="s">
        <v>5275</v>
      </c>
    </row>
    <row r="23478" spans="1:1" x14ac:dyDescent="0.2">
      <c r="A23478" t="s">
        <v>5098</v>
      </c>
    </row>
    <row r="23479" spans="1:1" x14ac:dyDescent="0.2">
      <c r="A23479" t="s">
        <v>5214</v>
      </c>
    </row>
    <row r="23480" spans="1:1" x14ac:dyDescent="0.2">
      <c r="A23480" t="s">
        <v>5276</v>
      </c>
    </row>
    <row r="23481" spans="1:1" x14ac:dyDescent="0.2">
      <c r="A23481" t="s">
        <v>5099</v>
      </c>
    </row>
    <row r="23482" spans="1:1" x14ac:dyDescent="0.2">
      <c r="A23482" t="s">
        <v>5216</v>
      </c>
    </row>
    <row r="23483" spans="1:1" x14ac:dyDescent="0.2">
      <c r="A23483" t="s">
        <v>5277</v>
      </c>
    </row>
    <row r="23484" spans="1:1" x14ac:dyDescent="0.2">
      <c r="A23484" t="s">
        <v>5100</v>
      </c>
    </row>
    <row r="23485" spans="1:1" x14ac:dyDescent="0.2">
      <c r="A23485" t="s">
        <v>5218</v>
      </c>
    </row>
    <row r="23486" spans="1:1" x14ac:dyDescent="0.2">
      <c r="A23486" t="s">
        <v>5278</v>
      </c>
    </row>
    <row r="23487" spans="1:1" x14ac:dyDescent="0.2">
      <c r="A23487" t="s">
        <v>2607</v>
      </c>
    </row>
    <row r="23488" spans="1:1" x14ac:dyDescent="0.2">
      <c r="A23488" t="s">
        <v>5220</v>
      </c>
    </row>
    <row r="23489" spans="1:1" x14ac:dyDescent="0.2">
      <c r="A23489" t="s">
        <v>5279</v>
      </c>
    </row>
    <row r="23490" spans="1:1" x14ac:dyDescent="0.2">
      <c r="A23490" t="s">
        <v>5101</v>
      </c>
    </row>
    <row r="23491" spans="1:1" x14ac:dyDescent="0.2">
      <c r="A23491" t="s">
        <v>5222</v>
      </c>
    </row>
    <row r="23492" spans="1:1" x14ac:dyDescent="0.2">
      <c r="A23492" t="s">
        <v>5280</v>
      </c>
    </row>
    <row r="23493" spans="1:1" x14ac:dyDescent="0.2">
      <c r="A23493" t="s">
        <v>5102</v>
      </c>
    </row>
    <row r="23494" spans="1:1" x14ac:dyDescent="0.2">
      <c r="A23494" t="s">
        <v>5224</v>
      </c>
    </row>
    <row r="23495" spans="1:1" x14ac:dyDescent="0.2">
      <c r="A23495" t="s">
        <v>5281</v>
      </c>
    </row>
    <row r="23496" spans="1:1" x14ac:dyDescent="0.2">
      <c r="A23496" t="s">
        <v>5103</v>
      </c>
    </row>
    <row r="23497" spans="1:1" x14ac:dyDescent="0.2">
      <c r="A23497" t="s">
        <v>5226</v>
      </c>
    </row>
    <row r="23498" spans="1:1" x14ac:dyDescent="0.2">
      <c r="A23498" t="s">
        <v>5282</v>
      </c>
    </row>
    <row r="23499" spans="1:1" x14ac:dyDescent="0.2">
      <c r="A23499" t="s">
        <v>5104</v>
      </c>
    </row>
    <row r="23500" spans="1:1" x14ac:dyDescent="0.2">
      <c r="A23500" t="s">
        <v>5228</v>
      </c>
    </row>
    <row r="23501" spans="1:1" x14ac:dyDescent="0.2">
      <c r="A23501" t="s">
        <v>5283</v>
      </c>
    </row>
    <row r="23502" spans="1:1" x14ac:dyDescent="0.2">
      <c r="A23502" t="s">
        <v>4776</v>
      </c>
    </row>
    <row r="23503" spans="1:1" x14ac:dyDescent="0.2">
      <c r="A23503" t="s">
        <v>5230</v>
      </c>
    </row>
    <row r="23504" spans="1:1" x14ac:dyDescent="0.2">
      <c r="A23504" t="s">
        <v>5284</v>
      </c>
    </row>
    <row r="23505" spans="1:1" x14ac:dyDescent="0.2">
      <c r="A23505" t="s">
        <v>5232</v>
      </c>
    </row>
    <row r="23506" spans="1:1" x14ac:dyDescent="0.2">
      <c r="A23506" t="s">
        <v>5233</v>
      </c>
    </row>
    <row r="23507" spans="1:1" x14ac:dyDescent="0.2">
      <c r="A23507" t="s">
        <v>2069</v>
      </c>
    </row>
    <row r="23508" spans="1:1" x14ac:dyDescent="0.2">
      <c r="A23508" t="s">
        <v>1852</v>
      </c>
    </row>
    <row r="23509" spans="1:1" x14ac:dyDescent="0.2">
      <c r="A23509" t="s">
        <v>1853</v>
      </c>
    </row>
    <row r="23510" spans="1:1" x14ac:dyDescent="0.2">
      <c r="A23510" t="s">
        <v>1854</v>
      </c>
    </row>
    <row r="23511" spans="1:1" x14ac:dyDescent="0.2">
      <c r="A23511" t="s">
        <v>1855</v>
      </c>
    </row>
    <row r="23512" spans="1:1" x14ac:dyDescent="0.2">
      <c r="A23512" t="s">
        <v>1856</v>
      </c>
    </row>
    <row r="23513" spans="1:1" x14ac:dyDescent="0.2">
      <c r="A23513" t="s">
        <v>4813</v>
      </c>
    </row>
    <row r="23514" spans="1:1" x14ac:dyDescent="0.2">
      <c r="A23514" t="s">
        <v>1857</v>
      </c>
    </row>
    <row r="23515" spans="1:1" x14ac:dyDescent="0.2">
      <c r="A23515" t="s">
        <v>1858</v>
      </c>
    </row>
    <row r="23516" spans="1:1" x14ac:dyDescent="0.2">
      <c r="A23516" t="s">
        <v>4814</v>
      </c>
    </row>
    <row r="23517" spans="1:1" x14ac:dyDescent="0.2">
      <c r="A23517" t="s">
        <v>1857</v>
      </c>
    </row>
    <row r="23518" spans="1:1" x14ac:dyDescent="0.2">
      <c r="A23518" t="s">
        <v>1859</v>
      </c>
    </row>
    <row r="23519" spans="1:1" x14ac:dyDescent="0.2">
      <c r="A23519" t="s">
        <v>4815</v>
      </c>
    </row>
    <row r="23520" spans="1:1" x14ac:dyDescent="0.2">
      <c r="A23520" t="s">
        <v>1857</v>
      </c>
    </row>
    <row r="23521" spans="1:1" x14ac:dyDescent="0.2">
      <c r="A23521" t="s">
        <v>1886</v>
      </c>
    </row>
    <row r="23522" spans="1:1" x14ac:dyDescent="0.2">
      <c r="A23522" t="s">
        <v>4816</v>
      </c>
    </row>
    <row r="23523" spans="1:1" x14ac:dyDescent="0.2">
      <c r="A23523" t="s">
        <v>1857</v>
      </c>
    </row>
    <row r="23524" spans="1:1" x14ac:dyDescent="0.2">
      <c r="A23524" t="s">
        <v>1889</v>
      </c>
    </row>
    <row r="23525" spans="1:1" x14ac:dyDescent="0.2">
      <c r="A23525" t="s">
        <v>4817</v>
      </c>
    </row>
    <row r="23526" spans="1:1" x14ac:dyDescent="0.2">
      <c r="A23526" t="s">
        <v>1857</v>
      </c>
    </row>
    <row r="23527" spans="1:1" x14ac:dyDescent="0.2">
      <c r="A23527" t="s">
        <v>1892</v>
      </c>
    </row>
    <row r="23528" spans="1:1" x14ac:dyDescent="0.2">
      <c r="A23528" t="s">
        <v>4818</v>
      </c>
    </row>
    <row r="23529" spans="1:1" x14ac:dyDescent="0.2">
      <c r="A23529" t="s">
        <v>1857</v>
      </c>
    </row>
    <row r="23530" spans="1:1" x14ac:dyDescent="0.2">
      <c r="A23530" t="s">
        <v>1895</v>
      </c>
    </row>
    <row r="23531" spans="1:1" x14ac:dyDescent="0.2">
      <c r="A23531" t="s">
        <v>4819</v>
      </c>
    </row>
    <row r="23532" spans="1:1" x14ac:dyDescent="0.2">
      <c r="A23532" t="s">
        <v>1857</v>
      </c>
    </row>
    <row r="23533" spans="1:1" x14ac:dyDescent="0.2">
      <c r="A23533" t="s">
        <v>1898</v>
      </c>
    </row>
    <row r="23534" spans="1:1" x14ac:dyDescent="0.2">
      <c r="A23534" t="s">
        <v>4820</v>
      </c>
    </row>
    <row r="23535" spans="1:1" x14ac:dyDescent="0.2">
      <c r="A23535" t="s">
        <v>1857</v>
      </c>
    </row>
    <row r="23536" spans="1:1" x14ac:dyDescent="0.2">
      <c r="A23536" t="s">
        <v>1901</v>
      </c>
    </row>
    <row r="23537" spans="1:1" x14ac:dyDescent="0.2">
      <c r="A23537" t="s">
        <v>4821</v>
      </c>
    </row>
    <row r="23538" spans="1:1" x14ac:dyDescent="0.2">
      <c r="A23538" t="s">
        <v>1857</v>
      </c>
    </row>
    <row r="23539" spans="1:1" x14ac:dyDescent="0.2">
      <c r="A23539" t="s">
        <v>1904</v>
      </c>
    </row>
    <row r="23540" spans="1:1" x14ac:dyDescent="0.2">
      <c r="A23540" t="s">
        <v>4822</v>
      </c>
    </row>
    <row r="23541" spans="1:1" x14ac:dyDescent="0.2">
      <c r="A23541" t="s">
        <v>1857</v>
      </c>
    </row>
    <row r="23542" spans="1:1" x14ac:dyDescent="0.2">
      <c r="A23542" t="s">
        <v>1907</v>
      </c>
    </row>
    <row r="23543" spans="1:1" x14ac:dyDescent="0.2">
      <c r="A23543" t="s">
        <v>4823</v>
      </c>
    </row>
    <row r="23544" spans="1:1" x14ac:dyDescent="0.2">
      <c r="A23544" t="s">
        <v>1857</v>
      </c>
    </row>
    <row r="23545" spans="1:1" x14ac:dyDescent="0.2">
      <c r="A23545" t="s">
        <v>1910</v>
      </c>
    </row>
    <row r="23546" spans="1:1" x14ac:dyDescent="0.2">
      <c r="A23546" t="s">
        <v>4824</v>
      </c>
    </row>
    <row r="23547" spans="1:1" x14ac:dyDescent="0.2">
      <c r="A23547" t="s">
        <v>1857</v>
      </c>
    </row>
    <row r="23548" spans="1:1" x14ac:dyDescent="0.2">
      <c r="A23548" t="s">
        <v>1913</v>
      </c>
    </row>
    <row r="23549" spans="1:1" x14ac:dyDescent="0.2">
      <c r="A23549" t="s">
        <v>4825</v>
      </c>
    </row>
    <row r="23550" spans="1:1" x14ac:dyDescent="0.2">
      <c r="A23550" t="s">
        <v>1857</v>
      </c>
    </row>
    <row r="23551" spans="1:1" x14ac:dyDescent="0.2">
      <c r="A23551" t="s">
        <v>1916</v>
      </c>
    </row>
    <row r="23552" spans="1:1" x14ac:dyDescent="0.2">
      <c r="A23552" t="s">
        <v>4826</v>
      </c>
    </row>
    <row r="23553" spans="1:1" x14ac:dyDescent="0.2">
      <c r="A23553" t="s">
        <v>1857</v>
      </c>
    </row>
    <row r="23554" spans="1:1" x14ac:dyDescent="0.2">
      <c r="A23554" t="s">
        <v>1919</v>
      </c>
    </row>
    <row r="23555" spans="1:1" x14ac:dyDescent="0.2">
      <c r="A23555" t="s">
        <v>4827</v>
      </c>
    </row>
    <row r="23556" spans="1:1" x14ac:dyDescent="0.2">
      <c r="A23556" t="s">
        <v>1857</v>
      </c>
    </row>
    <row r="23557" spans="1:1" x14ac:dyDescent="0.2">
      <c r="A23557" t="s">
        <v>1922</v>
      </c>
    </row>
    <row r="23558" spans="1:1" x14ac:dyDescent="0.2">
      <c r="A23558" t="s">
        <v>4828</v>
      </c>
    </row>
    <row r="23559" spans="1:1" x14ac:dyDescent="0.2">
      <c r="A23559" t="s">
        <v>1857</v>
      </c>
    </row>
    <row r="23560" spans="1:1" x14ac:dyDescent="0.2">
      <c r="A23560" t="s">
        <v>1847</v>
      </c>
    </row>
    <row r="23561" spans="1:1" x14ac:dyDescent="0.2">
      <c r="A23561" t="s">
        <v>4829</v>
      </c>
    </row>
    <row r="23562" spans="1:1" x14ac:dyDescent="0.2">
      <c r="A23562" t="s">
        <v>1857</v>
      </c>
    </row>
    <row r="23563" spans="1:1" x14ac:dyDescent="0.2">
      <c r="A23563" t="s">
        <v>1927</v>
      </c>
    </row>
    <row r="23564" spans="1:1" x14ac:dyDescent="0.2">
      <c r="A23564" t="s">
        <v>4830</v>
      </c>
    </row>
    <row r="23565" spans="1:1" x14ac:dyDescent="0.2">
      <c r="A23565" t="s">
        <v>1857</v>
      </c>
    </row>
    <row r="23566" spans="1:1" x14ac:dyDescent="0.2">
      <c r="A23566" t="s">
        <v>1930</v>
      </c>
    </row>
    <row r="23567" spans="1:1" x14ac:dyDescent="0.2">
      <c r="A23567" t="s">
        <v>4831</v>
      </c>
    </row>
    <row r="23568" spans="1:1" x14ac:dyDescent="0.2">
      <c r="A23568" t="s">
        <v>1857</v>
      </c>
    </row>
    <row r="23569" spans="1:1" x14ac:dyDescent="0.2">
      <c r="A23569" t="s">
        <v>1933</v>
      </c>
    </row>
    <row r="23570" spans="1:1" x14ac:dyDescent="0.2">
      <c r="A23570" t="s">
        <v>4832</v>
      </c>
    </row>
    <row r="23571" spans="1:1" x14ac:dyDescent="0.2">
      <c r="A23571" t="s">
        <v>1857</v>
      </c>
    </row>
    <row r="23572" spans="1:1" x14ac:dyDescent="0.2">
      <c r="A23572" t="s">
        <v>1936</v>
      </c>
    </row>
    <row r="23573" spans="1:1" x14ac:dyDescent="0.2">
      <c r="A23573" t="s">
        <v>4833</v>
      </c>
    </row>
    <row r="23574" spans="1:1" x14ac:dyDescent="0.2">
      <c r="A23574" t="s">
        <v>1857</v>
      </c>
    </row>
    <row r="23575" spans="1:1" x14ac:dyDescent="0.2">
      <c r="A23575" t="s">
        <v>1939</v>
      </c>
    </row>
    <row r="23576" spans="1:1" x14ac:dyDescent="0.2">
      <c r="A23576" t="s">
        <v>4834</v>
      </c>
    </row>
    <row r="23577" spans="1:1" x14ac:dyDescent="0.2">
      <c r="A23577" t="s">
        <v>1857</v>
      </c>
    </row>
    <row r="23578" spans="1:1" x14ac:dyDescent="0.2">
      <c r="A23578" t="s">
        <v>1942</v>
      </c>
    </row>
    <row r="23579" spans="1:1" x14ac:dyDescent="0.2">
      <c r="A23579" t="s">
        <v>4835</v>
      </c>
    </row>
    <row r="23580" spans="1:1" x14ac:dyDescent="0.2">
      <c r="A23580" t="s">
        <v>1857</v>
      </c>
    </row>
    <row r="23581" spans="1:1" x14ac:dyDescent="0.2">
      <c r="A23581" t="s">
        <v>1945</v>
      </c>
    </row>
    <row r="23582" spans="1:1" x14ac:dyDescent="0.2">
      <c r="A23582" t="s">
        <v>4836</v>
      </c>
    </row>
    <row r="23583" spans="1:1" x14ac:dyDescent="0.2">
      <c r="A23583" t="s">
        <v>1857</v>
      </c>
    </row>
    <row r="23584" spans="1:1" x14ac:dyDescent="0.2">
      <c r="A23584" t="s">
        <v>1948</v>
      </c>
    </row>
    <row r="23585" spans="1:1" x14ac:dyDescent="0.2">
      <c r="A23585" t="s">
        <v>4837</v>
      </c>
    </row>
    <row r="23586" spans="1:1" x14ac:dyDescent="0.2">
      <c r="A23586" t="s">
        <v>1857</v>
      </c>
    </row>
    <row r="23587" spans="1:1" x14ac:dyDescent="0.2">
      <c r="A23587" t="s">
        <v>1951</v>
      </c>
    </row>
    <row r="23588" spans="1:1" x14ac:dyDescent="0.2">
      <c r="A23588" t="s">
        <v>4838</v>
      </c>
    </row>
    <row r="23589" spans="1:1" x14ac:dyDescent="0.2">
      <c r="A23589" t="s">
        <v>1857</v>
      </c>
    </row>
    <row r="23590" spans="1:1" x14ac:dyDescent="0.2">
      <c r="A23590" t="s">
        <v>1953</v>
      </c>
    </row>
    <row r="23591" spans="1:1" x14ac:dyDescent="0.2">
      <c r="A23591" t="s">
        <v>4839</v>
      </c>
    </row>
    <row r="23592" spans="1:1" x14ac:dyDescent="0.2">
      <c r="A23592" t="s">
        <v>1857</v>
      </c>
    </row>
    <row r="23593" spans="1:1" x14ac:dyDescent="0.2">
      <c r="A23593" t="s">
        <v>1955</v>
      </c>
    </row>
    <row r="23594" spans="1:1" x14ac:dyDescent="0.2">
      <c r="A23594" t="s">
        <v>4840</v>
      </c>
    </row>
    <row r="23595" spans="1:1" x14ac:dyDescent="0.2">
      <c r="A23595" t="s">
        <v>1857</v>
      </c>
    </row>
    <row r="23596" spans="1:1" x14ac:dyDescent="0.2">
      <c r="A23596" t="s">
        <v>1957</v>
      </c>
    </row>
    <row r="23597" spans="1:1" x14ac:dyDescent="0.2">
      <c r="A23597" t="s">
        <v>4841</v>
      </c>
    </row>
    <row r="23598" spans="1:1" x14ac:dyDescent="0.2">
      <c r="A23598" t="s">
        <v>1857</v>
      </c>
    </row>
    <row r="23599" spans="1:1" x14ac:dyDescent="0.2">
      <c r="A23599" t="s">
        <v>1959</v>
      </c>
    </row>
    <row r="23600" spans="1:1" x14ac:dyDescent="0.2">
      <c r="A23600" t="s">
        <v>4842</v>
      </c>
    </row>
    <row r="23601" spans="1:1" x14ac:dyDescent="0.2">
      <c r="A23601" t="s">
        <v>1857</v>
      </c>
    </row>
    <row r="23602" spans="1:1" x14ac:dyDescent="0.2">
      <c r="A23602" t="s">
        <v>1961</v>
      </c>
    </row>
    <row r="23603" spans="1:1" x14ac:dyDescent="0.2">
      <c r="A23603" t="s">
        <v>4843</v>
      </c>
    </row>
    <row r="23604" spans="1:1" x14ac:dyDescent="0.2">
      <c r="A23604" t="s">
        <v>1857</v>
      </c>
    </row>
    <row r="23605" spans="1:1" x14ac:dyDescent="0.2">
      <c r="A23605" t="s">
        <v>1963</v>
      </c>
    </row>
    <row r="23606" spans="1:1" x14ac:dyDescent="0.2">
      <c r="A23606" t="s">
        <v>4844</v>
      </c>
    </row>
    <row r="23607" spans="1:1" x14ac:dyDescent="0.2">
      <c r="A23607" t="s">
        <v>1857</v>
      </c>
    </row>
    <row r="23608" spans="1:1" x14ac:dyDescent="0.2">
      <c r="A23608" t="s">
        <v>1965</v>
      </c>
    </row>
    <row r="23609" spans="1:1" x14ac:dyDescent="0.2">
      <c r="A23609" t="s">
        <v>4845</v>
      </c>
    </row>
    <row r="23610" spans="1:1" x14ac:dyDescent="0.2">
      <c r="A23610" t="s">
        <v>1857</v>
      </c>
    </row>
    <row r="23611" spans="1:1" x14ac:dyDescent="0.2">
      <c r="A23611" t="s">
        <v>1967</v>
      </c>
    </row>
    <row r="23612" spans="1:1" x14ac:dyDescent="0.2">
      <c r="A23612" t="s">
        <v>4846</v>
      </c>
    </row>
    <row r="23613" spans="1:1" x14ac:dyDescent="0.2">
      <c r="A23613" t="s">
        <v>1857</v>
      </c>
    </row>
    <row r="23614" spans="1:1" x14ac:dyDescent="0.2">
      <c r="A23614" t="s">
        <v>1969</v>
      </c>
    </row>
    <row r="23615" spans="1:1" x14ac:dyDescent="0.2">
      <c r="A23615" t="s">
        <v>4847</v>
      </c>
    </row>
    <row r="23616" spans="1:1" x14ac:dyDescent="0.2">
      <c r="A23616" t="s">
        <v>1857</v>
      </c>
    </row>
    <row r="23617" spans="1:1" x14ac:dyDescent="0.2">
      <c r="A23617" t="s">
        <v>1971</v>
      </c>
    </row>
    <row r="23618" spans="1:1" x14ac:dyDescent="0.2">
      <c r="A23618" t="s">
        <v>4848</v>
      </c>
    </row>
    <row r="23619" spans="1:1" x14ac:dyDescent="0.2">
      <c r="A23619" t="s">
        <v>1857</v>
      </c>
    </row>
    <row r="23620" spans="1:1" x14ac:dyDescent="0.2">
      <c r="A23620" t="s">
        <v>1973</v>
      </c>
    </row>
    <row r="23621" spans="1:1" x14ac:dyDescent="0.2">
      <c r="A23621" t="s">
        <v>4849</v>
      </c>
    </row>
    <row r="23622" spans="1:1" x14ac:dyDescent="0.2">
      <c r="A23622" t="s">
        <v>1857</v>
      </c>
    </row>
    <row r="23623" spans="1:1" x14ac:dyDescent="0.2">
      <c r="A23623" t="s">
        <v>4801</v>
      </c>
    </row>
    <row r="23624" spans="1:1" x14ac:dyDescent="0.2">
      <c r="A23624" t="s">
        <v>4850</v>
      </c>
    </row>
    <row r="23625" spans="1:1" x14ac:dyDescent="0.2">
      <c r="A23625" t="s">
        <v>1857</v>
      </c>
    </row>
    <row r="23626" spans="1:1" x14ac:dyDescent="0.2">
      <c r="A23626" t="s">
        <v>4851</v>
      </c>
    </row>
    <row r="23627" spans="1:1" x14ac:dyDescent="0.2">
      <c r="A23627" t="s">
        <v>4852</v>
      </c>
    </row>
    <row r="23628" spans="1:1" x14ac:dyDescent="0.2">
      <c r="A23628" t="s">
        <v>1857</v>
      </c>
    </row>
    <row r="23629" spans="1:1" x14ac:dyDescent="0.2">
      <c r="A23629" t="s">
        <v>4853</v>
      </c>
    </row>
    <row r="23630" spans="1:1" x14ac:dyDescent="0.2">
      <c r="A23630" t="s">
        <v>4854</v>
      </c>
    </row>
    <row r="23631" spans="1:1" x14ac:dyDescent="0.2">
      <c r="A23631" t="s">
        <v>1857</v>
      </c>
    </row>
    <row r="23632" spans="1:1" x14ac:dyDescent="0.2">
      <c r="A23632" t="s">
        <v>4855</v>
      </c>
    </row>
    <row r="23633" spans="1:1" x14ac:dyDescent="0.2">
      <c r="A23633" t="s">
        <v>4856</v>
      </c>
    </row>
    <row r="23634" spans="1:1" x14ac:dyDescent="0.2">
      <c r="A23634" t="s">
        <v>1857</v>
      </c>
    </row>
    <row r="23635" spans="1:1" x14ac:dyDescent="0.2">
      <c r="A23635" t="s">
        <v>4857</v>
      </c>
    </row>
    <row r="23636" spans="1:1" x14ac:dyDescent="0.2">
      <c r="A23636" t="s">
        <v>4858</v>
      </c>
    </row>
    <row r="23637" spans="1:1" x14ac:dyDescent="0.2">
      <c r="A23637" t="s">
        <v>1857</v>
      </c>
    </row>
    <row r="23638" spans="1:1" x14ac:dyDescent="0.2">
      <c r="A23638" t="s">
        <v>4859</v>
      </c>
    </row>
    <row r="23639" spans="1:1" x14ac:dyDescent="0.2">
      <c r="A23639" t="s">
        <v>4860</v>
      </c>
    </row>
    <row r="23640" spans="1:1" x14ac:dyDescent="0.2">
      <c r="A23640" t="s">
        <v>1857</v>
      </c>
    </row>
    <row r="23641" spans="1:1" x14ac:dyDescent="0.2">
      <c r="A23641" t="s">
        <v>4861</v>
      </c>
    </row>
    <row r="23642" spans="1:1" x14ac:dyDescent="0.2">
      <c r="A23642" t="s">
        <v>4862</v>
      </c>
    </row>
    <row r="23643" spans="1:1" x14ac:dyDescent="0.2">
      <c r="A23643" t="s">
        <v>1857</v>
      </c>
    </row>
    <row r="23644" spans="1:1" x14ac:dyDescent="0.2">
      <c r="A23644" t="s">
        <v>4863</v>
      </c>
    </row>
    <row r="23645" spans="1:1" x14ac:dyDescent="0.2">
      <c r="A23645" t="s">
        <v>4864</v>
      </c>
    </row>
    <row r="23646" spans="1:1" x14ac:dyDescent="0.2">
      <c r="A23646" t="s">
        <v>1857</v>
      </c>
    </row>
    <row r="23647" spans="1:1" x14ac:dyDescent="0.2">
      <c r="A23647" t="s">
        <v>4865</v>
      </c>
    </row>
    <row r="23648" spans="1:1" x14ac:dyDescent="0.2">
      <c r="A23648" t="s">
        <v>4866</v>
      </c>
    </row>
    <row r="23649" spans="1:1" x14ac:dyDescent="0.2">
      <c r="A23649" t="s">
        <v>1857</v>
      </c>
    </row>
    <row r="23650" spans="1:1" x14ac:dyDescent="0.2">
      <c r="A23650" t="s">
        <v>4809</v>
      </c>
    </row>
    <row r="23651" spans="1:1" x14ac:dyDescent="0.2">
      <c r="A23651" t="s">
        <v>4867</v>
      </c>
    </row>
    <row r="23652" spans="1:1" x14ac:dyDescent="0.2">
      <c r="A23652" t="s">
        <v>1857</v>
      </c>
    </row>
    <row r="23653" spans="1:1" x14ac:dyDescent="0.2">
      <c r="A23653" t="s">
        <v>4868</v>
      </c>
    </row>
    <row r="23654" spans="1:1" x14ac:dyDescent="0.2">
      <c r="A23654" t="s">
        <v>4869</v>
      </c>
    </row>
    <row r="23655" spans="1:1" x14ac:dyDescent="0.2">
      <c r="A23655" t="s">
        <v>1857</v>
      </c>
    </row>
    <row r="23656" spans="1:1" x14ac:dyDescent="0.2">
      <c r="A23656" t="s">
        <v>4870</v>
      </c>
    </row>
    <row r="23657" spans="1:1" x14ac:dyDescent="0.2">
      <c r="A23657" t="s">
        <v>4871</v>
      </c>
    </row>
    <row r="23658" spans="1:1" x14ac:dyDescent="0.2">
      <c r="A23658" t="s">
        <v>1857</v>
      </c>
    </row>
    <row r="23659" spans="1:1" x14ac:dyDescent="0.2">
      <c r="A23659" t="s">
        <v>4872</v>
      </c>
    </row>
    <row r="23660" spans="1:1" x14ac:dyDescent="0.2">
      <c r="A23660" t="s">
        <v>4873</v>
      </c>
    </row>
    <row r="23661" spans="1:1" x14ac:dyDescent="0.2">
      <c r="A23661" t="s">
        <v>1857</v>
      </c>
    </row>
    <row r="23662" spans="1:1" x14ac:dyDescent="0.2">
      <c r="A23662" t="s">
        <v>4874</v>
      </c>
    </row>
    <row r="23663" spans="1:1" x14ac:dyDescent="0.2">
      <c r="A23663" t="s">
        <v>4875</v>
      </c>
    </row>
    <row r="23664" spans="1:1" x14ac:dyDescent="0.2">
      <c r="A23664" t="s">
        <v>1857</v>
      </c>
    </row>
    <row r="23665" spans="1:1" x14ac:dyDescent="0.2">
      <c r="A23665" t="s">
        <v>2070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G4" sqref="G4"/>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customWidth="1"/>
    <col min="17" max="17" width="15.7109375" customWidth="1"/>
    <col min="18" max="18" width="25.7109375" customWidth="1"/>
    <col min="19" max="19" width="13" customWidth="1"/>
    <col min="20" max="20" width="11.7109375" customWidth="1"/>
    <col min="27" max="27" width="9.140625" customWidth="1"/>
  </cols>
  <sheetData>
    <row r="1" spans="3:22" x14ac:dyDescent="0.2">
      <c r="C1" s="49"/>
      <c r="F1" s="32" t="s">
        <v>2071</v>
      </c>
      <c r="G1">
        <f>COUNTA('New TNX Lines'!D:D)</f>
        <v>0</v>
      </c>
      <c r="O1" t="str">
        <f>IF(NOT(ISERROR(MATCH("AntennaType=Pole",B:B,0))),"Pole",IF(NOT(ISERROR(MATCH("AntennaType=Tapered Pole",B:B,0))),"Tapered Pole",""))</f>
        <v/>
      </c>
      <c r="P1" s="65"/>
      <c r="Q1" s="66"/>
      <c r="S1" t="str">
        <f t="shared" ref="S1:S32" si="0">IF(T1="","",VLOOKUP(R1,$P:$Q,2,FALSE))</f>
        <v/>
      </c>
      <c r="T1" s="49"/>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32" t="s">
        <v>2072</v>
      </c>
      <c r="G2" t="e">
        <f>MATCH("AntennaRec=1",B:B,0)-1</f>
        <v>#N/A</v>
      </c>
      <c r="P2" s="64"/>
      <c r="Q2" s="67"/>
      <c r="S2" t="str">
        <f t="shared" si="0"/>
        <v/>
      </c>
      <c r="U2" t="str">
        <f t="shared" ref="U2:U47" si="1">IF(S2="","",LEFT(S2,FIND(" ",S2,1)))</f>
        <v/>
      </c>
      <c r="V2" t="str">
        <f t="shared" ref="V2:V47" si="2">IF(S2="","",RIGHT(S2,LEN(S2)-FIND(" ",S2,1)))</f>
        <v/>
      </c>
    </row>
    <row r="3" spans="3:22" x14ac:dyDescent="0.2">
      <c r="C3" t="b">
        <f>NOT(ISERROR(MATCH("AntennaWPMult=0.950000",B:B,0)))</f>
        <v>0</v>
      </c>
      <c r="F3" s="32" t="s">
        <v>2073</v>
      </c>
      <c r="G3" t="e">
        <f>MATCH("SuppNone1=Yes",B:B,0)-2</f>
        <v>#N/A</v>
      </c>
      <c r="P3" s="64"/>
      <c r="Q3" s="67"/>
      <c r="S3" t="str">
        <f t="shared" si="0"/>
        <v/>
      </c>
      <c r="U3" t="str">
        <f t="shared" si="1"/>
        <v/>
      </c>
      <c r="V3" t="str">
        <f t="shared" si="2"/>
        <v/>
      </c>
    </row>
    <row r="4" spans="3:22" x14ac:dyDescent="0.2">
      <c r="F4" s="32" t="s">
        <v>2074</v>
      </c>
      <c r="G4" t="e">
        <f>IFERROR(MATCH("[EndOverwrite]",B:B,0),MATCH("[End Application]",B:B,0))</f>
        <v>#N/A</v>
      </c>
      <c r="P4" s="64"/>
      <c r="Q4" s="67"/>
      <c r="S4" t="str">
        <f t="shared" si="0"/>
        <v/>
      </c>
      <c r="U4" t="str">
        <f t="shared" si="1"/>
        <v/>
      </c>
      <c r="V4" t="str">
        <f t="shared" si="2"/>
        <v/>
      </c>
    </row>
    <row r="5" spans="3:22" x14ac:dyDescent="0.2">
      <c r="F5" s="33"/>
      <c r="P5" s="64"/>
      <c r="Q5" s="67"/>
      <c r="S5" t="str">
        <f t="shared" si="0"/>
        <v/>
      </c>
      <c r="U5" t="str">
        <f t="shared" si="1"/>
        <v/>
      </c>
      <c r="V5" t="str">
        <f t="shared" si="2"/>
        <v/>
      </c>
    </row>
    <row r="6" spans="3:22" x14ac:dyDescent="0.2">
      <c r="F6" s="33" t="s">
        <v>2075</v>
      </c>
      <c r="G6">
        <f>COUNTA(H:H)+1</f>
        <v>1</v>
      </c>
      <c r="P6" s="64"/>
      <c r="Q6" s="67"/>
      <c r="S6" t="str">
        <f t="shared" si="0"/>
        <v/>
      </c>
      <c r="U6" t="str">
        <f t="shared" si="1"/>
        <v/>
      </c>
      <c r="V6" t="str">
        <f t="shared" si="2"/>
        <v/>
      </c>
    </row>
    <row r="7" spans="3:22" x14ac:dyDescent="0.2">
      <c r="F7" s="33" t="s">
        <v>2076</v>
      </c>
      <c r="G7">
        <f>COUNTA(I:I)+1</f>
        <v>1</v>
      </c>
      <c r="P7" s="64"/>
      <c r="Q7" s="67"/>
      <c r="S7" t="str">
        <f t="shared" si="0"/>
        <v/>
      </c>
      <c r="U7" t="str">
        <f t="shared" si="1"/>
        <v/>
      </c>
      <c r="V7" t="str">
        <f t="shared" si="2"/>
        <v/>
      </c>
    </row>
    <row r="8" spans="3:22" x14ac:dyDescent="0.2">
      <c r="F8" s="33" t="s">
        <v>2077</v>
      </c>
      <c r="G8">
        <f>COUNTA(J:J)+1</f>
        <v>1</v>
      </c>
      <c r="P8" s="64"/>
      <c r="Q8" s="67"/>
      <c r="S8" t="str">
        <f t="shared" si="0"/>
        <v/>
      </c>
      <c r="U8" t="str">
        <f t="shared" si="1"/>
        <v/>
      </c>
      <c r="V8" t="str">
        <f t="shared" si="2"/>
        <v/>
      </c>
    </row>
    <row r="9" spans="3:22" x14ac:dyDescent="0.2">
      <c r="F9" s="33" t="s">
        <v>2078</v>
      </c>
      <c r="G9">
        <f>COUNTA(K:K)+1</f>
        <v>1</v>
      </c>
      <c r="P9" s="64"/>
      <c r="Q9" s="67"/>
      <c r="S9" t="str">
        <f t="shared" si="0"/>
        <v/>
      </c>
      <c r="U9" t="str">
        <f t="shared" si="1"/>
        <v/>
      </c>
      <c r="V9" t="str">
        <f t="shared" si="2"/>
        <v/>
      </c>
    </row>
    <row r="10" spans="3:22" x14ac:dyDescent="0.2">
      <c r="F10" s="33" t="s">
        <v>2079</v>
      </c>
      <c r="G10">
        <f>COUNTA(L:L)+1</f>
        <v>1</v>
      </c>
      <c r="P10" s="64"/>
      <c r="Q10" s="67"/>
      <c r="S10" t="str">
        <f t="shared" si="0"/>
        <v/>
      </c>
      <c r="U10" t="str">
        <f t="shared" si="1"/>
        <v/>
      </c>
      <c r="V10" t="str">
        <f t="shared" si="2"/>
        <v/>
      </c>
    </row>
    <row r="11" spans="3:22" x14ac:dyDescent="0.2">
      <c r="F11" s="33" t="s">
        <v>2080</v>
      </c>
      <c r="G11">
        <f>COUNTA(M:M)+1</f>
        <v>1</v>
      </c>
      <c r="P11" s="64"/>
      <c r="Q11" s="67"/>
      <c r="S11" t="str">
        <f t="shared" si="0"/>
        <v/>
      </c>
      <c r="U11" t="str">
        <f t="shared" si="1"/>
        <v/>
      </c>
      <c r="V11" t="str">
        <f t="shared" si="2"/>
        <v/>
      </c>
    </row>
    <row r="12" spans="3:22" x14ac:dyDescent="0.2">
      <c r="F12" s="33" t="s">
        <v>2081</v>
      </c>
      <c r="G12">
        <f>COUNTA(N:N)+1</f>
        <v>1</v>
      </c>
      <c r="P12" s="64"/>
      <c r="Q12" s="67"/>
      <c r="S12" t="str">
        <f t="shared" si="0"/>
        <v/>
      </c>
      <c r="U12" t="str">
        <f t="shared" si="1"/>
        <v/>
      </c>
      <c r="V12" t="str">
        <f t="shared" si="2"/>
        <v/>
      </c>
    </row>
    <row r="13" spans="3:22" x14ac:dyDescent="0.2">
      <c r="F13" s="33" t="s">
        <v>2082</v>
      </c>
      <c r="G13">
        <f>COUNTA(P:P)+1</f>
        <v>1</v>
      </c>
      <c r="P13" s="64"/>
      <c r="Q13" s="67"/>
      <c r="S13" t="str">
        <f t="shared" si="0"/>
        <v/>
      </c>
      <c r="U13" t="str">
        <f t="shared" si="1"/>
        <v/>
      </c>
      <c r="V13" t="str">
        <f t="shared" si="2"/>
        <v/>
      </c>
    </row>
    <row r="14" spans="3:22" x14ac:dyDescent="0.2">
      <c r="F14" s="33" t="s">
        <v>2083</v>
      </c>
      <c r="G14">
        <f>COUNTA(Q:Q)+1</f>
        <v>1</v>
      </c>
      <c r="P14" s="64"/>
      <c r="Q14" s="67"/>
      <c r="S14" t="str">
        <f t="shared" si="0"/>
        <v/>
      </c>
      <c r="U14" t="str">
        <f t="shared" si="1"/>
        <v/>
      </c>
      <c r="V14" t="str">
        <f t="shared" si="2"/>
        <v/>
      </c>
    </row>
    <row r="15" spans="3:22" x14ac:dyDescent="0.2">
      <c r="F15" s="32" t="s">
        <v>2084</v>
      </c>
      <c r="G15">
        <f>COUNTA(R:R)+1</f>
        <v>1</v>
      </c>
      <c r="P15" s="64"/>
      <c r="Q15" s="67"/>
      <c r="S15" t="str">
        <f t="shared" si="0"/>
        <v/>
      </c>
      <c r="U15" t="str">
        <f t="shared" si="1"/>
        <v/>
      </c>
      <c r="V15" t="str">
        <f t="shared" si="2"/>
        <v/>
      </c>
    </row>
    <row r="16" spans="3:22" x14ac:dyDescent="0.2">
      <c r="F16" s="32" t="s">
        <v>2085</v>
      </c>
      <c r="G16">
        <f>COUNTA(T:T)+1</f>
        <v>1</v>
      </c>
      <c r="P16" s="64"/>
      <c r="Q16" s="67"/>
      <c r="S16" t="str">
        <f t="shared" si="0"/>
        <v/>
      </c>
      <c r="U16" t="str">
        <f t="shared" si="1"/>
        <v/>
      </c>
      <c r="V16" t="str">
        <f t="shared" si="2"/>
        <v/>
      </c>
    </row>
    <row r="17" spans="6:22" x14ac:dyDescent="0.2">
      <c r="P17" s="64"/>
      <c r="Q17" s="67"/>
      <c r="S17" t="str">
        <f t="shared" si="0"/>
        <v/>
      </c>
      <c r="U17" t="str">
        <f t="shared" si="1"/>
        <v/>
      </c>
      <c r="V17" t="str">
        <f t="shared" si="2"/>
        <v/>
      </c>
    </row>
    <row r="18" spans="6:22" x14ac:dyDescent="0.2">
      <c r="P18" s="64"/>
      <c r="Q18" s="67"/>
      <c r="S18" t="str">
        <f t="shared" si="0"/>
        <v/>
      </c>
      <c r="U18" t="str">
        <f t="shared" si="1"/>
        <v/>
      </c>
      <c r="V18" t="str">
        <f t="shared" si="2"/>
        <v/>
      </c>
    </row>
    <row r="19" spans="6:22" x14ac:dyDescent="0.2">
      <c r="P19" s="64"/>
      <c r="Q19" s="67"/>
      <c r="S19" t="str">
        <f t="shared" si="0"/>
        <v/>
      </c>
      <c r="U19" t="str">
        <f t="shared" si="1"/>
        <v/>
      </c>
      <c r="V19" t="str">
        <f t="shared" si="2"/>
        <v/>
      </c>
    </row>
    <row r="20" spans="6:22" x14ac:dyDescent="0.2">
      <c r="F20" s="33"/>
      <c r="G20">
        <f>COUNTA('New TNX Lines'!F:F)+1</f>
        <v>1</v>
      </c>
      <c r="P20" s="64"/>
      <c r="Q20" s="67"/>
      <c r="S20" t="str">
        <f t="shared" si="0"/>
        <v/>
      </c>
      <c r="U20" t="str">
        <f t="shared" si="1"/>
        <v/>
      </c>
      <c r="V20" t="str">
        <f t="shared" si="2"/>
        <v/>
      </c>
    </row>
    <row r="21" spans="6:22" x14ac:dyDescent="0.2">
      <c r="F21" s="32" t="s">
        <v>915</v>
      </c>
      <c r="G21" t="e">
        <f>MATCH("[Databases]",B:B,0)</f>
        <v>#N/A</v>
      </c>
      <c r="P21" s="64"/>
      <c r="Q21" s="67"/>
      <c r="S21" t="str">
        <f t="shared" si="0"/>
        <v/>
      </c>
      <c r="U21" t="str">
        <f t="shared" si="1"/>
        <v/>
      </c>
      <c r="V21" t="str">
        <f t="shared" si="2"/>
        <v/>
      </c>
    </row>
    <row r="22" spans="6:22" x14ac:dyDescent="0.2">
      <c r="P22" s="64"/>
      <c r="Q22" s="67"/>
      <c r="S22" t="str">
        <f t="shared" si="0"/>
        <v/>
      </c>
      <c r="U22" t="str">
        <f t="shared" si="1"/>
        <v/>
      </c>
      <c r="V22" t="str">
        <f t="shared" si="2"/>
        <v/>
      </c>
    </row>
    <row r="23" spans="6:22" x14ac:dyDescent="0.2">
      <c r="P23" s="68"/>
      <c r="Q23" s="69"/>
      <c r="S23" t="str">
        <f t="shared" si="0"/>
        <v/>
      </c>
      <c r="U23" t="str">
        <f t="shared" si="1"/>
        <v/>
      </c>
      <c r="V23" t="str">
        <f t="shared" si="2"/>
        <v/>
      </c>
    </row>
    <row r="24" spans="6:22" x14ac:dyDescent="0.2">
      <c r="S24" t="str">
        <f t="shared" si="0"/>
        <v/>
      </c>
      <c r="U24" t="str">
        <f t="shared" si="1"/>
        <v/>
      </c>
      <c r="V24" t="str">
        <f t="shared" si="2"/>
        <v/>
      </c>
    </row>
    <row r="25" spans="6:22" x14ac:dyDescent="0.2">
      <c r="S25" t="str">
        <f t="shared" si="0"/>
        <v/>
      </c>
      <c r="U25" t="str">
        <f t="shared" si="1"/>
        <v/>
      </c>
      <c r="V25" t="str">
        <f t="shared" si="2"/>
        <v/>
      </c>
    </row>
    <row r="26" spans="6:22" x14ac:dyDescent="0.2">
      <c r="S26" t="str">
        <f t="shared" si="0"/>
        <v/>
      </c>
      <c r="U26" t="str">
        <f t="shared" si="1"/>
        <v/>
      </c>
      <c r="V26" t="str">
        <f t="shared" si="2"/>
        <v/>
      </c>
    </row>
    <row r="27" spans="6:22" x14ac:dyDescent="0.2">
      <c r="S27" t="str">
        <f t="shared" si="0"/>
        <v/>
      </c>
      <c r="U27" t="str">
        <f t="shared" si="1"/>
        <v/>
      </c>
      <c r="V27" t="str">
        <f t="shared" si="2"/>
        <v/>
      </c>
    </row>
    <row r="28" spans="6:22" x14ac:dyDescent="0.2">
      <c r="S28" t="str">
        <f t="shared" si="0"/>
        <v/>
      </c>
      <c r="U28" t="str">
        <f t="shared" si="1"/>
        <v/>
      </c>
      <c r="V28" t="str">
        <f t="shared" si="2"/>
        <v/>
      </c>
    </row>
    <row r="29" spans="6:22" x14ac:dyDescent="0.2">
      <c r="S29" t="str">
        <f t="shared" si="0"/>
        <v/>
      </c>
      <c r="U29" t="str">
        <f t="shared" si="1"/>
        <v/>
      </c>
      <c r="V29" t="str">
        <f t="shared" si="2"/>
        <v/>
      </c>
    </row>
    <row r="30" spans="6:22" x14ac:dyDescent="0.2">
      <c r="S30" t="str">
        <f t="shared" si="0"/>
        <v/>
      </c>
      <c r="U30" t="str">
        <f t="shared" si="1"/>
        <v/>
      </c>
      <c r="V30" t="str">
        <f t="shared" si="2"/>
        <v/>
      </c>
    </row>
    <row r="31" spans="6:22" x14ac:dyDescent="0.2">
      <c r="S31" t="str">
        <f t="shared" si="0"/>
        <v/>
      </c>
      <c r="U31" t="str">
        <f t="shared" si="1"/>
        <v/>
      </c>
      <c r="V31" t="str">
        <f t="shared" si="2"/>
        <v/>
      </c>
    </row>
    <row r="32" spans="6:22" x14ac:dyDescent="0.2">
      <c r="S32" t="str">
        <f t="shared" si="0"/>
        <v/>
      </c>
      <c r="U32" t="str">
        <f t="shared" si="1"/>
        <v/>
      </c>
      <c r="V32" t="str">
        <f t="shared" si="2"/>
        <v/>
      </c>
    </row>
    <row r="33" spans="19:22" x14ac:dyDescent="0.2">
      <c r="S33" t="str">
        <f t="shared" ref="S33:S64" si="3">IF(T33="","",VLOOKUP(R33,$P:$Q,2,FALSE))</f>
        <v/>
      </c>
      <c r="U33" t="str">
        <f t="shared" si="1"/>
        <v/>
      </c>
      <c r="V33" t="str">
        <f t="shared" si="2"/>
        <v/>
      </c>
    </row>
    <row r="34" spans="19:22" x14ac:dyDescent="0.2">
      <c r="S34" t="str">
        <f t="shared" si="3"/>
        <v/>
      </c>
      <c r="U34" t="str">
        <f t="shared" si="1"/>
        <v/>
      </c>
      <c r="V34" t="str">
        <f t="shared" si="2"/>
        <v/>
      </c>
    </row>
    <row r="35" spans="19:22" x14ac:dyDescent="0.2">
      <c r="S35" t="str">
        <f t="shared" si="3"/>
        <v/>
      </c>
      <c r="U35" t="str">
        <f>IF(S35="","",LEFT(S35,FIND(" ",S35,1)))</f>
        <v/>
      </c>
      <c r="V35" t="str">
        <f t="shared" si="2"/>
        <v/>
      </c>
    </row>
    <row r="36" spans="19:22" x14ac:dyDescent="0.2">
      <c r="S36" t="str">
        <f t="shared" si="3"/>
        <v/>
      </c>
      <c r="U36" t="str">
        <f t="shared" si="1"/>
        <v/>
      </c>
      <c r="V36" t="str">
        <f t="shared" si="2"/>
        <v/>
      </c>
    </row>
    <row r="37" spans="19:22" x14ac:dyDescent="0.2">
      <c r="S37" t="str">
        <f t="shared" si="3"/>
        <v/>
      </c>
      <c r="U37" t="str">
        <f t="shared" si="1"/>
        <v/>
      </c>
      <c r="V37" t="str">
        <f t="shared" si="2"/>
        <v/>
      </c>
    </row>
    <row r="38" spans="19:22" x14ac:dyDescent="0.2">
      <c r="S38" t="str">
        <f t="shared" si="3"/>
        <v/>
      </c>
      <c r="U38" t="str">
        <f t="shared" si="1"/>
        <v/>
      </c>
      <c r="V38" t="str">
        <f t="shared" si="2"/>
        <v/>
      </c>
    </row>
    <row r="39" spans="19:22" x14ac:dyDescent="0.2">
      <c r="S39" t="str">
        <f t="shared" si="3"/>
        <v/>
      </c>
      <c r="U39" t="str">
        <f t="shared" si="1"/>
        <v/>
      </c>
      <c r="V39" t="str">
        <f t="shared" si="2"/>
        <v/>
      </c>
    </row>
    <row r="40" spans="19:22" x14ac:dyDescent="0.2">
      <c r="S40" t="str">
        <f t="shared" si="3"/>
        <v/>
      </c>
      <c r="U40" t="str">
        <f t="shared" si="1"/>
        <v/>
      </c>
      <c r="V40" t="str">
        <f t="shared" si="2"/>
        <v/>
      </c>
    </row>
    <row r="41" spans="19:22" x14ac:dyDescent="0.2">
      <c r="S41" t="str">
        <f t="shared" si="3"/>
        <v/>
      </c>
      <c r="U41" t="str">
        <f t="shared" si="1"/>
        <v/>
      </c>
      <c r="V41" t="str">
        <f t="shared" si="2"/>
        <v/>
      </c>
    </row>
    <row r="42" spans="19:22" x14ac:dyDescent="0.2">
      <c r="S42" t="str">
        <f t="shared" si="3"/>
        <v/>
      </c>
      <c r="U42" t="str">
        <f t="shared" si="1"/>
        <v/>
      </c>
      <c r="V42" t="str">
        <f t="shared" si="2"/>
        <v/>
      </c>
    </row>
    <row r="43" spans="19:22" x14ac:dyDescent="0.2">
      <c r="S43" t="str">
        <f t="shared" si="3"/>
        <v/>
      </c>
      <c r="U43" t="str">
        <f t="shared" si="1"/>
        <v/>
      </c>
      <c r="V43" t="str">
        <f t="shared" si="2"/>
        <v/>
      </c>
    </row>
    <row r="44" spans="19:22" x14ac:dyDescent="0.2">
      <c r="S44" t="str">
        <f t="shared" si="3"/>
        <v/>
      </c>
      <c r="U44" t="str">
        <f t="shared" si="1"/>
        <v/>
      </c>
      <c r="V44" t="str">
        <f t="shared" si="2"/>
        <v/>
      </c>
    </row>
    <row r="45" spans="19:22" x14ac:dyDescent="0.2">
      <c r="S45" t="str">
        <f t="shared" si="3"/>
        <v/>
      </c>
      <c r="U45" t="str">
        <f t="shared" si="1"/>
        <v/>
      </c>
      <c r="V45" t="str">
        <f t="shared" si="2"/>
        <v/>
      </c>
    </row>
    <row r="46" spans="19:22" x14ac:dyDescent="0.2">
      <c r="S46" t="str">
        <f t="shared" si="3"/>
        <v/>
      </c>
      <c r="U46" t="str">
        <f t="shared" si="1"/>
        <v/>
      </c>
      <c r="V46" t="str">
        <f t="shared" si="2"/>
        <v/>
      </c>
    </row>
    <row r="47" spans="19:22" x14ac:dyDescent="0.2">
      <c r="S47" t="str">
        <f t="shared" si="3"/>
        <v/>
      </c>
      <c r="U47" t="str">
        <f t="shared" si="1"/>
        <v/>
      </c>
      <c r="V47" t="str">
        <f t="shared" si="2"/>
        <v/>
      </c>
    </row>
    <row r="48" spans="19:22" x14ac:dyDescent="0.2">
      <c r="S48" t="str">
        <f t="shared" si="3"/>
        <v/>
      </c>
    </row>
    <row r="49" spans="19:19" x14ac:dyDescent="0.2">
      <c r="S49" t="str">
        <f t="shared" si="3"/>
        <v/>
      </c>
    </row>
    <row r="50" spans="19:19" x14ac:dyDescent="0.2">
      <c r="S50" t="str">
        <f t="shared" si="3"/>
        <v/>
      </c>
    </row>
    <row r="51" spans="19:19" x14ac:dyDescent="0.2">
      <c r="S51" t="str">
        <f t="shared" si="3"/>
        <v/>
      </c>
    </row>
    <row r="52" spans="19:19" x14ac:dyDescent="0.2">
      <c r="S52" t="str">
        <f t="shared" si="3"/>
        <v/>
      </c>
    </row>
    <row r="53" spans="19:19" x14ac:dyDescent="0.2">
      <c r="S53" t="str">
        <f t="shared" si="3"/>
        <v/>
      </c>
    </row>
    <row r="54" spans="19:19" x14ac:dyDescent="0.2">
      <c r="S54" t="str">
        <f t="shared" si="3"/>
        <v/>
      </c>
    </row>
    <row r="55" spans="19:19" x14ac:dyDescent="0.2">
      <c r="S55" t="str">
        <f t="shared" si="3"/>
        <v/>
      </c>
    </row>
    <row r="56" spans="19:19" x14ac:dyDescent="0.2">
      <c r="S56" t="str">
        <f t="shared" si="3"/>
        <v/>
      </c>
    </row>
    <row r="57" spans="19:19" x14ac:dyDescent="0.2">
      <c r="S57" t="str">
        <f t="shared" si="3"/>
        <v/>
      </c>
    </row>
    <row r="58" spans="19:19" x14ac:dyDescent="0.2">
      <c r="S58" t="str">
        <f t="shared" si="3"/>
        <v/>
      </c>
    </row>
    <row r="59" spans="19:19" x14ac:dyDescent="0.2">
      <c r="S59" t="str">
        <f t="shared" si="3"/>
        <v/>
      </c>
    </row>
    <row r="60" spans="19:19" x14ac:dyDescent="0.2">
      <c r="S60" t="str">
        <f t="shared" si="3"/>
        <v/>
      </c>
    </row>
    <row r="61" spans="19:19" x14ac:dyDescent="0.2">
      <c r="S61" t="str">
        <f t="shared" si="3"/>
        <v/>
      </c>
    </row>
    <row r="62" spans="19:19" x14ac:dyDescent="0.2">
      <c r="S62" t="str">
        <f t="shared" si="3"/>
        <v/>
      </c>
    </row>
    <row r="63" spans="19:19" x14ac:dyDescent="0.2">
      <c r="S63" t="str">
        <f t="shared" si="3"/>
        <v/>
      </c>
    </row>
    <row r="64" spans="19:19" x14ac:dyDescent="0.2">
      <c r="S64" t="str">
        <f t="shared" si="3"/>
        <v/>
      </c>
    </row>
    <row r="65" spans="19:19" x14ac:dyDescent="0.2">
      <c r="S65" t="str">
        <f t="shared" ref="S65:S96" si="4">IF(T65="","",VLOOKUP(R65,$P:$Q,2,FALSE))</f>
        <v/>
      </c>
    </row>
    <row r="66" spans="19:19" x14ac:dyDescent="0.2">
      <c r="S66" t="str">
        <f t="shared" si="4"/>
        <v/>
      </c>
    </row>
    <row r="67" spans="19:19" x14ac:dyDescent="0.2">
      <c r="S67" t="str">
        <f t="shared" si="4"/>
        <v/>
      </c>
    </row>
    <row r="68" spans="19:19" x14ac:dyDescent="0.2">
      <c r="S68" t="str">
        <f t="shared" si="4"/>
        <v/>
      </c>
    </row>
    <row r="69" spans="19:19" x14ac:dyDescent="0.2">
      <c r="S69" t="str">
        <f t="shared" si="4"/>
        <v/>
      </c>
    </row>
    <row r="70" spans="19:19" x14ac:dyDescent="0.2">
      <c r="S70" t="str">
        <f t="shared" si="4"/>
        <v/>
      </c>
    </row>
    <row r="71" spans="19:19" x14ac:dyDescent="0.2">
      <c r="S71" t="str">
        <f t="shared" si="4"/>
        <v/>
      </c>
    </row>
    <row r="72" spans="19:19" x14ac:dyDescent="0.2">
      <c r="S72" t="str">
        <f t="shared" si="4"/>
        <v/>
      </c>
    </row>
    <row r="73" spans="19:19" x14ac:dyDescent="0.2">
      <c r="S73" t="str">
        <f t="shared" si="4"/>
        <v/>
      </c>
    </row>
    <row r="74" spans="19:19" x14ac:dyDescent="0.2">
      <c r="S74" t="str">
        <f t="shared" si="4"/>
        <v/>
      </c>
    </row>
    <row r="75" spans="19:19" x14ac:dyDescent="0.2">
      <c r="S75" t="str">
        <f t="shared" si="4"/>
        <v/>
      </c>
    </row>
    <row r="76" spans="19:19" x14ac:dyDescent="0.2">
      <c r="S76" t="str">
        <f t="shared" si="4"/>
        <v/>
      </c>
    </row>
    <row r="77" spans="19:19" x14ac:dyDescent="0.2">
      <c r="S77" t="str">
        <f t="shared" si="4"/>
        <v/>
      </c>
    </row>
    <row r="78" spans="19:19" x14ac:dyDescent="0.2">
      <c r="S78" t="str">
        <f t="shared" si="4"/>
        <v/>
      </c>
    </row>
    <row r="79" spans="19:19" x14ac:dyDescent="0.2">
      <c r="S79" t="str">
        <f t="shared" si="4"/>
        <v/>
      </c>
    </row>
    <row r="80" spans="19:19" x14ac:dyDescent="0.2">
      <c r="S80" t="str">
        <f t="shared" si="4"/>
        <v/>
      </c>
    </row>
    <row r="81" spans="19:19" x14ac:dyDescent="0.2">
      <c r="S81" t="str">
        <f t="shared" si="4"/>
        <v/>
      </c>
    </row>
    <row r="82" spans="19:19" x14ac:dyDescent="0.2">
      <c r="S82" t="str">
        <f t="shared" si="4"/>
        <v/>
      </c>
    </row>
    <row r="83" spans="19:19" x14ac:dyDescent="0.2">
      <c r="S83" t="str">
        <f t="shared" si="4"/>
        <v/>
      </c>
    </row>
    <row r="84" spans="19:19" x14ac:dyDescent="0.2">
      <c r="S84" t="str">
        <f t="shared" si="4"/>
        <v/>
      </c>
    </row>
    <row r="85" spans="19:19" x14ac:dyDescent="0.2">
      <c r="S85" t="str">
        <f t="shared" si="4"/>
        <v/>
      </c>
    </row>
    <row r="86" spans="19:19" x14ac:dyDescent="0.2">
      <c r="S86" t="str">
        <f t="shared" si="4"/>
        <v/>
      </c>
    </row>
    <row r="87" spans="19:19" x14ac:dyDescent="0.2">
      <c r="S87" t="str">
        <f t="shared" si="4"/>
        <v/>
      </c>
    </row>
    <row r="88" spans="19:19" x14ac:dyDescent="0.2">
      <c r="S88" t="str">
        <f t="shared" si="4"/>
        <v/>
      </c>
    </row>
    <row r="89" spans="19:19" x14ac:dyDescent="0.2">
      <c r="S89" t="str">
        <f t="shared" si="4"/>
        <v/>
      </c>
    </row>
    <row r="90" spans="19:19" x14ac:dyDescent="0.2">
      <c r="S90" t="str">
        <f t="shared" si="4"/>
        <v/>
      </c>
    </row>
    <row r="91" spans="19:19" x14ac:dyDescent="0.2">
      <c r="S91" t="str">
        <f t="shared" si="4"/>
        <v/>
      </c>
    </row>
    <row r="92" spans="19:19" x14ac:dyDescent="0.2">
      <c r="S92" t="str">
        <f t="shared" si="4"/>
        <v/>
      </c>
    </row>
    <row r="93" spans="19:19" x14ac:dyDescent="0.2">
      <c r="S93" t="str">
        <f t="shared" si="4"/>
        <v/>
      </c>
    </row>
    <row r="94" spans="19:19" x14ac:dyDescent="0.2">
      <c r="S94" t="str">
        <f t="shared" si="4"/>
        <v/>
      </c>
    </row>
    <row r="95" spans="19:19" x14ac:dyDescent="0.2">
      <c r="S95" t="str">
        <f t="shared" si="4"/>
        <v/>
      </c>
    </row>
    <row r="96" spans="19:19" x14ac:dyDescent="0.2">
      <c r="S96" t="str">
        <f t="shared" si="4"/>
        <v/>
      </c>
    </row>
    <row r="97" spans="19:19" x14ac:dyDescent="0.2">
      <c r="S97" t="str">
        <f t="shared" ref="S97:S128" si="5">IF(T97="","",VLOOKUP(R97,$P:$Q,2,FALSE))</f>
        <v/>
      </c>
    </row>
    <row r="98" spans="19:19" x14ac:dyDescent="0.2">
      <c r="S98" t="str">
        <f t="shared" si="5"/>
        <v/>
      </c>
    </row>
    <row r="99" spans="19:19" x14ac:dyDescent="0.2">
      <c r="S99" t="str">
        <f t="shared" si="5"/>
        <v/>
      </c>
    </row>
    <row r="100" spans="19:19" x14ac:dyDescent="0.2">
      <c r="S100" t="str">
        <f t="shared" si="5"/>
        <v/>
      </c>
    </row>
    <row r="101" spans="19:19" x14ac:dyDescent="0.2">
      <c r="S101" t="str">
        <f t="shared" si="5"/>
        <v/>
      </c>
    </row>
    <row r="102" spans="19:19" x14ac:dyDescent="0.2">
      <c r="S102" t="str">
        <f t="shared" si="5"/>
        <v/>
      </c>
    </row>
    <row r="103" spans="19:19" x14ac:dyDescent="0.2">
      <c r="S103" t="str">
        <f t="shared" si="5"/>
        <v/>
      </c>
    </row>
    <row r="104" spans="19:19" x14ac:dyDescent="0.2">
      <c r="S104" t="str">
        <f t="shared" si="5"/>
        <v/>
      </c>
    </row>
    <row r="105" spans="19:19" x14ac:dyDescent="0.2">
      <c r="S105" t="str">
        <f t="shared" si="5"/>
        <v/>
      </c>
    </row>
    <row r="106" spans="19:19" x14ac:dyDescent="0.2">
      <c r="S106" t="str">
        <f t="shared" si="5"/>
        <v/>
      </c>
    </row>
    <row r="107" spans="19:19" x14ac:dyDescent="0.2">
      <c r="S107" t="str">
        <f t="shared" si="5"/>
        <v/>
      </c>
    </row>
    <row r="108" spans="19:19" x14ac:dyDescent="0.2">
      <c r="S108" t="str">
        <f t="shared" si="5"/>
        <v/>
      </c>
    </row>
    <row r="109" spans="19:19" x14ac:dyDescent="0.2">
      <c r="S109" t="str">
        <f t="shared" si="5"/>
        <v/>
      </c>
    </row>
    <row r="110" spans="19:19" x14ac:dyDescent="0.2">
      <c r="S110" t="str">
        <f t="shared" si="5"/>
        <v/>
      </c>
    </row>
    <row r="111" spans="19:19" x14ac:dyDescent="0.2">
      <c r="S111" t="str">
        <f t="shared" si="5"/>
        <v/>
      </c>
    </row>
    <row r="112" spans="19:19" x14ac:dyDescent="0.2">
      <c r="S112" t="str">
        <f t="shared" si="5"/>
        <v/>
      </c>
    </row>
    <row r="113" spans="19:19" x14ac:dyDescent="0.2">
      <c r="S113" t="str">
        <f t="shared" si="5"/>
        <v/>
      </c>
    </row>
    <row r="114" spans="19:19" x14ac:dyDescent="0.2">
      <c r="S114" t="str">
        <f t="shared" si="5"/>
        <v/>
      </c>
    </row>
    <row r="115" spans="19:19" x14ac:dyDescent="0.2">
      <c r="S115" t="str">
        <f t="shared" si="5"/>
        <v/>
      </c>
    </row>
    <row r="116" spans="19:19" x14ac:dyDescent="0.2">
      <c r="S116" t="str">
        <f t="shared" si="5"/>
        <v/>
      </c>
    </row>
    <row r="117" spans="19:19" x14ac:dyDescent="0.2">
      <c r="S117" t="str">
        <f t="shared" si="5"/>
        <v/>
      </c>
    </row>
    <row r="118" spans="19:19" x14ac:dyDescent="0.2">
      <c r="S118" t="str">
        <f t="shared" si="5"/>
        <v/>
      </c>
    </row>
    <row r="119" spans="19:19" x14ac:dyDescent="0.2">
      <c r="S119" t="str">
        <f t="shared" si="5"/>
        <v/>
      </c>
    </row>
    <row r="120" spans="19:19" x14ac:dyDescent="0.2">
      <c r="S120" t="str">
        <f t="shared" si="5"/>
        <v/>
      </c>
    </row>
    <row r="121" spans="19:19" x14ac:dyDescent="0.2">
      <c r="S121" t="str">
        <f t="shared" si="5"/>
        <v/>
      </c>
    </row>
    <row r="122" spans="19:19" x14ac:dyDescent="0.2">
      <c r="S122" t="str">
        <f t="shared" si="5"/>
        <v/>
      </c>
    </row>
    <row r="123" spans="19:19" x14ac:dyDescent="0.2">
      <c r="S123" t="str">
        <f t="shared" si="5"/>
        <v/>
      </c>
    </row>
    <row r="124" spans="19:19" x14ac:dyDescent="0.2">
      <c r="S124" t="str">
        <f t="shared" si="5"/>
        <v/>
      </c>
    </row>
    <row r="125" spans="19:19" x14ac:dyDescent="0.2">
      <c r="S125" t="str">
        <f t="shared" si="5"/>
        <v/>
      </c>
    </row>
    <row r="126" spans="19:19" x14ac:dyDescent="0.2">
      <c r="S126" t="str">
        <f t="shared" si="5"/>
        <v/>
      </c>
    </row>
    <row r="127" spans="19:19" x14ac:dyDescent="0.2">
      <c r="S127" t="str">
        <f t="shared" si="5"/>
        <v/>
      </c>
    </row>
    <row r="128" spans="19:19" x14ac:dyDescent="0.2">
      <c r="S128" t="str">
        <f t="shared" si="5"/>
        <v/>
      </c>
    </row>
    <row r="129" spans="19:19" x14ac:dyDescent="0.2">
      <c r="S129" t="str">
        <f t="shared" ref="S129:S160" si="6">IF(T129="","",VLOOKUP(R129,$P:$Q,2,FALSE))</f>
        <v/>
      </c>
    </row>
    <row r="130" spans="19:19" x14ac:dyDescent="0.2">
      <c r="S130" t="str">
        <f t="shared" si="6"/>
        <v/>
      </c>
    </row>
    <row r="131" spans="19:19" x14ac:dyDescent="0.2">
      <c r="S131" t="str">
        <f t="shared" si="6"/>
        <v/>
      </c>
    </row>
    <row r="132" spans="19:19" x14ac:dyDescent="0.2">
      <c r="S132" t="str">
        <f t="shared" si="6"/>
        <v/>
      </c>
    </row>
    <row r="133" spans="19:19" x14ac:dyDescent="0.2">
      <c r="S133" t="str">
        <f t="shared" si="6"/>
        <v/>
      </c>
    </row>
    <row r="134" spans="19:19" x14ac:dyDescent="0.2">
      <c r="S134" t="str">
        <f t="shared" si="6"/>
        <v/>
      </c>
    </row>
    <row r="135" spans="19:19" x14ac:dyDescent="0.2">
      <c r="S135" t="str">
        <f t="shared" si="6"/>
        <v/>
      </c>
    </row>
    <row r="136" spans="19:19" x14ac:dyDescent="0.2">
      <c r="S136" t="str">
        <f t="shared" si="6"/>
        <v/>
      </c>
    </row>
    <row r="137" spans="19:19" x14ac:dyDescent="0.2">
      <c r="S137" t="str">
        <f t="shared" si="6"/>
        <v/>
      </c>
    </row>
    <row r="138" spans="19:19" x14ac:dyDescent="0.2">
      <c r="S138" t="str">
        <f t="shared" si="6"/>
        <v/>
      </c>
    </row>
    <row r="139" spans="19:19" x14ac:dyDescent="0.2">
      <c r="S139" t="str">
        <f t="shared" si="6"/>
        <v/>
      </c>
    </row>
    <row r="140" spans="19:19" x14ac:dyDescent="0.2">
      <c r="S140" t="str">
        <f t="shared" si="6"/>
        <v/>
      </c>
    </row>
    <row r="141" spans="19:19" x14ac:dyDescent="0.2">
      <c r="S141" t="str">
        <f t="shared" si="6"/>
        <v/>
      </c>
    </row>
    <row r="142" spans="19:19" x14ac:dyDescent="0.2">
      <c r="S142" t="str">
        <f t="shared" si="6"/>
        <v/>
      </c>
    </row>
    <row r="143" spans="19:19" x14ac:dyDescent="0.2">
      <c r="S143" t="str">
        <f t="shared" si="6"/>
        <v/>
      </c>
    </row>
    <row r="144" spans="19:19" x14ac:dyDescent="0.2">
      <c r="S144" t="str">
        <f t="shared" si="6"/>
        <v/>
      </c>
    </row>
    <row r="145" spans="19:19" x14ac:dyDescent="0.2">
      <c r="S145" t="str">
        <f t="shared" si="6"/>
        <v/>
      </c>
    </row>
    <row r="146" spans="19:19" x14ac:dyDescent="0.2">
      <c r="S146" t="str">
        <f t="shared" si="6"/>
        <v/>
      </c>
    </row>
    <row r="147" spans="19:19" x14ac:dyDescent="0.2">
      <c r="S147" t="str">
        <f t="shared" si="6"/>
        <v/>
      </c>
    </row>
    <row r="148" spans="19:19" x14ac:dyDescent="0.2">
      <c r="S148" t="str">
        <f t="shared" si="6"/>
        <v/>
      </c>
    </row>
    <row r="149" spans="19:19" x14ac:dyDescent="0.2">
      <c r="S149" t="str">
        <f t="shared" si="6"/>
        <v/>
      </c>
    </row>
    <row r="150" spans="19:19" x14ac:dyDescent="0.2">
      <c r="S150" t="str">
        <f t="shared" si="6"/>
        <v/>
      </c>
    </row>
    <row r="151" spans="19:19" x14ac:dyDescent="0.2">
      <c r="S151" t="str">
        <f t="shared" si="6"/>
        <v/>
      </c>
    </row>
    <row r="152" spans="19:19" x14ac:dyDescent="0.2">
      <c r="S152" t="str">
        <f t="shared" si="6"/>
        <v/>
      </c>
    </row>
    <row r="153" spans="19:19" x14ac:dyDescent="0.2">
      <c r="S153" t="str">
        <f t="shared" si="6"/>
        <v/>
      </c>
    </row>
    <row r="154" spans="19:19" x14ac:dyDescent="0.2">
      <c r="S154" t="str">
        <f t="shared" si="6"/>
        <v/>
      </c>
    </row>
    <row r="155" spans="19:19" x14ac:dyDescent="0.2">
      <c r="S155" t="str">
        <f t="shared" si="6"/>
        <v/>
      </c>
    </row>
    <row r="156" spans="19:19" x14ac:dyDescent="0.2">
      <c r="S156" t="str">
        <f t="shared" si="6"/>
        <v/>
      </c>
    </row>
    <row r="157" spans="19:19" x14ac:dyDescent="0.2">
      <c r="S157" t="str">
        <f t="shared" si="6"/>
        <v/>
      </c>
    </row>
    <row r="158" spans="19:19" x14ac:dyDescent="0.2">
      <c r="S158" t="str">
        <f t="shared" si="6"/>
        <v/>
      </c>
    </row>
    <row r="159" spans="19:19" x14ac:dyDescent="0.2">
      <c r="S159" t="str">
        <f t="shared" si="6"/>
        <v/>
      </c>
    </row>
    <row r="160" spans="19:19" x14ac:dyDescent="0.2">
      <c r="S160" t="str">
        <f t="shared" si="6"/>
        <v/>
      </c>
    </row>
    <row r="161" spans="19:19" x14ac:dyDescent="0.2">
      <c r="S161" t="str">
        <f t="shared" ref="S161:S162" si="7">IF(T161="","",VLOOKUP(R161,$P:$Q,2,FALSE))</f>
        <v/>
      </c>
    </row>
    <row r="162" spans="19:19" x14ac:dyDescent="0.2">
      <c r="S162" t="str">
        <f t="shared" si="7"/>
        <v/>
      </c>
    </row>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row r="733" customFormat="1" x14ac:dyDescent="0.2"/>
    <row r="734" customFormat="1" x14ac:dyDescent="0.2"/>
    <row r="735" customFormat="1" x14ac:dyDescent="0.2"/>
    <row r="736" customFormat="1" x14ac:dyDescent="0.2"/>
    <row r="737" customFormat="1" x14ac:dyDescent="0.2"/>
    <row r="738" customFormat="1" x14ac:dyDescent="0.2"/>
    <row r="739" customFormat="1" x14ac:dyDescent="0.2"/>
    <row r="740" customFormat="1" x14ac:dyDescent="0.2"/>
    <row r="741" customFormat="1" x14ac:dyDescent="0.2"/>
    <row r="742" customFormat="1" x14ac:dyDescent="0.2"/>
    <row r="743" customFormat="1" x14ac:dyDescent="0.2"/>
    <row r="744" customFormat="1" x14ac:dyDescent="0.2"/>
    <row r="745" customFormat="1" x14ac:dyDescent="0.2"/>
    <row r="746" customFormat="1" x14ac:dyDescent="0.2"/>
    <row r="747" customFormat="1" x14ac:dyDescent="0.2"/>
    <row r="748" customFormat="1" x14ac:dyDescent="0.2"/>
    <row r="749" customFormat="1" x14ac:dyDescent="0.2"/>
    <row r="750" customFormat="1" x14ac:dyDescent="0.2"/>
    <row r="751" customFormat="1" x14ac:dyDescent="0.2"/>
    <row r="752" customFormat="1" x14ac:dyDescent="0.2"/>
    <row r="753" customFormat="1" x14ac:dyDescent="0.2"/>
    <row r="754" customFormat="1" x14ac:dyDescent="0.2"/>
    <row r="755" customFormat="1" x14ac:dyDescent="0.2"/>
    <row r="756" customFormat="1" x14ac:dyDescent="0.2"/>
    <row r="757" customFormat="1" x14ac:dyDescent="0.2"/>
    <row r="758" customFormat="1" x14ac:dyDescent="0.2"/>
    <row r="759" customFormat="1" x14ac:dyDescent="0.2"/>
    <row r="760" customFormat="1" x14ac:dyDescent="0.2"/>
    <row r="761" customFormat="1" x14ac:dyDescent="0.2"/>
    <row r="762" customFormat="1" x14ac:dyDescent="0.2"/>
    <row r="763" customFormat="1" x14ac:dyDescent="0.2"/>
    <row r="764" customFormat="1" x14ac:dyDescent="0.2"/>
    <row r="765" customFormat="1" x14ac:dyDescent="0.2"/>
    <row r="766" customFormat="1" x14ac:dyDescent="0.2"/>
    <row r="767" customFormat="1" x14ac:dyDescent="0.2"/>
    <row r="768" customFormat="1" x14ac:dyDescent="0.2"/>
    <row r="769" customFormat="1" x14ac:dyDescent="0.2"/>
    <row r="770" customFormat="1" x14ac:dyDescent="0.2"/>
    <row r="771" customFormat="1" x14ac:dyDescent="0.2"/>
    <row r="772" customFormat="1" x14ac:dyDescent="0.2"/>
    <row r="773" customFormat="1" x14ac:dyDescent="0.2"/>
    <row r="774" customFormat="1" x14ac:dyDescent="0.2"/>
    <row r="775" customFormat="1" x14ac:dyDescent="0.2"/>
    <row r="776" customFormat="1" x14ac:dyDescent="0.2"/>
    <row r="777" customFormat="1" x14ac:dyDescent="0.2"/>
    <row r="778" customFormat="1" x14ac:dyDescent="0.2"/>
    <row r="779" customFormat="1" x14ac:dyDescent="0.2"/>
    <row r="780" customFormat="1" x14ac:dyDescent="0.2"/>
    <row r="781" customFormat="1" x14ac:dyDescent="0.2"/>
    <row r="782" customFormat="1" x14ac:dyDescent="0.2"/>
    <row r="783" customFormat="1" x14ac:dyDescent="0.2"/>
    <row r="784" customFormat="1" x14ac:dyDescent="0.2"/>
    <row r="785" customFormat="1" x14ac:dyDescent="0.2"/>
    <row r="786" customFormat="1" x14ac:dyDescent="0.2"/>
    <row r="787" customFormat="1" x14ac:dyDescent="0.2"/>
    <row r="788" customFormat="1" x14ac:dyDescent="0.2"/>
    <row r="789" customFormat="1" x14ac:dyDescent="0.2"/>
    <row r="790" customFormat="1" x14ac:dyDescent="0.2"/>
    <row r="791" customFormat="1" x14ac:dyDescent="0.2"/>
    <row r="792" customFormat="1" x14ac:dyDescent="0.2"/>
    <row r="793" customFormat="1" x14ac:dyDescent="0.2"/>
    <row r="794" customFormat="1" x14ac:dyDescent="0.2"/>
    <row r="795" customFormat="1" x14ac:dyDescent="0.2"/>
    <row r="796" customFormat="1" x14ac:dyDescent="0.2"/>
    <row r="797" customFormat="1" x14ac:dyDescent="0.2"/>
    <row r="798" customFormat="1" x14ac:dyDescent="0.2"/>
    <row r="799" customFormat="1" x14ac:dyDescent="0.2"/>
    <row r="800" customFormat="1" x14ac:dyDescent="0.2"/>
    <row r="801" customFormat="1" x14ac:dyDescent="0.2"/>
    <row r="802" customFormat="1" x14ac:dyDescent="0.2"/>
    <row r="803" customFormat="1" x14ac:dyDescent="0.2"/>
    <row r="804" customFormat="1" x14ac:dyDescent="0.2"/>
    <row r="805" customFormat="1" x14ac:dyDescent="0.2"/>
    <row r="806" customFormat="1" x14ac:dyDescent="0.2"/>
    <row r="807" customFormat="1" x14ac:dyDescent="0.2"/>
    <row r="808" customFormat="1" x14ac:dyDescent="0.2"/>
    <row r="809" customFormat="1" x14ac:dyDescent="0.2"/>
    <row r="810" customFormat="1" x14ac:dyDescent="0.2"/>
    <row r="811" customFormat="1" x14ac:dyDescent="0.2"/>
    <row r="812" customFormat="1" x14ac:dyDescent="0.2"/>
    <row r="813" customFormat="1" x14ac:dyDescent="0.2"/>
    <row r="814" customFormat="1" x14ac:dyDescent="0.2"/>
    <row r="815" customFormat="1" x14ac:dyDescent="0.2"/>
    <row r="816" customFormat="1" x14ac:dyDescent="0.2"/>
    <row r="817" customFormat="1" x14ac:dyDescent="0.2"/>
    <row r="818" customFormat="1" x14ac:dyDescent="0.2"/>
    <row r="819" customFormat="1" x14ac:dyDescent="0.2"/>
    <row r="820" customFormat="1" x14ac:dyDescent="0.2"/>
    <row r="821" customFormat="1" x14ac:dyDescent="0.2"/>
    <row r="822" customFormat="1" x14ac:dyDescent="0.2"/>
    <row r="823" customFormat="1" x14ac:dyDescent="0.2"/>
    <row r="824" customFormat="1" x14ac:dyDescent="0.2"/>
    <row r="825" customFormat="1" x14ac:dyDescent="0.2"/>
    <row r="826" customFormat="1" x14ac:dyDescent="0.2"/>
    <row r="827" customFormat="1" x14ac:dyDescent="0.2"/>
    <row r="828" customFormat="1" x14ac:dyDescent="0.2"/>
    <row r="829" customFormat="1" x14ac:dyDescent="0.2"/>
    <row r="830" customFormat="1" x14ac:dyDescent="0.2"/>
    <row r="831" customFormat="1" x14ac:dyDescent="0.2"/>
    <row r="832" customFormat="1" x14ac:dyDescent="0.2"/>
    <row r="833" customFormat="1" x14ac:dyDescent="0.2"/>
    <row r="834" customFormat="1" x14ac:dyDescent="0.2"/>
    <row r="835" customFormat="1" x14ac:dyDescent="0.2"/>
    <row r="836" customFormat="1" x14ac:dyDescent="0.2"/>
    <row r="837" customFormat="1" x14ac:dyDescent="0.2"/>
    <row r="838" customFormat="1" x14ac:dyDescent="0.2"/>
    <row r="839" customFormat="1" x14ac:dyDescent="0.2"/>
    <row r="840" customFormat="1" x14ac:dyDescent="0.2"/>
    <row r="841" customFormat="1" x14ac:dyDescent="0.2"/>
    <row r="842" customFormat="1" x14ac:dyDescent="0.2"/>
    <row r="843" customFormat="1" x14ac:dyDescent="0.2"/>
    <row r="844" customFormat="1" x14ac:dyDescent="0.2"/>
    <row r="845" customFormat="1" x14ac:dyDescent="0.2"/>
    <row r="846" customFormat="1" x14ac:dyDescent="0.2"/>
    <row r="847" customFormat="1" x14ac:dyDescent="0.2"/>
    <row r="848" customFormat="1" x14ac:dyDescent="0.2"/>
    <row r="849" customFormat="1" x14ac:dyDescent="0.2"/>
    <row r="850" customFormat="1" x14ac:dyDescent="0.2"/>
    <row r="851" customFormat="1" x14ac:dyDescent="0.2"/>
    <row r="852" customFormat="1" x14ac:dyDescent="0.2"/>
    <row r="853" customFormat="1" x14ac:dyDescent="0.2"/>
    <row r="854" customFormat="1" x14ac:dyDescent="0.2"/>
    <row r="855" customFormat="1" x14ac:dyDescent="0.2"/>
    <row r="856" customFormat="1" x14ac:dyDescent="0.2"/>
    <row r="857" customFormat="1" x14ac:dyDescent="0.2"/>
    <row r="858" customFormat="1" x14ac:dyDescent="0.2"/>
    <row r="859" customFormat="1" x14ac:dyDescent="0.2"/>
    <row r="860" customFormat="1" x14ac:dyDescent="0.2"/>
    <row r="861" customFormat="1" x14ac:dyDescent="0.2"/>
    <row r="862" customFormat="1" x14ac:dyDescent="0.2"/>
    <row r="863" customFormat="1" x14ac:dyDescent="0.2"/>
    <row r="864" customFormat="1" x14ac:dyDescent="0.2"/>
    <row r="865" customFormat="1" x14ac:dyDescent="0.2"/>
    <row r="866" customFormat="1" x14ac:dyDescent="0.2"/>
    <row r="867" customFormat="1" x14ac:dyDescent="0.2"/>
    <row r="868" customFormat="1" x14ac:dyDescent="0.2"/>
    <row r="869" customFormat="1" x14ac:dyDescent="0.2"/>
    <row r="870" customFormat="1" x14ac:dyDescent="0.2"/>
    <row r="871" customFormat="1" x14ac:dyDescent="0.2"/>
    <row r="872" customFormat="1" x14ac:dyDescent="0.2"/>
    <row r="873" customFormat="1" x14ac:dyDescent="0.2"/>
    <row r="874" customFormat="1" x14ac:dyDescent="0.2"/>
    <row r="875" customFormat="1" x14ac:dyDescent="0.2"/>
    <row r="876" customFormat="1" x14ac:dyDescent="0.2"/>
    <row r="877" customFormat="1" x14ac:dyDescent="0.2"/>
    <row r="878" customFormat="1" x14ac:dyDescent="0.2"/>
    <row r="879" customFormat="1" x14ac:dyDescent="0.2"/>
    <row r="880" customFormat="1" x14ac:dyDescent="0.2"/>
    <row r="881" customFormat="1" x14ac:dyDescent="0.2"/>
    <row r="882" customFormat="1" x14ac:dyDescent="0.2"/>
    <row r="883" customFormat="1" x14ac:dyDescent="0.2"/>
    <row r="884" customFormat="1" x14ac:dyDescent="0.2"/>
    <row r="885" customFormat="1" x14ac:dyDescent="0.2"/>
    <row r="886" customFormat="1" x14ac:dyDescent="0.2"/>
    <row r="887" customFormat="1" x14ac:dyDescent="0.2"/>
    <row r="888" customFormat="1" x14ac:dyDescent="0.2"/>
    <row r="889" customFormat="1" x14ac:dyDescent="0.2"/>
    <row r="890" customFormat="1" x14ac:dyDescent="0.2"/>
    <row r="891" customFormat="1" x14ac:dyDescent="0.2"/>
    <row r="892" customFormat="1" x14ac:dyDescent="0.2"/>
    <row r="893" customFormat="1" x14ac:dyDescent="0.2"/>
    <row r="894" customFormat="1" x14ac:dyDescent="0.2"/>
    <row r="895" customFormat="1" x14ac:dyDescent="0.2"/>
    <row r="896" customFormat="1" x14ac:dyDescent="0.2"/>
    <row r="897" customFormat="1" x14ac:dyDescent="0.2"/>
    <row r="898" customFormat="1" x14ac:dyDescent="0.2"/>
    <row r="899"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customWidth="1"/>
    <col min="2" max="2" width="24.7109375" customWidth="1"/>
    <col min="3" max="3" width="8.7109375" customWidth="1"/>
    <col min="4" max="4" width="14.7109375" customWidth="1"/>
    <col min="5" max="92" width="3.7109375" customWidth="1"/>
    <col min="93" max="143" width="5.7109375" customWidth="1"/>
    <col min="144" max="144" width="2.5703125" bestFit="1" customWidth="1"/>
    <col min="145" max="153" width="5.7109375" customWidth="1"/>
    <col min="154" max="156" width="6.85546875" bestFit="1" customWidth="1"/>
    <col min="157" max="157" width="4.5703125" bestFit="1" customWidth="1"/>
    <col min="158" max="158" width="2.42578125" bestFit="1" customWidth="1"/>
    <col min="159" max="159" width="2.5703125" bestFit="1" customWidth="1"/>
    <col min="160" max="160" width="2.28515625" bestFit="1" customWidth="1"/>
    <col min="161" max="161" width="2.42578125" bestFit="1" customWidth="1"/>
    <col min="162" max="162" width="2.28515625" bestFit="1" customWidth="1"/>
    <col min="163" max="163" width="2.42578125" bestFit="1" customWidth="1"/>
    <col min="164" max="164" width="2.28515625" bestFit="1" customWidth="1"/>
    <col min="165" max="255" width="3.7109375" customWidth="1"/>
    <col min="256" max="256" width="10.5703125" bestFit="1" customWidth="1"/>
    <col min="257" max="257" width="9.7109375" bestFit="1" customWidth="1"/>
    <col min="258" max="258" width="10.85546875" bestFit="1" customWidth="1"/>
    <col min="259" max="259" width="32.28515625" bestFit="1" customWidth="1"/>
    <col min="260" max="260" width="11.140625" bestFit="1" customWidth="1"/>
    <col min="261" max="261" width="8.140625" bestFit="1" customWidth="1"/>
    <col min="263" max="263" width="3" bestFit="1" customWidth="1"/>
    <col min="264" max="264" width="6.140625" bestFit="1" customWidth="1"/>
    <col min="265" max="265" width="10.85546875" bestFit="1" customWidth="1"/>
    <col min="266" max="266" width="7.5703125" bestFit="1" customWidth="1"/>
    <col min="267" max="267" width="5.28515625" bestFit="1" customWidth="1"/>
    <col min="268" max="268" width="11.85546875" bestFit="1" customWidth="1"/>
    <col min="269" max="269" width="5.42578125" bestFit="1" customWidth="1"/>
    <col min="270" max="270" width="11.85546875" bestFit="1" customWidth="1"/>
    <col min="271" max="271" width="5.42578125" bestFit="1" customWidth="1"/>
    <col min="272" max="273" width="2.28515625" bestFit="1" customWidth="1"/>
    <col min="274" max="275" width="2.42578125" bestFit="1" customWidth="1"/>
    <col min="276" max="276" width="2.28515625" bestFit="1" customWidth="1"/>
    <col min="277" max="277" width="2.5703125" bestFit="1" customWidth="1"/>
    <col min="278" max="279" width="2.28515625" bestFit="1" customWidth="1"/>
    <col min="280" max="280" width="2.42578125" bestFit="1" customWidth="1"/>
    <col min="281" max="281" width="2.28515625" bestFit="1" customWidth="1"/>
    <col min="282" max="282" width="2.5703125" bestFit="1" customWidth="1"/>
    <col min="283" max="283" width="2.28515625" bestFit="1" customWidth="1"/>
    <col min="284" max="284" width="2.42578125" bestFit="1" customWidth="1"/>
    <col min="285" max="285" width="2.28515625" bestFit="1" customWidth="1"/>
    <col min="286" max="286" width="2.42578125" bestFit="1" customWidth="1"/>
    <col min="287" max="287" width="2.28515625" bestFit="1" customWidth="1"/>
  </cols>
  <sheetData>
    <row r="3" spans="8:137" x14ac:dyDescent="0.2">
      <c r="H3" s="52"/>
      <c r="AW3" s="52"/>
      <c r="EG3" s="52"/>
    </row>
    <row r="29" spans="1:1" x14ac:dyDescent="0.2">
      <c r="A29" s="79"/>
    </row>
    <row r="94" spans="8:137" x14ac:dyDescent="0.2">
      <c r="H94" s="52"/>
      <c r="AW94" s="52"/>
      <c r="EG94" s="52"/>
    </row>
    <row r="175" spans="4:6" x14ac:dyDescent="0.2">
      <c r="D175" s="53"/>
      <c r="E175" s="53"/>
      <c r="F175" s="53"/>
    </row>
    <row r="180" spans="5:137" x14ac:dyDescent="0.2">
      <c r="H180" s="52"/>
    </row>
    <row r="184" spans="5:137" x14ac:dyDescent="0.2">
      <c r="AW184" s="52"/>
      <c r="EG184" s="52"/>
    </row>
    <row r="189" spans="5:137" x14ac:dyDescent="0.2">
      <c r="E189" s="53"/>
      <c r="F189" s="53"/>
      <c r="G189" s="53"/>
    </row>
    <row r="190" spans="5:137" x14ac:dyDescent="0.2">
      <c r="E190" s="53"/>
      <c r="F190" s="53"/>
      <c r="G190" s="53"/>
    </row>
    <row r="191" spans="5:137" x14ac:dyDescent="0.2">
      <c r="E191" s="53"/>
      <c r="F191" s="53"/>
      <c r="G191" s="53"/>
    </row>
    <row r="192" spans="5:137" x14ac:dyDescent="0.2">
      <c r="E192" s="53"/>
      <c r="F192" s="53"/>
      <c r="G192" s="53"/>
    </row>
    <row r="193" spans="5:7" x14ac:dyDescent="0.2">
      <c r="E193" s="53"/>
      <c r="F193" s="53"/>
      <c r="G193" s="53"/>
    </row>
    <row r="194" spans="5:7" x14ac:dyDescent="0.2">
      <c r="E194" s="53"/>
      <c r="F194" s="53"/>
      <c r="G194" s="53"/>
    </row>
    <row r="226" spans="45:58" x14ac:dyDescent="0.2">
      <c r="AS226" s="53"/>
      <c r="AT226" s="53"/>
      <c r="AU226" s="53"/>
      <c r="AZ226" s="53"/>
      <c r="BC226" s="53"/>
      <c r="BF226" s="53"/>
    </row>
    <row r="227" spans="45:58" x14ac:dyDescent="0.2">
      <c r="AS227" s="53"/>
      <c r="AT227" s="53"/>
      <c r="AU227" s="53"/>
      <c r="AZ227" s="53"/>
      <c r="BC227" s="53"/>
      <c r="BF227" s="53"/>
    </row>
    <row r="228" spans="45:58" x14ac:dyDescent="0.2">
      <c r="AS228" s="53"/>
      <c r="AT228" s="53"/>
      <c r="AU228" s="53"/>
      <c r="AZ228" s="53"/>
      <c r="BC228" s="53"/>
      <c r="BF228" s="53"/>
    </row>
    <row r="229" spans="45:58" x14ac:dyDescent="0.2">
      <c r="AS229" s="53"/>
      <c r="AT229" s="53"/>
      <c r="AU229" s="53"/>
      <c r="AZ229" s="53"/>
      <c r="BC229" s="53"/>
      <c r="BF229" s="53"/>
    </row>
    <row r="230" spans="45:58" x14ac:dyDescent="0.2">
      <c r="AS230" s="53"/>
      <c r="AT230" s="53"/>
      <c r="AU230" s="53"/>
      <c r="AZ230" s="53"/>
      <c r="BC230" s="53"/>
      <c r="BF230" s="53"/>
    </row>
    <row r="231" spans="45:58" x14ac:dyDescent="0.2">
      <c r="AS231" s="53"/>
      <c r="AT231" s="53"/>
      <c r="AU231" s="53"/>
      <c r="AZ231" s="53"/>
      <c r="BC231" s="53"/>
      <c r="BF231" s="53"/>
    </row>
    <row r="232" spans="45:58" x14ac:dyDescent="0.2">
      <c r="AS232" s="53"/>
      <c r="AT232" s="53"/>
      <c r="AU232" s="53"/>
      <c r="AZ232" s="53"/>
      <c r="BC232" s="53"/>
      <c r="BF232" s="53"/>
    </row>
    <row r="233" spans="45:58" x14ac:dyDescent="0.2">
      <c r="AS233" s="53"/>
      <c r="AT233" s="53"/>
      <c r="AU233" s="53"/>
      <c r="AZ233" s="53"/>
      <c r="BC233" s="53"/>
      <c r="BF233" s="53"/>
    </row>
    <row r="234" spans="45:58" x14ac:dyDescent="0.2">
      <c r="AS234" s="53"/>
      <c r="AT234" s="53"/>
      <c r="AU234" s="53"/>
      <c r="AZ234" s="53"/>
      <c r="BC234" s="53"/>
      <c r="BF234" s="53"/>
    </row>
    <row r="235" spans="45:58" x14ac:dyDescent="0.2">
      <c r="AS235" s="53"/>
      <c r="AT235" s="53"/>
      <c r="AU235" s="53"/>
      <c r="AY235" s="53"/>
      <c r="BB235" s="53"/>
      <c r="BE235" s="53"/>
    </row>
    <row r="236" spans="45:58" x14ac:dyDescent="0.2">
      <c r="AS236" s="53"/>
      <c r="AT236" s="53"/>
      <c r="AU236" s="53"/>
      <c r="AY236" s="53"/>
      <c r="BB236" s="53"/>
      <c r="BE236" s="53"/>
    </row>
    <row r="237" spans="45:58" x14ac:dyDescent="0.2">
      <c r="AS237" s="53"/>
      <c r="AT237" s="53"/>
      <c r="AU237" s="53"/>
      <c r="AY237" s="53"/>
      <c r="BB237" s="53"/>
      <c r="BE237" s="53"/>
    </row>
    <row r="238" spans="45:58" x14ac:dyDescent="0.2">
      <c r="AS238" s="53"/>
      <c r="AT238" s="53"/>
      <c r="AU238" s="53"/>
      <c r="AY238" s="53"/>
      <c r="BB238" s="53"/>
      <c r="BE238" s="53"/>
    </row>
    <row r="239" spans="45:58" x14ac:dyDescent="0.2">
      <c r="AS239" s="53"/>
      <c r="AT239" s="53"/>
      <c r="AU239" s="53"/>
      <c r="AY239" s="53"/>
      <c r="BB239" s="53"/>
      <c r="BE239" s="53"/>
    </row>
    <row r="240" spans="45:58" x14ac:dyDescent="0.2">
      <c r="AS240" s="53"/>
      <c r="AT240" s="53"/>
      <c r="AU240" s="53"/>
      <c r="AY240" s="53"/>
      <c r="BB240" s="53"/>
      <c r="BE240" s="53"/>
    </row>
    <row r="241" spans="45:57" x14ac:dyDescent="0.2">
      <c r="AS241" s="53"/>
      <c r="AT241" s="53"/>
      <c r="AU241" s="53"/>
      <c r="AY241" s="53"/>
      <c r="BB241" s="53"/>
      <c r="BE241" s="53"/>
    </row>
    <row r="242" spans="45:57" x14ac:dyDescent="0.2">
      <c r="AS242" s="53"/>
      <c r="AT242" s="53"/>
      <c r="AU242" s="53"/>
      <c r="AY242" s="53"/>
      <c r="BB242" s="53"/>
      <c r="BE242" s="53"/>
    </row>
    <row r="243" spans="45:57" x14ac:dyDescent="0.2">
      <c r="AS243" s="53"/>
      <c r="AT243" s="53"/>
      <c r="AU243" s="53"/>
      <c r="AY243" s="53"/>
      <c r="BB243" s="53"/>
      <c r="BE243" s="53"/>
    </row>
    <row r="244" spans="45:57" x14ac:dyDescent="0.2">
      <c r="AS244" s="53"/>
      <c r="AT244" s="53"/>
      <c r="AU244" s="53"/>
      <c r="AY244" s="53"/>
      <c r="BB244" s="53"/>
      <c r="BE244" s="53"/>
    </row>
    <row r="245" spans="45:57" x14ac:dyDescent="0.2">
      <c r="AS245" s="53"/>
      <c r="AT245" s="53"/>
      <c r="AU245" s="53"/>
      <c r="AY245" s="53"/>
      <c r="BB245" s="53"/>
      <c r="BE245" s="53"/>
    </row>
    <row r="246" spans="45:57" x14ac:dyDescent="0.2">
      <c r="AS246" s="53"/>
      <c r="AT246" s="53"/>
      <c r="AU246" s="53"/>
      <c r="AY246" s="53"/>
      <c r="BB246" s="53"/>
      <c r="BE246" s="53"/>
    </row>
    <row r="247" spans="45:57" x14ac:dyDescent="0.2">
      <c r="AS247" s="53"/>
      <c r="AT247" s="53"/>
      <c r="AU247" s="53"/>
      <c r="AY247" s="53"/>
      <c r="BB247" s="53"/>
      <c r="BE247" s="53"/>
    </row>
    <row r="248" spans="45:57" x14ac:dyDescent="0.2">
      <c r="AS248" s="53"/>
      <c r="AT248" s="53"/>
      <c r="AU248" s="53"/>
      <c r="AY248" s="53"/>
      <c r="BB248" s="53"/>
      <c r="BE248" s="53"/>
    </row>
    <row r="249" spans="45:57" x14ac:dyDescent="0.2">
      <c r="AS249" s="53"/>
      <c r="AT249" s="53"/>
      <c r="AU249" s="53"/>
      <c r="AY249" s="53"/>
      <c r="BB249" s="53"/>
      <c r="BE249" s="53"/>
    </row>
    <row r="250" spans="45:57" x14ac:dyDescent="0.2">
      <c r="AS250" s="53"/>
      <c r="AT250" s="53"/>
      <c r="AU250" s="53"/>
      <c r="AY250" s="53"/>
      <c r="BB250" s="53"/>
      <c r="BE250" s="53"/>
    </row>
    <row r="251" spans="45:57" x14ac:dyDescent="0.2">
      <c r="AS251" s="53"/>
      <c r="AT251" s="53"/>
      <c r="AU251" s="53"/>
      <c r="AY251" s="53"/>
      <c r="BB251" s="53"/>
      <c r="BE251" s="53"/>
    </row>
    <row r="252" spans="45:57" x14ac:dyDescent="0.2">
      <c r="AS252" s="53"/>
      <c r="AT252" s="53"/>
      <c r="AU252" s="53"/>
      <c r="AY252" s="53"/>
      <c r="BB252" s="53"/>
      <c r="BE252" s="53"/>
    </row>
    <row r="261" spans="46:78" x14ac:dyDescent="0.2">
      <c r="AV261" s="53"/>
      <c r="BX261" s="53"/>
    </row>
    <row r="262" spans="46:78" x14ac:dyDescent="0.2">
      <c r="AV262" s="53"/>
      <c r="BX262" s="53"/>
    </row>
    <row r="263" spans="46:78" x14ac:dyDescent="0.2">
      <c r="AV263" s="53"/>
      <c r="BX263" s="53"/>
    </row>
    <row r="264" spans="46:78" x14ac:dyDescent="0.2">
      <c r="AV264" s="53"/>
      <c r="BZ264" s="53"/>
    </row>
    <row r="265" spans="46:78" x14ac:dyDescent="0.2">
      <c r="AT265" s="53"/>
      <c r="AU265" s="53"/>
      <c r="AV265" s="53"/>
      <c r="BF265" s="53"/>
      <c r="BI265" s="53"/>
      <c r="BL265" s="53"/>
    </row>
    <row r="266" spans="46:78" x14ac:dyDescent="0.2">
      <c r="AT266" s="53"/>
      <c r="AU266" s="53"/>
      <c r="AV266" s="53"/>
      <c r="BF266" s="53"/>
      <c r="BI266" s="53"/>
      <c r="BL266" s="53"/>
    </row>
    <row r="267" spans="46:78" x14ac:dyDescent="0.2">
      <c r="AT267" s="53"/>
      <c r="AU267" s="53"/>
      <c r="AV267" s="53"/>
      <c r="BF267" s="53"/>
      <c r="BI267" s="53"/>
      <c r="BL267" s="53"/>
    </row>
    <row r="268" spans="46:78" x14ac:dyDescent="0.2">
      <c r="AT268" s="53"/>
      <c r="AU268" s="53"/>
      <c r="AV268" s="53"/>
      <c r="BF268" s="53"/>
      <c r="BI268" s="53"/>
      <c r="BL268" s="53"/>
    </row>
    <row r="269" spans="46:78" x14ac:dyDescent="0.2">
      <c r="AT269" s="53"/>
      <c r="AU269" s="53"/>
      <c r="AV269" s="53"/>
      <c r="BF269" s="53"/>
      <c r="BJ269" s="53"/>
      <c r="BM269" s="53"/>
    </row>
    <row r="270" spans="46:78" x14ac:dyDescent="0.2">
      <c r="AT270" s="53"/>
      <c r="AU270" s="53"/>
      <c r="AV270" s="53"/>
      <c r="BE270" s="53"/>
      <c r="BH270" s="53"/>
      <c r="BL270" s="53"/>
    </row>
    <row r="271" spans="46:78" x14ac:dyDescent="0.2">
      <c r="AT271" s="53"/>
      <c r="AU271" s="53"/>
      <c r="AV271" s="53"/>
      <c r="BG271" s="53"/>
      <c r="BJ271" s="53"/>
      <c r="BN271" s="53"/>
    </row>
    <row r="272" spans="46:78" x14ac:dyDescent="0.2">
      <c r="AT272" s="53"/>
      <c r="AU272" s="53"/>
      <c r="AV272" s="53"/>
      <c r="BE272" s="53"/>
      <c r="BH272" s="53"/>
      <c r="BK272" s="53"/>
    </row>
    <row r="276" spans="8:137" x14ac:dyDescent="0.2">
      <c r="AW276" s="52"/>
      <c r="EG276" s="52"/>
    </row>
    <row r="280" spans="8:137" x14ac:dyDescent="0.2">
      <c r="H280" s="52"/>
    </row>
    <row r="283" spans="8:137" x14ac:dyDescent="0.2">
      <c r="AT283" s="53"/>
      <c r="AU283" s="53"/>
      <c r="AV283" s="53"/>
      <c r="BE283" s="53"/>
      <c r="BH283" s="53"/>
      <c r="BK283" s="53"/>
    </row>
    <row r="284" spans="8:137" x14ac:dyDescent="0.2">
      <c r="AT284" s="53"/>
      <c r="AU284" s="53"/>
      <c r="AV284" s="53"/>
      <c r="BE284" s="53"/>
      <c r="BH284" s="53"/>
      <c r="BK284" s="53"/>
    </row>
    <row r="285" spans="8:137" x14ac:dyDescent="0.2">
      <c r="AT285" s="53"/>
      <c r="AU285" s="53"/>
      <c r="AV285" s="53"/>
      <c r="BE285" s="53"/>
      <c r="BH285" s="53"/>
      <c r="BK285" s="53"/>
    </row>
    <row r="286" spans="8:137" x14ac:dyDescent="0.2">
      <c r="AT286" s="53"/>
      <c r="AU286" s="53"/>
      <c r="AV286" s="53"/>
      <c r="BE286" s="53"/>
      <c r="BH286" s="53"/>
      <c r="BK286" s="53"/>
    </row>
    <row r="287" spans="8:137" x14ac:dyDescent="0.2">
      <c r="AT287" s="53"/>
      <c r="AU287" s="53"/>
      <c r="AV287" s="53"/>
      <c r="BE287" s="53"/>
      <c r="BH287" s="53"/>
      <c r="BK287" s="53"/>
    </row>
    <row r="288" spans="8:137" x14ac:dyDescent="0.2">
      <c r="AT288" s="53"/>
      <c r="AU288" s="53"/>
      <c r="AV288" s="53"/>
      <c r="BE288" s="53"/>
      <c r="BH288" s="53"/>
      <c r="BK288" s="53"/>
    </row>
    <row r="289" spans="46:75" x14ac:dyDescent="0.2">
      <c r="AT289" s="53"/>
      <c r="AU289" s="53"/>
      <c r="AV289" s="53"/>
      <c r="BE289" s="53"/>
      <c r="BH289" s="53"/>
      <c r="BK289" s="53"/>
    </row>
    <row r="290" spans="46:75" x14ac:dyDescent="0.2">
      <c r="AT290" s="53"/>
      <c r="AU290" s="53"/>
      <c r="AV290" s="53"/>
      <c r="BE290" s="53"/>
      <c r="BH290" s="53"/>
      <c r="BN290" s="53"/>
    </row>
    <row r="291" spans="46:75" x14ac:dyDescent="0.2">
      <c r="AT291" s="53"/>
      <c r="AU291" s="53"/>
      <c r="AV291" s="53"/>
      <c r="BE291" s="53"/>
      <c r="BH291" s="53"/>
      <c r="BK291" s="53"/>
    </row>
    <row r="292" spans="46:75" x14ac:dyDescent="0.2">
      <c r="AT292" s="53"/>
      <c r="AU292" s="53"/>
      <c r="AV292" s="53"/>
      <c r="BE292" s="53"/>
      <c r="BH292" s="53"/>
      <c r="BK292" s="53"/>
    </row>
    <row r="293" spans="46:75" x14ac:dyDescent="0.2">
      <c r="AT293" s="53"/>
      <c r="AU293" s="53"/>
      <c r="AV293" s="53"/>
      <c r="BE293" s="53"/>
      <c r="BH293" s="53"/>
      <c r="BL293" s="53"/>
    </row>
    <row r="294" spans="46:75" x14ac:dyDescent="0.2">
      <c r="AT294" s="53"/>
      <c r="AU294" s="53"/>
      <c r="AV294" s="53"/>
      <c r="BE294" s="53"/>
      <c r="BH294" s="53"/>
      <c r="BK294" s="53"/>
    </row>
    <row r="295" spans="46:75" x14ac:dyDescent="0.2">
      <c r="AT295" s="53"/>
      <c r="AU295" s="53"/>
      <c r="AV295" s="53"/>
      <c r="BG295" s="53"/>
      <c r="BJ295" s="53"/>
      <c r="BM295" s="53"/>
    </row>
    <row r="296" spans="46:75" x14ac:dyDescent="0.2">
      <c r="AT296" s="53"/>
      <c r="AU296" s="53"/>
      <c r="AV296" s="53"/>
      <c r="BH296" s="53"/>
      <c r="BK296" s="53"/>
      <c r="BN296" s="53"/>
    </row>
    <row r="302" spans="46:75" x14ac:dyDescent="0.2">
      <c r="AV302" s="53"/>
      <c r="BW302" s="53"/>
    </row>
    <row r="303" spans="46:75" x14ac:dyDescent="0.2">
      <c r="AV303" s="53"/>
      <c r="BW303" s="53"/>
    </row>
    <row r="304" spans="46:75" x14ac:dyDescent="0.2">
      <c r="AV304" s="53"/>
      <c r="BW304" s="53"/>
    </row>
    <row r="307" spans="48:77" x14ac:dyDescent="0.2">
      <c r="AV307" s="53"/>
      <c r="BW307" s="53"/>
    </row>
    <row r="308" spans="48:77" x14ac:dyDescent="0.2">
      <c r="AV308" s="53"/>
      <c r="BX308" s="53"/>
    </row>
    <row r="309" spans="48:77" x14ac:dyDescent="0.2">
      <c r="AV309" s="53"/>
      <c r="BW309" s="53"/>
    </row>
    <row r="310" spans="48:77" x14ac:dyDescent="0.2">
      <c r="AV310" s="53"/>
      <c r="BX310" s="53"/>
    </row>
    <row r="311" spans="48:77" x14ac:dyDescent="0.2">
      <c r="AV311" s="53"/>
      <c r="BW311" s="53"/>
    </row>
    <row r="312" spans="48:77" x14ac:dyDescent="0.2">
      <c r="AV312" s="53"/>
      <c r="BW312" s="53"/>
    </row>
    <row r="313" spans="48:77" x14ac:dyDescent="0.2">
      <c r="AV313" s="53"/>
      <c r="BY313" s="53"/>
    </row>
    <row r="314" spans="48:77" x14ac:dyDescent="0.2">
      <c r="AV314" s="53"/>
      <c r="BX314" s="53"/>
    </row>
    <row r="315" spans="48:77" x14ac:dyDescent="0.2">
      <c r="AV315" s="53"/>
      <c r="BW315" s="53"/>
    </row>
    <row r="316" spans="48:77" x14ac:dyDescent="0.2">
      <c r="AV316" s="53"/>
      <c r="BX316" s="53"/>
    </row>
    <row r="317" spans="48:77" x14ac:dyDescent="0.2">
      <c r="AV317" s="53"/>
      <c r="BW317" s="53"/>
    </row>
    <row r="318" spans="48:77" x14ac:dyDescent="0.2">
      <c r="AV318" s="53"/>
      <c r="BW318" s="53"/>
    </row>
    <row r="319" spans="48:77" x14ac:dyDescent="0.2">
      <c r="AV319" s="53"/>
      <c r="BW319" s="53"/>
    </row>
    <row r="320" spans="48:77" x14ac:dyDescent="0.2">
      <c r="AV320" s="53"/>
      <c r="BW320" s="53"/>
    </row>
    <row r="321" spans="46:75" x14ac:dyDescent="0.2">
      <c r="AV321" s="53"/>
      <c r="BW321" s="53"/>
    </row>
    <row r="322" spans="46:75" x14ac:dyDescent="0.2">
      <c r="AT322" s="53"/>
      <c r="AU322" s="53"/>
      <c r="AV322" s="53"/>
      <c r="BE322" s="53"/>
      <c r="BH322" s="53"/>
      <c r="BK322" s="53"/>
    </row>
    <row r="323" spans="46:75" x14ac:dyDescent="0.2">
      <c r="AT323" s="53"/>
      <c r="AU323" s="53"/>
      <c r="AV323" s="53"/>
      <c r="BE323" s="53"/>
      <c r="BH323" s="53"/>
      <c r="BK323" s="53"/>
    </row>
    <row r="324" spans="46:75" x14ac:dyDescent="0.2">
      <c r="AT324" s="53"/>
      <c r="AU324" s="53"/>
      <c r="AV324" s="53"/>
      <c r="BE324" s="53"/>
      <c r="BH324" s="53"/>
      <c r="BK324" s="53"/>
    </row>
    <row r="325" spans="46:75" x14ac:dyDescent="0.2">
      <c r="AV325" s="53"/>
      <c r="BW325" s="53"/>
    </row>
    <row r="326" spans="46:75" x14ac:dyDescent="0.2">
      <c r="AT326" s="53"/>
      <c r="AU326" s="53"/>
      <c r="AV326" s="53"/>
      <c r="BE326" s="53"/>
      <c r="BH326" s="53"/>
      <c r="BK326" s="53"/>
    </row>
    <row r="327" spans="46:75" x14ac:dyDescent="0.2">
      <c r="AT327" s="53"/>
      <c r="AU327" s="53"/>
      <c r="AV327" s="53"/>
      <c r="BG327" s="53"/>
      <c r="BJ327" s="53"/>
      <c r="BM327" s="53"/>
    </row>
    <row r="328" spans="46:75" x14ac:dyDescent="0.2">
      <c r="AT328" s="53"/>
      <c r="AU328" s="53"/>
      <c r="AV328" s="53"/>
      <c r="BE328" s="53"/>
      <c r="BH328" s="53"/>
      <c r="BK328" s="53"/>
    </row>
    <row r="329" spans="46:75" x14ac:dyDescent="0.2">
      <c r="AT329" s="53"/>
      <c r="AU329" s="53"/>
      <c r="AV329" s="53"/>
      <c r="BE329" s="53"/>
      <c r="BH329" s="53"/>
      <c r="BK329" s="53"/>
    </row>
    <row r="330" spans="46:75" x14ac:dyDescent="0.2">
      <c r="AT330" s="53"/>
      <c r="AU330" s="53"/>
      <c r="AV330" s="53"/>
      <c r="BH330" s="53"/>
      <c r="BN330" s="53"/>
      <c r="BQ330" s="53"/>
    </row>
    <row r="331" spans="46:75" x14ac:dyDescent="0.2">
      <c r="AT331" s="53"/>
      <c r="AU331" s="53"/>
      <c r="AV331" s="53"/>
      <c r="BF331" s="53"/>
      <c r="BJ331" s="53"/>
      <c r="BM331" s="53"/>
    </row>
    <row r="332" spans="46:75" x14ac:dyDescent="0.2">
      <c r="AT332" s="53"/>
      <c r="AU332" s="53"/>
      <c r="AV332" s="53"/>
      <c r="BE332" s="53"/>
      <c r="BH332" s="53"/>
      <c r="BK332" s="53"/>
    </row>
    <row r="333" spans="46:75" x14ac:dyDescent="0.2">
      <c r="AT333" s="53"/>
      <c r="AU333" s="53"/>
      <c r="AV333" s="53"/>
      <c r="BE333" s="53"/>
      <c r="BH333" s="53"/>
      <c r="BK333" s="53"/>
    </row>
    <row r="334" spans="46:75" x14ac:dyDescent="0.2">
      <c r="AT334" s="53"/>
      <c r="AU334" s="53"/>
      <c r="AV334" s="53"/>
      <c r="BE334" s="53"/>
      <c r="BH334" s="53"/>
      <c r="BK334" s="53"/>
    </row>
    <row r="335" spans="46:75" x14ac:dyDescent="0.2">
      <c r="AT335" s="53"/>
      <c r="AU335" s="53"/>
      <c r="AV335" s="53"/>
      <c r="BG335" s="53"/>
      <c r="BJ335" s="53"/>
      <c r="BM335" s="53"/>
    </row>
    <row r="336" spans="46:75" x14ac:dyDescent="0.2">
      <c r="AT336" s="53"/>
      <c r="AU336" s="53"/>
      <c r="AV336" s="53"/>
      <c r="BE336" s="53"/>
      <c r="BH336" s="53"/>
      <c r="BL336" s="53"/>
    </row>
    <row r="337" spans="46:66" x14ac:dyDescent="0.2">
      <c r="AT337" s="53"/>
      <c r="AU337" s="53"/>
      <c r="AV337" s="53"/>
      <c r="BE337" s="53"/>
      <c r="BH337" s="53"/>
      <c r="BK337" s="53"/>
    </row>
    <row r="338" spans="46:66" x14ac:dyDescent="0.2">
      <c r="AT338" s="53"/>
      <c r="AU338" s="53"/>
      <c r="AV338" s="53"/>
      <c r="BE338" s="53"/>
      <c r="BH338" s="53"/>
      <c r="BL338" s="53"/>
    </row>
    <row r="339" spans="46:66" x14ac:dyDescent="0.2">
      <c r="AT339" s="53"/>
      <c r="AU339" s="53"/>
      <c r="AV339" s="53"/>
      <c r="BE339" s="53"/>
      <c r="BH339" s="53"/>
      <c r="BK339" s="53"/>
    </row>
    <row r="340" spans="46:66" x14ac:dyDescent="0.2">
      <c r="AT340" s="53"/>
      <c r="AU340" s="53"/>
      <c r="AV340" s="53"/>
      <c r="BE340" s="53"/>
      <c r="BH340" s="53"/>
      <c r="BL340" s="53"/>
    </row>
    <row r="341" spans="46:66" x14ac:dyDescent="0.2">
      <c r="AT341" s="53"/>
      <c r="AU341" s="53"/>
      <c r="AV341" s="53"/>
      <c r="BE341" s="53"/>
      <c r="BH341" s="53"/>
      <c r="BK341" s="53"/>
    </row>
    <row r="342" spans="46:66" x14ac:dyDescent="0.2">
      <c r="AT342" s="53"/>
      <c r="AU342" s="53"/>
      <c r="AV342" s="53"/>
      <c r="BE342" s="53"/>
      <c r="BH342" s="53"/>
      <c r="BK342" s="53"/>
    </row>
    <row r="343" spans="46:66" x14ac:dyDescent="0.2">
      <c r="AT343" s="53"/>
      <c r="AU343" s="53"/>
      <c r="AV343" s="53"/>
      <c r="BF343" s="53"/>
      <c r="BJ343" s="53"/>
      <c r="BM343" s="53"/>
    </row>
    <row r="344" spans="46:66" x14ac:dyDescent="0.2">
      <c r="AT344" s="53"/>
      <c r="AU344" s="53"/>
      <c r="AV344" s="53"/>
      <c r="BE344" s="53"/>
      <c r="BH344" s="53"/>
      <c r="BK344" s="53"/>
    </row>
    <row r="345" spans="46:66" x14ac:dyDescent="0.2">
      <c r="AT345" s="53"/>
      <c r="AU345" s="53"/>
      <c r="AV345" s="53"/>
      <c r="BE345" s="53"/>
      <c r="BH345" s="53"/>
      <c r="BK345" s="53"/>
    </row>
    <row r="346" spans="46:66" x14ac:dyDescent="0.2">
      <c r="AT346" s="53"/>
      <c r="AU346" s="53"/>
      <c r="AV346" s="53"/>
      <c r="BF346" s="53"/>
      <c r="BJ346" s="53"/>
      <c r="BN346" s="53"/>
    </row>
    <row r="347" spans="46:66" x14ac:dyDescent="0.2">
      <c r="AT347" s="53"/>
      <c r="AU347" s="53"/>
      <c r="AV347" s="53"/>
      <c r="BE347" s="53"/>
      <c r="BH347" s="53"/>
      <c r="BK347" s="53"/>
    </row>
    <row r="348" spans="46:66" x14ac:dyDescent="0.2">
      <c r="AT348" s="53"/>
      <c r="AU348" s="53"/>
      <c r="AV348" s="53"/>
      <c r="BE348" s="53"/>
      <c r="BH348" s="53"/>
      <c r="BK348" s="53"/>
    </row>
    <row r="349" spans="46:66" x14ac:dyDescent="0.2">
      <c r="AT349" s="53"/>
      <c r="AU349" s="53"/>
      <c r="AV349" s="53"/>
      <c r="BE349" s="53"/>
      <c r="BH349" s="53"/>
      <c r="BK349" s="53"/>
    </row>
    <row r="350" spans="46:66" x14ac:dyDescent="0.2">
      <c r="AT350" s="53"/>
      <c r="AU350" s="53"/>
      <c r="AV350" s="53"/>
      <c r="BE350" s="53"/>
      <c r="BH350" s="53"/>
      <c r="BK350" s="53"/>
    </row>
    <row r="351" spans="46:66" x14ac:dyDescent="0.2">
      <c r="AT351" s="53"/>
      <c r="AU351" s="53"/>
      <c r="AV351" s="53"/>
      <c r="BE351" s="53"/>
      <c r="BH351" s="53"/>
      <c r="BK351" s="53"/>
    </row>
    <row r="352" spans="46:66" x14ac:dyDescent="0.2">
      <c r="AT352" s="53"/>
      <c r="AU352" s="53"/>
      <c r="AV352" s="53"/>
      <c r="BE352" s="53"/>
      <c r="BH352" s="53"/>
      <c r="BK352" s="53"/>
    </row>
    <row r="353" spans="8:137" x14ac:dyDescent="0.2">
      <c r="AT353" s="53"/>
      <c r="AU353" s="53"/>
      <c r="AV353" s="53"/>
      <c r="BE353" s="53"/>
      <c r="BH353" s="53"/>
      <c r="BK353" s="53"/>
    </row>
    <row r="354" spans="8:137" x14ac:dyDescent="0.2">
      <c r="AT354" s="53"/>
      <c r="AU354" s="53"/>
      <c r="AV354" s="53"/>
      <c r="BE354" s="53"/>
      <c r="BH354" s="53"/>
      <c r="BK354" s="53"/>
    </row>
    <row r="355" spans="8:137" x14ac:dyDescent="0.2">
      <c r="AT355" s="53"/>
      <c r="AU355" s="53"/>
      <c r="AV355" s="53"/>
      <c r="BF355" s="53"/>
      <c r="BJ355" s="53"/>
      <c r="BM355" s="53"/>
    </row>
    <row r="356" spans="8:137" x14ac:dyDescent="0.2">
      <c r="AT356" s="53"/>
      <c r="AU356" s="53"/>
      <c r="AV356" s="53"/>
      <c r="BE356" s="53"/>
      <c r="BH356" s="53"/>
      <c r="BK356" s="53"/>
    </row>
    <row r="357" spans="8:137" x14ac:dyDescent="0.2">
      <c r="AT357" s="53"/>
      <c r="AU357" s="53"/>
      <c r="AV357" s="53"/>
      <c r="BE357" s="53"/>
      <c r="BH357" s="53"/>
      <c r="BK357" s="53"/>
    </row>
    <row r="358" spans="8:137" x14ac:dyDescent="0.2">
      <c r="AT358" s="53"/>
      <c r="AU358" s="53"/>
      <c r="AV358" s="53"/>
      <c r="BE358" s="53"/>
      <c r="BH358" s="53"/>
      <c r="BK358" s="53"/>
    </row>
    <row r="359" spans="8:137" x14ac:dyDescent="0.2">
      <c r="AT359" s="53"/>
      <c r="AU359" s="53"/>
      <c r="AV359" s="53"/>
      <c r="BE359" s="53"/>
      <c r="BH359" s="53"/>
      <c r="BK359" s="53"/>
    </row>
    <row r="360" spans="8:137" x14ac:dyDescent="0.2">
      <c r="AT360" s="53"/>
      <c r="AU360" s="53"/>
      <c r="AV360" s="53"/>
      <c r="BE360" s="53"/>
      <c r="BH360" s="53"/>
      <c r="BK360" s="53"/>
    </row>
    <row r="361" spans="8:137" x14ac:dyDescent="0.2">
      <c r="AT361" s="53"/>
      <c r="AU361" s="53"/>
      <c r="AV361" s="53"/>
      <c r="BE361" s="53"/>
      <c r="BH361" s="53"/>
      <c r="BK361" s="53"/>
    </row>
    <row r="362" spans="8:137" x14ac:dyDescent="0.2">
      <c r="AT362" s="53"/>
      <c r="AU362" s="53"/>
      <c r="AV362" s="53"/>
      <c r="BE362" s="53"/>
      <c r="BH362" s="53"/>
      <c r="BK362" s="53"/>
    </row>
    <row r="363" spans="8:137" x14ac:dyDescent="0.2">
      <c r="AT363" s="53"/>
      <c r="AU363" s="53"/>
      <c r="AV363" s="53"/>
      <c r="BE363" s="53"/>
      <c r="BH363" s="53"/>
      <c r="BK363" s="53"/>
    </row>
    <row r="367" spans="8:137" x14ac:dyDescent="0.2">
      <c r="AW367" s="52"/>
      <c r="EG367" s="52"/>
    </row>
    <row r="368" spans="8:137" x14ac:dyDescent="0.2">
      <c r="H368" s="52"/>
    </row>
    <row r="374" spans="46:66" x14ac:dyDescent="0.2">
      <c r="AT374" s="53"/>
      <c r="AU374" s="53"/>
      <c r="AV374" s="53"/>
      <c r="BF374" s="53"/>
      <c r="BJ374" s="53"/>
      <c r="BN374" s="53"/>
    </row>
    <row r="375" spans="46:66" x14ac:dyDescent="0.2">
      <c r="AT375" s="53"/>
      <c r="AU375" s="53"/>
      <c r="AV375" s="53"/>
      <c r="BE375" s="53"/>
      <c r="BH375" s="53"/>
      <c r="BK375" s="53"/>
    </row>
    <row r="376" spans="46:66" x14ac:dyDescent="0.2">
      <c r="AT376" s="53"/>
      <c r="AU376" s="53"/>
      <c r="AV376" s="53"/>
      <c r="BE376" s="53"/>
      <c r="BH376" s="53"/>
      <c r="BK376" s="53"/>
    </row>
    <row r="377" spans="46:66" x14ac:dyDescent="0.2">
      <c r="AT377" s="53"/>
      <c r="AU377" s="53"/>
      <c r="AV377" s="53"/>
      <c r="BE377" s="53"/>
      <c r="BH377" s="53"/>
      <c r="BK377" s="53"/>
    </row>
    <row r="378" spans="46:66" x14ac:dyDescent="0.2">
      <c r="AT378" s="53"/>
      <c r="AU378" s="53"/>
      <c r="AV378" s="53"/>
      <c r="BE378" s="53"/>
      <c r="BH378" s="53"/>
      <c r="BK378" s="53"/>
    </row>
    <row r="379" spans="46:66" x14ac:dyDescent="0.2">
      <c r="AT379" s="53"/>
      <c r="AU379" s="53"/>
      <c r="AV379" s="53"/>
      <c r="BD379" s="53"/>
      <c r="BG379" s="53"/>
      <c r="BJ379" s="53"/>
    </row>
    <row r="380" spans="46:66" x14ac:dyDescent="0.2">
      <c r="AT380" s="53"/>
      <c r="AU380" s="53"/>
      <c r="AV380" s="53"/>
      <c r="BD380" s="53"/>
      <c r="BG380" s="53"/>
      <c r="BJ380" s="53"/>
    </row>
    <row r="381" spans="46:66" x14ac:dyDescent="0.2">
      <c r="AT381" s="53"/>
      <c r="AU381" s="53"/>
      <c r="AV381" s="53"/>
      <c r="BD381" s="53"/>
      <c r="BG381" s="53"/>
      <c r="BJ381" s="53"/>
    </row>
    <row r="382" spans="46:66" x14ac:dyDescent="0.2">
      <c r="AT382" s="53"/>
      <c r="AU382" s="53"/>
      <c r="AV382" s="53"/>
      <c r="BD382" s="53"/>
      <c r="BG382" s="53"/>
      <c r="BJ382" s="53"/>
    </row>
    <row r="383" spans="46:66" x14ac:dyDescent="0.2">
      <c r="AT383" s="53"/>
      <c r="AU383" s="53"/>
      <c r="AV383" s="53"/>
      <c r="BD383" s="53"/>
      <c r="BG383" s="53"/>
      <c r="BK383" s="53"/>
    </row>
    <row r="384" spans="46:66" x14ac:dyDescent="0.2">
      <c r="AT384" s="53"/>
      <c r="AU384" s="53"/>
      <c r="AV384" s="53"/>
      <c r="BD384" s="53"/>
      <c r="BG384" s="53"/>
      <c r="BJ384" s="53"/>
    </row>
    <row r="385" spans="46:64" x14ac:dyDescent="0.2">
      <c r="AT385" s="53"/>
      <c r="AU385" s="53"/>
      <c r="AV385" s="53"/>
      <c r="BD385" s="53"/>
      <c r="BG385" s="53"/>
      <c r="BJ385" s="53"/>
    </row>
    <row r="386" spans="46:64" x14ac:dyDescent="0.2">
      <c r="AT386" s="53"/>
      <c r="AU386" s="53"/>
      <c r="AV386" s="53"/>
      <c r="BD386" s="53"/>
      <c r="BG386" s="53"/>
      <c r="BK386" s="53"/>
    </row>
    <row r="387" spans="46:64" x14ac:dyDescent="0.2">
      <c r="AT387" s="53"/>
      <c r="AU387" s="53"/>
      <c r="AV387" s="53"/>
      <c r="BD387" s="53"/>
      <c r="BG387" s="53"/>
      <c r="BK387" s="53"/>
    </row>
    <row r="388" spans="46:64" x14ac:dyDescent="0.2">
      <c r="AT388" s="53"/>
      <c r="AU388" s="53"/>
      <c r="AV388" s="53"/>
      <c r="BD388" s="53"/>
      <c r="BG388" s="53"/>
      <c r="BJ388" s="53"/>
    </row>
    <row r="389" spans="46:64" x14ac:dyDescent="0.2">
      <c r="AT389" s="53"/>
      <c r="AU389" s="53"/>
      <c r="AV389" s="53"/>
      <c r="BF389" s="53"/>
      <c r="BI389" s="53"/>
      <c r="BL389" s="53"/>
    </row>
    <row r="390" spans="46:64" x14ac:dyDescent="0.2">
      <c r="AT390" s="53"/>
      <c r="AU390" s="53"/>
      <c r="AV390" s="53"/>
      <c r="BD390" s="53"/>
      <c r="BG390" s="53"/>
      <c r="BK390" s="53"/>
    </row>
    <row r="391" spans="46:64" x14ac:dyDescent="0.2">
      <c r="AT391" s="53"/>
      <c r="AU391" s="53"/>
      <c r="AV391" s="53"/>
      <c r="BD391" s="53"/>
      <c r="BG391" s="53"/>
      <c r="BJ391" s="53"/>
    </row>
    <row r="392" spans="46:64" x14ac:dyDescent="0.2">
      <c r="AT392" s="53"/>
      <c r="AU392" s="53"/>
      <c r="AV392" s="53"/>
      <c r="BD392" s="53"/>
      <c r="BG392" s="53"/>
      <c r="BJ392" s="53"/>
    </row>
    <row r="393" spans="46:64" x14ac:dyDescent="0.2">
      <c r="AT393" s="53"/>
      <c r="AU393" s="53"/>
      <c r="AV393" s="53"/>
      <c r="BD393" s="53"/>
      <c r="BG393" s="53"/>
      <c r="BJ393" s="53"/>
    </row>
    <row r="394" spans="46:64" x14ac:dyDescent="0.2">
      <c r="AT394" s="53"/>
      <c r="AU394" s="53"/>
      <c r="AV394" s="53"/>
      <c r="BD394" s="53"/>
      <c r="BG394" s="53"/>
      <c r="BJ394" s="53"/>
    </row>
    <row r="395" spans="46:64" x14ac:dyDescent="0.2">
      <c r="AT395" s="53"/>
      <c r="AU395" s="53"/>
      <c r="AV395" s="53"/>
      <c r="BD395" s="53"/>
      <c r="BG395" s="53"/>
      <c r="BJ395" s="53"/>
    </row>
    <row r="396" spans="46:64" x14ac:dyDescent="0.2">
      <c r="AT396" s="53"/>
      <c r="AU396" s="53"/>
      <c r="AV396" s="53"/>
      <c r="BD396" s="53"/>
      <c r="BG396" s="53"/>
      <c r="BJ396" s="53"/>
    </row>
    <row r="397" spans="46:64" x14ac:dyDescent="0.2">
      <c r="AT397" s="53"/>
      <c r="AU397" s="53"/>
      <c r="AV397" s="53"/>
      <c r="BD397" s="53"/>
      <c r="BG397" s="53"/>
      <c r="BJ397" s="53"/>
    </row>
    <row r="398" spans="46:64" x14ac:dyDescent="0.2">
      <c r="AT398" s="53"/>
      <c r="AU398" s="53"/>
      <c r="AV398" s="53"/>
      <c r="BD398" s="53"/>
      <c r="BG398" s="53"/>
      <c r="BJ398" s="53"/>
    </row>
    <row r="399" spans="46:64" x14ac:dyDescent="0.2">
      <c r="AT399" s="53"/>
      <c r="AU399" s="53"/>
      <c r="AV399" s="53"/>
      <c r="BD399" s="53"/>
      <c r="BG399" s="53"/>
      <c r="BK399" s="53"/>
    </row>
    <row r="400" spans="46:64" x14ac:dyDescent="0.2">
      <c r="AT400" s="53"/>
      <c r="AU400" s="53"/>
      <c r="AV400" s="53"/>
      <c r="BD400" s="53"/>
      <c r="BG400" s="53"/>
      <c r="BJ400" s="53"/>
    </row>
    <row r="401" spans="46:65" x14ac:dyDescent="0.2">
      <c r="AT401" s="53"/>
      <c r="AU401" s="53"/>
      <c r="AV401" s="53"/>
      <c r="BD401" s="53"/>
      <c r="BG401" s="53"/>
      <c r="BJ401" s="53"/>
    </row>
    <row r="402" spans="46:65" x14ac:dyDescent="0.2">
      <c r="AT402" s="53"/>
      <c r="AU402" s="53"/>
      <c r="AV402" s="53"/>
      <c r="BD402" s="53"/>
      <c r="BG402" s="53"/>
      <c r="BJ402" s="53"/>
    </row>
    <row r="403" spans="46:65" x14ac:dyDescent="0.2">
      <c r="AT403" s="53"/>
      <c r="AU403" s="53"/>
      <c r="AV403" s="53"/>
      <c r="BD403" s="53"/>
      <c r="BG403" s="53"/>
      <c r="BJ403" s="53"/>
    </row>
    <row r="404" spans="46:65" x14ac:dyDescent="0.2">
      <c r="AT404" s="53"/>
      <c r="AU404" s="53"/>
      <c r="AV404" s="53"/>
      <c r="BF404" s="53"/>
      <c r="BI404" s="53"/>
      <c r="BL404" s="53"/>
    </row>
    <row r="405" spans="46:65" x14ac:dyDescent="0.2">
      <c r="AT405" s="53"/>
      <c r="AU405" s="53"/>
      <c r="AV405" s="53"/>
      <c r="BD405" s="53"/>
      <c r="BG405" s="53"/>
      <c r="BJ405" s="53"/>
    </row>
    <row r="406" spans="46:65" x14ac:dyDescent="0.2">
      <c r="AT406" s="53"/>
      <c r="AU406" s="53"/>
      <c r="AV406" s="53"/>
      <c r="BF406" s="53"/>
      <c r="BI406" s="53"/>
      <c r="BM406" s="53"/>
    </row>
    <row r="407" spans="46:65" x14ac:dyDescent="0.2">
      <c r="AT407" s="53"/>
      <c r="AU407" s="53"/>
      <c r="AV407" s="53"/>
      <c r="BE407" s="53"/>
      <c r="BI407" s="53"/>
      <c r="BL407" s="53"/>
    </row>
    <row r="408" spans="46:65" x14ac:dyDescent="0.2">
      <c r="AT408" s="53"/>
      <c r="AU408" s="53"/>
      <c r="AV408" s="53"/>
      <c r="BF408" s="53"/>
      <c r="BI408" s="53"/>
      <c r="BL408" s="53"/>
    </row>
    <row r="409" spans="46:65" x14ac:dyDescent="0.2">
      <c r="AT409" s="53"/>
      <c r="AU409" s="53"/>
      <c r="AV409" s="53"/>
      <c r="BD409" s="53"/>
      <c r="BG409" s="53"/>
      <c r="BJ409" s="53"/>
    </row>
    <row r="410" spans="46:65" x14ac:dyDescent="0.2">
      <c r="AT410" s="53"/>
      <c r="AU410" s="53"/>
      <c r="AV410" s="53"/>
      <c r="BF410" s="53"/>
      <c r="BI410" s="53"/>
      <c r="BL410" s="53"/>
    </row>
    <row r="411" spans="46:65" x14ac:dyDescent="0.2">
      <c r="AT411" s="53"/>
      <c r="AU411" s="53"/>
      <c r="AV411" s="53"/>
      <c r="BD411" s="53"/>
      <c r="BG411" s="53"/>
      <c r="BM411" s="53"/>
    </row>
    <row r="412" spans="46:65" x14ac:dyDescent="0.2">
      <c r="AT412" s="53"/>
      <c r="AU412" s="53"/>
      <c r="AV412" s="53"/>
      <c r="BD412" s="53"/>
      <c r="BG412" s="53"/>
      <c r="BJ412" s="53"/>
    </row>
    <row r="413" spans="46:65" x14ac:dyDescent="0.2">
      <c r="AT413" s="53"/>
      <c r="AU413" s="53"/>
      <c r="AV413" s="53"/>
      <c r="BD413" s="53"/>
      <c r="BG413" s="53"/>
      <c r="BJ413" s="53"/>
    </row>
    <row r="414" spans="46:65" x14ac:dyDescent="0.2">
      <c r="AT414" s="53"/>
      <c r="AU414" s="53"/>
      <c r="AV414" s="53"/>
      <c r="BD414" s="53"/>
      <c r="BG414" s="53"/>
      <c r="BK414" s="53"/>
    </row>
    <row r="415" spans="46:65" x14ac:dyDescent="0.2">
      <c r="AT415" s="53"/>
      <c r="AU415" s="53"/>
      <c r="AV415" s="53"/>
      <c r="BD415" s="53"/>
      <c r="BG415" s="53"/>
      <c r="BJ415" s="53"/>
    </row>
    <row r="416" spans="46:65" x14ac:dyDescent="0.2">
      <c r="AT416" s="53"/>
      <c r="AU416" s="53"/>
      <c r="AV416" s="53"/>
      <c r="BD416" s="53"/>
      <c r="BG416" s="53"/>
      <c r="BJ416" s="53"/>
    </row>
    <row r="417" spans="46:67" x14ac:dyDescent="0.2">
      <c r="AT417" s="53"/>
      <c r="AU417" s="53"/>
      <c r="AV417" s="53"/>
      <c r="BD417" s="53"/>
      <c r="BG417" s="53"/>
      <c r="BJ417" s="53"/>
    </row>
    <row r="418" spans="46:67" x14ac:dyDescent="0.2">
      <c r="AT418" s="53"/>
      <c r="AU418" s="53"/>
      <c r="AV418" s="53"/>
      <c r="BD418" s="53"/>
      <c r="BG418" s="53"/>
      <c r="BJ418" s="53"/>
    </row>
    <row r="419" spans="46:67" x14ac:dyDescent="0.2">
      <c r="AT419" s="53"/>
      <c r="AU419" s="53"/>
      <c r="AV419" s="53"/>
      <c r="BF419" s="53"/>
      <c r="BI419" s="53"/>
      <c r="BL419" s="53"/>
    </row>
    <row r="420" spans="46:67" x14ac:dyDescent="0.2">
      <c r="AT420" s="53"/>
      <c r="AU420" s="53"/>
      <c r="AV420" s="53"/>
      <c r="BI420" s="53"/>
      <c r="BL420" s="53"/>
      <c r="BO420" s="53"/>
    </row>
    <row r="421" spans="46:67" x14ac:dyDescent="0.2">
      <c r="AT421" s="53"/>
      <c r="AU421" s="53"/>
      <c r="AV421" s="53"/>
      <c r="BG421" s="53"/>
      <c r="BJ421" s="53"/>
      <c r="BM421" s="53"/>
    </row>
    <row r="455" spans="8:137" x14ac:dyDescent="0.2">
      <c r="AW455" s="52"/>
      <c r="EG455" s="52"/>
    </row>
    <row r="456" spans="8:137" x14ac:dyDescent="0.2">
      <c r="H456" s="52"/>
    </row>
    <row r="543" spans="8:137" x14ac:dyDescent="0.2">
      <c r="AW543" s="52"/>
      <c r="EG543" s="52"/>
    </row>
    <row r="544" spans="8:137" x14ac:dyDescent="0.2">
      <c r="H544" s="52"/>
    </row>
    <row r="631" spans="8:137" x14ac:dyDescent="0.2">
      <c r="AW631" s="52"/>
      <c r="EG631" s="52"/>
    </row>
    <row r="632" spans="8:137" x14ac:dyDescent="0.2">
      <c r="H632" s="52"/>
    </row>
    <row r="719" spans="8:137" x14ac:dyDescent="0.2">
      <c r="AW719" s="52"/>
      <c r="EG719" s="52"/>
    </row>
    <row r="720" spans="8:137" x14ac:dyDescent="0.2">
      <c r="H720" s="52"/>
    </row>
    <row r="807" spans="8:137" x14ac:dyDescent="0.2">
      <c r="AW807" s="52"/>
      <c r="EG807" s="52"/>
    </row>
    <row r="808" spans="8:137" x14ac:dyDescent="0.2">
      <c r="H808" s="52"/>
    </row>
    <row r="895" spans="8:137" x14ac:dyDescent="0.2">
      <c r="AW895" s="52"/>
      <c r="EG895" s="52"/>
    </row>
    <row r="896" spans="8:137" x14ac:dyDescent="0.2">
      <c r="H896" s="52"/>
    </row>
    <row r="983" spans="8:137" x14ac:dyDescent="0.2">
      <c r="AW983" s="52"/>
      <c r="EG983" s="52"/>
    </row>
    <row r="984" spans="8:137" x14ac:dyDescent="0.2">
      <c r="H984" s="52"/>
    </row>
    <row r="1071" spans="8:137" x14ac:dyDescent="0.2">
      <c r="AW1071" s="52"/>
      <c r="EG1071" s="52"/>
    </row>
    <row r="1072" spans="8:137" x14ac:dyDescent="0.2">
      <c r="H1072" s="52"/>
    </row>
    <row r="1159" spans="8:137" x14ac:dyDescent="0.2">
      <c r="AW1159" s="52"/>
      <c r="EG1159" s="52"/>
    </row>
    <row r="1160" spans="8:137" x14ac:dyDescent="0.2">
      <c r="H1160" s="52"/>
    </row>
    <row r="1247" spans="8:137" x14ac:dyDescent="0.2">
      <c r="AW1247" s="52"/>
      <c r="EG1247" s="52"/>
    </row>
    <row r="1248" spans="8:137" x14ac:dyDescent="0.2">
      <c r="H1248" s="52"/>
    </row>
    <row r="1335" spans="8:137" x14ac:dyDescent="0.2">
      <c r="AW1335" s="52"/>
      <c r="EG1335" s="52"/>
    </row>
    <row r="1336" spans="8:137" x14ac:dyDescent="0.2">
      <c r="H1336" s="52"/>
    </row>
    <row r="1423" spans="8:137" x14ac:dyDescent="0.2">
      <c r="AW1423" s="52"/>
      <c r="EG1423" s="52"/>
    </row>
    <row r="1424" spans="8:137" x14ac:dyDescent="0.2">
      <c r="H1424" s="52"/>
    </row>
    <row r="1511" spans="8:137" x14ac:dyDescent="0.2">
      <c r="AW1511" s="52"/>
      <c r="EG1511" s="52"/>
    </row>
    <row r="1512" spans="8:137" x14ac:dyDescent="0.2">
      <c r="H1512" s="52"/>
    </row>
    <row r="1599" spans="8:137" x14ac:dyDescent="0.2">
      <c r="AW1599" s="52"/>
      <c r="EG1599" s="52"/>
    </row>
    <row r="1600" spans="8:137" x14ac:dyDescent="0.2">
      <c r="H1600" s="52"/>
    </row>
    <row r="1687" spans="8:137" x14ac:dyDescent="0.2">
      <c r="AW1687" s="52"/>
      <c r="EG1687" s="52"/>
    </row>
    <row r="1688" spans="8:137" x14ac:dyDescent="0.2">
      <c r="H1688" s="52"/>
    </row>
    <row r="1775" spans="8:137" x14ac:dyDescent="0.2">
      <c r="AW1775" s="52"/>
      <c r="EG1775" s="52"/>
    </row>
    <row r="1776" spans="8:137" x14ac:dyDescent="0.2">
      <c r="H1776" s="52"/>
    </row>
    <row r="1863" spans="8:137" x14ac:dyDescent="0.2">
      <c r="AW1863" s="52"/>
      <c r="EG1863" s="52"/>
    </row>
    <row r="1864" spans="8:137" x14ac:dyDescent="0.2">
      <c r="H1864" s="52"/>
    </row>
    <row r="1951" spans="8:137" x14ac:dyDescent="0.2">
      <c r="AW1951" s="52"/>
      <c r="EG1951" s="52"/>
    </row>
    <row r="1952" spans="8:137" x14ac:dyDescent="0.2">
      <c r="H1952" s="52"/>
    </row>
    <row r="2039" spans="8:137" x14ac:dyDescent="0.2">
      <c r="AW2039" s="52"/>
      <c r="EG2039" s="52"/>
    </row>
    <row r="2040" spans="8:137" x14ac:dyDescent="0.2">
      <c r="H2040" s="52"/>
    </row>
    <row r="2121" spans="8:137" x14ac:dyDescent="0.2">
      <c r="H2121" s="52"/>
    </row>
    <row r="2127" spans="8:137" x14ac:dyDescent="0.2">
      <c r="AW2127" s="52"/>
      <c r="EG2127" s="52"/>
    </row>
    <row r="2202" spans="8:8" x14ac:dyDescent="0.2">
      <c r="H2202" s="52"/>
    </row>
    <row r="2215" spans="49:137" x14ac:dyDescent="0.2">
      <c r="AW2215" s="52"/>
      <c r="EG2215" s="52"/>
    </row>
    <row r="2283" spans="8:8" x14ac:dyDescent="0.2">
      <c r="H2283" s="52"/>
    </row>
    <row r="2303" spans="49:137" x14ac:dyDescent="0.2">
      <c r="AW2303" s="52"/>
      <c r="EG2303" s="52"/>
    </row>
    <row r="2364" spans="8:8" x14ac:dyDescent="0.2">
      <c r="H2364" s="52"/>
    </row>
    <row r="2391" spans="49:137" x14ac:dyDescent="0.2">
      <c r="AW2391" s="52"/>
      <c r="EG2391" s="52"/>
    </row>
    <row r="2445" spans="8:8" x14ac:dyDescent="0.2">
      <c r="H2445" s="52"/>
    </row>
    <row r="2479" spans="49:137" x14ac:dyDescent="0.2">
      <c r="AW2479" s="52"/>
      <c r="EG2479" s="52"/>
    </row>
    <row r="2526" spans="8:8" x14ac:dyDescent="0.2">
      <c r="H2526" s="52"/>
    </row>
    <row r="2567" spans="49:137" x14ac:dyDescent="0.2">
      <c r="AW2567" s="52"/>
      <c r="EG2567" s="52"/>
    </row>
    <row r="2607" spans="8:8" x14ac:dyDescent="0.2">
      <c r="H2607" s="52"/>
    </row>
    <row r="2655" spans="49:137" x14ac:dyDescent="0.2">
      <c r="AW2655" s="52"/>
      <c r="EG2655" s="52"/>
    </row>
    <row r="2688" spans="8:8" x14ac:dyDescent="0.2">
      <c r="H2688" s="52"/>
    </row>
    <row r="2743" spans="49:137" x14ac:dyDescent="0.2">
      <c r="AW2743" s="52"/>
      <c r="EG2743" s="52"/>
    </row>
    <row r="2769" spans="8:8" x14ac:dyDescent="0.2">
      <c r="H2769" s="52"/>
    </row>
    <row r="2831" spans="49:137" x14ac:dyDescent="0.2">
      <c r="AW2831" s="52"/>
      <c r="EG2831" s="52"/>
    </row>
    <row r="2850" spans="8:8" x14ac:dyDescent="0.2">
      <c r="H2850" s="52"/>
    </row>
    <row r="2919" spans="49:137" x14ac:dyDescent="0.2">
      <c r="AW2919" s="52"/>
      <c r="EG2919" s="52"/>
    </row>
    <row r="2931" spans="8:8" x14ac:dyDescent="0.2">
      <c r="H2931" s="52"/>
    </row>
    <row r="3007" spans="49:137" x14ac:dyDescent="0.2">
      <c r="AW3007" s="52"/>
      <c r="EG3007" s="52"/>
    </row>
    <row r="3012" spans="8:8" x14ac:dyDescent="0.2">
      <c r="H3012" s="52"/>
    </row>
    <row r="3093" spans="8:137" x14ac:dyDescent="0.2">
      <c r="H3093" s="52"/>
    </row>
    <row r="3095" spans="8:137" x14ac:dyDescent="0.2">
      <c r="AW3095" s="52"/>
      <c r="EG3095" s="52"/>
    </row>
    <row r="3174" spans="8:137" x14ac:dyDescent="0.2">
      <c r="H3174" s="52"/>
    </row>
    <row r="3183" spans="8:137" x14ac:dyDescent="0.2">
      <c r="AW3183" s="52"/>
      <c r="EG3183" s="52"/>
    </row>
    <row r="3255" spans="8:8" x14ac:dyDescent="0.2">
      <c r="H3255" s="52"/>
    </row>
    <row r="3271" spans="49:137" x14ac:dyDescent="0.2">
      <c r="AW3271" s="52"/>
      <c r="EG3271" s="52"/>
    </row>
    <row r="3336" spans="8:8" x14ac:dyDescent="0.2">
      <c r="H3336" s="52"/>
    </row>
    <row r="3359" spans="49:137" x14ac:dyDescent="0.2">
      <c r="AW3359" s="52"/>
      <c r="EG3359" s="52"/>
    </row>
    <row r="3417" spans="8:8" x14ac:dyDescent="0.2">
      <c r="H3417" s="52"/>
    </row>
    <row r="3447" spans="49:137" x14ac:dyDescent="0.2">
      <c r="AW3447" s="52"/>
      <c r="EG3447" s="52"/>
    </row>
    <row r="3498" spans="8:8" x14ac:dyDescent="0.2">
      <c r="H3498" s="52"/>
    </row>
    <row r="3535" spans="49:137" x14ac:dyDescent="0.2">
      <c r="AW3535" s="52"/>
      <c r="EG3535" s="52"/>
    </row>
    <row r="3579" spans="8:8" x14ac:dyDescent="0.2">
      <c r="H3579" s="52"/>
    </row>
    <row r="3623" spans="49:137" x14ac:dyDescent="0.2">
      <c r="AW3623" s="52"/>
      <c r="EG3623" s="52"/>
    </row>
    <row r="3660" spans="8:8" x14ac:dyDescent="0.2">
      <c r="H3660" s="52"/>
    </row>
    <row r="3711" spans="49:137" x14ac:dyDescent="0.2">
      <c r="AW3711" s="52"/>
      <c r="EG3711" s="52"/>
    </row>
    <row r="3741" spans="8:8" x14ac:dyDescent="0.2">
      <c r="H3741" s="52"/>
    </row>
    <row r="3799" spans="49:137" x14ac:dyDescent="0.2">
      <c r="AW3799" s="52"/>
      <c r="EG3799" s="52"/>
    </row>
    <row r="3822" spans="8:8" x14ac:dyDescent="0.2">
      <c r="H3822" s="52"/>
    </row>
    <row r="3887" spans="49:137" x14ac:dyDescent="0.2">
      <c r="AW3887" s="52"/>
      <c r="EG3887" s="52"/>
    </row>
    <row r="3903" spans="8:8" x14ac:dyDescent="0.2">
      <c r="H3903" s="52"/>
    </row>
    <row r="3975" spans="8:137" x14ac:dyDescent="0.2">
      <c r="AW3975" s="52"/>
      <c r="EG3975" s="52"/>
    </row>
    <row r="3984" spans="8:137" x14ac:dyDescent="0.2">
      <c r="H3984" s="52"/>
    </row>
    <row r="4063" spans="49:137" x14ac:dyDescent="0.2">
      <c r="AW4063" s="52"/>
      <c r="EG4063" s="52"/>
    </row>
    <row r="4065" spans="8:8" x14ac:dyDescent="0.2">
      <c r="H4065" s="52"/>
    </row>
    <row r="4146" spans="8:137" x14ac:dyDescent="0.2">
      <c r="H4146" s="52"/>
    </row>
    <row r="4151" spans="8:137" x14ac:dyDescent="0.2">
      <c r="AW4151" s="52"/>
      <c r="EG4151" s="52"/>
    </row>
    <row r="4227" spans="8:137" x14ac:dyDescent="0.2">
      <c r="H4227" s="52"/>
    </row>
    <row r="4239" spans="8:137" x14ac:dyDescent="0.2">
      <c r="AW4239" s="52"/>
      <c r="EG4239" s="52"/>
    </row>
    <row r="4308" spans="8:8" x14ac:dyDescent="0.2">
      <c r="H4308" s="52"/>
    </row>
    <row r="4327" spans="49:137" x14ac:dyDescent="0.2">
      <c r="AW4327" s="52"/>
      <c r="EG4327" s="52"/>
    </row>
    <row r="4389" spans="8:8" x14ac:dyDescent="0.2">
      <c r="H4389" s="52"/>
    </row>
    <row r="4415" spans="49:137" x14ac:dyDescent="0.2">
      <c r="AW4415" s="52"/>
      <c r="EG4415" s="52"/>
    </row>
    <row r="4470" spans="8:8" x14ac:dyDescent="0.2">
      <c r="H4470" s="52"/>
    </row>
    <row r="4503" spans="49:137" x14ac:dyDescent="0.2">
      <c r="AW4503" s="52"/>
      <c r="EG4503" s="52"/>
    </row>
    <row r="4551" spans="8:8" x14ac:dyDescent="0.2">
      <c r="H4551" s="52"/>
    </row>
    <row r="4591" spans="49:137" x14ac:dyDescent="0.2">
      <c r="AW4591" s="52"/>
      <c r="EG4591" s="52"/>
    </row>
    <row r="4632" spans="8:8" x14ac:dyDescent="0.2">
      <c r="H4632" s="52"/>
    </row>
    <row r="4679" spans="49:137" x14ac:dyDescent="0.2">
      <c r="AW4679" s="52"/>
      <c r="EG4679" s="52"/>
    </row>
    <row r="4713" spans="8:8" x14ac:dyDescent="0.2">
      <c r="H4713" s="52"/>
    </row>
    <row r="4767" spans="49:137" x14ac:dyDescent="0.2">
      <c r="AW4767" s="52"/>
      <c r="EG4767" s="52"/>
    </row>
    <row r="4794" spans="8:8" x14ac:dyDescent="0.2">
      <c r="H4794" s="52"/>
    </row>
    <row r="4855" spans="49:137" x14ac:dyDescent="0.2">
      <c r="AW4855" s="52"/>
      <c r="EG4855" s="52"/>
    </row>
    <row r="4875" spans="8:8" x14ac:dyDescent="0.2">
      <c r="H4875" s="52"/>
    </row>
    <row r="4943" spans="49:137" x14ac:dyDescent="0.2">
      <c r="AW4943" s="52"/>
      <c r="EG4943" s="52"/>
    </row>
    <row r="4956" spans="8:8" x14ac:dyDescent="0.2">
      <c r="H4956" s="52"/>
    </row>
    <row r="5031" spans="8:137" x14ac:dyDescent="0.2">
      <c r="AW5031" s="52"/>
      <c r="EG5031" s="52"/>
    </row>
    <row r="5037" spans="8:137" x14ac:dyDescent="0.2">
      <c r="H5037" s="52"/>
    </row>
    <row r="5118" spans="8:137" x14ac:dyDescent="0.2">
      <c r="H5118" s="52"/>
    </row>
    <row r="5119" spans="8:137" x14ac:dyDescent="0.2">
      <c r="AW5119" s="52"/>
      <c r="EG5119" s="52"/>
    </row>
    <row r="5199" spans="8:8" x14ac:dyDescent="0.2">
      <c r="H5199" s="52"/>
    </row>
    <row r="5207" spans="49:137" x14ac:dyDescent="0.2">
      <c r="AW5207" s="52"/>
      <c r="EG5207" s="52"/>
    </row>
    <row r="5280" spans="8:8" x14ac:dyDescent="0.2">
      <c r="H5280" s="52"/>
    </row>
    <row r="5295" spans="49:137" x14ac:dyDescent="0.2">
      <c r="AW5295" s="52"/>
      <c r="EG5295" s="52"/>
    </row>
    <row r="5361" spans="8:8" x14ac:dyDescent="0.2">
      <c r="H5361" s="52"/>
    </row>
    <row r="5383" spans="49:137" x14ac:dyDescent="0.2">
      <c r="AW5383" s="52"/>
      <c r="EG5383" s="52"/>
    </row>
    <row r="5442" spans="8:8" x14ac:dyDescent="0.2">
      <c r="H5442" s="52"/>
    </row>
    <row r="5471" spans="49:137" x14ac:dyDescent="0.2">
      <c r="AW5471" s="52"/>
      <c r="EG5471" s="52"/>
    </row>
    <row r="5523" spans="8:8" x14ac:dyDescent="0.2">
      <c r="H5523" s="52"/>
    </row>
    <row r="5559" spans="49:137" x14ac:dyDescent="0.2">
      <c r="AW5559" s="52"/>
      <c r="EG5559" s="52"/>
    </row>
    <row r="5604" spans="8:8" x14ac:dyDescent="0.2">
      <c r="H5604" s="52"/>
    </row>
    <row r="5647" spans="49:137" x14ac:dyDescent="0.2">
      <c r="AW5647" s="52"/>
      <c r="EG5647" s="52"/>
    </row>
    <row r="5685" spans="8:8" x14ac:dyDescent="0.2">
      <c r="H5685" s="52"/>
    </row>
    <row r="5735" spans="49:137" x14ac:dyDescent="0.2">
      <c r="AW5735" s="52"/>
      <c r="EG5735" s="52"/>
    </row>
    <row r="5766" spans="8:8" x14ac:dyDescent="0.2">
      <c r="H5766" s="52"/>
    </row>
    <row r="5823" spans="49:137" x14ac:dyDescent="0.2">
      <c r="AW5823" s="52"/>
      <c r="EG5823" s="52"/>
    </row>
    <row r="5847" spans="8:8" x14ac:dyDescent="0.2">
      <c r="H5847" s="52"/>
    </row>
    <row r="5904" spans="49:137" x14ac:dyDescent="0.2">
      <c r="AW5904" s="52"/>
      <c r="EG5904" s="52"/>
    </row>
    <row r="5928" spans="8:8" x14ac:dyDescent="0.2">
      <c r="H5928" s="52"/>
    </row>
    <row r="5985" spans="49:137" x14ac:dyDescent="0.2">
      <c r="AW5985" s="52"/>
      <c r="EG5985" s="52"/>
    </row>
    <row r="6009" spans="8:8" x14ac:dyDescent="0.2">
      <c r="H6009" s="52"/>
    </row>
    <row r="6066" spans="49:137" x14ac:dyDescent="0.2">
      <c r="AW6066" s="52"/>
      <c r="EG6066" s="52"/>
    </row>
    <row r="6090" spans="8:8" x14ac:dyDescent="0.2">
      <c r="H6090" s="52"/>
    </row>
    <row r="6147" spans="49:137" x14ac:dyDescent="0.2">
      <c r="AW6147" s="52"/>
      <c r="EG6147" s="52"/>
    </row>
    <row r="6171" spans="8:8" x14ac:dyDescent="0.2">
      <c r="H6171" s="52"/>
    </row>
    <row r="6228" spans="49:137" x14ac:dyDescent="0.2">
      <c r="AW6228" s="52"/>
      <c r="EG6228" s="52"/>
    </row>
    <row r="6252" spans="8:8" x14ac:dyDescent="0.2">
      <c r="H6252" s="52"/>
    </row>
    <row r="6309" spans="49:137" x14ac:dyDescent="0.2">
      <c r="AW6309" s="52"/>
      <c r="EG6309" s="52"/>
    </row>
    <row r="6333" spans="8:8" x14ac:dyDescent="0.2">
      <c r="H6333" s="52"/>
    </row>
    <row r="6390" spans="49:137" x14ac:dyDescent="0.2">
      <c r="AW6390" s="52"/>
      <c r="EG6390" s="52"/>
    </row>
    <row r="6414" spans="8:8" x14ac:dyDescent="0.2">
      <c r="H6414" s="52"/>
    </row>
    <row r="6471" spans="49:137" x14ac:dyDescent="0.2">
      <c r="AW6471" s="52"/>
      <c r="EG6471" s="52"/>
    </row>
    <row r="6495" spans="8:8" x14ac:dyDescent="0.2">
      <c r="H6495" s="52"/>
    </row>
    <row r="6552" spans="49:137" x14ac:dyDescent="0.2">
      <c r="AW6552" s="52"/>
      <c r="EG6552" s="52"/>
    </row>
    <row r="6576" spans="8:8" x14ac:dyDescent="0.2">
      <c r="H6576" s="52"/>
    </row>
    <row r="6633" spans="49:137" x14ac:dyDescent="0.2">
      <c r="AW6633" s="52"/>
      <c r="EG6633" s="52"/>
    </row>
    <row r="6657" spans="8:8" x14ac:dyDescent="0.2">
      <c r="H6657" s="52"/>
    </row>
    <row r="6714" spans="49:137" x14ac:dyDescent="0.2">
      <c r="AW6714" s="52"/>
      <c r="EG6714" s="52"/>
    </row>
    <row r="6738" spans="8:8" x14ac:dyDescent="0.2">
      <c r="H6738" s="52"/>
    </row>
    <row r="6795" spans="49:137" x14ac:dyDescent="0.2">
      <c r="AW6795" s="52"/>
      <c r="EG6795" s="52"/>
    </row>
    <row r="6819" spans="8:8" x14ac:dyDescent="0.2">
      <c r="H6819" s="52"/>
    </row>
    <row r="6876" spans="49:137" x14ac:dyDescent="0.2">
      <c r="AW6876" s="52"/>
      <c r="EG6876" s="52"/>
    </row>
    <row r="6900" spans="8:8" x14ac:dyDescent="0.2">
      <c r="H6900" s="52"/>
    </row>
    <row r="6957" spans="49:137" x14ac:dyDescent="0.2">
      <c r="AW6957" s="52"/>
      <c r="EG6957" s="52"/>
    </row>
    <row r="6981" spans="8:8" x14ac:dyDescent="0.2">
      <c r="H6981" s="52"/>
    </row>
    <row r="7038" spans="49:137" x14ac:dyDescent="0.2">
      <c r="AW7038" s="52"/>
      <c r="EG7038" s="52"/>
    </row>
    <row r="7069" spans="8:8" x14ac:dyDescent="0.2">
      <c r="H7069" s="52"/>
    </row>
    <row r="7119" spans="49:137" x14ac:dyDescent="0.2">
      <c r="AW7119" s="52"/>
      <c r="EG7119" s="52"/>
    </row>
    <row r="7160" spans="8:8" x14ac:dyDescent="0.2">
      <c r="H7160" s="52"/>
    </row>
    <row r="7200" spans="49:137" x14ac:dyDescent="0.2">
      <c r="AW7200" s="52"/>
      <c r="EG7200" s="52"/>
    </row>
    <row r="7281" spans="49:137" x14ac:dyDescent="0.2">
      <c r="AW7281" s="52"/>
      <c r="EG7281" s="52"/>
    </row>
    <row r="7316" spans="8:8" x14ac:dyDescent="0.2">
      <c r="H7316" s="52"/>
    </row>
    <row r="7326" spans="8:8" x14ac:dyDescent="0.2">
      <c r="H7326" s="52"/>
    </row>
    <row r="7362" spans="49:137" x14ac:dyDescent="0.2">
      <c r="AW7362" s="52"/>
      <c r="EG7362" s="52"/>
    </row>
    <row r="7416" spans="8:8" x14ac:dyDescent="0.2">
      <c r="H7416" s="52"/>
    </row>
    <row r="7443" spans="49:137" x14ac:dyDescent="0.2">
      <c r="AW7443" s="52"/>
      <c r="EG7443" s="52"/>
    </row>
    <row r="7507" spans="8:8" x14ac:dyDescent="0.2">
      <c r="H7507" s="52"/>
    </row>
    <row r="7524" spans="49:137" x14ac:dyDescent="0.2">
      <c r="AW7524" s="52"/>
      <c r="EG7524" s="52"/>
    </row>
    <row r="7598" spans="8:8" x14ac:dyDescent="0.2">
      <c r="H7598" s="52"/>
    </row>
    <row r="7605" spans="49:137" x14ac:dyDescent="0.2">
      <c r="AW7605" s="52"/>
      <c r="EG7605" s="52"/>
    </row>
    <row r="7686" spans="8:137" x14ac:dyDescent="0.2">
      <c r="AW7686" s="52"/>
      <c r="EG7686" s="52"/>
    </row>
    <row r="7689" spans="8:137" x14ac:dyDescent="0.2">
      <c r="H7689" s="52"/>
    </row>
    <row r="7767" spans="49:137" x14ac:dyDescent="0.2">
      <c r="AW7767" s="52"/>
      <c r="EG7767" s="52"/>
    </row>
    <row r="7780" spans="8:8" x14ac:dyDescent="0.2">
      <c r="H7780" s="52"/>
    </row>
    <row r="7848" spans="49:137" x14ac:dyDescent="0.2">
      <c r="AW7848" s="52"/>
      <c r="EG7848" s="52"/>
    </row>
    <row r="7871" spans="8:8" x14ac:dyDescent="0.2">
      <c r="H7871" s="52"/>
    </row>
    <row r="7929" spans="49:137" x14ac:dyDescent="0.2">
      <c r="AW7929" s="52"/>
      <c r="EG7929" s="52"/>
    </row>
    <row r="7962" spans="8:8" x14ac:dyDescent="0.2">
      <c r="H7962" s="52"/>
    </row>
    <row r="8010" spans="49:137" x14ac:dyDescent="0.2">
      <c r="AW8010" s="52"/>
      <c r="EG8010" s="52"/>
    </row>
    <row r="8053" spans="8:8" x14ac:dyDescent="0.2">
      <c r="H8053" s="52"/>
    </row>
    <row r="8091" spans="49:137" x14ac:dyDescent="0.2">
      <c r="AW8091" s="52"/>
      <c r="EG8091" s="52"/>
    </row>
    <row r="8144" spans="8:8" x14ac:dyDescent="0.2">
      <c r="H8144" s="52"/>
    </row>
    <row r="8172" spans="49:137" x14ac:dyDescent="0.2">
      <c r="AW8172" s="52"/>
      <c r="EG8172" s="52"/>
    </row>
    <row r="8235" spans="8:8" x14ac:dyDescent="0.2">
      <c r="H8235" s="52"/>
    </row>
    <row r="8253" spans="49:137" x14ac:dyDescent="0.2">
      <c r="AW8253" s="52"/>
      <c r="EG8253" s="52"/>
    </row>
    <row r="8326" spans="8:137" x14ac:dyDescent="0.2">
      <c r="H8326" s="52"/>
    </row>
    <row r="8334" spans="8:137" x14ac:dyDescent="0.2">
      <c r="AW8334" s="52"/>
      <c r="EG8334" s="52"/>
    </row>
    <row r="8415" spans="49:137" x14ac:dyDescent="0.2">
      <c r="AW8415" s="52"/>
      <c r="EG8415" s="52"/>
    </row>
    <row r="8417" spans="8:8" x14ac:dyDescent="0.2">
      <c r="H8417" s="52"/>
    </row>
    <row r="8496" spans="49:137" x14ac:dyDescent="0.2">
      <c r="AW8496" s="52"/>
      <c r="EG8496" s="52"/>
    </row>
    <row r="8508" spans="8:8" x14ac:dyDescent="0.2">
      <c r="H8508" s="52"/>
    </row>
    <row r="8577" spans="49:137" x14ac:dyDescent="0.2">
      <c r="AW8577" s="52"/>
      <c r="EG8577" s="52"/>
    </row>
    <row r="8599" spans="8:8" x14ac:dyDescent="0.2">
      <c r="H8599" s="52"/>
    </row>
    <row r="8658" spans="49:137" x14ac:dyDescent="0.2">
      <c r="AW8658" s="52"/>
      <c r="EG8658" s="52"/>
    </row>
    <row r="8690" spans="8:8" x14ac:dyDescent="0.2">
      <c r="H8690" s="52"/>
    </row>
    <row r="8739" spans="49:137" x14ac:dyDescent="0.2">
      <c r="AW8739" s="52"/>
      <c r="EG8739" s="52"/>
    </row>
    <row r="8781" spans="8:8" x14ac:dyDescent="0.2">
      <c r="H8781" s="52"/>
    </row>
    <row r="8820" spans="49:137" x14ac:dyDescent="0.2">
      <c r="AW8820" s="52"/>
      <c r="EG8820" s="52"/>
    </row>
    <row r="8872" spans="8:8" x14ac:dyDescent="0.2">
      <c r="H8872" s="52"/>
    </row>
    <row r="8901" spans="49:137" x14ac:dyDescent="0.2">
      <c r="AW8901" s="52"/>
      <c r="EG8901" s="52"/>
    </row>
    <row r="8963" spans="8:8" x14ac:dyDescent="0.2">
      <c r="H8963" s="52"/>
    </row>
    <row r="8982" spans="49:137" x14ac:dyDescent="0.2">
      <c r="AW8982" s="52"/>
      <c r="EG8982" s="52"/>
    </row>
    <row r="9054" spans="8:8" x14ac:dyDescent="0.2">
      <c r="H9054" s="52"/>
    </row>
    <row r="9063" spans="49:137" x14ac:dyDescent="0.2">
      <c r="AW9063" s="52"/>
      <c r="EG9063" s="52"/>
    </row>
    <row r="9144" spans="8:137" x14ac:dyDescent="0.2">
      <c r="AW9144" s="52"/>
      <c r="EG9144" s="52"/>
    </row>
    <row r="9145" spans="8:137" x14ac:dyDescent="0.2">
      <c r="H9145" s="52"/>
    </row>
    <row r="9225" spans="49:137" x14ac:dyDescent="0.2">
      <c r="AW9225" s="52"/>
      <c r="EG9225" s="52"/>
    </row>
    <row r="9236" spans="8:8" x14ac:dyDescent="0.2">
      <c r="H9236" s="52"/>
    </row>
    <row r="9306" spans="49:137" x14ac:dyDescent="0.2">
      <c r="AW9306" s="52"/>
      <c r="EG9306" s="52"/>
    </row>
    <row r="9327" spans="8:8" x14ac:dyDescent="0.2">
      <c r="H9327" s="52"/>
    </row>
    <row r="9387" spans="49:137" x14ac:dyDescent="0.2">
      <c r="AW9387" s="52"/>
      <c r="EG9387" s="52"/>
    </row>
    <row r="9418" spans="8:8" x14ac:dyDescent="0.2">
      <c r="H9418" s="52"/>
    </row>
    <row r="9468" spans="49:137" x14ac:dyDescent="0.2">
      <c r="AW9468" s="52"/>
      <c r="EG9468" s="52"/>
    </row>
    <row r="9509" spans="8:8" x14ac:dyDescent="0.2">
      <c r="H9509" s="52"/>
    </row>
    <row r="9549" spans="49:137" x14ac:dyDescent="0.2">
      <c r="AW9549" s="52"/>
      <c r="EG9549" s="52"/>
    </row>
    <row r="9600" spans="8:8" x14ac:dyDescent="0.2">
      <c r="H9600" s="52"/>
    </row>
    <row r="9630" spans="49:137" x14ac:dyDescent="0.2">
      <c r="AW9630" s="52"/>
      <c r="EG9630" s="52"/>
    </row>
    <row r="9691" spans="8:8" x14ac:dyDescent="0.2">
      <c r="H9691" s="52"/>
    </row>
    <row r="9711" spans="49:137" x14ac:dyDescent="0.2">
      <c r="AW9711" s="52"/>
      <c r="EG9711" s="52"/>
    </row>
    <row r="9782" spans="8:137" x14ac:dyDescent="0.2">
      <c r="H9782" s="52"/>
    </row>
    <row r="9792" spans="8:137" x14ac:dyDescent="0.2">
      <c r="AW9792" s="52"/>
      <c r="EG9792" s="52"/>
    </row>
    <row r="9873" spans="8:137" x14ac:dyDescent="0.2">
      <c r="H9873" s="52"/>
      <c r="AW9873" s="52"/>
      <c r="EG9873" s="52"/>
    </row>
    <row r="9954" spans="8:137" x14ac:dyDescent="0.2">
      <c r="AW9954" s="52"/>
      <c r="EG9954" s="52"/>
    </row>
    <row r="9964" spans="8:137" x14ac:dyDescent="0.2">
      <c r="H9964" s="52"/>
    </row>
    <row r="10035" spans="49:137" x14ac:dyDescent="0.2">
      <c r="AW10035" s="52"/>
      <c r="EG10035" s="52"/>
    </row>
    <row r="10055" spans="8:8" x14ac:dyDescent="0.2">
      <c r="H10055" s="52"/>
    </row>
    <row r="10116" spans="49:137" x14ac:dyDescent="0.2">
      <c r="AW10116" s="52"/>
      <c r="EG10116" s="52"/>
    </row>
    <row r="10146" spans="8:8" x14ac:dyDescent="0.2">
      <c r="H10146" s="52"/>
    </row>
    <row r="10197" spans="49:137" x14ac:dyDescent="0.2">
      <c r="AW10197" s="52"/>
      <c r="EG10197" s="52"/>
    </row>
    <row r="10237" spans="8:8" x14ac:dyDescent="0.2">
      <c r="H10237" s="52"/>
    </row>
    <row r="10278" spans="49:137" x14ac:dyDescent="0.2">
      <c r="AW10278" s="52"/>
      <c r="EG10278" s="52"/>
    </row>
    <row r="10328" spans="8:8" x14ac:dyDescent="0.2">
      <c r="H10328" s="52"/>
    </row>
    <row r="10359" spans="49:137" x14ac:dyDescent="0.2">
      <c r="AW10359" s="52"/>
      <c r="EG10359" s="52"/>
    </row>
    <row r="10419" spans="8:8" x14ac:dyDescent="0.2">
      <c r="H10419" s="52"/>
    </row>
    <row r="10440" spans="49:137" x14ac:dyDescent="0.2">
      <c r="AW10440" s="52"/>
      <c r="EG10440" s="52"/>
    </row>
    <row r="10510" spans="8:8" x14ac:dyDescent="0.2">
      <c r="H10510" s="52"/>
    </row>
    <row r="10521" spans="49:137" x14ac:dyDescent="0.2">
      <c r="AW10521" s="52"/>
      <c r="EG10521" s="52"/>
    </row>
    <row r="10601" spans="8:137" x14ac:dyDescent="0.2">
      <c r="H10601" s="52"/>
    </row>
    <row r="10602" spans="8:137" x14ac:dyDescent="0.2">
      <c r="AW10602" s="52"/>
      <c r="EG10602" s="52"/>
    </row>
    <row r="10683" spans="49:137" x14ac:dyDescent="0.2">
      <c r="AW10683" s="52"/>
      <c r="EG10683" s="52"/>
    </row>
    <row r="10692" spans="8:8" x14ac:dyDescent="0.2">
      <c r="H10692" s="52"/>
    </row>
    <row r="10764" spans="49:137" x14ac:dyDescent="0.2">
      <c r="AW10764" s="52"/>
      <c r="EG10764" s="52"/>
    </row>
    <row r="10783" spans="8:8" x14ac:dyDescent="0.2">
      <c r="H10783" s="52"/>
    </row>
    <row r="10845" spans="49:137" x14ac:dyDescent="0.2">
      <c r="AW10845" s="52"/>
      <c r="EG10845" s="52"/>
    </row>
    <row r="10874" spans="8:8" x14ac:dyDescent="0.2">
      <c r="H10874" s="52"/>
    </row>
    <row r="10926" spans="49:137" x14ac:dyDescent="0.2">
      <c r="AW10926" s="52"/>
      <c r="EG10926" s="52"/>
    </row>
    <row r="10965" spans="8:8" x14ac:dyDescent="0.2">
      <c r="H10965" s="52"/>
    </row>
    <row r="11007" spans="49:137" x14ac:dyDescent="0.2">
      <c r="AW11007" s="52"/>
      <c r="EG11007" s="52"/>
    </row>
    <row r="11056" spans="8:8" x14ac:dyDescent="0.2">
      <c r="H11056" s="52"/>
    </row>
    <row r="11088" spans="49:137" x14ac:dyDescent="0.2">
      <c r="AW11088" s="52"/>
      <c r="EG11088" s="52"/>
    </row>
    <row r="11147" spans="8:8" x14ac:dyDescent="0.2">
      <c r="H11147" s="52"/>
    </row>
    <row r="11169" spans="49:137" x14ac:dyDescent="0.2">
      <c r="AW11169" s="52"/>
      <c r="EG11169" s="52"/>
    </row>
    <row r="11238" spans="8:8" x14ac:dyDescent="0.2">
      <c r="H11238" s="52"/>
    </row>
    <row r="11250" spans="49:137" x14ac:dyDescent="0.2">
      <c r="AW11250" s="52"/>
      <c r="EG11250" s="52"/>
    </row>
    <row r="11329" spans="8:137" x14ac:dyDescent="0.2">
      <c r="H11329" s="52"/>
    </row>
    <row r="11331" spans="8:137" x14ac:dyDescent="0.2">
      <c r="AW11331" s="52"/>
      <c r="EG11331" s="52"/>
    </row>
    <row r="11412" spans="8:137" x14ac:dyDescent="0.2">
      <c r="AW11412" s="52"/>
      <c r="EG11412" s="52"/>
    </row>
    <row r="11420" spans="8:137" x14ac:dyDescent="0.2">
      <c r="H11420" s="52"/>
    </row>
    <row r="11493" spans="49:137" x14ac:dyDescent="0.2">
      <c r="AW11493" s="52"/>
      <c r="EG11493" s="52"/>
    </row>
    <row r="11511" spans="8:8" x14ac:dyDescent="0.2">
      <c r="H11511" s="52"/>
    </row>
    <row r="11574" spans="49:137" x14ac:dyDescent="0.2">
      <c r="AW11574" s="52"/>
      <c r="EG11574" s="52"/>
    </row>
    <row r="11602" spans="8:8" x14ac:dyDescent="0.2">
      <c r="H11602" s="52"/>
    </row>
    <row r="11655" spans="49:137" x14ac:dyDescent="0.2">
      <c r="AW11655" s="52"/>
      <c r="EG11655" s="52"/>
    </row>
    <row r="11693" spans="8:8" x14ac:dyDescent="0.2">
      <c r="H11693" s="52"/>
    </row>
    <row r="11736" spans="49:137" x14ac:dyDescent="0.2">
      <c r="AW11736" s="52"/>
      <c r="EG11736" s="52"/>
    </row>
    <row r="11784" spans="8:8" x14ac:dyDescent="0.2">
      <c r="H11784" s="52"/>
    </row>
    <row r="11817" spans="49:137" x14ac:dyDescent="0.2">
      <c r="AW11817" s="52"/>
      <c r="EG11817" s="52"/>
    </row>
    <row r="11875" spans="8:8" x14ac:dyDescent="0.2">
      <c r="H11875" s="52"/>
    </row>
    <row r="11898" spans="49:137" x14ac:dyDescent="0.2">
      <c r="AW11898" s="52"/>
      <c r="EG11898" s="52"/>
    </row>
    <row r="11966" spans="8:8" x14ac:dyDescent="0.2">
      <c r="H11966" s="52"/>
    </row>
    <row r="11979" spans="49:137" x14ac:dyDescent="0.2">
      <c r="AW11979" s="52"/>
      <c r="EG11979" s="52"/>
    </row>
    <row r="12057" spans="8:137" x14ac:dyDescent="0.2">
      <c r="H12057" s="52"/>
    </row>
    <row r="12060" spans="8:137" x14ac:dyDescent="0.2">
      <c r="AW12060" s="52"/>
      <c r="EG12060" s="52"/>
    </row>
    <row r="12141" spans="49:137" x14ac:dyDescent="0.2">
      <c r="AW12141" s="52"/>
      <c r="EG12141" s="52"/>
    </row>
    <row r="12148" spans="8:8" x14ac:dyDescent="0.2">
      <c r="H12148" s="52"/>
    </row>
    <row r="12222" spans="49:137" x14ac:dyDescent="0.2">
      <c r="AW12222" s="52"/>
      <c r="EG12222" s="52"/>
    </row>
    <row r="12239" spans="8:8" x14ac:dyDescent="0.2">
      <c r="H12239" s="52"/>
    </row>
    <row r="12303" spans="49:137" x14ac:dyDescent="0.2">
      <c r="AW12303" s="52"/>
      <c r="EG12303" s="52"/>
    </row>
    <row r="12330" spans="8:8" x14ac:dyDescent="0.2">
      <c r="H12330" s="52"/>
    </row>
    <row r="12384" spans="49:137" x14ac:dyDescent="0.2">
      <c r="AW12384" s="52"/>
      <c r="EG12384" s="52"/>
    </row>
    <row r="12421" spans="8:8" x14ac:dyDescent="0.2">
      <c r="H12421" s="52"/>
    </row>
    <row r="12465" spans="49:137" x14ac:dyDescent="0.2">
      <c r="AW12465" s="52"/>
      <c r="EG12465" s="52"/>
    </row>
    <row r="12512" spans="8:8" x14ac:dyDescent="0.2">
      <c r="H12512" s="52"/>
    </row>
    <row r="12546" spans="49:137" x14ac:dyDescent="0.2">
      <c r="AW12546" s="52"/>
      <c r="EG12546" s="52"/>
    </row>
    <row r="12601" spans="8:8" x14ac:dyDescent="0.2">
      <c r="H12601" s="52"/>
    </row>
    <row r="12627" spans="49:137" x14ac:dyDescent="0.2">
      <c r="AW12627" s="52"/>
      <c r="EG12627" s="52"/>
    </row>
    <row r="12690" spans="8:8" x14ac:dyDescent="0.2">
      <c r="H12690" s="52"/>
    </row>
    <row r="12708" spans="49:137" x14ac:dyDescent="0.2">
      <c r="AW12708" s="52"/>
      <c r="EG12708" s="52"/>
    </row>
    <row r="12779" spans="8:8" x14ac:dyDescent="0.2">
      <c r="H12779" s="52"/>
    </row>
    <row r="12789" spans="49:137" x14ac:dyDescent="0.2">
      <c r="AW12789" s="52"/>
      <c r="EG12789" s="52"/>
    </row>
    <row r="12868" spans="8:137" x14ac:dyDescent="0.2">
      <c r="H12868" s="52"/>
    </row>
    <row r="12870" spans="8:137" x14ac:dyDescent="0.2">
      <c r="AW12870" s="52"/>
      <c r="EG12870" s="52"/>
    </row>
    <row r="12951" spans="8:137" x14ac:dyDescent="0.2">
      <c r="AW12951" s="52"/>
      <c r="EG12951" s="52"/>
    </row>
    <row r="12957" spans="8:137" x14ac:dyDescent="0.2">
      <c r="H12957" s="52"/>
    </row>
    <row r="13032" spans="49:137" x14ac:dyDescent="0.2">
      <c r="AW13032" s="52"/>
      <c r="EG13032" s="52"/>
    </row>
    <row r="13046" spans="8:8" x14ac:dyDescent="0.2">
      <c r="H13046" s="52"/>
    </row>
    <row r="13113" spans="49:137" x14ac:dyDescent="0.2">
      <c r="AW13113" s="52"/>
      <c r="EG13113" s="52"/>
    </row>
    <row r="13135" spans="8:8" x14ac:dyDescent="0.2">
      <c r="H13135" s="52"/>
    </row>
    <row r="13194" spans="49:137" x14ac:dyDescent="0.2">
      <c r="AW13194" s="52"/>
      <c r="EG13194" s="52"/>
    </row>
    <row r="13224" spans="8:8" x14ac:dyDescent="0.2">
      <c r="H13224" s="52"/>
    </row>
    <row r="13275" spans="49:137" x14ac:dyDescent="0.2">
      <c r="AW13275" s="52"/>
      <c r="EG13275" s="52"/>
    </row>
    <row r="13313" spans="8:8" x14ac:dyDescent="0.2">
      <c r="H13313" s="52"/>
    </row>
    <row r="13356" spans="49:137" x14ac:dyDescent="0.2">
      <c r="AW13356" s="52"/>
      <c r="EG13356" s="52"/>
    </row>
    <row r="13402" spans="8:8" x14ac:dyDescent="0.2">
      <c r="H13402" s="52"/>
    </row>
    <row r="13437" spans="49:137" x14ac:dyDescent="0.2">
      <c r="AW13437" s="52"/>
      <c r="EG13437" s="52"/>
    </row>
    <row r="13491" spans="8:8" x14ac:dyDescent="0.2">
      <c r="H13491" s="52"/>
    </row>
    <row r="13518" spans="49:137" x14ac:dyDescent="0.2">
      <c r="AW13518" s="52"/>
      <c r="EG13518" s="52"/>
    </row>
    <row r="13580" spans="8:8" x14ac:dyDescent="0.2">
      <c r="H13580" s="52"/>
    </row>
    <row r="13599" spans="49:137" x14ac:dyDescent="0.2">
      <c r="AW13599" s="52"/>
      <c r="EG13599" s="52"/>
    </row>
    <row r="13669" spans="8:137" x14ac:dyDescent="0.2">
      <c r="H13669" s="52"/>
    </row>
    <row r="13680" spans="8:137" x14ac:dyDescent="0.2">
      <c r="AW13680" s="52"/>
      <c r="EG13680" s="52"/>
    </row>
    <row r="13758" spans="8:8" x14ac:dyDescent="0.2">
      <c r="H13758" s="52"/>
    </row>
    <row r="13761" spans="49:137" x14ac:dyDescent="0.2">
      <c r="AW13761" s="52"/>
      <c r="EG13761" s="52"/>
    </row>
    <row r="13842" spans="8:137" x14ac:dyDescent="0.2">
      <c r="AW13842" s="52"/>
      <c r="EG13842" s="52"/>
    </row>
    <row r="13847" spans="8:137" x14ac:dyDescent="0.2">
      <c r="H13847" s="52"/>
    </row>
    <row r="13923" spans="8:137" x14ac:dyDescent="0.2">
      <c r="AW13923" s="52"/>
      <c r="EG13923" s="52"/>
    </row>
    <row r="13936" spans="8:137" x14ac:dyDescent="0.2">
      <c r="H13936" s="52"/>
    </row>
    <row r="14004" spans="49:137" x14ac:dyDescent="0.2">
      <c r="AW14004" s="52"/>
      <c r="EG14004" s="52"/>
    </row>
    <row r="14025" spans="8:8" x14ac:dyDescent="0.2">
      <c r="H14025" s="52"/>
    </row>
    <row r="14085" spans="49:137" x14ac:dyDescent="0.2">
      <c r="AW14085" s="52"/>
      <c r="EG14085" s="52"/>
    </row>
    <row r="14114" spans="8:8" x14ac:dyDescent="0.2">
      <c r="H14114" s="52"/>
    </row>
    <row r="14166" spans="49:137" x14ac:dyDescent="0.2">
      <c r="AW14166" s="52"/>
      <c r="EG14166" s="52"/>
    </row>
    <row r="14203" spans="8:8" x14ac:dyDescent="0.2">
      <c r="H14203" s="52"/>
    </row>
    <row r="14247" spans="49:137" x14ac:dyDescent="0.2">
      <c r="AW14247" s="52"/>
      <c r="EG14247" s="52"/>
    </row>
    <row r="14292" spans="8:8" x14ac:dyDescent="0.2">
      <c r="H14292" s="52"/>
    </row>
    <row r="14328" spans="49:137" x14ac:dyDescent="0.2">
      <c r="AW14328" s="52"/>
      <c r="EG14328" s="52"/>
    </row>
    <row r="14381" spans="8:8" x14ac:dyDescent="0.2">
      <c r="H14381" s="52"/>
    </row>
    <row r="14409" spans="49:137" x14ac:dyDescent="0.2">
      <c r="AW14409" s="52"/>
      <c r="EG14409" s="52"/>
    </row>
    <row r="14470" spans="8:8" x14ac:dyDescent="0.2">
      <c r="H14470" s="52"/>
    </row>
    <row r="14490" spans="49:137" x14ac:dyDescent="0.2">
      <c r="AW14490" s="52"/>
      <c r="EG14490" s="52"/>
    </row>
    <row r="14559" spans="8:8" x14ac:dyDescent="0.2">
      <c r="H14559" s="52"/>
    </row>
    <row r="14571" spans="49:137" x14ac:dyDescent="0.2">
      <c r="AW14571" s="52"/>
      <c r="EG14571" s="52"/>
    </row>
    <row r="14648" spans="8:137" x14ac:dyDescent="0.2">
      <c r="H14648" s="52"/>
    </row>
    <row r="14652" spans="8:137" x14ac:dyDescent="0.2">
      <c r="AW14652" s="52"/>
      <c r="EG14652" s="52"/>
    </row>
    <row r="14733" spans="49:137" x14ac:dyDescent="0.2">
      <c r="AW14733" s="52"/>
      <c r="EG14733" s="52"/>
    </row>
    <row r="14737" spans="8:8" x14ac:dyDescent="0.2">
      <c r="H14737" s="52"/>
    </row>
    <row r="14814" spans="49:137" x14ac:dyDescent="0.2">
      <c r="AW14814" s="52"/>
      <c r="EG14814" s="52"/>
    </row>
    <row r="14826" spans="8:8" x14ac:dyDescent="0.2">
      <c r="H14826" s="52"/>
    </row>
    <row r="14895" spans="49:137" x14ac:dyDescent="0.2">
      <c r="AW14895" s="52"/>
      <c r="EG14895" s="52"/>
    </row>
    <row r="14915" spans="8:8" x14ac:dyDescent="0.2">
      <c r="H14915" s="52"/>
    </row>
    <row r="14976" spans="49:137" x14ac:dyDescent="0.2">
      <c r="AW14976" s="52"/>
      <c r="EG14976" s="52"/>
    </row>
    <row r="15004" spans="8:8" x14ac:dyDescent="0.2">
      <c r="H15004" s="52"/>
    </row>
    <row r="15057" spans="49:137" x14ac:dyDescent="0.2">
      <c r="AW15057" s="52"/>
      <c r="EG15057" s="52"/>
    </row>
    <row r="15093" spans="8:8" x14ac:dyDescent="0.2">
      <c r="H15093" s="52"/>
    </row>
    <row r="15138" spans="49:137" x14ac:dyDescent="0.2">
      <c r="AW15138" s="52"/>
      <c r="EG15138" s="52"/>
    </row>
    <row r="15182" spans="8:8" x14ac:dyDescent="0.2">
      <c r="H15182" s="52"/>
    </row>
    <row r="15219" spans="49:137" x14ac:dyDescent="0.2">
      <c r="AW15219" s="52"/>
      <c r="EG15219" s="52"/>
    </row>
    <row r="15271" spans="8:8" x14ac:dyDescent="0.2">
      <c r="H15271" s="52"/>
    </row>
    <row r="15300" spans="49:137" x14ac:dyDescent="0.2">
      <c r="AW15300" s="52"/>
      <c r="EG15300" s="52"/>
    </row>
    <row r="15360" spans="8:8" x14ac:dyDescent="0.2">
      <c r="H15360" s="52"/>
    </row>
    <row r="15381" spans="49:137" x14ac:dyDescent="0.2">
      <c r="AW15381" s="52"/>
      <c r="EG15381" s="52"/>
    </row>
    <row r="15449" spans="8:8" x14ac:dyDescent="0.2">
      <c r="H15449" s="52"/>
    </row>
    <row r="15462" spans="49:137" x14ac:dyDescent="0.2">
      <c r="AW15462" s="52"/>
      <c r="EG15462" s="52"/>
    </row>
    <row r="15538" spans="8:137" x14ac:dyDescent="0.2">
      <c r="H15538" s="52"/>
    </row>
    <row r="15543" spans="8:137" x14ac:dyDescent="0.2">
      <c r="AW15543" s="52"/>
      <c r="EG15543" s="52"/>
    </row>
    <row r="15624" spans="8:137" x14ac:dyDescent="0.2">
      <c r="AW15624" s="52"/>
      <c r="EG15624" s="52"/>
    </row>
    <row r="15627" spans="8:137" x14ac:dyDescent="0.2">
      <c r="H15627" s="52"/>
    </row>
    <row r="15705" spans="49:137" x14ac:dyDescent="0.2">
      <c r="AW15705" s="52"/>
      <c r="EG15705" s="52"/>
    </row>
    <row r="15716" spans="8:8" x14ac:dyDescent="0.2">
      <c r="H15716" s="52"/>
    </row>
    <row r="15786" spans="49:137" x14ac:dyDescent="0.2">
      <c r="AW15786" s="52"/>
      <c r="EG15786" s="52"/>
    </row>
    <row r="15805" spans="8:8" x14ac:dyDescent="0.2">
      <c r="H15805" s="52"/>
    </row>
    <row r="15867" spans="49:137" x14ac:dyDescent="0.2">
      <c r="AW15867" s="52"/>
      <c r="EG15867" s="52"/>
    </row>
    <row r="15894" spans="8:8" x14ac:dyDescent="0.2">
      <c r="H15894" s="52"/>
    </row>
    <row r="15948" spans="49:137" x14ac:dyDescent="0.2">
      <c r="AW15948" s="52"/>
      <c r="EG15948" s="52"/>
    </row>
    <row r="15983" spans="8:8" x14ac:dyDescent="0.2">
      <c r="H15983" s="52"/>
    </row>
    <row r="16029" spans="49:137" x14ac:dyDescent="0.2">
      <c r="AW16029" s="52"/>
      <c r="EG16029" s="52"/>
    </row>
    <row r="16072" spans="8:8" x14ac:dyDescent="0.2">
      <c r="H16072" s="52"/>
    </row>
    <row r="16110" spans="49:137" x14ac:dyDescent="0.2">
      <c r="AW16110" s="52"/>
      <c r="EG16110" s="52"/>
    </row>
    <row r="16161" spans="8:8" x14ac:dyDescent="0.2">
      <c r="H16161" s="52"/>
    </row>
    <row r="16191" spans="49:137" x14ac:dyDescent="0.2">
      <c r="AW16191" s="52"/>
      <c r="EG16191" s="52"/>
    </row>
    <row r="16250" spans="8:8" x14ac:dyDescent="0.2">
      <c r="H16250" s="52"/>
    </row>
    <row r="16272" spans="49:137" x14ac:dyDescent="0.2">
      <c r="AW16272" s="52"/>
      <c r="EG16272" s="52"/>
    </row>
    <row r="16339" spans="8:8" x14ac:dyDescent="0.2">
      <c r="H16339" s="52"/>
    </row>
    <row r="16353" spans="49:137" x14ac:dyDescent="0.2">
      <c r="AW16353" s="52"/>
      <c r="EG16353" s="52"/>
    </row>
    <row r="16428" spans="8:8" x14ac:dyDescent="0.2">
      <c r="H16428" s="52"/>
    </row>
    <row r="16434" spans="49:137" x14ac:dyDescent="0.2">
      <c r="AW16434" s="52"/>
      <c r="EG16434" s="52"/>
    </row>
    <row r="16515" spans="8:137" x14ac:dyDescent="0.2">
      <c r="AW16515" s="52"/>
      <c r="EG16515" s="52"/>
    </row>
    <row r="16517" spans="8:137" x14ac:dyDescent="0.2">
      <c r="H16517" s="52"/>
    </row>
    <row r="16596" spans="8:137" x14ac:dyDescent="0.2">
      <c r="AW16596" s="52"/>
      <c r="EG16596" s="52"/>
    </row>
    <row r="16606" spans="8:137" x14ac:dyDescent="0.2">
      <c r="H16606" s="52"/>
    </row>
    <row r="16677" spans="49:137" x14ac:dyDescent="0.2">
      <c r="AW16677" s="52"/>
      <c r="EG16677" s="52"/>
    </row>
    <row r="16695" spans="8:8" x14ac:dyDescent="0.2">
      <c r="H16695" s="52"/>
    </row>
    <row r="16758" spans="49:137" x14ac:dyDescent="0.2">
      <c r="AW16758" s="52"/>
      <c r="EG16758" s="52"/>
    </row>
    <row r="16784" spans="8:8" x14ac:dyDescent="0.2">
      <c r="H16784" s="52"/>
    </row>
    <row r="16839" spans="49:137" x14ac:dyDescent="0.2">
      <c r="AW16839" s="52"/>
      <c r="EG16839" s="52"/>
    </row>
    <row r="16873" spans="8:8" x14ac:dyDescent="0.2">
      <c r="H16873" s="52"/>
    </row>
    <row r="16920" spans="49:137" x14ac:dyDescent="0.2">
      <c r="AW16920" s="52"/>
      <c r="EG16920" s="52"/>
    </row>
    <row r="16962" spans="8:8" x14ac:dyDescent="0.2">
      <c r="H16962" s="52"/>
    </row>
    <row r="17001" spans="49:137" x14ac:dyDescent="0.2">
      <c r="AW17001" s="52"/>
      <c r="EG17001" s="52"/>
    </row>
    <row r="17051" spans="8:8" x14ac:dyDescent="0.2">
      <c r="H17051" s="52"/>
    </row>
    <row r="17082" spans="49:137" x14ac:dyDescent="0.2">
      <c r="AW17082" s="52"/>
      <c r="EG17082" s="52"/>
    </row>
    <row r="17140" spans="8:8" x14ac:dyDescent="0.2">
      <c r="H17140" s="52"/>
    </row>
    <row r="17163" spans="49:137" x14ac:dyDescent="0.2">
      <c r="AW17163" s="52"/>
      <c r="EG17163" s="52"/>
    </row>
    <row r="17229" spans="8:8" x14ac:dyDescent="0.2">
      <c r="H17229" s="52"/>
    </row>
    <row r="17244" spans="49:137" x14ac:dyDescent="0.2">
      <c r="AW17244" s="52"/>
      <c r="EG17244" s="52"/>
    </row>
    <row r="17318" spans="8:137" x14ac:dyDescent="0.2">
      <c r="H17318" s="52"/>
    </row>
    <row r="17325" spans="8:137" x14ac:dyDescent="0.2">
      <c r="AW17325" s="52"/>
      <c r="EG17325" s="52"/>
    </row>
    <row r="17406" spans="49:137" x14ac:dyDescent="0.2">
      <c r="AW17406" s="52"/>
      <c r="EG17406" s="52"/>
    </row>
    <row r="17409" spans="8:8" x14ac:dyDescent="0.2">
      <c r="H17409" s="52"/>
    </row>
    <row r="17487" spans="49:137" x14ac:dyDescent="0.2">
      <c r="AW17487" s="52"/>
      <c r="EG17487" s="52"/>
    </row>
    <row r="17498" spans="8:8" x14ac:dyDescent="0.2">
      <c r="H17498" s="52"/>
    </row>
    <row r="17568" spans="49:137" x14ac:dyDescent="0.2">
      <c r="AW17568" s="52"/>
      <c r="EG17568" s="52"/>
    </row>
    <row r="17587" spans="8:8" x14ac:dyDescent="0.2">
      <c r="H17587" s="52"/>
    </row>
    <row r="17649" spans="49:137" x14ac:dyDescent="0.2">
      <c r="AW17649" s="52"/>
      <c r="EG17649" s="52"/>
    </row>
    <row r="17676" spans="8:8" x14ac:dyDescent="0.2">
      <c r="H17676" s="52"/>
    </row>
    <row r="17730" spans="49:137" x14ac:dyDescent="0.2">
      <c r="AW17730" s="52"/>
      <c r="EG17730" s="52"/>
    </row>
    <row r="17765" spans="8:8" x14ac:dyDescent="0.2">
      <c r="H17765" s="52"/>
    </row>
    <row r="17811" spans="49:137" x14ac:dyDescent="0.2">
      <c r="AW17811" s="52"/>
      <c r="EG17811" s="52"/>
    </row>
    <row r="17854" spans="8:8" x14ac:dyDescent="0.2">
      <c r="H17854" s="52"/>
    </row>
    <row r="17892" spans="49:137" x14ac:dyDescent="0.2">
      <c r="AW17892" s="52"/>
      <c r="EG17892" s="52"/>
    </row>
    <row r="17943" spans="8:8" x14ac:dyDescent="0.2">
      <c r="H17943" s="52"/>
    </row>
    <row r="17973" spans="49:137" x14ac:dyDescent="0.2">
      <c r="AW17973" s="52"/>
      <c r="EG17973" s="52"/>
    </row>
    <row r="18032" spans="8:8" x14ac:dyDescent="0.2">
      <c r="H18032" s="52"/>
    </row>
    <row r="18054" spans="49:137" x14ac:dyDescent="0.2">
      <c r="AW18054" s="52"/>
      <c r="EG18054" s="52"/>
    </row>
    <row r="18121" spans="8:8" x14ac:dyDescent="0.2">
      <c r="H18121" s="52"/>
    </row>
    <row r="18135" spans="49:137" x14ac:dyDescent="0.2">
      <c r="AW18135" s="52"/>
      <c r="EG18135" s="52"/>
    </row>
    <row r="18210" spans="8:137" x14ac:dyDescent="0.2">
      <c r="H18210" s="52"/>
    </row>
    <row r="18216" spans="8:137" x14ac:dyDescent="0.2">
      <c r="AW18216" s="52"/>
      <c r="EG18216" s="52"/>
    </row>
    <row r="18297" spans="8:137" x14ac:dyDescent="0.2">
      <c r="AW18297" s="52"/>
      <c r="EG18297" s="52"/>
    </row>
    <row r="18299" spans="8:137" x14ac:dyDescent="0.2">
      <c r="H18299" s="52"/>
    </row>
    <row r="18378" spans="49:137" x14ac:dyDescent="0.2">
      <c r="AW18378" s="52"/>
      <c r="EG18378" s="52"/>
    </row>
    <row r="18388" spans="8:8" x14ac:dyDescent="0.2">
      <c r="H18388" s="52"/>
    </row>
    <row r="18459" spans="49:137" x14ac:dyDescent="0.2">
      <c r="AW18459" s="52"/>
      <c r="EG18459" s="52"/>
    </row>
    <row r="18477" spans="8:8" x14ac:dyDescent="0.2">
      <c r="H18477" s="52"/>
    </row>
    <row r="18540" spans="49:137" x14ac:dyDescent="0.2">
      <c r="AW18540" s="52"/>
      <c r="EG18540" s="52"/>
    </row>
    <row r="18566" spans="8:8" x14ac:dyDescent="0.2">
      <c r="H18566" s="52"/>
    </row>
    <row r="18621" spans="49:137" x14ac:dyDescent="0.2">
      <c r="AW18621" s="52"/>
      <c r="EG18621" s="52"/>
    </row>
    <row r="18655" spans="8:8" x14ac:dyDescent="0.2">
      <c r="H18655" s="52"/>
    </row>
    <row r="18702" spans="49:137" x14ac:dyDescent="0.2">
      <c r="AW18702" s="52"/>
      <c r="EG18702" s="52"/>
    </row>
    <row r="18744" spans="8:8" x14ac:dyDescent="0.2">
      <c r="H18744" s="52"/>
    </row>
    <row r="18783" spans="49:137" x14ac:dyDescent="0.2">
      <c r="AW18783" s="52"/>
      <c r="EG18783" s="52"/>
    </row>
    <row r="18833" spans="8:8" x14ac:dyDescent="0.2">
      <c r="H18833" s="52"/>
    </row>
    <row r="18864" spans="49:137" x14ac:dyDescent="0.2">
      <c r="AW18864" s="52"/>
      <c r="EG18864" s="52"/>
    </row>
    <row r="18922" spans="8:8" x14ac:dyDescent="0.2">
      <c r="H18922" s="52"/>
    </row>
    <row r="18945" spans="49:137" x14ac:dyDescent="0.2">
      <c r="AW18945" s="52"/>
      <c r="EG18945" s="52"/>
    </row>
    <row r="19011" spans="8:8" x14ac:dyDescent="0.2">
      <c r="H19011" s="52"/>
    </row>
    <row r="19026" spans="49:137" x14ac:dyDescent="0.2">
      <c r="AW19026" s="52"/>
      <c r="EG19026" s="52"/>
    </row>
    <row r="19100" spans="8:8" x14ac:dyDescent="0.2">
      <c r="H19100" s="52"/>
    </row>
    <row r="19107" spans="49:137" x14ac:dyDescent="0.2">
      <c r="AW19107" s="52"/>
      <c r="EG19107" s="52"/>
    </row>
    <row r="19188" spans="8:137" x14ac:dyDescent="0.2">
      <c r="AW19188" s="52"/>
      <c r="EG19188" s="52"/>
    </row>
    <row r="19189" spans="8:137" x14ac:dyDescent="0.2">
      <c r="H19189" s="52"/>
    </row>
    <row r="19269" spans="8:137" x14ac:dyDescent="0.2">
      <c r="AW19269" s="52"/>
      <c r="EG19269" s="52"/>
    </row>
    <row r="19278" spans="8:137" x14ac:dyDescent="0.2">
      <c r="H19278" s="52"/>
    </row>
    <row r="19350" spans="49:137" x14ac:dyDescent="0.2">
      <c r="AW19350" s="52"/>
      <c r="EG19350" s="52"/>
    </row>
    <row r="19367" spans="8:8" x14ac:dyDescent="0.2">
      <c r="H19367" s="52"/>
    </row>
    <row r="19431" spans="49:137" x14ac:dyDescent="0.2">
      <c r="AW19431" s="52"/>
      <c r="EG19431" s="52"/>
    </row>
    <row r="19456" spans="8:8" x14ac:dyDescent="0.2">
      <c r="H19456" s="52"/>
    </row>
    <row r="19512" spans="49:137" x14ac:dyDescent="0.2">
      <c r="AW19512" s="52"/>
      <c r="EG19512" s="52"/>
    </row>
    <row r="19545" spans="8:8" x14ac:dyDescent="0.2">
      <c r="H19545" s="52"/>
    </row>
    <row r="19593" spans="49:137" x14ac:dyDescent="0.2">
      <c r="AW19593" s="52"/>
      <c r="EG19593" s="52"/>
    </row>
    <row r="19634" spans="8:8" x14ac:dyDescent="0.2">
      <c r="H19634" s="52"/>
    </row>
    <row r="19674" spans="49:137" x14ac:dyDescent="0.2">
      <c r="AW19674" s="52"/>
      <c r="EG19674" s="52"/>
    </row>
    <row r="19723" spans="8:8" x14ac:dyDescent="0.2">
      <c r="H19723" s="52"/>
    </row>
    <row r="19755" spans="49:137" x14ac:dyDescent="0.2">
      <c r="AW19755" s="52"/>
      <c r="EG19755" s="52"/>
    </row>
    <row r="19812" spans="8:8" x14ac:dyDescent="0.2">
      <c r="H19812" s="52"/>
    </row>
    <row r="19836" spans="49:137" x14ac:dyDescent="0.2">
      <c r="AW19836" s="52"/>
      <c r="EG19836" s="52"/>
    </row>
    <row r="19901" spans="8:8" x14ac:dyDescent="0.2">
      <c r="H19901" s="52"/>
    </row>
    <row r="19917" spans="49:137" x14ac:dyDescent="0.2">
      <c r="AW19917" s="52"/>
      <c r="EG19917" s="52"/>
    </row>
    <row r="19992" spans="8:137" x14ac:dyDescent="0.2">
      <c r="H19992" s="52"/>
    </row>
    <row r="19998" spans="8:137" x14ac:dyDescent="0.2">
      <c r="AW19998" s="52"/>
      <c r="EG19998" s="52"/>
    </row>
    <row r="20079" spans="49:137" x14ac:dyDescent="0.2">
      <c r="AW20079" s="52"/>
      <c r="EG20079" s="52"/>
    </row>
    <row r="20081" spans="8:8" x14ac:dyDescent="0.2">
      <c r="H20081" s="52"/>
    </row>
    <row r="20160" spans="49:137" x14ac:dyDescent="0.2">
      <c r="AW20160" s="52"/>
      <c r="EG20160" s="52"/>
    </row>
    <row r="20170" spans="8:8" x14ac:dyDescent="0.2">
      <c r="H20170" s="52"/>
    </row>
    <row r="20241" spans="49:137" x14ac:dyDescent="0.2">
      <c r="AW20241" s="52"/>
      <c r="EG20241" s="52"/>
    </row>
    <row r="20259" spans="8:8" x14ac:dyDescent="0.2">
      <c r="H20259" s="52"/>
    </row>
    <row r="20322" spans="49:137" x14ac:dyDescent="0.2">
      <c r="AW20322" s="52"/>
      <c r="EG20322" s="52"/>
    </row>
    <row r="20348" spans="8:8" x14ac:dyDescent="0.2">
      <c r="H20348" s="52"/>
    </row>
    <row r="20410" spans="49:137" x14ac:dyDescent="0.2">
      <c r="AW20410" s="52"/>
      <c r="EG20410" s="52"/>
    </row>
    <row r="20437" spans="8:8" x14ac:dyDescent="0.2">
      <c r="H20437" s="52"/>
    </row>
    <row r="20498" spans="49:137" x14ac:dyDescent="0.2">
      <c r="AW20498" s="52"/>
      <c r="EG20498" s="52"/>
    </row>
    <row r="20526" spans="8:8" x14ac:dyDescent="0.2">
      <c r="H20526" s="52"/>
    </row>
    <row r="20588" spans="49:137" x14ac:dyDescent="0.2">
      <c r="AW20588" s="52"/>
      <c r="EG20588" s="52"/>
    </row>
    <row r="20615" spans="8:8" x14ac:dyDescent="0.2">
      <c r="H20615" s="52"/>
    </row>
    <row r="20679" spans="49:137" x14ac:dyDescent="0.2">
      <c r="AW20679" s="52"/>
      <c r="EG20679" s="52"/>
    </row>
    <row r="20704" spans="8:8" x14ac:dyDescent="0.2">
      <c r="H20704" s="52"/>
    </row>
    <row r="20793" spans="8:8" x14ac:dyDescent="0.2">
      <c r="H20793" s="52"/>
    </row>
    <row r="20820" spans="49:137" x14ac:dyDescent="0.2">
      <c r="AW20820" s="52"/>
      <c r="EG20820" s="52"/>
    </row>
    <row r="20830" spans="49:137" x14ac:dyDescent="0.2">
      <c r="AW20830" s="52"/>
      <c r="EG20830" s="52"/>
    </row>
    <row r="20882" spans="8:8" x14ac:dyDescent="0.2">
      <c r="H20882" s="52"/>
    </row>
    <row r="20920" spans="49:137" x14ac:dyDescent="0.2">
      <c r="AW20920" s="52"/>
      <c r="EG20920" s="52"/>
    </row>
    <row r="20971" spans="8:8" x14ac:dyDescent="0.2">
      <c r="H20971" s="52"/>
    </row>
    <row r="21011" spans="49:137" x14ac:dyDescent="0.2">
      <c r="AW21011" s="52"/>
      <c r="EG21011" s="52"/>
    </row>
    <row r="21060" spans="8:8" x14ac:dyDescent="0.2">
      <c r="H21060" s="52"/>
    </row>
    <row r="21102" spans="49:137" x14ac:dyDescent="0.2">
      <c r="AW21102" s="52"/>
      <c r="EG21102" s="52"/>
    </row>
    <row r="21149" spans="8:8" x14ac:dyDescent="0.2">
      <c r="H21149" s="52"/>
    </row>
    <row r="21193" spans="49:137" x14ac:dyDescent="0.2">
      <c r="AW21193" s="52"/>
      <c r="EG21193" s="52"/>
    </row>
    <row r="21238" spans="8:8" x14ac:dyDescent="0.2">
      <c r="H21238" s="52"/>
    </row>
    <row r="21284" spans="49:137" x14ac:dyDescent="0.2">
      <c r="AW21284" s="52"/>
      <c r="EG21284" s="52"/>
    </row>
    <row r="21327" spans="8:8" x14ac:dyDescent="0.2">
      <c r="H21327" s="52"/>
    </row>
    <row r="21375" spans="49:137" x14ac:dyDescent="0.2">
      <c r="AW21375" s="52"/>
      <c r="EG21375" s="52"/>
    </row>
    <row r="21416" spans="8:8" x14ac:dyDescent="0.2">
      <c r="H21416" s="52"/>
    </row>
    <row r="21466" spans="49:137" x14ac:dyDescent="0.2">
      <c r="AW21466" s="52"/>
      <c r="EG21466" s="52"/>
    </row>
    <row r="21505" spans="8:8" x14ac:dyDescent="0.2">
      <c r="H21505" s="52"/>
    </row>
    <row r="21557" spans="49:137" x14ac:dyDescent="0.2">
      <c r="AW21557" s="52"/>
      <c r="EG21557" s="52"/>
    </row>
    <row r="21594" spans="8:8" x14ac:dyDescent="0.2">
      <c r="H21594" s="52"/>
    </row>
    <row r="21648" spans="49:137" x14ac:dyDescent="0.2">
      <c r="AW21648" s="52"/>
      <c r="EG21648" s="52"/>
    </row>
    <row r="21683" spans="8:8" x14ac:dyDescent="0.2">
      <c r="H21683" s="52"/>
    </row>
    <row r="21739" spans="49:137" x14ac:dyDescent="0.2">
      <c r="AW21739" s="52"/>
      <c r="EG21739" s="52"/>
    </row>
    <row r="21772" spans="8:8" x14ac:dyDescent="0.2">
      <c r="H21772" s="52"/>
    </row>
    <row r="21830" spans="49:137" x14ac:dyDescent="0.2">
      <c r="AW21830" s="52"/>
      <c r="EG21830" s="52"/>
    </row>
    <row r="21861" spans="8:8" x14ac:dyDescent="0.2">
      <c r="H21861" s="52"/>
    </row>
    <row r="21921" spans="49:137" x14ac:dyDescent="0.2">
      <c r="AW21921" s="52"/>
      <c r="EG21921" s="52"/>
    </row>
    <row r="21950" spans="8:8" x14ac:dyDescent="0.2">
      <c r="H21950" s="52"/>
    </row>
    <row r="22012" spans="49:137" x14ac:dyDescent="0.2">
      <c r="AW22012" s="52"/>
      <c r="EG22012" s="52"/>
    </row>
    <row r="22039" spans="8:8" x14ac:dyDescent="0.2">
      <c r="H22039" s="52"/>
    </row>
    <row r="22103" spans="49:137" x14ac:dyDescent="0.2">
      <c r="AW22103" s="52"/>
      <c r="EG22103" s="52"/>
    </row>
    <row r="22128" spans="8:8" x14ac:dyDescent="0.2">
      <c r="H22128" s="52"/>
    </row>
    <row r="22194" spans="49:137" x14ac:dyDescent="0.2">
      <c r="AW22194" s="52"/>
      <c r="EG22194" s="52"/>
    </row>
    <row r="22217" spans="8:8" x14ac:dyDescent="0.2">
      <c r="H22217" s="52"/>
    </row>
    <row r="22285" spans="49:137" x14ac:dyDescent="0.2">
      <c r="AW22285" s="52"/>
      <c r="EG22285" s="52"/>
    </row>
    <row r="22306" spans="8:8" x14ac:dyDescent="0.2">
      <c r="H22306" s="52"/>
    </row>
    <row r="22376" spans="49:137" x14ac:dyDescent="0.2">
      <c r="AW22376" s="52"/>
      <c r="EG22376" s="52"/>
    </row>
    <row r="22395" spans="8:8" x14ac:dyDescent="0.2">
      <c r="H22395" s="52"/>
    </row>
    <row r="22467" spans="49:137" x14ac:dyDescent="0.2">
      <c r="AW22467" s="52"/>
      <c r="EG22467" s="52"/>
    </row>
    <row r="22484" spans="8:8" x14ac:dyDescent="0.2">
      <c r="H22484" s="52"/>
    </row>
    <row r="22558" spans="49:137" x14ac:dyDescent="0.2">
      <c r="AW22558" s="52"/>
      <c r="EG22558" s="52"/>
    </row>
    <row r="22573" spans="8:8" x14ac:dyDescent="0.2">
      <c r="H22573" s="52"/>
    </row>
    <row r="22649" spans="49:137" x14ac:dyDescent="0.2">
      <c r="AW22649" s="52"/>
      <c r="EG22649" s="52"/>
    </row>
    <row r="22662" spans="8:8" x14ac:dyDescent="0.2">
      <c r="H22662" s="52"/>
    </row>
    <row r="22740" spans="8:137" x14ac:dyDescent="0.2">
      <c r="AW22740" s="52"/>
      <c r="EG22740" s="52"/>
    </row>
    <row r="22751" spans="8:137" x14ac:dyDescent="0.2">
      <c r="H22751" s="52"/>
    </row>
    <row r="22831" spans="49:137" x14ac:dyDescent="0.2">
      <c r="AW22831" s="52"/>
      <c r="EG22831" s="52"/>
    </row>
    <row r="22840" spans="8:8" x14ac:dyDescent="0.2">
      <c r="H22840" s="52"/>
    </row>
    <row r="22922" spans="49:137" x14ac:dyDescent="0.2">
      <c r="AW22922" s="52"/>
      <c r="EG22922" s="52"/>
    </row>
    <row r="22929" spans="8:8" x14ac:dyDescent="0.2">
      <c r="H22929" s="52"/>
    </row>
    <row r="23013" spans="8:137" x14ac:dyDescent="0.2">
      <c r="AW23013" s="52"/>
      <c r="EG23013" s="52"/>
    </row>
    <row r="23018" spans="8:137" x14ac:dyDescent="0.2">
      <c r="H23018" s="52"/>
    </row>
    <row r="23104" spans="49:137" x14ac:dyDescent="0.2">
      <c r="AW23104" s="52"/>
      <c r="EG23104" s="52"/>
    </row>
    <row r="23107" spans="8:8" x14ac:dyDescent="0.2">
      <c r="H23107" s="52"/>
    </row>
    <row r="23195" spans="8:137" x14ac:dyDescent="0.2">
      <c r="AW23195" s="52"/>
      <c r="EG23195" s="52"/>
    </row>
    <row r="23196" spans="8:137" x14ac:dyDescent="0.2">
      <c r="H23196" s="52"/>
    </row>
    <row r="23285" spans="8:137" x14ac:dyDescent="0.2">
      <c r="H23285" s="52"/>
    </row>
    <row r="23286" spans="8:137" x14ac:dyDescent="0.2">
      <c r="AW23286" s="52"/>
      <c r="EG23286" s="52"/>
    </row>
    <row r="23374" spans="8:8" x14ac:dyDescent="0.2">
      <c r="H23374" s="52"/>
    </row>
    <row r="23377" spans="49:137" x14ac:dyDescent="0.2">
      <c r="AW23377" s="52"/>
      <c r="EG23377" s="52"/>
    </row>
    <row r="23463" spans="8:137" x14ac:dyDescent="0.2">
      <c r="H23463" s="52"/>
    </row>
    <row r="23468" spans="8:137" x14ac:dyDescent="0.2">
      <c r="AW23468" s="52"/>
      <c r="EG23468" s="52"/>
    </row>
    <row r="23552" spans="8:8" x14ac:dyDescent="0.2">
      <c r="H23552" s="52"/>
    </row>
    <row r="23559" spans="49:137" x14ac:dyDescent="0.2">
      <c r="AW23559" s="52"/>
      <c r="EG23559" s="52"/>
    </row>
    <row r="23641" spans="8:8" x14ac:dyDescent="0.2">
      <c r="H23641" s="52"/>
    </row>
    <row r="23650" spans="49:137" x14ac:dyDescent="0.2">
      <c r="AW23650" s="52"/>
      <c r="EG23650" s="52"/>
    </row>
    <row r="23730" spans="8:137" x14ac:dyDescent="0.2">
      <c r="H23730" s="52"/>
    </row>
    <row r="23741" spans="8:137" x14ac:dyDescent="0.2">
      <c r="AW23741" s="52"/>
      <c r="EG23741" s="52"/>
    </row>
    <row r="23819" spans="8:8" x14ac:dyDescent="0.2">
      <c r="H23819" s="52"/>
    </row>
    <row r="23832" spans="49:137" x14ac:dyDescent="0.2">
      <c r="AW23832" s="52"/>
      <c r="EG23832" s="52"/>
    </row>
    <row r="23908" spans="8:8" x14ac:dyDescent="0.2">
      <c r="H23908" s="52"/>
    </row>
    <row r="23923" spans="49:137" x14ac:dyDescent="0.2">
      <c r="AW23923" s="52"/>
      <c r="EG23923" s="52"/>
    </row>
    <row r="23997" spans="8:8" x14ac:dyDescent="0.2">
      <c r="H23997" s="52"/>
    </row>
    <row r="24014" spans="49:137" x14ac:dyDescent="0.2">
      <c r="AW24014" s="52"/>
      <c r="EG24014" s="52"/>
    </row>
    <row r="24086" spans="8:8" x14ac:dyDescent="0.2">
      <c r="H24086" s="52"/>
    </row>
    <row r="24105" spans="49:137" x14ac:dyDescent="0.2">
      <c r="AW24105" s="52"/>
      <c r="EG24105" s="52"/>
    </row>
    <row r="24175" spans="8:8" x14ac:dyDescent="0.2">
      <c r="H24175" s="52"/>
    </row>
    <row r="24196" spans="49:137" x14ac:dyDescent="0.2">
      <c r="AW24196" s="52"/>
      <c r="EG24196" s="52"/>
    </row>
    <row r="24264" spans="8:8" x14ac:dyDescent="0.2">
      <c r="H24264" s="52"/>
    </row>
    <row r="24287" spans="49:137" x14ac:dyDescent="0.2">
      <c r="AW24287" s="52"/>
      <c r="EG24287" s="52"/>
    </row>
    <row r="24353" spans="8:8" x14ac:dyDescent="0.2">
      <c r="H24353" s="52"/>
    </row>
    <row r="24378" spans="49:137" x14ac:dyDescent="0.2">
      <c r="AW24378" s="52"/>
      <c r="EG24378" s="52"/>
    </row>
    <row r="24442" spans="8:8" x14ac:dyDescent="0.2">
      <c r="H24442" s="52"/>
    </row>
    <row r="24469" spans="49:137" x14ac:dyDescent="0.2">
      <c r="AW24469" s="52"/>
      <c r="EG24469" s="52"/>
    </row>
    <row r="24531" spans="8:8" x14ac:dyDescent="0.2">
      <c r="H24531" s="52"/>
    </row>
    <row r="24560" spans="49:137" x14ac:dyDescent="0.2">
      <c r="AW24560" s="52"/>
      <c r="EG24560" s="52"/>
    </row>
    <row r="24620" spans="8:8" x14ac:dyDescent="0.2">
      <c r="H24620" s="52"/>
    </row>
    <row r="24651" spans="49:137" x14ac:dyDescent="0.2">
      <c r="AW24651" s="52"/>
      <c r="EG24651" s="52"/>
    </row>
    <row r="24709" spans="8:8" x14ac:dyDescent="0.2">
      <c r="H24709" s="52"/>
    </row>
    <row r="24742" spans="49:137" x14ac:dyDescent="0.2">
      <c r="AW24742" s="52"/>
      <c r="EG24742" s="52"/>
    </row>
    <row r="24798" spans="8:8" x14ac:dyDescent="0.2">
      <c r="H24798" s="52"/>
    </row>
    <row r="24833" spans="49:137" x14ac:dyDescent="0.2">
      <c r="AW24833" s="52"/>
      <c r="EG24833" s="52"/>
    </row>
    <row r="24887" spans="8:8" x14ac:dyDescent="0.2">
      <c r="H24887" s="52"/>
    </row>
    <row r="24924" spans="49:137" x14ac:dyDescent="0.2">
      <c r="AW24924" s="52"/>
      <c r="EG24924" s="52"/>
    </row>
    <row r="24976" spans="8:8" x14ac:dyDescent="0.2">
      <c r="H24976" s="52"/>
    </row>
    <row r="25015" spans="49:137" x14ac:dyDescent="0.2">
      <c r="AW25015" s="52"/>
      <c r="EG25015" s="52"/>
    </row>
    <row r="25065" spans="8:8" x14ac:dyDescent="0.2">
      <c r="H25065" s="52"/>
    </row>
    <row r="25106" spans="49:137" x14ac:dyDescent="0.2">
      <c r="AW25106" s="52"/>
      <c r="EG25106" s="52"/>
    </row>
    <row r="25154" spans="8:8" x14ac:dyDescent="0.2">
      <c r="H25154" s="52"/>
    </row>
    <row r="25197" spans="49:137" x14ac:dyDescent="0.2">
      <c r="AW25197" s="52"/>
      <c r="EG25197" s="52"/>
    </row>
    <row r="25245" spans="8:8" x14ac:dyDescent="0.2">
      <c r="H25245" s="52"/>
    </row>
    <row r="25288" spans="49:137" x14ac:dyDescent="0.2">
      <c r="AW25288" s="52"/>
      <c r="EG25288" s="52"/>
    </row>
    <row r="25334" spans="8:8" x14ac:dyDescent="0.2">
      <c r="H25334" s="52"/>
    </row>
    <row r="25379" spans="49:137" x14ac:dyDescent="0.2">
      <c r="AW25379" s="52"/>
      <c r="EG25379" s="52"/>
    </row>
    <row r="25423" spans="8:8" x14ac:dyDescent="0.2">
      <c r="H25423" s="52"/>
    </row>
    <row r="25470" spans="49:137" x14ac:dyDescent="0.2">
      <c r="AW25470" s="52"/>
      <c r="EG25470" s="52"/>
    </row>
    <row r="25512" spans="8:8" x14ac:dyDescent="0.2">
      <c r="H25512" s="52"/>
    </row>
    <row r="25561" spans="49:137" x14ac:dyDescent="0.2">
      <c r="AW25561" s="52"/>
      <c r="EG25561" s="52"/>
    </row>
    <row r="25601" spans="8:8" x14ac:dyDescent="0.2">
      <c r="H25601" s="52"/>
    </row>
    <row r="25652" spans="49:137" x14ac:dyDescent="0.2">
      <c r="AW25652" s="52"/>
      <c r="EG25652" s="52"/>
    </row>
    <row r="25690" spans="8:8" x14ac:dyDescent="0.2">
      <c r="H25690" s="52"/>
    </row>
    <row r="25743" spans="49:137" x14ac:dyDescent="0.2">
      <c r="AW25743" s="52"/>
      <c r="EG25743" s="52"/>
    </row>
    <row r="25779" spans="8:8" x14ac:dyDescent="0.2">
      <c r="H25779" s="52"/>
    </row>
    <row r="25832" spans="49:137" x14ac:dyDescent="0.2">
      <c r="AW25832" s="52"/>
      <c r="EG25832" s="52"/>
    </row>
    <row r="25868" spans="8:8" x14ac:dyDescent="0.2">
      <c r="H25868" s="52"/>
    </row>
    <row r="25921" spans="49:137" x14ac:dyDescent="0.2">
      <c r="AW25921" s="52"/>
      <c r="EG25921" s="52"/>
    </row>
    <row r="25957" spans="8:8" x14ac:dyDescent="0.2">
      <c r="H25957" s="52"/>
    </row>
    <row r="26010" spans="49:137" x14ac:dyDescent="0.2">
      <c r="AW26010" s="52"/>
      <c r="EG26010" s="52"/>
    </row>
    <row r="26046" spans="8:8" x14ac:dyDescent="0.2">
      <c r="H26046" s="52"/>
    </row>
    <row r="26101" spans="49:137" x14ac:dyDescent="0.2">
      <c r="AW26101" s="52"/>
      <c r="EG26101" s="52"/>
    </row>
    <row r="26135" spans="8:8" x14ac:dyDescent="0.2">
      <c r="H26135" s="52"/>
    </row>
    <row r="26190" spans="49:137" x14ac:dyDescent="0.2">
      <c r="AW26190" s="52"/>
      <c r="EG26190" s="52"/>
    </row>
    <row r="26224" spans="8:8" x14ac:dyDescent="0.2">
      <c r="H26224" s="52"/>
    </row>
    <row r="26279" spans="49:137" x14ac:dyDescent="0.2">
      <c r="AW26279" s="52"/>
      <c r="EG26279" s="52"/>
    </row>
    <row r="26313" spans="8:8" x14ac:dyDescent="0.2">
      <c r="H26313" s="52"/>
    </row>
    <row r="26364" spans="49:137" x14ac:dyDescent="0.2">
      <c r="AW26364" s="52"/>
      <c r="EG26364" s="52"/>
    </row>
    <row r="26402" spans="8:8" x14ac:dyDescent="0.2">
      <c r="H26402" s="52"/>
    </row>
    <row r="26455" spans="49:137" x14ac:dyDescent="0.2">
      <c r="AW26455" s="52"/>
      <c r="EG26455" s="52"/>
    </row>
    <row r="26491" spans="8:8" x14ac:dyDescent="0.2">
      <c r="H26491" s="52"/>
    </row>
    <row r="26544" spans="49:137" x14ac:dyDescent="0.2">
      <c r="AW26544" s="52"/>
      <c r="EG26544" s="52"/>
    </row>
    <row r="26580" spans="8:8" x14ac:dyDescent="0.2">
      <c r="H26580" s="52"/>
    </row>
    <row r="26633" spans="49:137" x14ac:dyDescent="0.2">
      <c r="AW26633" s="52"/>
      <c r="EG26633" s="52"/>
    </row>
    <row r="26669" spans="8:8" x14ac:dyDescent="0.2">
      <c r="H26669" s="52"/>
    </row>
    <row r="26718" spans="49:137" x14ac:dyDescent="0.2">
      <c r="AW26718" s="52"/>
      <c r="EG26718" s="52"/>
    </row>
    <row r="26758" spans="8:8" x14ac:dyDescent="0.2">
      <c r="H26758" s="52"/>
    </row>
    <row r="26809" spans="49:137" x14ac:dyDescent="0.2">
      <c r="AW26809" s="52"/>
      <c r="EG26809" s="52"/>
    </row>
    <row r="26847" spans="8:8" x14ac:dyDescent="0.2">
      <c r="H26847" s="52"/>
    </row>
    <row r="26898" spans="49:137" x14ac:dyDescent="0.2">
      <c r="AW26898" s="52"/>
      <c r="EG26898" s="52"/>
    </row>
    <row r="26936" spans="8:8" x14ac:dyDescent="0.2">
      <c r="H26936" s="52"/>
    </row>
    <row r="26987" spans="49:137" x14ac:dyDescent="0.2">
      <c r="AW26987" s="52"/>
      <c r="EG26987" s="52"/>
    </row>
    <row r="27025" spans="8:8" x14ac:dyDescent="0.2">
      <c r="H27025" s="52"/>
    </row>
    <row r="27076" spans="49:137" x14ac:dyDescent="0.2">
      <c r="AW27076" s="52"/>
      <c r="EG27076" s="52"/>
    </row>
    <row r="27114" spans="8:8" x14ac:dyDescent="0.2">
      <c r="H27114" s="52"/>
    </row>
    <row r="27165" spans="49:137" x14ac:dyDescent="0.2">
      <c r="AW27165" s="52"/>
      <c r="EG27165" s="52"/>
    </row>
    <row r="27203" spans="8:8" x14ac:dyDescent="0.2">
      <c r="H27203" s="52"/>
    </row>
    <row r="27254" spans="49:137" x14ac:dyDescent="0.2">
      <c r="AW27254" s="52"/>
      <c r="EG27254" s="52"/>
    </row>
    <row r="27292" spans="8:8" x14ac:dyDescent="0.2">
      <c r="H27292" s="52"/>
    </row>
    <row r="27343" spans="49:137" x14ac:dyDescent="0.2">
      <c r="AW27343" s="52"/>
      <c r="EG27343" s="52"/>
    </row>
    <row r="27381" spans="8:8" x14ac:dyDescent="0.2">
      <c r="H27381" s="52"/>
    </row>
    <row r="27432" spans="49:137" x14ac:dyDescent="0.2">
      <c r="AW27432" s="52"/>
      <c r="EG27432" s="52"/>
    </row>
    <row r="27470" spans="8:8" x14ac:dyDescent="0.2">
      <c r="H27470" s="52"/>
    </row>
    <row r="27518" spans="49:137" x14ac:dyDescent="0.2">
      <c r="AW27518" s="52"/>
      <c r="EG27518" s="52"/>
    </row>
    <row r="27559" spans="8:8" x14ac:dyDescent="0.2">
      <c r="H27559" s="52"/>
    </row>
    <row r="27607" spans="49:137" x14ac:dyDescent="0.2">
      <c r="AW27607" s="52"/>
      <c r="EG27607" s="52"/>
    </row>
    <row r="27648" spans="8:8" x14ac:dyDescent="0.2">
      <c r="H27648" s="52"/>
    </row>
    <row r="27696" spans="49:137" x14ac:dyDescent="0.2">
      <c r="AW27696" s="52"/>
      <c r="EG27696" s="52"/>
    </row>
    <row r="27737" spans="8:8" x14ac:dyDescent="0.2">
      <c r="H27737" s="52"/>
    </row>
    <row r="27785" spans="49:137" x14ac:dyDescent="0.2">
      <c r="AW27785" s="52"/>
      <c r="EG27785" s="52"/>
    </row>
    <row r="27828" spans="8:8" x14ac:dyDescent="0.2">
      <c r="H27828" s="52"/>
    </row>
    <row r="27874" spans="49:137" x14ac:dyDescent="0.2">
      <c r="AW27874" s="52"/>
      <c r="EG27874" s="52"/>
    </row>
    <row r="27902" spans="8:8" x14ac:dyDescent="0.2">
      <c r="H27902" s="52"/>
    </row>
    <row r="27910" spans="5:11" x14ac:dyDescent="0.2">
      <c r="E27910" s="53"/>
      <c r="F27910" s="53"/>
      <c r="G27910" s="53"/>
      <c r="J27910" s="53"/>
      <c r="K27910" s="53"/>
    </row>
    <row r="27911" spans="5:11" x14ac:dyDescent="0.2">
      <c r="E27911" s="53"/>
      <c r="F27911" s="53"/>
      <c r="G27911" s="53"/>
      <c r="J27911" s="53"/>
      <c r="K27911" s="53"/>
    </row>
    <row r="27912" spans="5:11" x14ac:dyDescent="0.2">
      <c r="E27912" s="53"/>
      <c r="F27912" s="53"/>
      <c r="G27912" s="53"/>
      <c r="J27912" s="53"/>
      <c r="K27912" s="53"/>
    </row>
    <row r="27913" spans="5:11" x14ac:dyDescent="0.2">
      <c r="E27913" s="53"/>
      <c r="F27913" s="53"/>
      <c r="G27913" s="53"/>
      <c r="J27913" s="53"/>
      <c r="K27913" s="53"/>
    </row>
    <row r="27914" spans="5:11" x14ac:dyDescent="0.2">
      <c r="E27914" s="53"/>
      <c r="F27914" s="53"/>
      <c r="G27914" s="53"/>
      <c r="J27914" s="53"/>
      <c r="K27914" s="53"/>
    </row>
    <row r="27915" spans="5:11" x14ac:dyDescent="0.2">
      <c r="E27915" s="53"/>
      <c r="F27915" s="53"/>
      <c r="G27915" s="53"/>
      <c r="J27915" s="53"/>
      <c r="K27915" s="53"/>
    </row>
    <row r="27916" spans="5:11" x14ac:dyDescent="0.2">
      <c r="E27916" s="53"/>
      <c r="F27916" s="53"/>
      <c r="G27916" s="53"/>
      <c r="J27916" s="53"/>
      <c r="K27916" s="53"/>
    </row>
    <row r="27917" spans="5:11" x14ac:dyDescent="0.2">
      <c r="E27917" s="53"/>
      <c r="F27917" s="53"/>
      <c r="G27917" s="53"/>
      <c r="J27917" s="53"/>
      <c r="K27917" s="53"/>
    </row>
    <row r="27918" spans="5:11" x14ac:dyDescent="0.2">
      <c r="E27918" s="53"/>
      <c r="F27918" s="53"/>
      <c r="G27918" s="53"/>
      <c r="J27918" s="53"/>
      <c r="K27918" s="53"/>
    </row>
    <row r="27919" spans="5:11" x14ac:dyDescent="0.2">
      <c r="E27919" s="53"/>
      <c r="F27919" s="53"/>
      <c r="G27919" s="53"/>
      <c r="J27919" s="53"/>
      <c r="K27919" s="53"/>
    </row>
    <row r="27920" spans="5:11" x14ac:dyDescent="0.2">
      <c r="E27920" s="53"/>
      <c r="F27920" s="53"/>
      <c r="G27920" s="53"/>
      <c r="J27920" s="53"/>
      <c r="K27920" s="53"/>
    </row>
    <row r="27921" spans="5:11" x14ac:dyDescent="0.2">
      <c r="E27921" s="53"/>
      <c r="F27921" s="53"/>
      <c r="G27921" s="53"/>
      <c r="J27921" s="53"/>
      <c r="K27921" s="53"/>
    </row>
    <row r="27922" spans="5:11" x14ac:dyDescent="0.2">
      <c r="E27922" s="53"/>
      <c r="F27922" s="53"/>
      <c r="G27922" s="53"/>
      <c r="J27922" s="53"/>
      <c r="K27922" s="53"/>
    </row>
    <row r="27923" spans="5:11" x14ac:dyDescent="0.2">
      <c r="E27923" s="53"/>
      <c r="F27923" s="53"/>
      <c r="G27923" s="53"/>
      <c r="J27923" s="53"/>
      <c r="K27923" s="53"/>
    </row>
    <row r="27924" spans="5:11" x14ac:dyDescent="0.2">
      <c r="E27924" s="53"/>
      <c r="F27924" s="53"/>
      <c r="G27924" s="53"/>
      <c r="J27924" s="53"/>
      <c r="K27924" s="53"/>
    </row>
    <row r="27925" spans="5:11" x14ac:dyDescent="0.2">
      <c r="E27925" s="53"/>
      <c r="F27925" s="53"/>
      <c r="G27925" s="53"/>
      <c r="J27925" s="53"/>
      <c r="K27925" s="53"/>
    </row>
    <row r="27926" spans="5:11" x14ac:dyDescent="0.2">
      <c r="E27926" s="53"/>
      <c r="F27926" s="53"/>
      <c r="G27926" s="53"/>
      <c r="J27926" s="53"/>
      <c r="K27926" s="53"/>
    </row>
    <row r="27927" spans="5:11" x14ac:dyDescent="0.2">
      <c r="E27927" s="53"/>
      <c r="F27927" s="53"/>
      <c r="G27927" s="53"/>
      <c r="J27927" s="53"/>
      <c r="K27927" s="53"/>
    </row>
    <row r="27928" spans="5:11" x14ac:dyDescent="0.2">
      <c r="E27928" s="53"/>
      <c r="F27928" s="53"/>
      <c r="G27928" s="53"/>
      <c r="J27928" s="53"/>
      <c r="K27928" s="53"/>
    </row>
    <row r="27929" spans="5:11" x14ac:dyDescent="0.2">
      <c r="E27929" s="53"/>
      <c r="F27929" s="53"/>
      <c r="G27929" s="53"/>
      <c r="J27929" s="53"/>
      <c r="K27929" s="53"/>
    </row>
    <row r="27930" spans="5:11" x14ac:dyDescent="0.2">
      <c r="E27930" s="53"/>
      <c r="F27930" s="53"/>
      <c r="G27930" s="53"/>
      <c r="J27930" s="53"/>
      <c r="K27930" s="53"/>
    </row>
    <row r="27931" spans="5:11" x14ac:dyDescent="0.2">
      <c r="E27931" s="53"/>
      <c r="F27931" s="53"/>
      <c r="G27931" s="53"/>
      <c r="J27931" s="53"/>
      <c r="K27931" s="53"/>
    </row>
    <row r="27932" spans="5:11" x14ac:dyDescent="0.2">
      <c r="E27932" s="53"/>
      <c r="F27932" s="53"/>
      <c r="G27932" s="53"/>
      <c r="J27932" s="53"/>
      <c r="K27932" s="53"/>
    </row>
    <row r="27933" spans="5:11" x14ac:dyDescent="0.2">
      <c r="E27933" s="53"/>
      <c r="F27933" s="53"/>
      <c r="G27933" s="53"/>
      <c r="J27933" s="53"/>
      <c r="K27933" s="53"/>
    </row>
    <row r="27934" spans="5:11" x14ac:dyDescent="0.2">
      <c r="E27934" s="53"/>
      <c r="F27934" s="53"/>
      <c r="G27934" s="53"/>
      <c r="J27934" s="53"/>
      <c r="K27934" s="53"/>
    </row>
    <row r="27935" spans="5:11" x14ac:dyDescent="0.2">
      <c r="E27935" s="53"/>
      <c r="F27935" s="53"/>
      <c r="G27935" s="53"/>
      <c r="J27935" s="53"/>
      <c r="K27935" s="53"/>
    </row>
    <row r="27936" spans="5:11" x14ac:dyDescent="0.2">
      <c r="E27936" s="53"/>
      <c r="F27936" s="53"/>
      <c r="G27936" s="53"/>
      <c r="J27936" s="53"/>
      <c r="K27936" s="53"/>
    </row>
    <row r="27937" spans="5:11" x14ac:dyDescent="0.2">
      <c r="E27937" s="53"/>
      <c r="F27937" s="53"/>
      <c r="G27937" s="53"/>
      <c r="J27937" s="53"/>
      <c r="K27937" s="53"/>
    </row>
    <row r="27938" spans="5:11" x14ac:dyDescent="0.2">
      <c r="E27938" s="53"/>
      <c r="F27938" s="53"/>
      <c r="G27938" s="53"/>
      <c r="J27938" s="53"/>
      <c r="K27938" s="53"/>
    </row>
    <row r="27939" spans="5:11" x14ac:dyDescent="0.2">
      <c r="E27939" s="53"/>
      <c r="F27939" s="53"/>
      <c r="G27939" s="53"/>
      <c r="J27939" s="53"/>
      <c r="K27939" s="53"/>
    </row>
    <row r="27940" spans="5:11" x14ac:dyDescent="0.2">
      <c r="E27940" s="53"/>
      <c r="F27940" s="53"/>
      <c r="G27940" s="53"/>
      <c r="J27940" s="53"/>
      <c r="K27940" s="53"/>
    </row>
    <row r="27941" spans="5:11" x14ac:dyDescent="0.2">
      <c r="E27941" s="53"/>
      <c r="F27941" s="53"/>
      <c r="G27941" s="53"/>
      <c r="J27941" s="53"/>
      <c r="K27941" s="53"/>
    </row>
    <row r="27942" spans="5:11" x14ac:dyDescent="0.2">
      <c r="E27942" s="53"/>
      <c r="F27942" s="53"/>
      <c r="G27942" s="53"/>
      <c r="J27942" s="53"/>
      <c r="K27942" s="53"/>
    </row>
    <row r="27943" spans="5:11" x14ac:dyDescent="0.2">
      <c r="E27943" s="53"/>
      <c r="F27943" s="53"/>
      <c r="G27943" s="53"/>
      <c r="J27943" s="53"/>
      <c r="K27943" s="53"/>
    </row>
    <row r="27944" spans="5:11" x14ac:dyDescent="0.2">
      <c r="E27944" s="53"/>
      <c r="F27944" s="53"/>
      <c r="G27944" s="53"/>
      <c r="J27944" s="53"/>
      <c r="K27944" s="53"/>
    </row>
    <row r="27945" spans="5:11" x14ac:dyDescent="0.2">
      <c r="E27945" s="53"/>
      <c r="F27945" s="53"/>
      <c r="G27945" s="53"/>
      <c r="J27945" s="53"/>
      <c r="K27945" s="53"/>
    </row>
    <row r="27946" spans="5:11" x14ac:dyDescent="0.2">
      <c r="E27946" s="53"/>
      <c r="F27946" s="53"/>
      <c r="G27946" s="53"/>
      <c r="J27946" s="53"/>
      <c r="K27946" s="53"/>
    </row>
    <row r="27947" spans="5:11" x14ac:dyDescent="0.2">
      <c r="E27947" s="53"/>
      <c r="F27947" s="53"/>
      <c r="G27947" s="53"/>
      <c r="J27947" s="53"/>
      <c r="K27947" s="53"/>
    </row>
    <row r="27952" spans="5:11" x14ac:dyDescent="0.2">
      <c r="H27952" s="52"/>
    </row>
    <row r="27963" spans="49:137" x14ac:dyDescent="0.2">
      <c r="AW27963" s="52"/>
      <c r="EG27963" s="52"/>
    </row>
    <row r="28042" spans="8:8" x14ac:dyDescent="0.2">
      <c r="H28042" s="52"/>
    </row>
    <row r="28052" spans="49:137" x14ac:dyDescent="0.2">
      <c r="AW28052" s="52"/>
      <c r="EG28052" s="52"/>
    </row>
    <row r="28133" spans="8:137" x14ac:dyDescent="0.2">
      <c r="H28133" s="52"/>
    </row>
    <row r="28141" spans="8:137" x14ac:dyDescent="0.2">
      <c r="AW28141" s="52"/>
      <c r="EG28141" s="52"/>
    </row>
    <row r="28224" spans="8:8" x14ac:dyDescent="0.2">
      <c r="H28224" s="52"/>
    </row>
    <row r="28232" spans="49:137" x14ac:dyDescent="0.2">
      <c r="AW28232" s="52"/>
      <c r="EG28232" s="52"/>
    </row>
    <row r="28315" spans="8:8" x14ac:dyDescent="0.2">
      <c r="H28315" s="52"/>
    </row>
    <row r="28321" spans="49:137" x14ac:dyDescent="0.2">
      <c r="AW28321" s="52"/>
      <c r="EG28321" s="52"/>
    </row>
    <row r="28406" spans="8:137" x14ac:dyDescent="0.2">
      <c r="H28406" s="52"/>
    </row>
    <row r="28410" spans="8:137" x14ac:dyDescent="0.2">
      <c r="AW28410" s="52"/>
      <c r="EG28410" s="52"/>
    </row>
    <row r="28497" spans="8:137" x14ac:dyDescent="0.2">
      <c r="H28497" s="52"/>
    </row>
    <row r="28499" spans="8:137" x14ac:dyDescent="0.2">
      <c r="AW28499" s="52"/>
      <c r="EG28499" s="52"/>
    </row>
    <row r="28588" spans="8:137" x14ac:dyDescent="0.2">
      <c r="H28588" s="52"/>
      <c r="AW28588" s="52"/>
      <c r="EG28588" s="52"/>
    </row>
    <row r="28677" spans="8:137" x14ac:dyDescent="0.2">
      <c r="AW28677" s="52"/>
      <c r="EG28677" s="52"/>
    </row>
    <row r="28679" spans="8:137" x14ac:dyDescent="0.2">
      <c r="H28679" s="52"/>
    </row>
    <row r="28766" spans="49:137" x14ac:dyDescent="0.2">
      <c r="AW28766" s="52"/>
      <c r="EG28766" s="52"/>
    </row>
    <row r="28770" spans="8:8" x14ac:dyDescent="0.2">
      <c r="H28770" s="52"/>
    </row>
    <row r="28857" spans="8:137" x14ac:dyDescent="0.2">
      <c r="AW28857" s="52"/>
      <c r="EG28857" s="52"/>
    </row>
    <row r="28861" spans="8:137" x14ac:dyDescent="0.2">
      <c r="H28861" s="52"/>
    </row>
    <row r="28946" spans="8:137" x14ac:dyDescent="0.2">
      <c r="AW28946" s="52"/>
      <c r="EG28946" s="52"/>
    </row>
    <row r="28952" spans="8:137" x14ac:dyDescent="0.2">
      <c r="H28952" s="52"/>
    </row>
    <row r="29035" spans="49:137" x14ac:dyDescent="0.2">
      <c r="AW29035" s="52"/>
      <c r="EG29035" s="52"/>
    </row>
    <row r="29043" spans="8:8" x14ac:dyDescent="0.2">
      <c r="H29043" s="52"/>
    </row>
    <row r="29124" spans="8:137" x14ac:dyDescent="0.2">
      <c r="AW29124" s="52"/>
      <c r="EG29124" s="52"/>
    </row>
    <row r="29134" spans="8:137" x14ac:dyDescent="0.2">
      <c r="H29134" s="52"/>
    </row>
    <row r="29213" spans="49:137" x14ac:dyDescent="0.2">
      <c r="AW29213" s="52"/>
      <c r="EG29213" s="52"/>
    </row>
    <row r="29225" spans="8:8" x14ac:dyDescent="0.2">
      <c r="H29225" s="52"/>
    </row>
    <row r="29302" spans="49:137" x14ac:dyDescent="0.2">
      <c r="AW29302" s="52"/>
      <c r="EG29302" s="52"/>
    </row>
    <row r="29316" spans="8:8" x14ac:dyDescent="0.2">
      <c r="H29316" s="52"/>
    </row>
    <row r="29391" spans="49:137" x14ac:dyDescent="0.2">
      <c r="AW29391" s="52"/>
      <c r="EG29391" s="52"/>
    </row>
    <row r="29407" spans="8:8" x14ac:dyDescent="0.2">
      <c r="H29407" s="52"/>
    </row>
    <row r="29482" spans="49:137" x14ac:dyDescent="0.2">
      <c r="AW29482" s="52"/>
      <c r="EG29482" s="52"/>
    </row>
    <row r="29498" spans="8:8" x14ac:dyDescent="0.2">
      <c r="H29498" s="52"/>
    </row>
    <row r="29571" spans="49:137" x14ac:dyDescent="0.2">
      <c r="AW29571" s="52"/>
      <c r="EG29571" s="52"/>
    </row>
    <row r="29589" spans="8:8" x14ac:dyDescent="0.2">
      <c r="H29589" s="52"/>
    </row>
    <row r="29660" spans="49:137" x14ac:dyDescent="0.2">
      <c r="AW29660" s="52"/>
      <c r="EG29660" s="52"/>
    </row>
    <row r="29680" spans="8:8" x14ac:dyDescent="0.2">
      <c r="H29680" s="52"/>
    </row>
    <row r="29749" spans="49:137" x14ac:dyDescent="0.2">
      <c r="AW29749" s="52"/>
      <c r="EG29749" s="52"/>
    </row>
    <row r="29771" spans="8:8" x14ac:dyDescent="0.2">
      <c r="H29771" s="52"/>
    </row>
    <row r="29838" spans="49:137" x14ac:dyDescent="0.2">
      <c r="AW29838" s="52"/>
      <c r="EG29838" s="52"/>
    </row>
    <row r="29862" spans="8:8" x14ac:dyDescent="0.2">
      <c r="H29862" s="52"/>
    </row>
    <row r="29927" spans="49:137" x14ac:dyDescent="0.2">
      <c r="AW29927" s="52"/>
      <c r="EG29927" s="52"/>
    </row>
    <row r="29953" spans="8:8" x14ac:dyDescent="0.2">
      <c r="H29953" s="52"/>
    </row>
    <row r="30016" spans="49:137" x14ac:dyDescent="0.2">
      <c r="AW30016" s="52"/>
      <c r="EG30016" s="52"/>
    </row>
    <row r="30044" spans="8:8" x14ac:dyDescent="0.2">
      <c r="H30044" s="52"/>
    </row>
    <row r="30107" spans="49:137" x14ac:dyDescent="0.2">
      <c r="AW30107" s="52"/>
      <c r="EG30107" s="52"/>
    </row>
    <row r="30135" spans="8:8" x14ac:dyDescent="0.2">
      <c r="H30135" s="52"/>
    </row>
    <row r="30196" spans="49:137" x14ac:dyDescent="0.2">
      <c r="AW30196" s="52"/>
      <c r="EG30196" s="52"/>
    </row>
    <row r="30226" spans="8:8" x14ac:dyDescent="0.2">
      <c r="H30226" s="52"/>
    </row>
    <row r="30285" spans="49:137" x14ac:dyDescent="0.2">
      <c r="AW30285" s="52"/>
      <c r="EG30285" s="52"/>
    </row>
    <row r="30317" spans="8:8" x14ac:dyDescent="0.2">
      <c r="H30317" s="52"/>
    </row>
    <row r="30374" spans="49:137" x14ac:dyDescent="0.2">
      <c r="AW30374" s="52"/>
      <c r="EG30374" s="52"/>
    </row>
    <row r="30408" spans="8:8" x14ac:dyDescent="0.2">
      <c r="H30408" s="52"/>
    </row>
    <row r="30463" spans="49:137" x14ac:dyDescent="0.2">
      <c r="AW30463" s="52"/>
      <c r="EG30463" s="52"/>
    </row>
    <row r="30499" spans="8:8" x14ac:dyDescent="0.2">
      <c r="H30499" s="52"/>
    </row>
    <row r="30552" spans="49:137" x14ac:dyDescent="0.2">
      <c r="AW30552" s="52"/>
      <c r="EG30552" s="52"/>
    </row>
    <row r="30590" spans="8:8" x14ac:dyDescent="0.2">
      <c r="H30590" s="52"/>
    </row>
    <row r="30643" spans="49:137" x14ac:dyDescent="0.2">
      <c r="AW30643" s="52"/>
      <c r="EG30643" s="52"/>
    </row>
    <row r="30681" spans="8:8" x14ac:dyDescent="0.2">
      <c r="H30681" s="52"/>
    </row>
    <row r="30732" spans="49:137" x14ac:dyDescent="0.2">
      <c r="AW30732" s="52"/>
      <c r="EG30732" s="52"/>
    </row>
    <row r="30772" spans="8:8" x14ac:dyDescent="0.2">
      <c r="H30772" s="52"/>
    </row>
    <row r="30821" spans="49:137" x14ac:dyDescent="0.2">
      <c r="AW30821" s="52"/>
      <c r="EG30821" s="52"/>
    </row>
    <row r="30863" spans="8:8" x14ac:dyDescent="0.2">
      <c r="H30863" s="52"/>
    </row>
    <row r="30910" spans="49:137" x14ac:dyDescent="0.2">
      <c r="AW30910" s="52"/>
      <c r="EG30910" s="52"/>
    </row>
    <row r="30954" spans="8:8" x14ac:dyDescent="0.2">
      <c r="H30954" s="52"/>
    </row>
    <row r="30999" spans="49:137" x14ac:dyDescent="0.2">
      <c r="AW30999" s="52"/>
      <c r="EG30999" s="52"/>
    </row>
    <row r="31045" spans="8:8" x14ac:dyDescent="0.2">
      <c r="H31045" s="52"/>
    </row>
    <row r="31090" spans="49:137" x14ac:dyDescent="0.2">
      <c r="AW31090" s="52"/>
      <c r="EG31090" s="52"/>
    </row>
    <row r="31136" spans="8:8" x14ac:dyDescent="0.2">
      <c r="H31136" s="52"/>
    </row>
    <row r="31179" spans="49:137" x14ac:dyDescent="0.2">
      <c r="AW31179" s="52"/>
      <c r="EG31179" s="52"/>
    </row>
    <row r="31227" spans="8:8" x14ac:dyDescent="0.2">
      <c r="H31227" s="52"/>
    </row>
    <row r="31268" spans="49:137" x14ac:dyDescent="0.2">
      <c r="AW31268" s="52"/>
      <c r="EG31268" s="52"/>
    </row>
    <row r="31318" spans="8:8" x14ac:dyDescent="0.2">
      <c r="H31318" s="52"/>
    </row>
    <row r="31359" spans="49:137" x14ac:dyDescent="0.2">
      <c r="AW31359" s="52"/>
      <c r="EG31359" s="52"/>
    </row>
    <row r="31409" spans="8:8" x14ac:dyDescent="0.2">
      <c r="H31409" s="52"/>
    </row>
    <row r="31448" spans="49:137" x14ac:dyDescent="0.2">
      <c r="AW31448" s="52"/>
      <c r="EG31448" s="52"/>
    </row>
    <row r="31500" spans="8:8" x14ac:dyDescent="0.2">
      <c r="H31500" s="52"/>
    </row>
    <row r="31537" spans="49:137" x14ac:dyDescent="0.2">
      <c r="AW31537" s="52"/>
      <c r="EG31537" s="52"/>
    </row>
    <row r="31591" spans="8:8" x14ac:dyDescent="0.2">
      <c r="H31591" s="52"/>
    </row>
    <row r="31626" spans="49:137" x14ac:dyDescent="0.2">
      <c r="AW31626" s="52"/>
      <c r="EG31626" s="52"/>
    </row>
    <row r="31682" spans="8:8" x14ac:dyDescent="0.2">
      <c r="H31682" s="52"/>
    </row>
    <row r="31715" spans="49:137" x14ac:dyDescent="0.2">
      <c r="AW31715" s="52"/>
      <c r="EG31715" s="52"/>
    </row>
    <row r="31773" spans="8:8" x14ac:dyDescent="0.2">
      <c r="H31773" s="52"/>
    </row>
    <row r="31804" spans="49:137" x14ac:dyDescent="0.2">
      <c r="AW31804" s="52"/>
      <c r="EG31804" s="52"/>
    </row>
    <row r="31864" spans="8:8" x14ac:dyDescent="0.2">
      <c r="H31864" s="52"/>
    </row>
    <row r="31893" spans="49:137" x14ac:dyDescent="0.2">
      <c r="AW31893" s="52"/>
      <c r="EG31893" s="52"/>
    </row>
    <row r="31955" spans="8:8" x14ac:dyDescent="0.2">
      <c r="H31955" s="52"/>
    </row>
    <row r="31984" spans="49:137" x14ac:dyDescent="0.2">
      <c r="AW31984" s="52"/>
      <c r="EG31984" s="52"/>
    </row>
    <row r="32046" spans="8:8" x14ac:dyDescent="0.2">
      <c r="H32046" s="52"/>
    </row>
    <row r="32073" spans="49:137" x14ac:dyDescent="0.2">
      <c r="AW32073" s="52"/>
      <c r="EG32073" s="52"/>
    </row>
    <row r="32137" spans="8:8" x14ac:dyDescent="0.2">
      <c r="H32137" s="52"/>
    </row>
    <row r="32162" spans="49:137" x14ac:dyDescent="0.2">
      <c r="AW32162" s="52"/>
      <c r="EG32162" s="52"/>
    </row>
    <row r="32228" spans="8:8" x14ac:dyDescent="0.2">
      <c r="H32228" s="52"/>
    </row>
    <row r="32251" spans="49:137" x14ac:dyDescent="0.2">
      <c r="AW32251" s="52"/>
      <c r="EG32251" s="52"/>
    </row>
    <row r="32319" spans="8:8" x14ac:dyDescent="0.2">
      <c r="H32319" s="52"/>
    </row>
    <row r="32340" spans="49:137" x14ac:dyDescent="0.2">
      <c r="AW32340" s="52"/>
      <c r="EG32340" s="52"/>
    </row>
    <row r="32410" spans="8:8" x14ac:dyDescent="0.2">
      <c r="H32410" s="52"/>
    </row>
    <row r="32429" spans="49:137" x14ac:dyDescent="0.2">
      <c r="AW32429" s="52"/>
      <c r="EG32429" s="52"/>
    </row>
    <row r="32501" spans="8:8" x14ac:dyDescent="0.2">
      <c r="H32501" s="52"/>
    </row>
    <row r="32518" spans="49:137" x14ac:dyDescent="0.2">
      <c r="AW32518" s="52"/>
      <c r="EG32518" s="52"/>
    </row>
    <row r="32592" spans="8:8" x14ac:dyDescent="0.2">
      <c r="H32592" s="52"/>
    </row>
    <row r="32609" spans="49:137" x14ac:dyDescent="0.2">
      <c r="AW32609" s="52"/>
      <c r="EG32609" s="52"/>
    </row>
    <row r="32683" spans="8:8" x14ac:dyDescent="0.2">
      <c r="H32683" s="52"/>
    </row>
    <row r="32698" spans="49:137" x14ac:dyDescent="0.2">
      <c r="AW32698" s="52"/>
      <c r="EG32698" s="52"/>
    </row>
    <row r="32774" spans="8:8" x14ac:dyDescent="0.2">
      <c r="H32774" s="52"/>
    </row>
    <row r="32787" spans="49:137" x14ac:dyDescent="0.2">
      <c r="AW32787" s="52"/>
      <c r="EG32787" s="52"/>
    </row>
    <row r="32865" spans="8:137" x14ac:dyDescent="0.2">
      <c r="H32865" s="52"/>
    </row>
    <row r="32876" spans="8:137" x14ac:dyDescent="0.2">
      <c r="AW32876" s="52"/>
      <c r="EG32876" s="52"/>
    </row>
    <row r="32956" spans="8:8" x14ac:dyDescent="0.2">
      <c r="H32956" s="52"/>
    </row>
    <row r="32965" spans="49:137" x14ac:dyDescent="0.2">
      <c r="AW32965" s="52"/>
      <c r="EG32965" s="52"/>
    </row>
    <row r="33047" spans="8:137" x14ac:dyDescent="0.2">
      <c r="H33047" s="52"/>
    </row>
    <row r="33054" spans="8:137" x14ac:dyDescent="0.2">
      <c r="AW33054" s="52"/>
      <c r="EG33054" s="52"/>
    </row>
    <row r="33138" spans="8:137" x14ac:dyDescent="0.2">
      <c r="H33138" s="52"/>
    </row>
    <row r="33143" spans="8:137" x14ac:dyDescent="0.2">
      <c r="AW33143" s="52"/>
      <c r="EG33143" s="52"/>
    </row>
    <row r="33227" spans="8:8" x14ac:dyDescent="0.2">
      <c r="H33227" s="52"/>
    </row>
    <row r="33234" spans="49:137" x14ac:dyDescent="0.2">
      <c r="AW33234" s="52"/>
      <c r="EG33234" s="52"/>
    </row>
    <row r="33316" spans="8:137" x14ac:dyDescent="0.2">
      <c r="H33316" s="52"/>
    </row>
    <row r="33323" spans="8:137" x14ac:dyDescent="0.2">
      <c r="AW33323" s="52"/>
      <c r="EG33323" s="52"/>
    </row>
    <row r="33405" spans="8:8" x14ac:dyDescent="0.2">
      <c r="H33405" s="52"/>
    </row>
    <row r="33412" spans="49:137" x14ac:dyDescent="0.2">
      <c r="AW33412" s="52"/>
      <c r="EG33412" s="52"/>
    </row>
    <row r="33494" spans="8:137" x14ac:dyDescent="0.2">
      <c r="H33494" s="52"/>
    </row>
    <row r="33501" spans="8:137" x14ac:dyDescent="0.2">
      <c r="AW33501" s="52"/>
      <c r="EG33501" s="52"/>
    </row>
    <row r="33583" spans="8:8" x14ac:dyDescent="0.2">
      <c r="H33583" s="52"/>
    </row>
    <row r="33590" spans="49:137" x14ac:dyDescent="0.2">
      <c r="AW33590" s="52"/>
      <c r="EG33590" s="52"/>
    </row>
    <row r="33672" spans="8:137" x14ac:dyDescent="0.2">
      <c r="H33672" s="52"/>
    </row>
    <row r="33679" spans="8:137" x14ac:dyDescent="0.2">
      <c r="AW33679" s="52"/>
      <c r="EG33679" s="52"/>
    </row>
    <row r="33761" spans="8:137" x14ac:dyDescent="0.2">
      <c r="H33761" s="52"/>
    </row>
    <row r="33768" spans="8:137" x14ac:dyDescent="0.2">
      <c r="AW33768" s="52"/>
      <c r="EG33768" s="52"/>
    </row>
    <row r="33850" spans="8:137" x14ac:dyDescent="0.2">
      <c r="H33850" s="52"/>
    </row>
    <row r="33854" spans="8:137" x14ac:dyDescent="0.2">
      <c r="AW33854" s="52"/>
      <c r="EG33854" s="52"/>
    </row>
    <row r="33939" spans="8:137" x14ac:dyDescent="0.2">
      <c r="H33939" s="52"/>
    </row>
    <row r="33943" spans="8:137" x14ac:dyDescent="0.2">
      <c r="AW33943" s="52"/>
      <c r="EG33943" s="52"/>
    </row>
    <row r="34028" spans="8:137" x14ac:dyDescent="0.2">
      <c r="H34028" s="52"/>
    </row>
    <row r="34032" spans="8:137" x14ac:dyDescent="0.2">
      <c r="AW34032" s="52"/>
      <c r="EG34032" s="52"/>
    </row>
    <row r="34117" spans="8:137" x14ac:dyDescent="0.2">
      <c r="H34117" s="52"/>
    </row>
    <row r="34121" spans="8:137" x14ac:dyDescent="0.2">
      <c r="AW34121" s="52"/>
      <c r="EG34121" s="52"/>
    </row>
    <row r="34206" spans="8:8" x14ac:dyDescent="0.2">
      <c r="H34206" s="52"/>
    </row>
    <row r="34210" spans="49:137" x14ac:dyDescent="0.2">
      <c r="AW34210" s="52"/>
      <c r="EG34210" s="52"/>
    </row>
    <row r="34295" spans="8:137" x14ac:dyDescent="0.2">
      <c r="H34295" s="52"/>
    </row>
    <row r="34299" spans="8:137" x14ac:dyDescent="0.2">
      <c r="AW34299" s="52"/>
      <c r="EG34299" s="52"/>
    </row>
    <row r="34384" spans="8:8" x14ac:dyDescent="0.2">
      <c r="H34384" s="52"/>
    </row>
    <row r="34388" spans="49:137" x14ac:dyDescent="0.2">
      <c r="AW34388" s="52"/>
      <c r="EG34388" s="52"/>
    </row>
    <row r="34473" spans="8:137" x14ac:dyDescent="0.2">
      <c r="H34473" s="52"/>
    </row>
    <row r="34477" spans="8:137" x14ac:dyDescent="0.2">
      <c r="AW34477" s="52"/>
      <c r="EG34477" s="52"/>
    </row>
    <row r="34562" spans="8:137" x14ac:dyDescent="0.2">
      <c r="H34562" s="52"/>
    </row>
    <row r="34568" spans="8:137" x14ac:dyDescent="0.2">
      <c r="AW34568" s="52"/>
      <c r="EG34568" s="52"/>
    </row>
    <row r="34651" spans="8:8" x14ac:dyDescent="0.2">
      <c r="H34651" s="52"/>
    </row>
    <row r="34657" spans="49:137" x14ac:dyDescent="0.2">
      <c r="AW34657" s="52"/>
      <c r="EG34657" s="52"/>
    </row>
    <row r="34740" spans="8:137" x14ac:dyDescent="0.2">
      <c r="H34740" s="52"/>
    </row>
    <row r="34746" spans="8:137" x14ac:dyDescent="0.2">
      <c r="AW34746" s="52"/>
      <c r="EG34746" s="52"/>
    </row>
    <row r="34829" spans="8:8" x14ac:dyDescent="0.2">
      <c r="H34829" s="52"/>
    </row>
    <row r="34835" spans="49:137" x14ac:dyDescent="0.2">
      <c r="AW34835" s="52"/>
      <c r="EG34835" s="52"/>
    </row>
    <row r="34918" spans="8:137" x14ac:dyDescent="0.2">
      <c r="H34918" s="52"/>
    </row>
    <row r="34924" spans="8:137" x14ac:dyDescent="0.2">
      <c r="AW34924" s="52"/>
      <c r="EG34924" s="52"/>
    </row>
    <row r="35007" spans="8:8" x14ac:dyDescent="0.2">
      <c r="H35007" s="52"/>
    </row>
    <row r="35013" spans="49:137" x14ac:dyDescent="0.2">
      <c r="AW35013" s="52"/>
      <c r="EG35013" s="52"/>
    </row>
    <row r="35096" spans="8:137" x14ac:dyDescent="0.2">
      <c r="H35096" s="52"/>
    </row>
    <row r="35102" spans="8:137" x14ac:dyDescent="0.2">
      <c r="AW35102" s="52"/>
      <c r="EG35102" s="52"/>
    </row>
    <row r="35185" spans="8:137" x14ac:dyDescent="0.2">
      <c r="H35185" s="52"/>
    </row>
    <row r="35193" spans="8:137" x14ac:dyDescent="0.2">
      <c r="AW35193" s="52"/>
      <c r="EG35193" s="52"/>
    </row>
    <row r="35274" spans="8:8" x14ac:dyDescent="0.2">
      <c r="H35274" s="52"/>
    </row>
    <row r="35282" spans="49:137" x14ac:dyDescent="0.2">
      <c r="AW35282" s="52"/>
      <c r="EG35282" s="52"/>
    </row>
    <row r="35363" spans="8:137" x14ac:dyDescent="0.2">
      <c r="H35363" s="52"/>
    </row>
    <row r="35371" spans="8:137" x14ac:dyDescent="0.2">
      <c r="AW35371" s="52"/>
      <c r="EG35371" s="52"/>
    </row>
    <row r="35454" spans="8:8" x14ac:dyDescent="0.2">
      <c r="H35454" s="52"/>
    </row>
    <row r="35462" spans="49:137" x14ac:dyDescent="0.2">
      <c r="AW35462" s="52"/>
      <c r="EG35462" s="52"/>
    </row>
    <row r="35543" spans="8:137" x14ac:dyDescent="0.2">
      <c r="H35543" s="52"/>
    </row>
    <row r="35551" spans="8:137" x14ac:dyDescent="0.2">
      <c r="AW35551" s="52"/>
      <c r="EG35551" s="52"/>
    </row>
    <row r="35632" spans="8:8" x14ac:dyDescent="0.2">
      <c r="H35632" s="52"/>
    </row>
    <row r="35640" spans="49:137" x14ac:dyDescent="0.2">
      <c r="AW35640" s="52"/>
      <c r="EG35640" s="52"/>
    </row>
    <row r="35721" spans="8:8" x14ac:dyDescent="0.2">
      <c r="H35721" s="52"/>
    </row>
    <row r="35729" spans="49:137" x14ac:dyDescent="0.2">
      <c r="AW35729" s="52"/>
      <c r="EG35729" s="52"/>
    </row>
    <row r="35810" spans="8:137" x14ac:dyDescent="0.2">
      <c r="H35810" s="52"/>
    </row>
    <row r="35818" spans="8:137" x14ac:dyDescent="0.2">
      <c r="AW35818" s="52"/>
      <c r="EG35818" s="52"/>
    </row>
    <row r="35899" spans="8:8" x14ac:dyDescent="0.2">
      <c r="H35899" s="52"/>
    </row>
    <row r="35907" spans="49:137" x14ac:dyDescent="0.2">
      <c r="AW35907" s="52"/>
      <c r="EG35907" s="52"/>
    </row>
    <row r="35988" spans="8:137" x14ac:dyDescent="0.2">
      <c r="H35988" s="52"/>
    </row>
    <row r="35996" spans="8:137" x14ac:dyDescent="0.2">
      <c r="AW35996" s="52"/>
      <c r="EG35996" s="52"/>
    </row>
    <row r="36077" spans="8:8" x14ac:dyDescent="0.2">
      <c r="H36077" s="52"/>
    </row>
    <row r="36087" spans="49:137" x14ac:dyDescent="0.2">
      <c r="AW36087" s="52"/>
      <c r="EG36087" s="52"/>
    </row>
    <row r="36166" spans="8:137" x14ac:dyDescent="0.2">
      <c r="H36166" s="52"/>
    </row>
    <row r="36176" spans="8:137" x14ac:dyDescent="0.2">
      <c r="AW36176" s="52"/>
      <c r="EG36176" s="52"/>
    </row>
    <row r="36255" spans="8:8" x14ac:dyDescent="0.2">
      <c r="H36255" s="52"/>
    </row>
    <row r="36265" spans="49:137" x14ac:dyDescent="0.2">
      <c r="AW36265" s="52"/>
      <c r="EG36265" s="52"/>
    </row>
    <row r="36344" spans="8:8" x14ac:dyDescent="0.2">
      <c r="H36344" s="52"/>
    </row>
    <row r="36356" spans="49:137" x14ac:dyDescent="0.2">
      <c r="AW36356" s="52"/>
      <c r="EG36356" s="52"/>
    </row>
    <row r="36433" spans="8:137" x14ac:dyDescent="0.2">
      <c r="H36433" s="52"/>
    </row>
    <row r="36445" spans="8:137" x14ac:dyDescent="0.2">
      <c r="AW36445" s="52"/>
      <c r="EG36445" s="52"/>
    </row>
    <row r="36522" spans="8:8" x14ac:dyDescent="0.2">
      <c r="H36522" s="52"/>
    </row>
    <row r="36534" spans="49:137" x14ac:dyDescent="0.2">
      <c r="AW36534" s="52"/>
      <c r="EG36534" s="52"/>
    </row>
    <row r="36611" spans="8:8" x14ac:dyDescent="0.2">
      <c r="H36611" s="52"/>
    </row>
    <row r="36625" spans="49:137" x14ac:dyDescent="0.2">
      <c r="AW36625" s="52"/>
      <c r="EG36625" s="52"/>
    </row>
    <row r="36700" spans="8:8" x14ac:dyDescent="0.2">
      <c r="H36700" s="52"/>
    </row>
    <row r="36714" spans="49:137" x14ac:dyDescent="0.2">
      <c r="AW36714" s="52"/>
      <c r="EG36714" s="52"/>
    </row>
    <row r="36789" spans="8:8" x14ac:dyDescent="0.2">
      <c r="H36789" s="52"/>
    </row>
    <row r="36803" spans="49:137" x14ac:dyDescent="0.2">
      <c r="AW36803" s="52"/>
      <c r="EG36803" s="52"/>
    </row>
    <row r="36878" spans="8:8" x14ac:dyDescent="0.2">
      <c r="H36878" s="52"/>
    </row>
    <row r="36892" spans="49:137" x14ac:dyDescent="0.2">
      <c r="AW36892" s="52"/>
      <c r="EG36892" s="52"/>
    </row>
    <row r="36967" spans="8:8" x14ac:dyDescent="0.2">
      <c r="H36967" s="52"/>
    </row>
    <row r="36981" spans="49:137" x14ac:dyDescent="0.2">
      <c r="AW36981" s="52"/>
      <c r="EG36981" s="52"/>
    </row>
    <row r="37056" spans="8:8" x14ac:dyDescent="0.2">
      <c r="H37056" s="52"/>
    </row>
    <row r="37070" spans="49:137" x14ac:dyDescent="0.2">
      <c r="AW37070" s="52"/>
      <c r="EG37070" s="52"/>
    </row>
    <row r="37145" spans="8:8" x14ac:dyDescent="0.2">
      <c r="H37145" s="52"/>
    </row>
    <row r="37159" spans="49:137" x14ac:dyDescent="0.2">
      <c r="AW37159" s="52"/>
      <c r="EG37159" s="52"/>
    </row>
    <row r="37234" spans="8:8" x14ac:dyDescent="0.2">
      <c r="H37234" s="52"/>
    </row>
    <row r="37250" spans="49:137" x14ac:dyDescent="0.2">
      <c r="AW37250" s="52"/>
      <c r="EG37250" s="52"/>
    </row>
    <row r="37323" spans="8:8" x14ac:dyDescent="0.2">
      <c r="H37323" s="52"/>
    </row>
    <row r="37339" spans="49:137" x14ac:dyDescent="0.2">
      <c r="AW37339" s="52"/>
      <c r="EG37339" s="52"/>
    </row>
    <row r="37412" spans="8:8" x14ac:dyDescent="0.2">
      <c r="H37412" s="52"/>
    </row>
    <row r="37428" spans="49:137" x14ac:dyDescent="0.2">
      <c r="AW37428" s="52"/>
      <c r="EG37428" s="52"/>
    </row>
    <row r="37501" spans="8:8" x14ac:dyDescent="0.2">
      <c r="H37501" s="52"/>
    </row>
    <row r="37517" spans="49:137" x14ac:dyDescent="0.2">
      <c r="AW37517" s="52"/>
      <c r="EG37517" s="52"/>
    </row>
    <row r="37590" spans="8:8" x14ac:dyDescent="0.2">
      <c r="H37590" s="52"/>
    </row>
    <row r="37606" spans="49:137" x14ac:dyDescent="0.2">
      <c r="AW37606" s="52"/>
      <c r="EG37606" s="52"/>
    </row>
    <row r="37679" spans="8:8" x14ac:dyDescent="0.2">
      <c r="H37679" s="52"/>
    </row>
    <row r="37695" spans="49:137" x14ac:dyDescent="0.2">
      <c r="AW37695" s="52"/>
      <c r="EG37695" s="52"/>
    </row>
    <row r="37768" spans="8:8" x14ac:dyDescent="0.2">
      <c r="H37768" s="52"/>
    </row>
    <row r="37784" spans="49:137" x14ac:dyDescent="0.2">
      <c r="AW37784" s="52"/>
      <c r="EG37784" s="52"/>
    </row>
    <row r="37857" spans="8:8" x14ac:dyDescent="0.2">
      <c r="H37857" s="52"/>
    </row>
    <row r="37873" spans="49:137" x14ac:dyDescent="0.2">
      <c r="AW37873" s="52"/>
      <c r="EG37873" s="52"/>
    </row>
    <row r="37946" spans="8:8" x14ac:dyDescent="0.2">
      <c r="H37946" s="52"/>
    </row>
    <row r="37962" spans="49:137" x14ac:dyDescent="0.2">
      <c r="AW37962" s="52"/>
      <c r="EG37962" s="52"/>
    </row>
    <row r="38037" spans="8:8" x14ac:dyDescent="0.2">
      <c r="H38037" s="52"/>
    </row>
    <row r="38051" spans="49:137" x14ac:dyDescent="0.2">
      <c r="AW38051" s="52"/>
      <c r="EG38051" s="52"/>
    </row>
    <row r="38126" spans="8:8" x14ac:dyDescent="0.2">
      <c r="H38126" s="52"/>
    </row>
    <row r="38140" spans="49:137" x14ac:dyDescent="0.2">
      <c r="AW38140" s="52"/>
      <c r="EG38140" s="52"/>
    </row>
    <row r="38215" spans="8:8" x14ac:dyDescent="0.2">
      <c r="H38215" s="52"/>
    </row>
    <row r="38229" spans="49:137" x14ac:dyDescent="0.2">
      <c r="AW38229" s="52"/>
      <c r="EG38229" s="52"/>
    </row>
    <row r="38304" spans="8:8" x14ac:dyDescent="0.2">
      <c r="H38304" s="52"/>
    </row>
    <row r="38318" spans="49:137" x14ac:dyDescent="0.2">
      <c r="AW38318" s="52"/>
      <c r="EG38318" s="52"/>
    </row>
    <row r="38393" spans="8:8" x14ac:dyDescent="0.2">
      <c r="H38393" s="52"/>
    </row>
    <row r="38407" spans="49:137" x14ac:dyDescent="0.2">
      <c r="AW38407" s="52"/>
      <c r="EG38407" s="52"/>
    </row>
    <row r="38482" spans="8:137" x14ac:dyDescent="0.2">
      <c r="H38482" s="52"/>
    </row>
    <row r="38496" spans="8:137" x14ac:dyDescent="0.2">
      <c r="AW38496" s="52"/>
      <c r="EG38496" s="52"/>
    </row>
    <row r="38571" spans="8:8" x14ac:dyDescent="0.2">
      <c r="H38571" s="52"/>
    </row>
    <row r="38587" spans="49:137" x14ac:dyDescent="0.2">
      <c r="AW38587" s="52"/>
      <c r="EG38587" s="52"/>
    </row>
    <row r="38660" spans="8:8" x14ac:dyDescent="0.2">
      <c r="H38660" s="52"/>
    </row>
    <row r="38676" spans="49:137" x14ac:dyDescent="0.2">
      <c r="AW38676" s="52"/>
      <c r="EG38676" s="52"/>
    </row>
    <row r="38749" spans="8:8" x14ac:dyDescent="0.2">
      <c r="H38749" s="52"/>
    </row>
    <row r="38765" spans="49:137" x14ac:dyDescent="0.2">
      <c r="AW38765" s="52"/>
      <c r="EG38765" s="52"/>
    </row>
    <row r="38838" spans="8:8" x14ac:dyDescent="0.2">
      <c r="H38838" s="52"/>
    </row>
    <row r="38854" spans="49:137" x14ac:dyDescent="0.2">
      <c r="AW38854" s="52"/>
      <c r="EG38854" s="52"/>
    </row>
    <row r="38927" spans="8:8" x14ac:dyDescent="0.2">
      <c r="H38927" s="52"/>
    </row>
    <row r="38943" spans="49:137" x14ac:dyDescent="0.2">
      <c r="AW38943" s="52"/>
      <c r="EG38943" s="52"/>
    </row>
    <row r="39016" spans="8:8" x14ac:dyDescent="0.2">
      <c r="H39016" s="52"/>
    </row>
    <row r="39032" spans="49:137" x14ac:dyDescent="0.2">
      <c r="AW39032" s="52"/>
      <c r="EG39032" s="52"/>
    </row>
    <row r="39105" spans="8:8" x14ac:dyDescent="0.2">
      <c r="H39105" s="52"/>
    </row>
    <row r="39121" spans="49:137" x14ac:dyDescent="0.2">
      <c r="AW39121" s="52"/>
      <c r="EG39121" s="52"/>
    </row>
    <row r="39194" spans="8:8" x14ac:dyDescent="0.2">
      <c r="H39194" s="52"/>
    </row>
    <row r="39212" spans="49:137" x14ac:dyDescent="0.2">
      <c r="AW39212" s="52"/>
      <c r="EG39212" s="52"/>
    </row>
    <row r="39283" spans="8:8" x14ac:dyDescent="0.2">
      <c r="H39283" s="52"/>
    </row>
    <row r="39301" spans="49:137" x14ac:dyDescent="0.2">
      <c r="AW39301" s="52"/>
      <c r="EG39301" s="52"/>
    </row>
    <row r="39372" spans="8:8" x14ac:dyDescent="0.2">
      <c r="H39372" s="52"/>
    </row>
    <row r="39390" spans="49:137" x14ac:dyDescent="0.2">
      <c r="AW39390" s="52"/>
      <c r="EG39390" s="52"/>
    </row>
    <row r="39461" spans="8:8" x14ac:dyDescent="0.2">
      <c r="H39461" s="52"/>
    </row>
    <row r="39479" spans="49:137" x14ac:dyDescent="0.2">
      <c r="AW39479" s="52"/>
      <c r="EG39479" s="52"/>
    </row>
    <row r="39550" spans="8:8" x14ac:dyDescent="0.2">
      <c r="H39550" s="52"/>
    </row>
    <row r="39570" spans="49:137" x14ac:dyDescent="0.2">
      <c r="AW39570" s="52"/>
      <c r="EG39570" s="52"/>
    </row>
    <row r="39639" spans="8:8" x14ac:dyDescent="0.2">
      <c r="H39639" s="52"/>
    </row>
    <row r="39659" spans="49:137" x14ac:dyDescent="0.2">
      <c r="AW39659" s="52"/>
      <c r="EG39659" s="52"/>
    </row>
    <row r="39728" spans="8:8" x14ac:dyDescent="0.2">
      <c r="H39728" s="52"/>
    </row>
    <row r="39748" spans="49:137" x14ac:dyDescent="0.2">
      <c r="AW39748" s="52"/>
      <c r="EG39748" s="52"/>
    </row>
    <row r="39817" spans="8:8" x14ac:dyDescent="0.2">
      <c r="H39817" s="52"/>
    </row>
    <row r="39837" spans="49:137" x14ac:dyDescent="0.2">
      <c r="AW39837" s="52"/>
      <c r="EG39837" s="52"/>
    </row>
    <row r="39906" spans="8:8" x14ac:dyDescent="0.2">
      <c r="H39906" s="52"/>
    </row>
    <row r="39926" spans="49:137" x14ac:dyDescent="0.2">
      <c r="AW39926" s="52"/>
      <c r="EG39926" s="52"/>
    </row>
    <row r="39995" spans="8:8" x14ac:dyDescent="0.2">
      <c r="H39995" s="52"/>
    </row>
    <row r="40015" spans="49:137" x14ac:dyDescent="0.2">
      <c r="AW40015" s="52"/>
      <c r="EG40015" s="52"/>
    </row>
    <row r="40084" spans="8:8" x14ac:dyDescent="0.2">
      <c r="H40084" s="52"/>
    </row>
    <row r="40104" spans="49:137" x14ac:dyDescent="0.2">
      <c r="AW40104" s="52"/>
      <c r="EG40104" s="52"/>
    </row>
    <row r="40173" spans="8:8" x14ac:dyDescent="0.2">
      <c r="H40173" s="52"/>
    </row>
    <row r="40193" spans="49:137" x14ac:dyDescent="0.2">
      <c r="AW40193" s="52"/>
      <c r="EG40193" s="52"/>
    </row>
    <row r="40262" spans="8:8" x14ac:dyDescent="0.2">
      <c r="H40262" s="52"/>
    </row>
    <row r="40284" spans="49:137" x14ac:dyDescent="0.2">
      <c r="AW40284" s="52"/>
      <c r="EG40284" s="52"/>
    </row>
    <row r="40351" spans="8:8" x14ac:dyDescent="0.2">
      <c r="H40351" s="52"/>
    </row>
    <row r="40373" spans="49:137" x14ac:dyDescent="0.2">
      <c r="AW40373" s="52"/>
      <c r="EG40373" s="52"/>
    </row>
    <row r="40440" spans="8:8" x14ac:dyDescent="0.2">
      <c r="H40440" s="52"/>
    </row>
    <row r="40462" spans="49:137" x14ac:dyDescent="0.2">
      <c r="AW40462" s="52"/>
      <c r="EG40462" s="52"/>
    </row>
    <row r="40529" spans="8:8" x14ac:dyDescent="0.2">
      <c r="H40529" s="52"/>
    </row>
    <row r="40551" spans="49:137" x14ac:dyDescent="0.2">
      <c r="AW40551" s="52"/>
      <c r="EG40551" s="52"/>
    </row>
    <row r="40620" spans="8:8" x14ac:dyDescent="0.2">
      <c r="H40620" s="52"/>
    </row>
    <row r="40640" spans="49:137" x14ac:dyDescent="0.2">
      <c r="AW40640" s="52"/>
      <c r="EG40640" s="52"/>
    </row>
    <row r="40709" spans="8:8" x14ac:dyDescent="0.2">
      <c r="H40709" s="52"/>
    </row>
    <row r="40729" spans="49:137" x14ac:dyDescent="0.2">
      <c r="AW40729" s="52"/>
      <c r="EG40729" s="52"/>
    </row>
    <row r="40798" spans="8:8" x14ac:dyDescent="0.2">
      <c r="H40798" s="52"/>
    </row>
    <row r="40818" spans="49:137" x14ac:dyDescent="0.2">
      <c r="AW40818" s="52"/>
      <c r="EG40818" s="52"/>
    </row>
    <row r="40887" spans="8:8" x14ac:dyDescent="0.2">
      <c r="H40887" s="52"/>
    </row>
    <row r="40909" spans="49:137" x14ac:dyDescent="0.2">
      <c r="AW40909" s="52"/>
      <c r="EG40909" s="52"/>
    </row>
    <row r="40976" spans="8:8" x14ac:dyDescent="0.2">
      <c r="H40976" s="52"/>
    </row>
    <row r="40998" spans="49:137" x14ac:dyDescent="0.2">
      <c r="AW40998" s="52"/>
      <c r="EG40998" s="52"/>
    </row>
    <row r="41065" spans="8:8" x14ac:dyDescent="0.2">
      <c r="H41065" s="52"/>
    </row>
    <row r="41087" spans="49:137" x14ac:dyDescent="0.2">
      <c r="AW41087" s="52"/>
      <c r="EG41087" s="52"/>
    </row>
    <row r="41154" spans="8:8" x14ac:dyDescent="0.2">
      <c r="H41154" s="52"/>
    </row>
    <row r="41176" spans="49:137" x14ac:dyDescent="0.2">
      <c r="AW41176" s="52"/>
      <c r="EG41176" s="52"/>
    </row>
    <row r="41243" spans="8:8" x14ac:dyDescent="0.2">
      <c r="H41243" s="52"/>
    </row>
    <row r="41265" spans="49:137" x14ac:dyDescent="0.2">
      <c r="AW41265" s="52"/>
      <c r="EG41265" s="52"/>
    </row>
    <row r="41332" spans="8:8" x14ac:dyDescent="0.2">
      <c r="H41332" s="52"/>
    </row>
    <row r="41354" spans="49:137" x14ac:dyDescent="0.2">
      <c r="AW41354" s="52"/>
      <c r="EG41354" s="52"/>
    </row>
    <row r="41421" spans="8:8" x14ac:dyDescent="0.2">
      <c r="H41421" s="52"/>
    </row>
    <row r="41443" spans="49:137" x14ac:dyDescent="0.2">
      <c r="AW41443" s="52"/>
      <c r="EG41443" s="52"/>
    </row>
    <row r="41510" spans="8:8" x14ac:dyDescent="0.2">
      <c r="H41510" s="52"/>
    </row>
    <row r="41534" spans="49:137" x14ac:dyDescent="0.2">
      <c r="AW41534" s="52"/>
      <c r="EG41534" s="52"/>
    </row>
    <row r="41599" spans="8:8" x14ac:dyDescent="0.2">
      <c r="H41599" s="52"/>
    </row>
    <row r="41623" spans="49:137" x14ac:dyDescent="0.2">
      <c r="AW41623" s="52"/>
      <c r="EG41623" s="52"/>
    </row>
    <row r="41688" spans="8:8" x14ac:dyDescent="0.2">
      <c r="H41688" s="52"/>
    </row>
    <row r="41712" spans="49:137" x14ac:dyDescent="0.2">
      <c r="AW41712" s="52"/>
      <c r="EG41712" s="52"/>
    </row>
    <row r="41777" spans="8:8" x14ac:dyDescent="0.2">
      <c r="H41777" s="52"/>
    </row>
    <row r="41803" spans="49:137" x14ac:dyDescent="0.2">
      <c r="AW41803" s="52"/>
      <c r="EG41803" s="52"/>
    </row>
    <row r="41860" spans="8:137" x14ac:dyDescent="0.2">
      <c r="AW41860" s="52"/>
      <c r="EG41860" s="52"/>
    </row>
    <row r="41866" spans="8:137" x14ac:dyDescent="0.2">
      <c r="H41866" s="52"/>
    </row>
    <row r="41868" spans="8:137" x14ac:dyDescent="0.2">
      <c r="AT41868" s="53"/>
      <c r="AU41868" s="53"/>
      <c r="AV41868" s="53"/>
      <c r="AY41868" s="53"/>
      <c r="AZ41868" s="53"/>
      <c r="BQ41868" s="53"/>
      <c r="BT41868" s="53"/>
      <c r="BW41868" s="53"/>
      <c r="CV41868" s="53"/>
      <c r="DA41868" s="53"/>
    </row>
    <row r="41869" spans="8:137" x14ac:dyDescent="0.2">
      <c r="AT41869" s="53"/>
      <c r="AU41869" s="53"/>
      <c r="AV41869" s="53"/>
      <c r="AY41869" s="53"/>
      <c r="AZ41869" s="53"/>
      <c r="BQ41869" s="53"/>
      <c r="BT41869" s="53"/>
      <c r="BW41869" s="53"/>
      <c r="CV41869" s="53"/>
      <c r="DA41869" s="53"/>
    </row>
    <row r="41870" spans="8:137" x14ac:dyDescent="0.2">
      <c r="AT41870" s="53"/>
      <c r="AU41870" s="53"/>
      <c r="AV41870" s="53"/>
      <c r="AY41870" s="53"/>
      <c r="AZ41870" s="53"/>
      <c r="BQ41870" s="53"/>
      <c r="BT41870" s="53"/>
      <c r="BW41870" s="53"/>
      <c r="CV41870" s="53"/>
      <c r="DA41870" s="53"/>
    </row>
    <row r="41871" spans="8:137" x14ac:dyDescent="0.2">
      <c r="AT41871" s="53"/>
      <c r="AU41871" s="53"/>
      <c r="AV41871" s="53"/>
      <c r="AY41871" s="53"/>
      <c r="AZ41871" s="53"/>
      <c r="BQ41871" s="53"/>
      <c r="BT41871" s="53"/>
      <c r="BW41871" s="53"/>
      <c r="CV41871" s="53"/>
      <c r="DA41871" s="53"/>
    </row>
    <row r="41872" spans="8:137" x14ac:dyDescent="0.2">
      <c r="AT41872" s="53"/>
      <c r="AU41872" s="53"/>
      <c r="AV41872" s="53"/>
      <c r="AY41872" s="53"/>
      <c r="AZ41872" s="53"/>
      <c r="BQ41872" s="53"/>
      <c r="BT41872" s="53"/>
      <c r="BW41872" s="53"/>
      <c r="CV41872" s="53"/>
      <c r="DA41872" s="53"/>
    </row>
    <row r="41873" spans="46:105" x14ac:dyDescent="0.2">
      <c r="AT41873" s="53"/>
      <c r="AU41873" s="53"/>
      <c r="AV41873" s="53"/>
      <c r="AY41873" s="53"/>
      <c r="AZ41873" s="53"/>
      <c r="BQ41873" s="53"/>
      <c r="BT41873" s="53"/>
      <c r="BW41873" s="53"/>
      <c r="CV41873" s="53"/>
      <c r="DA41873" s="53"/>
    </row>
    <row r="41874" spans="46:105" x14ac:dyDescent="0.2">
      <c r="AT41874" s="53"/>
      <c r="AU41874" s="53"/>
      <c r="AV41874" s="53"/>
      <c r="AY41874" s="53"/>
      <c r="AZ41874" s="53"/>
      <c r="BQ41874" s="53"/>
      <c r="BT41874" s="53"/>
      <c r="BW41874" s="53"/>
      <c r="CV41874" s="53"/>
      <c r="DA41874" s="53"/>
    </row>
    <row r="41875" spans="46:105" x14ac:dyDescent="0.2">
      <c r="AT41875" s="53"/>
      <c r="AU41875" s="53"/>
      <c r="AV41875" s="53"/>
      <c r="AY41875" s="53"/>
      <c r="AZ41875" s="53"/>
      <c r="BQ41875" s="53"/>
      <c r="BT41875" s="53"/>
      <c r="BW41875" s="53"/>
      <c r="CV41875" s="53"/>
      <c r="DA41875" s="53"/>
    </row>
    <row r="41876" spans="46:105" x14ac:dyDescent="0.2">
      <c r="AT41876" s="53"/>
      <c r="AU41876" s="53"/>
      <c r="AV41876" s="53"/>
      <c r="AY41876" s="53"/>
      <c r="AZ41876" s="53"/>
      <c r="BQ41876" s="53"/>
      <c r="BT41876" s="53"/>
      <c r="BW41876" s="53"/>
      <c r="CV41876" s="53"/>
      <c r="DA41876" s="53"/>
    </row>
    <row r="41877" spans="46:105" x14ac:dyDescent="0.2">
      <c r="AT41877" s="53"/>
      <c r="AU41877" s="53"/>
      <c r="AV41877" s="53"/>
      <c r="AY41877" s="53"/>
      <c r="AZ41877" s="53"/>
      <c r="BP41877" s="53"/>
      <c r="BS41877" s="53"/>
      <c r="BV41877" s="53"/>
      <c r="CU41877" s="53"/>
      <c r="CZ41877" s="53"/>
    </row>
    <row r="41878" spans="46:105" x14ac:dyDescent="0.2">
      <c r="AT41878" s="53"/>
      <c r="AU41878" s="53"/>
      <c r="AV41878" s="53"/>
      <c r="AY41878" s="53"/>
      <c r="AZ41878" s="53"/>
      <c r="BP41878" s="53"/>
      <c r="BS41878" s="53"/>
      <c r="BV41878" s="53"/>
      <c r="CU41878" s="53"/>
      <c r="CZ41878" s="53"/>
    </row>
    <row r="41879" spans="46:105" x14ac:dyDescent="0.2">
      <c r="AT41879" s="53"/>
      <c r="AU41879" s="53"/>
      <c r="AV41879" s="53"/>
      <c r="AY41879" s="53"/>
      <c r="AZ41879" s="53"/>
      <c r="BP41879" s="53"/>
      <c r="BS41879" s="53"/>
      <c r="BV41879" s="53"/>
      <c r="CU41879" s="53"/>
      <c r="CZ41879" s="53"/>
    </row>
    <row r="41880" spans="46:105" x14ac:dyDescent="0.2">
      <c r="AT41880" s="53"/>
      <c r="AU41880" s="53"/>
      <c r="AV41880" s="53"/>
      <c r="AY41880" s="53"/>
      <c r="AZ41880" s="53"/>
      <c r="BP41880" s="53"/>
      <c r="BS41880" s="53"/>
      <c r="BV41880" s="53"/>
      <c r="CU41880" s="53"/>
      <c r="CZ41880" s="53"/>
    </row>
    <row r="41881" spans="46:105" x14ac:dyDescent="0.2">
      <c r="AT41881" s="53"/>
      <c r="AU41881" s="53"/>
      <c r="AV41881" s="53"/>
      <c r="AY41881" s="53"/>
      <c r="AZ41881" s="53"/>
      <c r="BP41881" s="53"/>
      <c r="BS41881" s="53"/>
      <c r="BV41881" s="53"/>
      <c r="CU41881" s="53"/>
      <c r="CZ41881" s="53"/>
    </row>
    <row r="41882" spans="46:105" x14ac:dyDescent="0.2">
      <c r="AT41882" s="53"/>
      <c r="AU41882" s="53"/>
      <c r="AV41882" s="53"/>
      <c r="AY41882" s="53"/>
      <c r="AZ41882" s="53"/>
      <c r="BP41882" s="53"/>
      <c r="BS41882" s="53"/>
      <c r="BV41882" s="53"/>
      <c r="CU41882" s="53"/>
      <c r="CZ41882" s="53"/>
    </row>
    <row r="41883" spans="46:105" x14ac:dyDescent="0.2">
      <c r="AT41883" s="53"/>
      <c r="AU41883" s="53"/>
      <c r="AV41883" s="53"/>
      <c r="AY41883" s="53"/>
      <c r="AZ41883" s="53"/>
      <c r="BP41883" s="53"/>
      <c r="BS41883" s="53"/>
      <c r="BV41883" s="53"/>
      <c r="CU41883" s="53"/>
      <c r="CZ41883" s="53"/>
    </row>
    <row r="41884" spans="46:105" x14ac:dyDescent="0.2">
      <c r="AT41884" s="53"/>
      <c r="AU41884" s="53"/>
      <c r="AV41884" s="53"/>
      <c r="AY41884" s="53"/>
      <c r="AZ41884" s="53"/>
      <c r="BP41884" s="53"/>
      <c r="BS41884" s="53"/>
      <c r="BV41884" s="53"/>
      <c r="CU41884" s="53"/>
      <c r="CZ41884" s="53"/>
    </row>
    <row r="41885" spans="46:105" x14ac:dyDescent="0.2">
      <c r="AT41885" s="53"/>
      <c r="AU41885" s="53"/>
      <c r="AV41885" s="53"/>
      <c r="AY41885" s="53"/>
      <c r="AZ41885" s="53"/>
      <c r="BP41885" s="53"/>
      <c r="BS41885" s="53"/>
      <c r="BV41885" s="53"/>
      <c r="CU41885" s="53"/>
      <c r="CZ41885" s="53"/>
    </row>
    <row r="41886" spans="46:105" x14ac:dyDescent="0.2">
      <c r="AT41886" s="53"/>
      <c r="AU41886" s="53"/>
      <c r="AV41886" s="53"/>
      <c r="AY41886" s="53"/>
      <c r="AZ41886" s="53"/>
      <c r="BP41886" s="53"/>
      <c r="BS41886" s="53"/>
      <c r="BV41886" s="53"/>
      <c r="CU41886" s="53"/>
      <c r="CZ41886" s="53"/>
    </row>
    <row r="41887" spans="46:105" x14ac:dyDescent="0.2">
      <c r="AT41887" s="53"/>
      <c r="AU41887" s="53"/>
      <c r="AV41887" s="53"/>
      <c r="AY41887" s="53"/>
      <c r="AZ41887" s="53"/>
      <c r="BP41887" s="53"/>
      <c r="BS41887" s="53"/>
      <c r="BV41887" s="53"/>
      <c r="CU41887" s="53"/>
      <c r="CZ41887" s="53"/>
    </row>
    <row r="41888" spans="46:105" x14ac:dyDescent="0.2">
      <c r="AT41888" s="53"/>
      <c r="AU41888" s="53"/>
      <c r="AV41888" s="53"/>
      <c r="AY41888" s="53"/>
      <c r="AZ41888" s="53"/>
      <c r="BP41888" s="53"/>
      <c r="BS41888" s="53"/>
      <c r="BV41888" s="53"/>
      <c r="CU41888" s="53"/>
      <c r="CZ41888" s="53"/>
    </row>
    <row r="41889" spans="46:104" x14ac:dyDescent="0.2">
      <c r="AT41889" s="53"/>
      <c r="AU41889" s="53"/>
      <c r="AV41889" s="53"/>
      <c r="AY41889" s="53"/>
      <c r="AZ41889" s="53"/>
      <c r="BP41889" s="53"/>
      <c r="BS41889" s="53"/>
      <c r="BV41889" s="53"/>
      <c r="CU41889" s="53"/>
      <c r="CZ41889" s="53"/>
    </row>
    <row r="41890" spans="46:104" x14ac:dyDescent="0.2">
      <c r="AT41890" s="53"/>
      <c r="AU41890" s="53"/>
      <c r="AV41890" s="53"/>
      <c r="AY41890" s="53"/>
      <c r="AZ41890" s="53"/>
      <c r="BP41890" s="53"/>
      <c r="BS41890" s="53"/>
      <c r="BV41890" s="53"/>
      <c r="CU41890" s="53"/>
      <c r="CZ41890" s="53"/>
    </row>
    <row r="41891" spans="46:104" x14ac:dyDescent="0.2">
      <c r="AT41891" s="53"/>
      <c r="AU41891" s="53"/>
      <c r="AV41891" s="53"/>
      <c r="AY41891" s="53"/>
      <c r="AZ41891" s="53"/>
      <c r="BP41891" s="53"/>
      <c r="BS41891" s="53"/>
      <c r="BV41891" s="53"/>
      <c r="CU41891" s="53"/>
      <c r="CZ41891" s="53"/>
    </row>
    <row r="41892" spans="46:104" x14ac:dyDescent="0.2">
      <c r="AT41892" s="53"/>
      <c r="AU41892" s="53"/>
      <c r="AV41892" s="53"/>
      <c r="AY41892" s="53"/>
      <c r="AZ41892" s="53"/>
      <c r="BP41892" s="53"/>
      <c r="BS41892" s="53"/>
      <c r="BV41892" s="53"/>
      <c r="CU41892" s="53"/>
      <c r="CZ41892" s="53"/>
    </row>
    <row r="41893" spans="46:104" x14ac:dyDescent="0.2">
      <c r="AT41893" s="53"/>
      <c r="AU41893" s="53"/>
      <c r="AV41893" s="53"/>
      <c r="AY41893" s="53"/>
      <c r="AZ41893" s="53"/>
      <c r="BP41893" s="53"/>
      <c r="BS41893" s="53"/>
      <c r="BV41893" s="53"/>
      <c r="CU41893" s="53"/>
      <c r="CZ41893" s="53"/>
    </row>
    <row r="41894" spans="46:104" x14ac:dyDescent="0.2">
      <c r="AT41894" s="53"/>
      <c r="AU41894" s="53"/>
      <c r="AV41894" s="53"/>
      <c r="AY41894" s="53"/>
      <c r="AZ41894" s="53"/>
      <c r="BP41894" s="53"/>
      <c r="BS41894" s="53"/>
      <c r="BV41894" s="53"/>
      <c r="CU41894" s="53"/>
      <c r="CZ41894" s="53"/>
    </row>
    <row r="41895" spans="46:104" x14ac:dyDescent="0.2">
      <c r="AT41895" s="53"/>
      <c r="AU41895" s="53"/>
      <c r="AV41895" s="53"/>
      <c r="AY41895" s="53"/>
      <c r="AZ41895" s="53"/>
      <c r="BP41895" s="53"/>
      <c r="BS41895" s="53"/>
      <c r="BV41895" s="53"/>
      <c r="CU41895" s="53"/>
      <c r="CZ41895" s="53"/>
    </row>
    <row r="41896" spans="46:104" x14ac:dyDescent="0.2">
      <c r="AT41896" s="53"/>
      <c r="AU41896" s="53"/>
      <c r="AV41896" s="53"/>
      <c r="AY41896" s="53"/>
      <c r="AZ41896" s="53"/>
      <c r="BP41896" s="53"/>
      <c r="BS41896" s="53"/>
      <c r="BV41896" s="53"/>
      <c r="CU41896" s="53"/>
      <c r="CZ41896" s="53"/>
    </row>
    <row r="41897" spans="46:104" x14ac:dyDescent="0.2">
      <c r="AT41897" s="53"/>
      <c r="AU41897" s="53"/>
      <c r="AV41897" s="53"/>
      <c r="AY41897" s="53"/>
      <c r="AZ41897" s="53"/>
      <c r="BP41897" s="53"/>
      <c r="BS41897" s="53"/>
      <c r="BV41897" s="53"/>
      <c r="CU41897" s="53"/>
      <c r="CZ41897" s="53"/>
    </row>
    <row r="41898" spans="46:104" x14ac:dyDescent="0.2">
      <c r="AT41898" s="53"/>
      <c r="AU41898" s="53"/>
      <c r="AV41898" s="53"/>
      <c r="AY41898" s="53"/>
      <c r="AZ41898" s="53"/>
      <c r="BP41898" s="53"/>
      <c r="BS41898" s="53"/>
      <c r="BV41898" s="53"/>
      <c r="CU41898" s="53"/>
      <c r="CZ41898" s="53"/>
    </row>
    <row r="41899" spans="46:104" x14ac:dyDescent="0.2">
      <c r="AT41899" s="53"/>
      <c r="AU41899" s="53"/>
      <c r="AV41899" s="53"/>
      <c r="AY41899" s="53"/>
      <c r="AZ41899" s="53"/>
      <c r="BP41899" s="53"/>
      <c r="BS41899" s="53"/>
      <c r="BV41899" s="53"/>
      <c r="CU41899" s="53"/>
      <c r="CZ41899" s="53"/>
    </row>
    <row r="41900" spans="46:104" x14ac:dyDescent="0.2">
      <c r="AT41900" s="53"/>
      <c r="AU41900" s="53"/>
      <c r="AV41900" s="53"/>
      <c r="AY41900" s="53"/>
      <c r="AZ41900" s="53"/>
      <c r="BP41900" s="53"/>
      <c r="BS41900" s="53"/>
      <c r="BV41900" s="53"/>
      <c r="CU41900" s="53"/>
      <c r="CZ41900" s="53"/>
    </row>
    <row r="41901" spans="46:104" x14ac:dyDescent="0.2">
      <c r="AT41901" s="53"/>
      <c r="AU41901" s="53"/>
      <c r="AV41901" s="53"/>
      <c r="AY41901" s="53"/>
      <c r="AZ41901" s="53"/>
      <c r="BP41901" s="53"/>
      <c r="BS41901" s="53"/>
      <c r="BV41901" s="53"/>
      <c r="CU41901" s="53"/>
      <c r="CZ41901" s="53"/>
    </row>
    <row r="41902" spans="46:104" x14ac:dyDescent="0.2">
      <c r="AT41902" s="53"/>
      <c r="AU41902" s="53"/>
      <c r="AV41902" s="53"/>
      <c r="AY41902" s="53"/>
      <c r="AZ41902" s="53"/>
      <c r="BP41902" s="53"/>
      <c r="BS41902" s="53"/>
      <c r="BV41902" s="53"/>
      <c r="CU41902" s="53"/>
      <c r="CZ41902" s="53"/>
    </row>
    <row r="41903" spans="46:104" x14ac:dyDescent="0.2">
      <c r="AT41903" s="53"/>
      <c r="AU41903" s="53"/>
      <c r="AV41903" s="53"/>
      <c r="AY41903" s="53"/>
      <c r="AZ41903" s="53"/>
      <c r="BP41903" s="53"/>
      <c r="BS41903" s="53"/>
      <c r="BV41903" s="53"/>
      <c r="CU41903" s="53"/>
      <c r="CZ41903" s="53"/>
    </row>
    <row r="41904" spans="46:104" x14ac:dyDescent="0.2">
      <c r="AT41904" s="53"/>
      <c r="AU41904" s="53"/>
      <c r="AV41904" s="53"/>
      <c r="AY41904" s="53"/>
      <c r="AZ41904" s="53"/>
      <c r="BP41904" s="53"/>
      <c r="BS41904" s="53"/>
      <c r="BV41904" s="53"/>
      <c r="CU41904" s="53"/>
      <c r="CZ41904" s="53"/>
    </row>
    <row r="41909" spans="49:137" x14ac:dyDescent="0.2">
      <c r="AW41909" s="52"/>
      <c r="EG41909" s="52"/>
    </row>
    <row r="41955" spans="8:8" x14ac:dyDescent="0.2">
      <c r="H41955" s="52"/>
    </row>
    <row r="41999" spans="49:137" x14ac:dyDescent="0.2">
      <c r="AW41999" s="52"/>
      <c r="EG41999" s="52"/>
    </row>
    <row r="42044" spans="8:8" x14ac:dyDescent="0.2">
      <c r="H42044" s="52"/>
    </row>
    <row r="42090" spans="49:137" x14ac:dyDescent="0.2">
      <c r="AW42090" s="52"/>
      <c r="EG42090" s="52"/>
    </row>
    <row r="42133" spans="8:8" x14ac:dyDescent="0.2">
      <c r="H42133" s="52"/>
    </row>
    <row r="42181" spans="49:137" x14ac:dyDescent="0.2">
      <c r="AW42181" s="52"/>
      <c r="EG42181" s="52"/>
    </row>
    <row r="42222" spans="8:8" x14ac:dyDescent="0.2">
      <c r="H42222" s="52"/>
    </row>
    <row r="42272" spans="49:137" x14ac:dyDescent="0.2">
      <c r="AW42272" s="52"/>
      <c r="EG42272" s="52"/>
    </row>
    <row r="42311" spans="8:8" x14ac:dyDescent="0.2">
      <c r="H42311" s="52"/>
    </row>
    <row r="42363" spans="49:137" x14ac:dyDescent="0.2">
      <c r="AW42363" s="52"/>
      <c r="EG42363" s="52"/>
    </row>
    <row r="42400" spans="8:8" x14ac:dyDescent="0.2">
      <c r="H42400" s="52"/>
    </row>
    <row r="42454" spans="49:137" x14ac:dyDescent="0.2">
      <c r="AW42454" s="52"/>
      <c r="EG42454" s="52"/>
    </row>
    <row r="42489" spans="8:8" x14ac:dyDescent="0.2">
      <c r="H42489" s="52"/>
    </row>
    <row r="42545" spans="49:137" x14ac:dyDescent="0.2">
      <c r="AW42545" s="52"/>
      <c r="EG42545" s="52"/>
    </row>
    <row r="42578" spans="8:8" x14ac:dyDescent="0.2">
      <c r="H42578" s="52"/>
    </row>
    <row r="42636" spans="49:137" x14ac:dyDescent="0.2">
      <c r="AW42636" s="52"/>
      <c r="EG42636" s="52"/>
    </row>
    <row r="42667" spans="8:8" x14ac:dyDescent="0.2">
      <c r="H42667" s="52"/>
    </row>
    <row r="42727" spans="49:137" x14ac:dyDescent="0.2">
      <c r="AW42727" s="52"/>
      <c r="EG42727" s="52"/>
    </row>
    <row r="42756" spans="8:8" x14ac:dyDescent="0.2">
      <c r="H42756" s="52"/>
    </row>
    <row r="42818" spans="49:137" x14ac:dyDescent="0.2">
      <c r="AW42818" s="52"/>
      <c r="EG42818" s="52"/>
    </row>
    <row r="42845" spans="8:8" x14ac:dyDescent="0.2">
      <c r="H42845" s="52"/>
    </row>
    <row r="42909" spans="49:137" x14ac:dyDescent="0.2">
      <c r="AW42909" s="52"/>
      <c r="EG42909" s="52"/>
    </row>
    <row r="42934" spans="8:8" x14ac:dyDescent="0.2">
      <c r="H42934" s="52"/>
    </row>
    <row r="43000" spans="49:137" x14ac:dyDescent="0.2">
      <c r="AW43000" s="52"/>
      <c r="EG43000" s="52"/>
    </row>
    <row r="43023" spans="8:8" x14ac:dyDescent="0.2">
      <c r="H43023" s="52"/>
    </row>
    <row r="43091" spans="49:137" x14ac:dyDescent="0.2">
      <c r="AW43091" s="52"/>
      <c r="EG43091" s="52"/>
    </row>
    <row r="43112" spans="8:8" x14ac:dyDescent="0.2">
      <c r="H43112" s="52"/>
    </row>
    <row r="43182" spans="49:137" x14ac:dyDescent="0.2">
      <c r="AW43182" s="52"/>
      <c r="EG43182" s="52"/>
    </row>
    <row r="43201" spans="8:8" x14ac:dyDescent="0.2">
      <c r="H43201" s="52"/>
    </row>
    <row r="43273" spans="49:137" x14ac:dyDescent="0.2">
      <c r="AW43273" s="52"/>
      <c r="EG43273" s="52"/>
    </row>
    <row r="43292" spans="8:8" x14ac:dyDescent="0.2">
      <c r="H43292" s="52"/>
    </row>
    <row r="43364" spans="49:137" x14ac:dyDescent="0.2">
      <c r="AW43364" s="52"/>
      <c r="EG43364" s="52"/>
    </row>
    <row r="43381" spans="8:8" x14ac:dyDescent="0.2">
      <c r="H43381" s="52"/>
    </row>
    <row r="43455" spans="49:137" x14ac:dyDescent="0.2">
      <c r="AW43455" s="52"/>
      <c r="EG43455" s="52"/>
    </row>
    <row r="43470" spans="8:8" x14ac:dyDescent="0.2">
      <c r="H43470" s="52"/>
    </row>
    <row r="43546" spans="49:137" x14ac:dyDescent="0.2">
      <c r="AW43546" s="52"/>
      <c r="EG43546" s="52"/>
    </row>
    <row r="43559" spans="8:8" x14ac:dyDescent="0.2">
      <c r="H43559" s="52"/>
    </row>
    <row r="43637" spans="8:137" x14ac:dyDescent="0.2">
      <c r="AW43637" s="52"/>
      <c r="EG43637" s="52"/>
    </row>
    <row r="43648" spans="8:137" x14ac:dyDescent="0.2">
      <c r="H43648" s="52"/>
    </row>
    <row r="43728" spans="49:137" x14ac:dyDescent="0.2">
      <c r="AW43728" s="52"/>
      <c r="EG43728" s="52"/>
    </row>
    <row r="43737" spans="8:8" x14ac:dyDescent="0.2">
      <c r="H43737" s="52"/>
    </row>
    <row r="43819" spans="49:137" x14ac:dyDescent="0.2">
      <c r="AW43819" s="52"/>
      <c r="EG43819" s="52"/>
    </row>
    <row r="43826" spans="8:8" x14ac:dyDescent="0.2">
      <c r="H43826" s="52"/>
    </row>
    <row r="43910" spans="8:137" x14ac:dyDescent="0.2">
      <c r="AW43910" s="52"/>
      <c r="EG43910" s="52"/>
    </row>
    <row r="43915" spans="8:137" x14ac:dyDescent="0.2">
      <c r="H43915" s="52"/>
    </row>
    <row r="44001" spans="8:137" x14ac:dyDescent="0.2">
      <c r="AW44001" s="52"/>
      <c r="EG44001" s="52"/>
    </row>
    <row r="44004" spans="8:137" x14ac:dyDescent="0.2">
      <c r="H44004" s="52"/>
    </row>
    <row r="44092" spans="8:137" x14ac:dyDescent="0.2">
      <c r="AW44092" s="52"/>
      <c r="EG44092" s="52"/>
    </row>
    <row r="44093" spans="8:137" x14ac:dyDescent="0.2">
      <c r="H44093" s="52"/>
    </row>
    <row r="44182" spans="8:137" x14ac:dyDescent="0.2">
      <c r="H44182" s="52"/>
    </row>
    <row r="44183" spans="8:137" x14ac:dyDescent="0.2">
      <c r="AW44183" s="52"/>
      <c r="EG44183" s="52"/>
    </row>
    <row r="44271" spans="8:8" x14ac:dyDescent="0.2">
      <c r="H44271" s="52"/>
    </row>
    <row r="44274" spans="49:137" x14ac:dyDescent="0.2">
      <c r="AW44274" s="52"/>
      <c r="EG44274" s="52"/>
    </row>
    <row r="44360" spans="8:137" x14ac:dyDescent="0.2">
      <c r="H44360" s="52"/>
    </row>
    <row r="44365" spans="8:137" x14ac:dyDescent="0.2">
      <c r="AW44365" s="52"/>
      <c r="EG44365" s="52"/>
    </row>
    <row r="44449" spans="8:137" x14ac:dyDescent="0.2">
      <c r="H44449" s="52"/>
    </row>
    <row r="44456" spans="8:137" x14ac:dyDescent="0.2">
      <c r="AW44456" s="52"/>
      <c r="EG44456" s="52"/>
    </row>
    <row r="44538" spans="8:8" x14ac:dyDescent="0.2">
      <c r="H44538" s="52"/>
    </row>
    <row r="44547" spans="49:137" x14ac:dyDescent="0.2">
      <c r="AW44547" s="52"/>
      <c r="EG44547" s="52"/>
    </row>
    <row r="44627" spans="8:137" x14ac:dyDescent="0.2">
      <c r="H44627" s="52"/>
    </row>
    <row r="44638" spans="8:137" x14ac:dyDescent="0.2">
      <c r="AW44638" s="52"/>
      <c r="EG44638" s="52"/>
    </row>
    <row r="44716" spans="8:8" x14ac:dyDescent="0.2">
      <c r="H44716" s="52"/>
    </row>
    <row r="44729" spans="49:137" x14ac:dyDescent="0.2">
      <c r="AW44729" s="52"/>
      <c r="EG44729" s="52"/>
    </row>
    <row r="44805" spans="8:8" x14ac:dyDescent="0.2">
      <c r="H44805" s="52"/>
    </row>
    <row r="44820" spans="49:137" x14ac:dyDescent="0.2">
      <c r="AW44820" s="52"/>
      <c r="EG44820" s="52"/>
    </row>
    <row r="44894" spans="8:8" x14ac:dyDescent="0.2">
      <c r="H44894" s="52"/>
    </row>
    <row r="44911" spans="49:137" x14ac:dyDescent="0.2">
      <c r="AW44911" s="52"/>
      <c r="EG44911" s="52"/>
    </row>
    <row r="44983" spans="8:8" x14ac:dyDescent="0.2">
      <c r="H44983" s="52"/>
    </row>
    <row r="45002" spans="49:137" x14ac:dyDescent="0.2">
      <c r="AW45002" s="52"/>
      <c r="EG45002" s="52"/>
    </row>
    <row r="45072" spans="8:8" x14ac:dyDescent="0.2">
      <c r="H45072" s="52"/>
    </row>
    <row r="45093" spans="49:137" x14ac:dyDescent="0.2">
      <c r="AW45093" s="52"/>
      <c r="EG45093" s="52"/>
    </row>
    <row r="45161" spans="8:8" x14ac:dyDescent="0.2">
      <c r="H45161" s="52"/>
    </row>
    <row r="45184" spans="49:137" x14ac:dyDescent="0.2">
      <c r="AW45184" s="52"/>
      <c r="EG45184" s="52"/>
    </row>
    <row r="45250" spans="8:8" x14ac:dyDescent="0.2">
      <c r="H45250" s="52"/>
    </row>
    <row r="45275" spans="49:137" x14ac:dyDescent="0.2">
      <c r="AW45275" s="52"/>
      <c r="EG45275" s="52"/>
    </row>
    <row r="45339" spans="8:8" x14ac:dyDescent="0.2">
      <c r="H45339" s="52"/>
    </row>
    <row r="45366" spans="49:137" x14ac:dyDescent="0.2">
      <c r="AW45366" s="52"/>
      <c r="EG45366" s="52"/>
    </row>
    <row r="45428" spans="8:8" x14ac:dyDescent="0.2">
      <c r="H45428" s="52"/>
    </row>
    <row r="45457" spans="49:137" x14ac:dyDescent="0.2">
      <c r="AW45457" s="52"/>
      <c r="EG45457" s="52"/>
    </row>
    <row r="45517" spans="8:8" x14ac:dyDescent="0.2">
      <c r="H45517" s="52"/>
    </row>
    <row r="45548" spans="49:137" x14ac:dyDescent="0.2">
      <c r="AW45548" s="52"/>
      <c r="EG45548" s="52"/>
    </row>
    <row r="45606" spans="8:8" x14ac:dyDescent="0.2">
      <c r="H45606" s="52"/>
    </row>
    <row r="45639" spans="49:137" x14ac:dyDescent="0.2">
      <c r="AW45639" s="52"/>
      <c r="EG45639" s="52"/>
    </row>
    <row r="45695" spans="8:8" x14ac:dyDescent="0.2">
      <c r="H45695" s="52"/>
    </row>
    <row r="45730" spans="49:137" x14ac:dyDescent="0.2">
      <c r="AW45730" s="52"/>
      <c r="EG45730" s="52"/>
    </row>
    <row r="45784" spans="8:8" x14ac:dyDescent="0.2">
      <c r="H45784" s="52"/>
    </row>
    <row r="45821" spans="49:137" x14ac:dyDescent="0.2">
      <c r="AW45821" s="52"/>
      <c r="EG45821" s="52"/>
    </row>
    <row r="45875" spans="8:8" x14ac:dyDescent="0.2">
      <c r="H45875" s="52"/>
    </row>
    <row r="45912" spans="49:137" x14ac:dyDescent="0.2">
      <c r="AW45912" s="52"/>
      <c r="EG45912" s="52"/>
    </row>
    <row r="45964" spans="8:8" x14ac:dyDescent="0.2">
      <c r="H45964" s="52"/>
    </row>
    <row r="46003" spans="49:137" x14ac:dyDescent="0.2">
      <c r="AW46003" s="52"/>
      <c r="EG46003" s="52"/>
    </row>
    <row r="46053" spans="8:8" x14ac:dyDescent="0.2">
      <c r="H46053" s="52"/>
    </row>
    <row r="46094" spans="49:137" x14ac:dyDescent="0.2">
      <c r="AW46094" s="52"/>
      <c r="EG46094" s="52"/>
    </row>
    <row r="46142" spans="8:8" x14ac:dyDescent="0.2">
      <c r="H46142" s="52"/>
    </row>
    <row r="46185" spans="49:137" x14ac:dyDescent="0.2">
      <c r="AW46185" s="52"/>
      <c r="EG46185" s="52"/>
    </row>
    <row r="46231" spans="8:8" x14ac:dyDescent="0.2">
      <c r="H46231" s="52"/>
    </row>
    <row r="46276" spans="49:137" x14ac:dyDescent="0.2">
      <c r="AW46276" s="52"/>
      <c r="EG46276" s="52"/>
    </row>
    <row r="46320" spans="8:8" x14ac:dyDescent="0.2">
      <c r="H46320" s="52"/>
    </row>
    <row r="46367" spans="49:137" x14ac:dyDescent="0.2">
      <c r="AW46367" s="52"/>
      <c r="EG46367" s="52"/>
    </row>
    <row r="46409" spans="8:8" x14ac:dyDescent="0.2">
      <c r="H46409" s="52"/>
    </row>
    <row r="46458" spans="49:137" x14ac:dyDescent="0.2">
      <c r="AW46458" s="52"/>
      <c r="EG46458" s="52"/>
    </row>
    <row r="46498" spans="8:8" x14ac:dyDescent="0.2">
      <c r="H46498" s="52"/>
    </row>
    <row r="46549" spans="49:137" x14ac:dyDescent="0.2">
      <c r="AW46549" s="52"/>
      <c r="EG46549" s="52"/>
    </row>
    <row r="46587" spans="8:8" x14ac:dyDescent="0.2">
      <c r="H46587" s="52"/>
    </row>
    <row r="46640" spans="49:137" x14ac:dyDescent="0.2">
      <c r="AW46640" s="52"/>
      <c r="EG46640" s="52"/>
    </row>
    <row r="46676" spans="8:8" x14ac:dyDescent="0.2">
      <c r="H46676" s="52"/>
    </row>
    <row r="46731" spans="49:137" x14ac:dyDescent="0.2">
      <c r="AW46731" s="52"/>
      <c r="EG46731" s="52"/>
    </row>
    <row r="46765" spans="8:8" x14ac:dyDescent="0.2">
      <c r="H46765" s="52"/>
    </row>
    <row r="46822" spans="49:137" x14ac:dyDescent="0.2">
      <c r="AW46822" s="52"/>
      <c r="EG46822" s="52"/>
    </row>
    <row r="46854" spans="8:8" x14ac:dyDescent="0.2">
      <c r="H46854" s="52"/>
    </row>
    <row r="46911" spans="49:137" x14ac:dyDescent="0.2">
      <c r="AW46911" s="52"/>
      <c r="EG46911" s="52"/>
    </row>
    <row r="46943" spans="8:8" x14ac:dyDescent="0.2">
      <c r="H46943" s="52"/>
    </row>
    <row r="47000" spans="49:137" x14ac:dyDescent="0.2">
      <c r="AW47000" s="52"/>
      <c r="EG47000" s="52"/>
    </row>
    <row r="47032" spans="8:8" x14ac:dyDescent="0.2">
      <c r="H47032" s="52"/>
    </row>
    <row r="47089" spans="49:137" x14ac:dyDescent="0.2">
      <c r="AW47089" s="52"/>
      <c r="EG47089" s="52"/>
    </row>
    <row r="47121" spans="8:8" x14ac:dyDescent="0.2">
      <c r="H47121" s="52"/>
    </row>
    <row r="47174" spans="49:137" x14ac:dyDescent="0.2">
      <c r="AW47174" s="52"/>
      <c r="EG47174" s="52"/>
    </row>
    <row r="47210" spans="8:8" x14ac:dyDescent="0.2">
      <c r="H47210" s="52"/>
    </row>
    <row r="47265" spans="49:137" x14ac:dyDescent="0.2">
      <c r="AW47265" s="52"/>
      <c r="EG47265" s="52"/>
    </row>
    <row r="47299" spans="8:8" x14ac:dyDescent="0.2">
      <c r="H47299" s="52"/>
    </row>
    <row r="47354" spans="49:137" x14ac:dyDescent="0.2">
      <c r="AW47354" s="52"/>
      <c r="EG47354" s="52"/>
    </row>
    <row r="47388" spans="8:8" x14ac:dyDescent="0.2">
      <c r="H47388" s="52"/>
    </row>
    <row r="47443" spans="49:137" x14ac:dyDescent="0.2">
      <c r="AW47443" s="52"/>
      <c r="EG47443" s="52"/>
    </row>
    <row r="47477" spans="8:8" x14ac:dyDescent="0.2">
      <c r="H47477" s="52"/>
    </row>
    <row r="47528" spans="49:137" x14ac:dyDescent="0.2">
      <c r="AW47528" s="52"/>
      <c r="EG47528" s="52"/>
    </row>
    <row r="47566" spans="8:8" x14ac:dyDescent="0.2">
      <c r="H47566" s="52"/>
    </row>
    <row r="47619" spans="49:137" x14ac:dyDescent="0.2">
      <c r="AW47619" s="52"/>
      <c r="EG47619" s="52"/>
    </row>
    <row r="47655" spans="8:8" x14ac:dyDescent="0.2">
      <c r="H47655" s="52"/>
    </row>
    <row r="47708" spans="49:137" x14ac:dyDescent="0.2">
      <c r="AW47708" s="52"/>
      <c r="EG47708" s="52"/>
    </row>
    <row r="47744" spans="8:8" x14ac:dyDescent="0.2">
      <c r="H47744" s="52"/>
    </row>
    <row r="47797" spans="49:137" x14ac:dyDescent="0.2">
      <c r="AW47797" s="52"/>
      <c r="EG47797" s="52"/>
    </row>
    <row r="47833" spans="8:8" x14ac:dyDescent="0.2">
      <c r="H47833" s="52"/>
    </row>
    <row r="47882" spans="49:137" x14ac:dyDescent="0.2">
      <c r="AW47882" s="52"/>
      <c r="EG47882" s="52"/>
    </row>
    <row r="47922" spans="8:8" x14ac:dyDescent="0.2">
      <c r="H47922" s="52"/>
    </row>
    <row r="47966" spans="44:51" x14ac:dyDescent="0.2">
      <c r="AR47966" s="63"/>
      <c r="AW47966" s="63"/>
      <c r="AY47966" s="63"/>
    </row>
    <row r="47967" spans="44:51" x14ac:dyDescent="0.2">
      <c r="AU47967" s="63"/>
      <c r="AW47967" s="63"/>
    </row>
    <row r="47972" spans="43:137" x14ac:dyDescent="0.2">
      <c r="AW47972" s="52"/>
      <c r="EG47972" s="52"/>
    </row>
    <row r="47980" spans="43:137" x14ac:dyDescent="0.2">
      <c r="AQ47980" s="63"/>
      <c r="AV47980" s="63"/>
      <c r="AX47980" s="63"/>
    </row>
    <row r="47981" spans="43:137" x14ac:dyDescent="0.2">
      <c r="AU47981" s="63"/>
      <c r="AY47981" s="63"/>
    </row>
    <row r="47983" spans="43:137" x14ac:dyDescent="0.2">
      <c r="AQ47983" s="63"/>
      <c r="AV47983" s="63"/>
      <c r="AX47983" s="63"/>
    </row>
    <row r="47984" spans="43:137" x14ac:dyDescent="0.2">
      <c r="AU47984" s="63"/>
      <c r="AY47984" s="63"/>
    </row>
    <row r="47986" spans="43:51" x14ac:dyDescent="0.2">
      <c r="AQ47986" s="63"/>
      <c r="AV47986" s="63"/>
      <c r="AX47986" s="63"/>
    </row>
    <row r="47987" spans="43:51" x14ac:dyDescent="0.2">
      <c r="AU47987" s="63"/>
      <c r="AY47987" s="63"/>
    </row>
    <row r="48011" spans="8:8" x14ac:dyDescent="0.2">
      <c r="H48011" s="52"/>
    </row>
    <row r="48061" spans="49:137" x14ac:dyDescent="0.2">
      <c r="AW48061" s="52"/>
      <c r="EG48061" s="52"/>
    </row>
    <row r="48093" spans="47:50" x14ac:dyDescent="0.2">
      <c r="AV48093" s="63"/>
      <c r="AX48093" s="63"/>
    </row>
    <row r="48094" spans="47:50" x14ac:dyDescent="0.2">
      <c r="AU48094" s="63"/>
      <c r="AW48094" s="63"/>
    </row>
    <row r="48096" spans="47:50" x14ac:dyDescent="0.2">
      <c r="AV48096" s="63"/>
      <c r="AX48096" s="63"/>
    </row>
    <row r="48097" spans="8:51" x14ac:dyDescent="0.2">
      <c r="AU48097" s="63"/>
      <c r="AY48097" s="63"/>
    </row>
    <row r="48099" spans="8:51" x14ac:dyDescent="0.2">
      <c r="AW48099" s="63"/>
      <c r="AY48099" s="63"/>
    </row>
    <row r="48100" spans="8:51" x14ac:dyDescent="0.2">
      <c r="H48100" s="52"/>
      <c r="AU48100" s="63"/>
      <c r="AW48100" s="63"/>
    </row>
    <row r="48150" spans="49:137" x14ac:dyDescent="0.2">
      <c r="AW48150" s="52"/>
      <c r="EG48150" s="52"/>
    </row>
    <row r="48189" spans="8:8" x14ac:dyDescent="0.2">
      <c r="H48189" s="52"/>
    </row>
    <row r="48239" spans="49:137" x14ac:dyDescent="0.2">
      <c r="AW48239" s="52"/>
      <c r="EG48239" s="52"/>
    </row>
    <row r="48278" spans="8:8" x14ac:dyDescent="0.2">
      <c r="H48278" s="52"/>
    </row>
    <row r="48328" spans="49:137" x14ac:dyDescent="0.2">
      <c r="AW48328" s="52"/>
      <c r="EG48328" s="52"/>
    </row>
    <row r="48367" spans="8:8" x14ac:dyDescent="0.2">
      <c r="H48367" s="52"/>
    </row>
    <row r="48417" spans="49:137" x14ac:dyDescent="0.2">
      <c r="AW48417" s="52"/>
      <c r="EG48417" s="52"/>
    </row>
    <row r="48458" spans="8:8" x14ac:dyDescent="0.2">
      <c r="H48458" s="52"/>
    </row>
    <row r="48506" spans="49:137" x14ac:dyDescent="0.2">
      <c r="AW48506" s="52"/>
      <c r="EG48506" s="52"/>
    </row>
    <row r="48595" spans="49:137" x14ac:dyDescent="0.2">
      <c r="AW48595" s="52"/>
      <c r="EG48595" s="52"/>
    </row>
    <row r="48686" spans="49:137" x14ac:dyDescent="0.2">
      <c r="AW48686" s="52"/>
      <c r="EG48686" s="52"/>
    </row>
    <row r="48775" spans="49:137" x14ac:dyDescent="0.2">
      <c r="AW48775" s="52"/>
      <c r="EG48775" s="52"/>
    </row>
    <row r="48864" spans="49:137" x14ac:dyDescent="0.2">
      <c r="AW48864" s="52"/>
      <c r="EG48864" s="52"/>
    </row>
    <row r="48953" spans="49:137" x14ac:dyDescent="0.2">
      <c r="AW48953" s="52"/>
      <c r="EG48953" s="52"/>
    </row>
    <row r="49042" spans="49:137" x14ac:dyDescent="0.2">
      <c r="AW49042" s="52"/>
      <c r="EG49042" s="52"/>
    </row>
    <row r="49131" spans="49:137" x14ac:dyDescent="0.2">
      <c r="AW49131" s="52"/>
      <c r="EG49131" s="52"/>
    </row>
    <row r="49220" spans="49:137" x14ac:dyDescent="0.2">
      <c r="AW49220" s="52"/>
      <c r="EG49220" s="52"/>
    </row>
    <row r="49311" spans="49:137" x14ac:dyDescent="0.2">
      <c r="AW49311" s="52"/>
      <c r="EG49311" s="52"/>
    </row>
    <row r="49400" spans="49:137" x14ac:dyDescent="0.2">
      <c r="AW49400" s="52"/>
      <c r="EG49400" s="52"/>
    </row>
    <row r="49489" spans="49:137" x14ac:dyDescent="0.2">
      <c r="AW49489" s="52"/>
      <c r="EG49489" s="52"/>
    </row>
    <row r="49578" spans="49:137" x14ac:dyDescent="0.2">
      <c r="AW49578" s="52"/>
      <c r="EG49578" s="52"/>
    </row>
    <row r="49667" spans="49:137" x14ac:dyDescent="0.2">
      <c r="AW49667" s="52"/>
      <c r="EG49667" s="52"/>
    </row>
    <row r="49756" spans="49:137" x14ac:dyDescent="0.2">
      <c r="AW49756" s="52"/>
      <c r="EG49756" s="52"/>
    </row>
    <row r="49845" spans="49:137" x14ac:dyDescent="0.2">
      <c r="AW49845" s="52"/>
      <c r="EG49845" s="52"/>
    </row>
    <row r="49936" spans="49:137" x14ac:dyDescent="0.2">
      <c r="AW49936" s="52"/>
      <c r="EG49936" s="52"/>
    </row>
    <row r="50025" spans="49:137" x14ac:dyDescent="0.2">
      <c r="AW50025" s="52"/>
      <c r="EG50025" s="52"/>
    </row>
    <row r="50114" spans="49:137" x14ac:dyDescent="0.2">
      <c r="AW50114" s="52"/>
      <c r="EG50114" s="52"/>
    </row>
    <row r="50203" spans="49:137" x14ac:dyDescent="0.2">
      <c r="AW50203" s="52"/>
      <c r="EG50203" s="52"/>
    </row>
    <row r="50292" spans="49:137" x14ac:dyDescent="0.2">
      <c r="AW50292" s="52"/>
      <c r="EG50292" s="52"/>
    </row>
    <row r="50381" spans="49:137" x14ac:dyDescent="0.2">
      <c r="AW50381" s="52"/>
      <c r="EG50381" s="52"/>
    </row>
    <row r="50470" spans="49:137" x14ac:dyDescent="0.2">
      <c r="AW50470" s="52"/>
      <c r="EG50470" s="52"/>
    </row>
    <row r="50561" spans="49:137" x14ac:dyDescent="0.2">
      <c r="AW50561" s="52"/>
      <c r="EG50561" s="52"/>
    </row>
    <row r="50650" spans="49:137" x14ac:dyDescent="0.2">
      <c r="AW50650" s="52"/>
      <c r="EG50650" s="52"/>
    </row>
    <row r="50739" spans="49:137" x14ac:dyDescent="0.2">
      <c r="AW50739" s="52"/>
      <c r="EG50739" s="52"/>
    </row>
    <row r="50828" spans="49:137" x14ac:dyDescent="0.2">
      <c r="AW50828" s="52"/>
      <c r="EG50828" s="52"/>
    </row>
    <row r="50917" spans="49:137" x14ac:dyDescent="0.2">
      <c r="AW50917" s="52"/>
      <c r="EG50917" s="52"/>
    </row>
    <row r="51006" spans="49:137" x14ac:dyDescent="0.2">
      <c r="AW51006" s="52"/>
      <c r="EG51006" s="52"/>
    </row>
    <row r="51095" spans="49:137" x14ac:dyDescent="0.2">
      <c r="AW51095" s="52"/>
      <c r="EG51095" s="52"/>
    </row>
    <row r="51184" spans="49:137" x14ac:dyDescent="0.2">
      <c r="AW51184" s="52"/>
      <c r="EG51184" s="52"/>
    </row>
    <row r="51273" spans="49:137" x14ac:dyDescent="0.2">
      <c r="AW51273" s="52"/>
      <c r="EG51273" s="52"/>
    </row>
    <row r="51362" spans="49:137" x14ac:dyDescent="0.2">
      <c r="AW51362" s="52"/>
      <c r="EG51362" s="52"/>
    </row>
    <row r="51451" spans="49:137" x14ac:dyDescent="0.2">
      <c r="AW51451" s="52"/>
      <c r="EG51451" s="52"/>
    </row>
    <row r="51540" spans="49:137" x14ac:dyDescent="0.2">
      <c r="AW51540" s="52"/>
      <c r="EG51540" s="52"/>
    </row>
    <row r="51629" spans="49:137" x14ac:dyDescent="0.2">
      <c r="AW51629" s="52"/>
      <c r="EG51629" s="52"/>
    </row>
    <row r="51720" spans="49:137" x14ac:dyDescent="0.2">
      <c r="AW51720" s="52"/>
      <c r="EG51720" s="52"/>
    </row>
    <row r="51809" spans="49:137" x14ac:dyDescent="0.2">
      <c r="AW51809" s="52"/>
      <c r="EG51809" s="52"/>
    </row>
    <row r="51898" spans="49:137" x14ac:dyDescent="0.2">
      <c r="AW51898" s="52"/>
      <c r="EG51898" s="52"/>
    </row>
    <row r="51987" spans="49:137" x14ac:dyDescent="0.2">
      <c r="AW51987" s="52"/>
      <c r="EG51987" s="52"/>
    </row>
    <row r="52076" spans="49:137" x14ac:dyDescent="0.2">
      <c r="AW52076" s="52"/>
      <c r="EG52076" s="52"/>
    </row>
    <row r="52167" spans="49:137" x14ac:dyDescent="0.2">
      <c r="AW52167" s="52"/>
      <c r="EG52167" s="52"/>
    </row>
    <row r="52256" spans="49:137" x14ac:dyDescent="0.2">
      <c r="AW52256" s="52"/>
      <c r="EG52256" s="52"/>
    </row>
    <row r="52345" spans="49:137" x14ac:dyDescent="0.2">
      <c r="AW52345" s="52"/>
      <c r="EG52345" s="52"/>
    </row>
    <row r="52436" spans="49:137" x14ac:dyDescent="0.2">
      <c r="AW52436" s="52"/>
      <c r="EG52436" s="52"/>
    </row>
    <row r="52525" spans="49:137" x14ac:dyDescent="0.2">
      <c r="AW52525" s="52"/>
      <c r="EG52525" s="52"/>
    </row>
    <row r="52614" spans="49:137" x14ac:dyDescent="0.2">
      <c r="AW52614" s="52"/>
      <c r="EG52614" s="52"/>
    </row>
    <row r="52703" spans="49:137" x14ac:dyDescent="0.2">
      <c r="AW52703" s="52"/>
      <c r="EG52703" s="52"/>
    </row>
    <row r="52792" spans="49:137" x14ac:dyDescent="0.2">
      <c r="AW52792" s="52"/>
      <c r="EG52792" s="52"/>
    </row>
    <row r="52881" spans="49:137" x14ac:dyDescent="0.2">
      <c r="AW52881" s="52"/>
      <c r="EG52881" s="52"/>
    </row>
    <row r="52970" spans="49:137" x14ac:dyDescent="0.2">
      <c r="AW52970" s="52"/>
      <c r="EG52970" s="52"/>
    </row>
    <row r="53061" spans="49:137" x14ac:dyDescent="0.2">
      <c r="AW53061" s="52"/>
      <c r="EG53061" s="52"/>
    </row>
    <row r="53150" spans="49:137" x14ac:dyDescent="0.2">
      <c r="AW53150" s="52"/>
      <c r="EG53150" s="52"/>
    </row>
    <row r="53239" spans="49:137" x14ac:dyDescent="0.2">
      <c r="AW53239" s="52"/>
      <c r="EG53239" s="52"/>
    </row>
    <row r="53328" spans="49:137" x14ac:dyDescent="0.2">
      <c r="AW53328" s="52"/>
      <c r="EG53328" s="52"/>
    </row>
    <row r="53417" spans="49:137" x14ac:dyDescent="0.2">
      <c r="AW53417" s="52"/>
      <c r="EG53417" s="52"/>
    </row>
    <row r="53506" spans="49:137" x14ac:dyDescent="0.2">
      <c r="AW53506" s="52"/>
      <c r="EG53506" s="52"/>
    </row>
    <row r="53595" spans="49:137" x14ac:dyDescent="0.2">
      <c r="AW53595" s="52"/>
      <c r="EG53595" s="52"/>
    </row>
    <row r="53686" spans="49:137" x14ac:dyDescent="0.2">
      <c r="AW53686" s="52"/>
      <c r="EG53686" s="52"/>
    </row>
    <row r="53775" spans="49:137" x14ac:dyDescent="0.2">
      <c r="AW53775" s="52"/>
      <c r="EG53775" s="52"/>
    </row>
    <row r="53864" spans="49:137" x14ac:dyDescent="0.2">
      <c r="AW53864" s="52"/>
      <c r="EG53864" s="52"/>
    </row>
    <row r="53953" spans="49:137" x14ac:dyDescent="0.2">
      <c r="AW53953" s="52"/>
      <c r="EG53953" s="52"/>
    </row>
    <row r="54042" spans="49:137" x14ac:dyDescent="0.2">
      <c r="AW54042" s="52"/>
      <c r="EG54042" s="52"/>
    </row>
    <row r="54131" spans="49:137" x14ac:dyDescent="0.2">
      <c r="AW54131" s="52"/>
      <c r="EG54131" s="52"/>
    </row>
    <row r="54220" spans="49:137" x14ac:dyDescent="0.2">
      <c r="AW54220" s="52"/>
      <c r="EG54220" s="52"/>
    </row>
    <row r="54311" spans="49:137" x14ac:dyDescent="0.2">
      <c r="AW54311" s="52"/>
      <c r="EG54311" s="52"/>
    </row>
    <row r="54400" spans="49:137" x14ac:dyDescent="0.2">
      <c r="AW54400" s="52"/>
      <c r="EG54400" s="52"/>
    </row>
    <row r="54489" spans="49:137" x14ac:dyDescent="0.2">
      <c r="AW54489" s="52"/>
      <c r="EG54489" s="52"/>
    </row>
    <row r="54578" spans="49:137" x14ac:dyDescent="0.2">
      <c r="AW54578" s="52"/>
      <c r="EG54578" s="52"/>
    </row>
    <row r="54667" spans="49:137" x14ac:dyDescent="0.2">
      <c r="AW54667" s="52"/>
      <c r="EG54667" s="52"/>
    </row>
    <row r="54756" spans="49:137" x14ac:dyDescent="0.2">
      <c r="AW54756" s="52"/>
      <c r="EG54756" s="52"/>
    </row>
    <row r="54845" spans="49:137" x14ac:dyDescent="0.2">
      <c r="AW54845" s="52"/>
      <c r="EG54845" s="52"/>
    </row>
    <row r="54934" spans="49:137" x14ac:dyDescent="0.2">
      <c r="AW54934" s="52"/>
      <c r="EG54934" s="52"/>
    </row>
    <row r="55025" spans="49:137" x14ac:dyDescent="0.2">
      <c r="AW55025" s="52"/>
      <c r="EG55025" s="52"/>
    </row>
    <row r="55114" spans="49:137" x14ac:dyDescent="0.2">
      <c r="AW55114" s="52"/>
      <c r="EG55114" s="52"/>
    </row>
    <row r="55203" spans="49:137" x14ac:dyDescent="0.2">
      <c r="AW55203" s="52"/>
      <c r="EG55203" s="52"/>
    </row>
    <row r="55292" spans="49:137" x14ac:dyDescent="0.2">
      <c r="AW55292" s="52"/>
      <c r="EG55292" s="52"/>
    </row>
    <row r="55381" spans="49:137" x14ac:dyDescent="0.2">
      <c r="AW55381" s="52"/>
      <c r="EG55381" s="52"/>
    </row>
    <row r="55470" spans="49:137" x14ac:dyDescent="0.2">
      <c r="AW55470" s="52"/>
      <c r="EG55470" s="52"/>
    </row>
    <row r="55559" spans="49:137" x14ac:dyDescent="0.2">
      <c r="AW55559" s="52"/>
      <c r="EG55559" s="52"/>
    </row>
    <row r="55650" spans="49:137" x14ac:dyDescent="0.2">
      <c r="AW55650" s="52"/>
      <c r="EG55650" s="52"/>
    </row>
    <row r="55739" spans="49:137" x14ac:dyDescent="0.2">
      <c r="AW55739" s="52"/>
      <c r="EG55739" s="52"/>
    </row>
    <row r="55828" spans="49:137" x14ac:dyDescent="0.2">
      <c r="AW55828" s="52"/>
      <c r="EG55828" s="52"/>
    </row>
    <row r="55917" spans="49:137" x14ac:dyDescent="0.2">
      <c r="AW55917" s="52"/>
      <c r="EG55917" s="52"/>
    </row>
    <row r="56006" spans="49:137" x14ac:dyDescent="0.2">
      <c r="AW56006" s="52"/>
      <c r="EG56006" s="52"/>
    </row>
    <row r="56095" spans="49:137" x14ac:dyDescent="0.2">
      <c r="AW56095" s="52"/>
      <c r="EG56095" s="52"/>
    </row>
    <row r="56184" spans="49:137" x14ac:dyDescent="0.2">
      <c r="AW56184" s="52"/>
      <c r="EG56184" s="52"/>
    </row>
    <row r="56275" spans="49:137" x14ac:dyDescent="0.2">
      <c r="AW56275" s="52"/>
      <c r="EG56275" s="52"/>
    </row>
    <row r="56364" spans="49:137" x14ac:dyDescent="0.2">
      <c r="AW56364" s="52"/>
      <c r="EG56364" s="52"/>
    </row>
    <row r="56453" spans="49:137" x14ac:dyDescent="0.2">
      <c r="AW56453" s="52"/>
      <c r="EG56453" s="52"/>
    </row>
    <row r="56544" spans="49:137" x14ac:dyDescent="0.2">
      <c r="AW56544" s="52"/>
      <c r="EG56544" s="52"/>
    </row>
    <row r="56633" spans="49:137" x14ac:dyDescent="0.2">
      <c r="AW56633" s="52"/>
      <c r="EG56633" s="52"/>
    </row>
    <row r="56722" spans="49:137" x14ac:dyDescent="0.2">
      <c r="AW56722" s="52"/>
      <c r="EG56722" s="52"/>
    </row>
    <row r="56811" spans="49:137" x14ac:dyDescent="0.2">
      <c r="AW56811" s="52"/>
      <c r="EG56811" s="52"/>
    </row>
    <row r="56900" spans="49:137" x14ac:dyDescent="0.2">
      <c r="AW56900" s="52"/>
      <c r="EG56900" s="52"/>
    </row>
    <row r="56989" spans="49:137" x14ac:dyDescent="0.2">
      <c r="AW56989" s="52"/>
      <c r="EG56989" s="52"/>
    </row>
    <row r="57078" spans="49:137" x14ac:dyDescent="0.2">
      <c r="AW57078" s="52"/>
      <c r="EG57078" s="52"/>
    </row>
    <row r="57169" spans="49:137" x14ac:dyDescent="0.2">
      <c r="AW57169" s="52"/>
      <c r="EG57169" s="52"/>
    </row>
    <row r="57258" spans="49:137" x14ac:dyDescent="0.2">
      <c r="AW57258" s="52"/>
      <c r="EG57258" s="52"/>
    </row>
    <row r="57347" spans="49:137" x14ac:dyDescent="0.2">
      <c r="AW57347" s="52"/>
      <c r="EG57347" s="52"/>
    </row>
    <row r="57438" spans="49:137" x14ac:dyDescent="0.2">
      <c r="AW57438" s="52"/>
      <c r="EG57438" s="52"/>
    </row>
    <row r="57527" spans="49:137" x14ac:dyDescent="0.2">
      <c r="AW57527" s="52"/>
      <c r="EG57527" s="52"/>
    </row>
    <row r="57616" spans="49:137" x14ac:dyDescent="0.2">
      <c r="AW57616" s="52"/>
      <c r="EG57616" s="52"/>
    </row>
    <row r="57707" spans="49:137" x14ac:dyDescent="0.2">
      <c r="AW57707" s="52"/>
      <c r="EG57707" s="52"/>
    </row>
    <row r="57796" spans="49:137" x14ac:dyDescent="0.2">
      <c r="AW57796" s="52"/>
      <c r="EG57796" s="52"/>
    </row>
    <row r="57885" spans="49:137" x14ac:dyDescent="0.2">
      <c r="AW57885" s="52"/>
      <c r="EG57885" s="52"/>
    </row>
    <row r="57974" spans="49:137" x14ac:dyDescent="0.2">
      <c r="AW57974" s="52"/>
      <c r="EG57974" s="52"/>
    </row>
    <row r="58063" spans="49:137" x14ac:dyDescent="0.2">
      <c r="AW58063" s="52"/>
      <c r="EG58063" s="52"/>
    </row>
    <row r="58152" spans="49:137" x14ac:dyDescent="0.2">
      <c r="AW58152" s="52"/>
      <c r="EG58152" s="52"/>
    </row>
    <row r="58241" spans="49:137" x14ac:dyDescent="0.2">
      <c r="AW58241" s="52"/>
      <c r="EG58241" s="52"/>
    </row>
    <row r="58332" spans="49:137" x14ac:dyDescent="0.2">
      <c r="AW58332" s="52"/>
      <c r="EG58332" s="52"/>
    </row>
    <row r="58421" spans="49:137" x14ac:dyDescent="0.2">
      <c r="AW58421" s="52"/>
      <c r="EG58421" s="52"/>
    </row>
    <row r="58510" spans="49:137" x14ac:dyDescent="0.2">
      <c r="AW58510" s="52"/>
      <c r="EG58510" s="52"/>
    </row>
    <row r="58599" spans="49:137" x14ac:dyDescent="0.2">
      <c r="AW58599" s="52"/>
      <c r="EG58599" s="52"/>
    </row>
    <row r="58688" spans="49:137" x14ac:dyDescent="0.2">
      <c r="AW58688" s="52"/>
      <c r="EG58688" s="52"/>
    </row>
    <row r="58777" spans="49:137" x14ac:dyDescent="0.2">
      <c r="AW58777" s="52"/>
      <c r="EG58777" s="52"/>
    </row>
    <row r="58866" spans="49:137" x14ac:dyDescent="0.2">
      <c r="AW58866" s="52"/>
      <c r="EG58866" s="52"/>
    </row>
    <row r="58955" spans="49:137" x14ac:dyDescent="0.2">
      <c r="AW58955" s="52"/>
      <c r="EG58955" s="52"/>
    </row>
    <row r="59046" spans="49:137" x14ac:dyDescent="0.2">
      <c r="AW59046" s="52"/>
      <c r="EG59046" s="52"/>
    </row>
    <row r="59135" spans="49:137" x14ac:dyDescent="0.2">
      <c r="AW59135" s="52"/>
      <c r="EG59135" s="52"/>
    </row>
    <row r="59224" spans="49:137" x14ac:dyDescent="0.2">
      <c r="AW59224" s="52"/>
      <c r="EG59224" s="52"/>
    </row>
    <row r="59313" spans="49:137" x14ac:dyDescent="0.2">
      <c r="AW59313" s="52"/>
      <c r="EG59313" s="52"/>
    </row>
    <row r="59402" spans="49:137" x14ac:dyDescent="0.2">
      <c r="AW59402" s="52"/>
      <c r="EG59402" s="52"/>
    </row>
    <row r="59491" spans="49:137" x14ac:dyDescent="0.2">
      <c r="AW59491" s="52"/>
      <c r="EG59491" s="52"/>
    </row>
    <row r="59580" spans="49:137" x14ac:dyDescent="0.2">
      <c r="AW59580" s="52"/>
      <c r="EG59580" s="52"/>
    </row>
    <row r="59671" spans="49:137" x14ac:dyDescent="0.2">
      <c r="AW59671" s="52"/>
      <c r="EG59671" s="52"/>
    </row>
    <row r="59760" spans="49:137" x14ac:dyDescent="0.2">
      <c r="AW59760" s="52"/>
      <c r="EG59760" s="52"/>
    </row>
    <row r="59849" spans="49:137" x14ac:dyDescent="0.2">
      <c r="AW59849" s="52"/>
      <c r="EG59849" s="52"/>
    </row>
    <row r="59938" spans="49:137" x14ac:dyDescent="0.2">
      <c r="AW59938" s="52"/>
      <c r="EG59938" s="52"/>
    </row>
    <row r="60027" spans="49:137" x14ac:dyDescent="0.2">
      <c r="AW60027" s="52"/>
      <c r="EG60027" s="52"/>
    </row>
    <row r="60116" spans="49:137" x14ac:dyDescent="0.2">
      <c r="AW60116" s="52"/>
      <c r="EG60116" s="52"/>
    </row>
    <row r="60205" spans="49:137" x14ac:dyDescent="0.2">
      <c r="AW60205" s="52"/>
      <c r="EG60205" s="52"/>
    </row>
    <row r="60296" spans="49:137" x14ac:dyDescent="0.2">
      <c r="AW60296" s="52"/>
      <c r="EG60296" s="52"/>
    </row>
    <row r="60385" spans="49:137" x14ac:dyDescent="0.2">
      <c r="AW60385" s="52"/>
      <c r="EG60385" s="52"/>
    </row>
    <row r="60474" spans="49:137" x14ac:dyDescent="0.2">
      <c r="AW60474" s="52"/>
      <c r="EG60474" s="52"/>
    </row>
    <row r="60563" spans="49:137" x14ac:dyDescent="0.2">
      <c r="AW60563" s="52"/>
      <c r="EG60563" s="52"/>
    </row>
    <row r="60646" spans="49:137" x14ac:dyDescent="0.2">
      <c r="AW60646" s="52"/>
      <c r="EG60646" s="52"/>
    </row>
    <row r="60735" spans="49:137" x14ac:dyDescent="0.2">
      <c r="AW60735" s="52"/>
      <c r="EG60735" s="52"/>
    </row>
    <row r="60824" spans="49:137" x14ac:dyDescent="0.2">
      <c r="AW60824" s="52"/>
      <c r="EG60824" s="52"/>
    </row>
    <row r="60913" spans="49:137" x14ac:dyDescent="0.2">
      <c r="AW60913" s="52"/>
      <c r="EG60913" s="52"/>
    </row>
    <row r="61002" spans="49:137" x14ac:dyDescent="0.2">
      <c r="AW61002" s="52"/>
      <c r="EG61002" s="52"/>
    </row>
    <row r="61091" spans="49:137" x14ac:dyDescent="0.2">
      <c r="AW61091" s="52"/>
      <c r="EG61091" s="52"/>
    </row>
    <row r="61180" spans="49:137" x14ac:dyDescent="0.2">
      <c r="AW61180" s="52"/>
      <c r="EG61180" s="52"/>
    </row>
    <row r="61269" spans="49:137" x14ac:dyDescent="0.2">
      <c r="AW61269" s="52"/>
      <c r="EG61269" s="52"/>
    </row>
    <row r="61360" spans="49:137" x14ac:dyDescent="0.2">
      <c r="AW61360" s="52"/>
      <c r="EG61360" s="52"/>
    </row>
    <row r="61449" spans="49:137" x14ac:dyDescent="0.2">
      <c r="AW61449" s="52"/>
      <c r="EG61449" s="52"/>
    </row>
    <row r="61538" spans="49:137" x14ac:dyDescent="0.2">
      <c r="AW61538" s="52"/>
      <c r="EG61538" s="52"/>
    </row>
    <row r="61627" spans="49:137" x14ac:dyDescent="0.2">
      <c r="AW61627" s="52"/>
      <c r="EG61627" s="52"/>
    </row>
    <row r="61716" spans="49:137" x14ac:dyDescent="0.2">
      <c r="AW61716" s="52"/>
      <c r="EG61716" s="52"/>
    </row>
    <row r="61805" spans="49:137" x14ac:dyDescent="0.2">
      <c r="AW61805" s="52"/>
      <c r="EG61805" s="52"/>
    </row>
    <row r="61894" spans="49:137" x14ac:dyDescent="0.2">
      <c r="AW61894" s="52"/>
      <c r="EG61894" s="52"/>
    </row>
    <row r="61985" spans="49:137" x14ac:dyDescent="0.2">
      <c r="AW61985" s="52"/>
      <c r="EG61985" s="52"/>
    </row>
    <row r="62074" spans="49:137" x14ac:dyDescent="0.2">
      <c r="AW62074" s="52"/>
      <c r="EG62074" s="52"/>
    </row>
    <row r="62163" spans="49:137" x14ac:dyDescent="0.2">
      <c r="AW62163" s="52"/>
      <c r="EG62163" s="52"/>
    </row>
    <row r="62252" spans="49:137" x14ac:dyDescent="0.2">
      <c r="AW62252" s="52"/>
      <c r="EG62252" s="52"/>
    </row>
    <row r="62341" spans="49:137" x14ac:dyDescent="0.2">
      <c r="AW62341" s="52"/>
      <c r="EG62341" s="52"/>
    </row>
    <row r="62430" spans="49:137" x14ac:dyDescent="0.2">
      <c r="AW62430" s="52"/>
      <c r="EG62430" s="52"/>
    </row>
    <row r="62519" spans="49:137" x14ac:dyDescent="0.2">
      <c r="AW62519" s="52"/>
      <c r="EG62519" s="52"/>
    </row>
    <row r="62610" spans="49:137" x14ac:dyDescent="0.2">
      <c r="AW62610" s="52"/>
      <c r="EG62610" s="52"/>
    </row>
    <row r="62699" spans="49:137" x14ac:dyDescent="0.2">
      <c r="AW62699" s="52"/>
      <c r="EG62699" s="52"/>
    </row>
    <row r="62788" spans="49:137" x14ac:dyDescent="0.2">
      <c r="AW62788" s="52"/>
      <c r="EG62788" s="52"/>
    </row>
    <row r="62879" spans="49:137" x14ac:dyDescent="0.2">
      <c r="AW62879" s="52"/>
      <c r="EG62879" s="52"/>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49" t="s">
        <v>2086</v>
      </c>
      <c r="D1" s="49" t="s">
        <v>511</v>
      </c>
    </row>
    <row r="2" spans="1:5" ht="14.25" x14ac:dyDescent="0.25">
      <c r="A2" s="77" t="s">
        <v>2087</v>
      </c>
      <c r="B2">
        <v>0.9</v>
      </c>
      <c r="C2">
        <v>0.9</v>
      </c>
      <c r="D2" s="77" t="s">
        <v>2088</v>
      </c>
      <c r="E2">
        <v>2</v>
      </c>
    </row>
    <row r="3" spans="1:5" ht="14.25" x14ac:dyDescent="0.25">
      <c r="A3" s="77" t="s">
        <v>2089</v>
      </c>
      <c r="B3">
        <v>0.9</v>
      </c>
      <c r="C3">
        <v>0.9</v>
      </c>
      <c r="D3" s="49" t="s">
        <v>2090</v>
      </c>
      <c r="E3">
        <f>4/3</f>
        <v>1.3333333333333333</v>
      </c>
    </row>
    <row r="4" spans="1:5" ht="15.75" x14ac:dyDescent="0.3">
      <c r="A4" s="49" t="s">
        <v>2091</v>
      </c>
      <c r="B4">
        <v>0.9</v>
      </c>
    </row>
    <row r="5" spans="1:5" ht="15.75" x14ac:dyDescent="0.3">
      <c r="A5" s="49" t="s">
        <v>2092</v>
      </c>
      <c r="B5">
        <v>0.75</v>
      </c>
    </row>
    <row r="6" spans="1:5" ht="15.75" x14ac:dyDescent="0.3">
      <c r="A6" s="49" t="s">
        <v>2093</v>
      </c>
      <c r="B6">
        <v>0.9</v>
      </c>
    </row>
    <row r="7" spans="1:5" ht="15.75" x14ac:dyDescent="0.3">
      <c r="A7" s="49" t="s">
        <v>2094</v>
      </c>
      <c r="B7">
        <v>0.75</v>
      </c>
    </row>
    <row r="8" spans="1:5" ht="15.75" x14ac:dyDescent="0.3">
      <c r="A8" s="49" t="s">
        <v>2095</v>
      </c>
      <c r="B8">
        <v>0.8</v>
      </c>
    </row>
    <row r="9" spans="1:5" ht="15.75" x14ac:dyDescent="0.3">
      <c r="A9" s="49" t="s">
        <v>2096</v>
      </c>
      <c r="B9">
        <v>0.75</v>
      </c>
    </row>
    <row r="10" spans="1:5" ht="15.75" x14ac:dyDescent="0.3">
      <c r="A10" s="49" t="s">
        <v>2097</v>
      </c>
      <c r="B10">
        <v>0.8</v>
      </c>
    </row>
    <row r="11" spans="1:5" ht="15.75" x14ac:dyDescent="0.3">
      <c r="A11" s="49" t="s">
        <v>2098</v>
      </c>
      <c r="B11">
        <v>1</v>
      </c>
    </row>
    <row r="12" spans="1:5" ht="15.75" x14ac:dyDescent="0.3">
      <c r="A12" s="49" t="s">
        <v>2099</v>
      </c>
      <c r="B12">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16"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139" t="s">
        <v>2100</v>
      </c>
    </row>
    <row r="6" spans="15:39" x14ac:dyDescent="0.2">
      <c r="O6" s="138" t="s">
        <v>759</v>
      </c>
      <c r="P6" s="138" t="s">
        <v>2101</v>
      </c>
      <c r="Q6" s="138" t="s">
        <v>2102</v>
      </c>
      <c r="R6" s="138" t="s">
        <v>299</v>
      </c>
      <c r="S6" s="138" t="s">
        <v>2103</v>
      </c>
      <c r="T6" s="138" t="s">
        <v>703</v>
      </c>
      <c r="U6" s="138" t="s">
        <v>2104</v>
      </c>
      <c r="V6" s="138" t="s">
        <v>2105</v>
      </c>
    </row>
    <row r="7" spans="15:39" x14ac:dyDescent="0.2">
      <c r="O7" s="28">
        <f>Calculations!D4</f>
        <v>0</v>
      </c>
      <c r="P7" s="28" t="e">
        <f>Calculations!D8</f>
        <v>#N/A</v>
      </c>
      <c r="Q7" s="28" t="e">
        <f>Calculations!D9</f>
        <v>#N/A</v>
      </c>
      <c r="R7" s="28" t="e">
        <f>Calculations!D10</f>
        <v>#N/A</v>
      </c>
      <c r="S7" s="28" t="e">
        <f>Calculations!D9-2*Calculations!D10</f>
        <v>#N/A</v>
      </c>
      <c r="T7" s="28">
        <f>Calculations!D5</f>
        <v>0</v>
      </c>
      <c r="U7" s="28" t="e">
        <f>Calculations!F17</f>
        <v>#N/A</v>
      </c>
      <c r="V7" s="28" t="e">
        <f>IF(P7=0,Q7,Q7/COS(RADIANS(180/P7)))</f>
        <v>#N/A</v>
      </c>
    </row>
    <row r="11" spans="15:39" x14ac:dyDescent="0.2">
      <c r="O11" s="139" t="s">
        <v>2106</v>
      </c>
      <c r="AA11" s="6"/>
      <c r="AC11" s="6"/>
      <c r="AI11" s="663" t="s">
        <v>2107</v>
      </c>
      <c r="AJ11" s="663"/>
      <c r="AK11" s="663"/>
      <c r="AL11" s="663"/>
      <c r="AM11" s="16" t="s">
        <v>2108</v>
      </c>
    </row>
    <row r="12" spans="15:39" x14ac:dyDescent="0.2">
      <c r="O12" s="34" t="s">
        <v>2109</v>
      </c>
      <c r="P12" s="49" t="s">
        <v>23</v>
      </c>
      <c r="Q12" s="16" t="s">
        <v>2110</v>
      </c>
      <c r="R12" s="16" t="s">
        <v>2111</v>
      </c>
      <c r="S12" s="16" t="s">
        <v>2112</v>
      </c>
      <c r="T12" s="16" t="s">
        <v>2113</v>
      </c>
      <c r="U12" s="16" t="s">
        <v>2114</v>
      </c>
      <c r="V12" s="16" t="s">
        <v>558</v>
      </c>
      <c r="W12" s="16" t="s">
        <v>2115</v>
      </c>
      <c r="X12" s="16" t="s">
        <v>2116</v>
      </c>
      <c r="Y12" s="16" t="s">
        <v>2117</v>
      </c>
      <c r="Z12" s="16" t="s">
        <v>2118</v>
      </c>
      <c r="AA12" s="34" t="s">
        <v>2119</v>
      </c>
      <c r="AB12" s="34" t="s">
        <v>2120</v>
      </c>
      <c r="AC12" s="34" t="s">
        <v>2121</v>
      </c>
      <c r="AD12" s="34" t="s">
        <v>2122</v>
      </c>
      <c r="AE12" s="34" t="s">
        <v>2123</v>
      </c>
      <c r="AF12" s="34" t="s">
        <v>2124</v>
      </c>
      <c r="AG12" s="34" t="s">
        <v>2125</v>
      </c>
      <c r="AH12" s="34" t="s">
        <v>2126</v>
      </c>
      <c r="AI12" s="32" t="s">
        <v>2127</v>
      </c>
      <c r="AJ12" s="32" t="s">
        <v>2128</v>
      </c>
      <c r="AK12" s="34" t="s">
        <v>2129</v>
      </c>
      <c r="AL12" s="34" t="s">
        <v>2130</v>
      </c>
      <c r="AM12" s="34" t="s">
        <v>2131</v>
      </c>
    </row>
    <row r="13" spans="15:39" x14ac:dyDescent="0.2">
      <c r="O13" s="16">
        <v>1</v>
      </c>
      <c r="P13" s="49" t="str">
        <f>IFERROR(Calculations!BS60,"")</f>
        <v/>
      </c>
      <c r="Q13" s="16"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16" t="str">
        <f>Calculations!N60</f>
        <v/>
      </c>
      <c r="S13" s="16" t="str">
        <f>IFERROR($Q13+(-IF($P13="channel",Calculations!BU60,Calculations!BX60)/2)*COS(RADIANS(Calculations!D60))+(-IF($P13="channel",Calculations!BT60,Calculations!BW60)/2)*SIN(RADIANS(Calculations!D60)),"")</f>
        <v/>
      </c>
      <c r="T13" s="16" t="str">
        <f>IF(P13="channel",Calculations!S60,Calculations!O60)</f>
        <v/>
      </c>
      <c r="U13" s="16" t="str">
        <f>IFERROR($Q13+(IF($P13="channel",Calculations!BU60,Calculations!BX60)/2)*COS(RADIANS(Calculations!D60))+(-IF($P13="channel",Calculations!BT60,Calculations!BW60)/2)*SIN(RADIANS(Calculations!D60)),"")</f>
        <v/>
      </c>
      <c r="V13" s="16" t="str">
        <f>IF(P13="channel",Calculations!T60,Calculations!P60)</f>
        <v/>
      </c>
      <c r="W13" s="16" t="str">
        <f>IFERROR($Q13+(IF($P13="channel",Calculations!BU60,Calculations!BX60)/2)*COS(RADIANS(Calculations!D60))+(IF($P13="channel",Calculations!BT60,Calculations!BW60)/2)*SIN(RADIANS(Calculations!D60)),"")</f>
        <v/>
      </c>
      <c r="X13" s="16" t="str">
        <f>IF(P13="channel",Calculations!U60,Calculations!Q60)</f>
        <v/>
      </c>
      <c r="Y13" s="16" t="str">
        <f>IFERROR($Q13+(-IF($P13="channel",Calculations!BU60,Calculations!BX60)/2)*COS(RADIANS(Calculations!D60))+(IF($P13="channel",Calculations!BT60,Calculations!BW60)/2)*SIN(RADIANS(Calculations!D60)),"")</f>
        <v/>
      </c>
      <c r="Z13" s="16" t="str">
        <f>IF(P13="channel",Calculations!V60,Calculations!R60)</f>
        <v/>
      </c>
      <c r="AA13" s="16" t="str">
        <f>IFERROR($AI13+(-AK13/2)*COS(RADIANS(Calculations!D60))+(-AL13/2)*SIN(RADIANS(Calculations!D60)),"")</f>
        <v/>
      </c>
      <c r="AB13" s="16" t="str">
        <f>IFERROR(AJ13+(-AK13/2)*SIN(RADIANS(Calculations!D60))+(AL13/2)*COS(RADIANS(Calculations!D60)),"")</f>
        <v/>
      </c>
      <c r="AC13" s="16" t="str">
        <f>IFERROR($AI13+(AK13/2)*COS(RADIANS(Calculations!D60))+(-AL13/2)*SIN(RADIANS(Calculations!D60)),"")</f>
        <v/>
      </c>
      <c r="AD13" s="16"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49"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16">
        <v>2</v>
      </c>
      <c r="P14" s="49" t="str">
        <f>IFERROR(Calculations!BS61,"")</f>
        <v/>
      </c>
      <c r="Q14" s="16"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16" t="str">
        <f>Calculations!N61</f>
        <v/>
      </c>
      <c r="S14" s="16" t="str">
        <f>IFERROR($Q14+(-IF($P14="channel",Calculations!BU61,Calculations!BX61)/2)*COS(RADIANS(Calculations!D61))+(-IF($P14="channel",Calculations!BT61,Calculations!BW61)/2)*SIN(RADIANS(Calculations!D61)),"")</f>
        <v/>
      </c>
      <c r="T14" s="16" t="str">
        <f>IF(P14="channel",Calculations!S61,Calculations!O61)</f>
        <v/>
      </c>
      <c r="U14" s="16" t="str">
        <f>IFERROR($Q14+(IF($P14="channel",Calculations!BU61,Calculations!BX61)/2)*COS(RADIANS(Calculations!D61))+(-IF($P14="channel",Calculations!BT61,Calculations!BW61)/2)*SIN(RADIANS(Calculations!D61)),"")</f>
        <v/>
      </c>
      <c r="V14" s="16" t="str">
        <f>IF(P14="channel",Calculations!T61,Calculations!P61)</f>
        <v/>
      </c>
      <c r="W14" s="16" t="str">
        <f>IFERROR($Q14+(IF($P14="channel",Calculations!BU61,Calculations!BX61)/2)*COS(RADIANS(Calculations!D61))+(IF($P14="channel",Calculations!BT61,Calculations!BW61)/2)*SIN(RADIANS(Calculations!D61)),"")</f>
        <v/>
      </c>
      <c r="X14" s="16" t="str">
        <f>IF(P14="channel",Calculations!U61,Calculations!Q61)</f>
        <v/>
      </c>
      <c r="Y14" s="16" t="str">
        <f>IFERROR($Q14+(-IF($P14="channel",Calculations!BU61,Calculations!BX61)/2)*COS(RADIANS(Calculations!D61))+(IF($P14="channel",Calculations!BT61,Calculations!BW61)/2)*SIN(RADIANS(Calculations!D61)),"")</f>
        <v/>
      </c>
      <c r="Z14" s="16" t="str">
        <f>IF(P14="channel",Calculations!V61,Calculations!R61)</f>
        <v/>
      </c>
      <c r="AA14" s="16" t="str">
        <f>IFERROR($AI14+(-AK14/2)*COS(RADIANS(Calculations!D61))+(-AL14/2)*SIN(RADIANS(Calculations!D61)),"")</f>
        <v/>
      </c>
      <c r="AB14" s="16" t="str">
        <f>IFERROR(AJ14+(-AK14/2)*SIN(RADIANS(Calculations!D61))+(AL14/2)*COS(RADIANS(Calculations!D61)),"")</f>
        <v/>
      </c>
      <c r="AC14" s="16" t="str">
        <f>IFERROR($AI14+(AK14/2)*COS(RADIANS(Calculations!D61))+(-AL14/2)*SIN(RADIANS(Calculations!D61)),"")</f>
        <v/>
      </c>
      <c r="AD14" s="16" t="str">
        <f>IFERROR(AJ14+(AK14/2)*SIN(RADIANS(Calculations!D61))+(AL14/2)*COS(RADIANS(Calculations!D61)),"")</f>
        <v/>
      </c>
      <c r="AE14" t="str">
        <f>IFERROR($AI14+(AK14/2)*COS(RADIANS(Calculations!D61))+(AL14/2)*SIN(RADIANS(Calculations!D61)),"")</f>
        <v/>
      </c>
      <c r="AF14" t="str">
        <f>IFERROR(AJ14+(AK14/2)*SIN(RADIANS(Calculations!D61))+(-AL14/2)*COS(RADIANS(Calculations!D61)),"")</f>
        <v/>
      </c>
      <c r="AG14" t="str">
        <f>IFERROR($AI14+(-AK14/2)*COS(RADIANS(Calculations!D61))+(AL14/2)*SIN(RADIANS(Calculations!D61)),"")</f>
        <v/>
      </c>
      <c r="AH14" t="str">
        <f>IFERROR(AJ14+(-AK14/2)*SIN(RADIANS(Calculations!D61))+(-AL14/2)*COS(RADIANS(Calculations!D61)),"")</f>
        <v/>
      </c>
      <c r="AI14" s="49"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t="e">
        <f>Calculations!BU61-Calculations!DI61</f>
        <v>#N/A</v>
      </c>
      <c r="AL14" t="e">
        <f>Calculations!BT61-2*Calculations!DL61</f>
        <v>#N/A</v>
      </c>
      <c r="AM14" t="str">
        <f>IF(P14="solid round",Calculations!BT61,"")</f>
        <v/>
      </c>
    </row>
    <row r="15" spans="15:39" x14ac:dyDescent="0.2">
      <c r="O15" s="16">
        <v>3</v>
      </c>
      <c r="P15" s="49" t="str">
        <f>IFERROR(Calculations!BS62,"")</f>
        <v/>
      </c>
      <c r="Q15" s="16"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16" t="str">
        <f>Calculations!N62</f>
        <v/>
      </c>
      <c r="S15" s="16" t="str">
        <f>IFERROR($Q15+(-IF($P15="channel",Calculations!BU62,Calculations!BX62)/2)*COS(RADIANS(Calculations!D62))+(-IF($P15="channel",Calculations!BT62,Calculations!BW62)/2)*SIN(RADIANS(Calculations!D62)),"")</f>
        <v/>
      </c>
      <c r="T15" s="16" t="str">
        <f>IF(P15="channel",Calculations!S62,Calculations!O62)</f>
        <v/>
      </c>
      <c r="U15" s="16" t="str">
        <f>IFERROR($Q15+(IF($P15="channel",Calculations!BU62,Calculations!BX62)/2)*COS(RADIANS(Calculations!D62))+(-IF($P15="channel",Calculations!BT62,Calculations!BW62)/2)*SIN(RADIANS(Calculations!D62)),"")</f>
        <v/>
      </c>
      <c r="V15" s="16" t="str">
        <f>IF(P15="channel",Calculations!T62,Calculations!P62)</f>
        <v/>
      </c>
      <c r="W15" s="16" t="str">
        <f>IFERROR($Q15+(IF($P15="channel",Calculations!BU62,Calculations!BX62)/2)*COS(RADIANS(Calculations!D62))+(IF($P15="channel",Calculations!BT62,Calculations!BW62)/2)*SIN(RADIANS(Calculations!D62)),"")</f>
        <v/>
      </c>
      <c r="X15" s="16" t="str">
        <f>IF(P15="channel",Calculations!U62,Calculations!Q62)</f>
        <v/>
      </c>
      <c r="Y15" s="16" t="str">
        <f>IFERROR($Q15+(-IF($P15="channel",Calculations!BU62,Calculations!BX62)/2)*COS(RADIANS(Calculations!D62))+(IF($P15="channel",Calculations!BT62,Calculations!BW62)/2)*SIN(RADIANS(Calculations!D62)),"")</f>
        <v/>
      </c>
      <c r="Z15" s="16" t="str">
        <f>IF(P15="channel",Calculations!V62,Calculations!R62)</f>
        <v/>
      </c>
      <c r="AA15" s="16" t="str">
        <f>IFERROR($AI15+(-AK15/2)*COS(RADIANS(Calculations!D62))+(-AL15/2)*SIN(RADIANS(Calculations!D62)),"")</f>
        <v/>
      </c>
      <c r="AB15" s="16" t="str">
        <f>IFERROR(AJ15+(-AK15/2)*SIN(RADIANS(Calculations!D62))+(AL15/2)*COS(RADIANS(Calculations!D62)),"")</f>
        <v/>
      </c>
      <c r="AC15" s="16" t="str">
        <f>IFERROR($AI15+(AK15/2)*COS(RADIANS(Calculations!D62))+(-AL15/2)*SIN(RADIANS(Calculations!D62)),"")</f>
        <v/>
      </c>
      <c r="AD15" s="16" t="str">
        <f>IFERROR(AJ15+(AK15/2)*SIN(RADIANS(Calculations!D62))+(AL15/2)*COS(RADIANS(Calculations!D62)),"")</f>
        <v/>
      </c>
      <c r="AE15" t="str">
        <f>IFERROR($AI15+(AK15/2)*COS(RADIANS(Calculations!D62))+(AL15/2)*SIN(RADIANS(Calculations!D62)),"")</f>
        <v/>
      </c>
      <c r="AF15" t="str">
        <f>IFERROR(AJ15+(AK15/2)*SIN(RADIANS(Calculations!D62))+(-AL15/2)*COS(RADIANS(Calculations!D62)),"")</f>
        <v/>
      </c>
      <c r="AG15" t="str">
        <f>IFERROR($AI15+(-AK15/2)*COS(RADIANS(Calculations!D62))+(AL15/2)*SIN(RADIANS(Calculations!D62)),"")</f>
        <v/>
      </c>
      <c r="AH15" t="str">
        <f>IFERROR(AJ15+(-AK15/2)*SIN(RADIANS(Calculations!D62))+(-AL15/2)*COS(RADIANS(Calculations!D62)),"")</f>
        <v/>
      </c>
      <c r="AI15" s="49"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t="e">
        <f>Calculations!BU62-Calculations!DI62</f>
        <v>#N/A</v>
      </c>
      <c r="AL15" t="e">
        <f>Calculations!BT62-2*Calculations!DL62</f>
        <v>#N/A</v>
      </c>
      <c r="AM15" t="str">
        <f>IF(P15="solid round",Calculations!BT62,"")</f>
        <v/>
      </c>
    </row>
    <row r="16" spans="15:39" x14ac:dyDescent="0.2">
      <c r="O16" s="16">
        <v>4</v>
      </c>
      <c r="P16" s="49" t="str">
        <f>IFERROR(Calculations!BS63,"")</f>
        <v/>
      </c>
      <c r="Q16" s="16"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16" t="str">
        <f>Calculations!N63</f>
        <v/>
      </c>
      <c r="S16" s="16" t="str">
        <f>IFERROR($Q16+(-IF($P16="channel",Calculations!BU63,Calculations!BX63)/2)*COS(RADIANS(Calculations!D63))+(-IF($P16="channel",Calculations!BT63,Calculations!BW63)/2)*SIN(RADIANS(Calculations!D63)),"")</f>
        <v/>
      </c>
      <c r="T16" s="16" t="str">
        <f>IF(P16="channel",Calculations!S63,Calculations!O63)</f>
        <v/>
      </c>
      <c r="U16" s="16" t="str">
        <f>IFERROR($Q16+(IF($P16="channel",Calculations!BU63,Calculations!BX63)/2)*COS(RADIANS(Calculations!D63))+(-IF($P16="channel",Calculations!BT63,Calculations!BW63)/2)*SIN(RADIANS(Calculations!D63)),"")</f>
        <v/>
      </c>
      <c r="V16" s="16" t="str">
        <f>IF(P16="channel",Calculations!T63,Calculations!P63)</f>
        <v/>
      </c>
      <c r="W16" s="16" t="str">
        <f>IFERROR($Q16+(IF($P16="channel",Calculations!BU63,Calculations!BX63)/2)*COS(RADIANS(Calculations!D63))+(IF($P16="channel",Calculations!BT63,Calculations!BW63)/2)*SIN(RADIANS(Calculations!D63)),"")</f>
        <v/>
      </c>
      <c r="X16" s="16" t="str">
        <f>IF(P16="channel",Calculations!U63,Calculations!Q63)</f>
        <v/>
      </c>
      <c r="Y16" s="16" t="str">
        <f>IFERROR($Q16+(-IF($P16="channel",Calculations!BU63,Calculations!BX63)/2)*COS(RADIANS(Calculations!D63))+(IF($P16="channel",Calculations!BT63,Calculations!BW63)/2)*SIN(RADIANS(Calculations!D63)),"")</f>
        <v/>
      </c>
      <c r="Z16" s="16" t="str">
        <f>IF(P16="channel",Calculations!V63,Calculations!R63)</f>
        <v/>
      </c>
      <c r="AA16" s="16" t="str">
        <f>IFERROR($AI16+(-AK16/2)*COS(RADIANS(Calculations!D63))+(-AL16/2)*SIN(RADIANS(Calculations!D63)),"")</f>
        <v/>
      </c>
      <c r="AB16" s="16" t="str">
        <f>IFERROR(AJ16+(-AK16/2)*SIN(RADIANS(Calculations!D63))+(AL16/2)*COS(RADIANS(Calculations!D63)),"")</f>
        <v/>
      </c>
      <c r="AC16" s="16" t="str">
        <f>IFERROR($AI16+(AK16/2)*COS(RADIANS(Calculations!D63))+(-AL16/2)*SIN(RADIANS(Calculations!D63)),"")</f>
        <v/>
      </c>
      <c r="AD16" s="16" t="str">
        <f>IFERROR(AJ16+(AK16/2)*SIN(RADIANS(Calculations!D63))+(AL16/2)*COS(RADIANS(Calculations!D63)),"")</f>
        <v/>
      </c>
      <c r="AE16" t="str">
        <f>IFERROR($AI16+(AK16/2)*COS(RADIANS(Calculations!D63))+(AL16/2)*SIN(RADIANS(Calculations!D63)),"")</f>
        <v/>
      </c>
      <c r="AF16" t="str">
        <f>IFERROR(AJ16+(AK16/2)*SIN(RADIANS(Calculations!D63))+(-AL16/2)*COS(RADIANS(Calculations!D63)),"")</f>
        <v/>
      </c>
      <c r="AG16" t="str">
        <f>IFERROR($AI16+(-AK16/2)*COS(RADIANS(Calculations!D63))+(AL16/2)*SIN(RADIANS(Calculations!D63)),"")</f>
        <v/>
      </c>
      <c r="AH16" t="str">
        <f>IFERROR(AJ16+(-AK16/2)*SIN(RADIANS(Calculations!D63))+(-AL16/2)*COS(RADIANS(Calculations!D63)),"")</f>
        <v/>
      </c>
      <c r="AI16" s="49"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t="e">
        <f>Calculations!BU63-Calculations!DI63</f>
        <v>#N/A</v>
      </c>
      <c r="AL16" t="e">
        <f>Calculations!BT63-2*Calculations!DL63</f>
        <v>#N/A</v>
      </c>
      <c r="AM16" t="str">
        <f>IF(P16="solid round",Calculations!BT63,"")</f>
        <v/>
      </c>
    </row>
    <row r="17" spans="15:39" x14ac:dyDescent="0.2">
      <c r="O17" s="16">
        <v>5</v>
      </c>
      <c r="P17" s="49" t="str">
        <f>IFERROR(Calculations!BS64,"")</f>
        <v/>
      </c>
      <c r="Q17" s="16"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16" t="str">
        <f>Calculations!N64</f>
        <v/>
      </c>
      <c r="S17" s="16" t="str">
        <f>IFERROR($Q17+(-IF($P17="channel",Calculations!BU64,Calculations!BX64)/2)*COS(RADIANS(Calculations!D64))+(-IF($P17="channel",Calculations!BT64,Calculations!BW64)/2)*SIN(RADIANS(Calculations!D64)),"")</f>
        <v/>
      </c>
      <c r="T17" s="16" t="str">
        <f>IF(P17="channel",Calculations!S64,Calculations!O64)</f>
        <v/>
      </c>
      <c r="U17" s="16" t="str">
        <f>IFERROR($Q17+(IF($P17="channel",Calculations!BU64,Calculations!BX64)/2)*COS(RADIANS(Calculations!D64))+(-IF($P17="channel",Calculations!BT64,Calculations!BW64)/2)*SIN(RADIANS(Calculations!D64)),"")</f>
        <v/>
      </c>
      <c r="V17" s="16" t="str">
        <f>IF(P17="channel",Calculations!T64,Calculations!P64)</f>
        <v/>
      </c>
      <c r="W17" s="16" t="str">
        <f>IFERROR($Q17+(IF($P17="channel",Calculations!BU64,Calculations!BX64)/2)*COS(RADIANS(Calculations!D64))+(IF($P17="channel",Calculations!BT64,Calculations!BW64)/2)*SIN(RADIANS(Calculations!D64)),"")</f>
        <v/>
      </c>
      <c r="X17" s="16" t="str">
        <f>IF(P17="channel",Calculations!U64,Calculations!Q64)</f>
        <v/>
      </c>
      <c r="Y17" s="16" t="str">
        <f>IFERROR($Q17+(-IF($P17="channel",Calculations!BU64,Calculations!BX64)/2)*COS(RADIANS(Calculations!D64))+(IF($P17="channel",Calculations!BT64,Calculations!BW64)/2)*SIN(RADIANS(Calculations!D64)),"")</f>
        <v/>
      </c>
      <c r="Z17" s="16" t="str">
        <f>IF(P17="channel",Calculations!V64,Calculations!R64)</f>
        <v/>
      </c>
      <c r="AA17" s="16" t="str">
        <f>IFERROR($AI17+(-AK17/2)*COS(RADIANS(Calculations!D64))+(-AL17/2)*SIN(RADIANS(Calculations!D64)),"")</f>
        <v/>
      </c>
      <c r="AB17" s="16" t="str">
        <f>IFERROR(AJ17+(-AK17/2)*SIN(RADIANS(Calculations!D64))+(AL17/2)*COS(RADIANS(Calculations!D64)),"")</f>
        <v/>
      </c>
      <c r="AC17" s="16" t="str">
        <f>IFERROR($AI17+(AK17/2)*COS(RADIANS(Calculations!D64))+(-AL17/2)*SIN(RADIANS(Calculations!D64)),"")</f>
        <v/>
      </c>
      <c r="AD17" s="16" t="str">
        <f>IFERROR(AJ17+(AK17/2)*SIN(RADIANS(Calculations!D64))+(AL17/2)*COS(RADIANS(Calculations!D64)),"")</f>
        <v/>
      </c>
      <c r="AE17" t="str">
        <f>IFERROR($AI17+(AK17/2)*COS(RADIANS(Calculations!D64))+(AL17/2)*SIN(RADIANS(Calculations!D64)),"")</f>
        <v/>
      </c>
      <c r="AF17" t="str">
        <f>IFERROR(AJ17+(AK17/2)*SIN(RADIANS(Calculations!D64))+(-AL17/2)*COS(RADIANS(Calculations!D64)),"")</f>
        <v/>
      </c>
      <c r="AG17" t="str">
        <f>IFERROR($AI17+(-AK17/2)*COS(RADIANS(Calculations!D64))+(AL17/2)*SIN(RADIANS(Calculations!D64)),"")</f>
        <v/>
      </c>
      <c r="AH17" t="str">
        <f>IFERROR(AJ17+(-AK17/2)*SIN(RADIANS(Calculations!D64))+(-AL17/2)*COS(RADIANS(Calculations!D64)),"")</f>
        <v/>
      </c>
      <c r="AI17" s="49"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t="e">
        <f>Calculations!BU64-Calculations!DI64</f>
        <v>#N/A</v>
      </c>
      <c r="AL17" t="e">
        <f>Calculations!BT64-2*Calculations!DL64</f>
        <v>#N/A</v>
      </c>
      <c r="AM17" t="str">
        <f>IF(P17="solid round",Calculations!BT64,"")</f>
        <v/>
      </c>
    </row>
    <row r="18" spans="15:39" x14ac:dyDescent="0.2">
      <c r="O18" s="16">
        <v>6</v>
      </c>
      <c r="P18" s="49" t="str">
        <f>IFERROR(Calculations!BS65,"")</f>
        <v/>
      </c>
      <c r="Q18" s="16"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16" t="str">
        <f>Calculations!N65</f>
        <v/>
      </c>
      <c r="S18" s="16" t="str">
        <f>IFERROR($Q18+(-IF($P18="channel",Calculations!BU65,Calculations!BX65)/2)*COS(RADIANS(Calculations!D65))+(-IF($P18="channel",Calculations!BT65,Calculations!BW65)/2)*SIN(RADIANS(Calculations!D65)),"")</f>
        <v/>
      </c>
      <c r="T18" s="16" t="str">
        <f>IF(P18="channel",Calculations!S65,Calculations!O65)</f>
        <v/>
      </c>
      <c r="U18" s="16" t="str">
        <f>IFERROR($Q18+(IF($P18="channel",Calculations!BU65,Calculations!BX65)/2)*COS(RADIANS(Calculations!D65))+(-IF($P18="channel",Calculations!BT65,Calculations!BW65)/2)*SIN(RADIANS(Calculations!D65)),"")</f>
        <v/>
      </c>
      <c r="V18" s="16" t="str">
        <f>IF(P18="channel",Calculations!T65,Calculations!P65)</f>
        <v/>
      </c>
      <c r="W18" s="16" t="str">
        <f>IFERROR($Q18+(IF($P18="channel",Calculations!BU65,Calculations!BX65)/2)*COS(RADIANS(Calculations!D65))+(IF($P18="channel",Calculations!BT65,Calculations!BW65)/2)*SIN(RADIANS(Calculations!D65)),"")</f>
        <v/>
      </c>
      <c r="X18" s="16" t="str">
        <f>IF(P18="channel",Calculations!U65,Calculations!Q65)</f>
        <v/>
      </c>
      <c r="Y18" s="16" t="str">
        <f>IFERROR($Q18+(-IF($P18="channel",Calculations!BU65,Calculations!BX65)/2)*COS(RADIANS(Calculations!D65))+(IF($P18="channel",Calculations!BT65,Calculations!BW65)/2)*SIN(RADIANS(Calculations!D65)),"")</f>
        <v/>
      </c>
      <c r="Z18" s="16" t="str">
        <f>IF(P18="channel",Calculations!V65,Calculations!R65)</f>
        <v/>
      </c>
      <c r="AA18" s="16" t="str">
        <f>IFERROR($AI18+(-AK18/2)*COS(RADIANS(Calculations!D65))+(-AL18/2)*SIN(RADIANS(Calculations!D65)),"")</f>
        <v/>
      </c>
      <c r="AB18" s="16" t="str">
        <f>IFERROR(AJ18+(-AK18/2)*SIN(RADIANS(Calculations!D65))+(AL18/2)*COS(RADIANS(Calculations!D65)),"")</f>
        <v/>
      </c>
      <c r="AC18" s="16" t="str">
        <f>IFERROR($AI18+(AK18/2)*COS(RADIANS(Calculations!D65))+(-AL18/2)*SIN(RADIANS(Calculations!D65)),"")</f>
        <v/>
      </c>
      <c r="AD18" s="16" t="str">
        <f>IFERROR(AJ18+(AK18/2)*SIN(RADIANS(Calculations!D65))+(AL18/2)*COS(RADIANS(Calculations!D65)),"")</f>
        <v/>
      </c>
      <c r="AE18" t="str">
        <f>IFERROR($AI18+(AK18/2)*COS(RADIANS(Calculations!D65))+(AL18/2)*SIN(RADIANS(Calculations!D65)),"")</f>
        <v/>
      </c>
      <c r="AF18" t="str">
        <f>IFERROR(AJ18+(AK18/2)*SIN(RADIANS(Calculations!D65))+(-AL18/2)*COS(RADIANS(Calculations!D65)),"")</f>
        <v/>
      </c>
      <c r="AG18" t="str">
        <f>IFERROR($AI18+(-AK18/2)*COS(RADIANS(Calculations!D65))+(AL18/2)*SIN(RADIANS(Calculations!D65)),"")</f>
        <v/>
      </c>
      <c r="AH18" t="str">
        <f>IFERROR(AJ18+(-AK18/2)*SIN(RADIANS(Calculations!D65))+(-AL18/2)*COS(RADIANS(Calculations!D65)),"")</f>
        <v/>
      </c>
      <c r="AI18" s="49"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t="e">
        <f>Calculations!BU65-Calculations!DI65</f>
        <v>#N/A</v>
      </c>
      <c r="AL18" t="e">
        <f>Calculations!BT65-2*Calculations!DL65</f>
        <v>#N/A</v>
      </c>
      <c r="AM18" t="str">
        <f>IF(P18="solid round",Calculations!BT65,"")</f>
        <v/>
      </c>
    </row>
    <row r="19" spans="15:39" x14ac:dyDescent="0.2">
      <c r="O19" s="16">
        <v>7</v>
      </c>
      <c r="P19" s="49" t="str">
        <f>IFERROR(Calculations!BS66,"")</f>
        <v/>
      </c>
      <c r="Q19" s="16"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16" t="str">
        <f>Calculations!N66</f>
        <v/>
      </c>
      <c r="S19" s="16" t="str">
        <f>IFERROR($Q19+(-IF($P19="channel",Calculations!BU66,Calculations!BX66)/2)*COS(RADIANS(Calculations!D66))+(-IF($P19="channel",Calculations!BT66,Calculations!BW66)/2)*SIN(RADIANS(Calculations!D66)),"")</f>
        <v/>
      </c>
      <c r="T19" s="16" t="str">
        <f>IF(P19="channel",Calculations!S66,Calculations!O66)</f>
        <v/>
      </c>
      <c r="U19" s="16" t="str">
        <f>IFERROR($Q19+(IF($P19="channel",Calculations!BU66,Calculations!BX66)/2)*COS(RADIANS(Calculations!D66))+(-IF($P19="channel",Calculations!BT66,Calculations!BW66)/2)*SIN(RADIANS(Calculations!D66)),"")</f>
        <v/>
      </c>
      <c r="V19" s="16" t="str">
        <f>IF(P19="channel",Calculations!T66,Calculations!P66)</f>
        <v/>
      </c>
      <c r="W19" s="16" t="str">
        <f>IFERROR($Q19+(IF($P19="channel",Calculations!BU66,Calculations!BX66)/2)*COS(RADIANS(Calculations!D66))+(IF($P19="channel",Calculations!BT66,Calculations!BW66)/2)*SIN(RADIANS(Calculations!D66)),"")</f>
        <v/>
      </c>
      <c r="X19" s="16" t="str">
        <f>IF(P19="channel",Calculations!U66,Calculations!Q66)</f>
        <v/>
      </c>
      <c r="Y19" s="16" t="str">
        <f>IFERROR($Q19+(-IF($P19="channel",Calculations!BU66,Calculations!BX66)/2)*COS(RADIANS(Calculations!D66))+(IF($P19="channel",Calculations!BT66,Calculations!BW66)/2)*SIN(RADIANS(Calculations!D66)),"")</f>
        <v/>
      </c>
      <c r="Z19" s="16" t="str">
        <f>IF(P19="channel",Calculations!V66,Calculations!R66)</f>
        <v/>
      </c>
      <c r="AA19" s="16" t="str">
        <f>IFERROR($AI19+(-AK19/2)*COS(RADIANS(Calculations!D66))+(-AL19/2)*SIN(RADIANS(Calculations!D66)),"")</f>
        <v/>
      </c>
      <c r="AB19" s="16" t="str">
        <f>IFERROR(AJ19+(-AK19/2)*SIN(RADIANS(Calculations!D66))+(AL19/2)*COS(RADIANS(Calculations!D66)),"")</f>
        <v/>
      </c>
      <c r="AC19" s="16" t="str">
        <f>IFERROR($AI19+(AK19/2)*COS(RADIANS(Calculations!D66))+(-AL19/2)*SIN(RADIANS(Calculations!D66)),"")</f>
        <v/>
      </c>
      <c r="AD19" s="16" t="str">
        <f>IFERROR(AJ19+(AK19/2)*SIN(RADIANS(Calculations!D66))+(AL19/2)*COS(RADIANS(Calculations!D66)),"")</f>
        <v/>
      </c>
      <c r="AE19" t="str">
        <f>IFERROR($AI19+(AK19/2)*COS(RADIANS(Calculations!D66))+(AL19/2)*SIN(RADIANS(Calculations!D66)),"")</f>
        <v/>
      </c>
      <c r="AF19" t="str">
        <f>IFERROR(AJ19+(AK19/2)*SIN(RADIANS(Calculations!D66))+(-AL19/2)*COS(RADIANS(Calculations!D66)),"")</f>
        <v/>
      </c>
      <c r="AG19" t="str">
        <f>IFERROR($AI19+(-AK19/2)*COS(RADIANS(Calculations!D66))+(AL19/2)*SIN(RADIANS(Calculations!D66)),"")</f>
        <v/>
      </c>
      <c r="AH19" t="str">
        <f>IFERROR(AJ19+(-AK19/2)*SIN(RADIANS(Calculations!D66))+(-AL19/2)*COS(RADIANS(Calculations!D66)),"")</f>
        <v/>
      </c>
      <c r="AI19" s="49"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t="e">
        <f>Calculations!BU66-Calculations!DI66</f>
        <v>#N/A</v>
      </c>
      <c r="AL19" t="e">
        <f>Calculations!BT66-2*Calculations!DL66</f>
        <v>#N/A</v>
      </c>
      <c r="AM19" t="str">
        <f>IF(P19="solid round",Calculations!BT66,"")</f>
        <v/>
      </c>
    </row>
    <row r="20" spans="15:39" x14ac:dyDescent="0.2">
      <c r="O20" s="16">
        <v>8</v>
      </c>
      <c r="P20" s="49" t="str">
        <f>IFERROR(Calculations!BS67,"")</f>
        <v/>
      </c>
      <c r="Q20" s="16"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16" t="str">
        <f>Calculations!N67</f>
        <v/>
      </c>
      <c r="S20" s="16" t="str">
        <f>IFERROR($Q20+(-IF($P20="channel",Calculations!BU67,Calculations!BX67)/2)*COS(RADIANS(Calculations!D67))+(-IF($P20="channel",Calculations!BT67,Calculations!BW67)/2)*SIN(RADIANS(Calculations!D67)),"")</f>
        <v/>
      </c>
      <c r="T20" s="16" t="str">
        <f>IF(P20="channel",Calculations!S67,Calculations!O67)</f>
        <v/>
      </c>
      <c r="U20" s="16" t="str">
        <f>IFERROR($Q20+(IF($P20="channel",Calculations!BU67,Calculations!BX67)/2)*COS(RADIANS(Calculations!D67))+(-IF($P20="channel",Calculations!BT67,Calculations!BW67)/2)*SIN(RADIANS(Calculations!D67)),"")</f>
        <v/>
      </c>
      <c r="V20" s="16" t="str">
        <f>IF(P20="channel",Calculations!T67,Calculations!P67)</f>
        <v/>
      </c>
      <c r="W20" s="16" t="str">
        <f>IFERROR($Q20+(IF($P20="channel",Calculations!BU67,Calculations!BX67)/2)*COS(RADIANS(Calculations!D67))+(IF($P20="channel",Calculations!BT67,Calculations!BW67)/2)*SIN(RADIANS(Calculations!D67)),"")</f>
        <v/>
      </c>
      <c r="X20" s="16" t="str">
        <f>IF(P20="channel",Calculations!U67,Calculations!Q67)</f>
        <v/>
      </c>
      <c r="Y20" s="16" t="str">
        <f>IFERROR($Q20+(-IF($P20="channel",Calculations!BU67,Calculations!BX67)/2)*COS(RADIANS(Calculations!D67))+(IF($P20="channel",Calculations!BT67,Calculations!BW67)/2)*SIN(RADIANS(Calculations!D67)),"")</f>
        <v/>
      </c>
      <c r="Z20" s="16" t="str">
        <f>IF(P20="channel",Calculations!V67,Calculations!R67)</f>
        <v/>
      </c>
      <c r="AA20" s="16" t="str">
        <f>IFERROR($AI20+(-AK20/2)*COS(RADIANS(Calculations!D67))+(-AL20/2)*SIN(RADIANS(Calculations!D67)),"")</f>
        <v/>
      </c>
      <c r="AB20" s="16" t="str">
        <f>IFERROR(AJ20+(-AK20/2)*SIN(RADIANS(Calculations!D67))+(AL20/2)*COS(RADIANS(Calculations!D67)),"")</f>
        <v/>
      </c>
      <c r="AC20" s="16" t="str">
        <f>IFERROR($AI20+(AK20/2)*COS(RADIANS(Calculations!D67))+(-AL20/2)*SIN(RADIANS(Calculations!D67)),"")</f>
        <v/>
      </c>
      <c r="AD20" s="16" t="str">
        <f>IFERROR(AJ20+(AK20/2)*SIN(RADIANS(Calculations!D67))+(AL20/2)*COS(RADIANS(Calculations!D67)),"")</f>
        <v/>
      </c>
      <c r="AE20" t="str">
        <f>IFERROR($AI20+(AK20/2)*COS(RADIANS(Calculations!D67))+(AL20/2)*SIN(RADIANS(Calculations!D67)),"")</f>
        <v/>
      </c>
      <c r="AF20" t="str">
        <f>IFERROR(AJ20+(AK20/2)*SIN(RADIANS(Calculations!D67))+(-AL20/2)*COS(RADIANS(Calculations!D67)),"")</f>
        <v/>
      </c>
      <c r="AG20" t="str">
        <f>IFERROR($AI20+(-AK20/2)*COS(RADIANS(Calculations!D67))+(AL20/2)*SIN(RADIANS(Calculations!D67)),"")</f>
        <v/>
      </c>
      <c r="AH20" t="str">
        <f>IFERROR(AJ20+(-AK20/2)*SIN(RADIANS(Calculations!D67))+(-AL20/2)*COS(RADIANS(Calculations!D67)),"")</f>
        <v/>
      </c>
      <c r="AI20" s="49"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t="e">
        <f>Calculations!BU67-Calculations!DI67</f>
        <v>#N/A</v>
      </c>
      <c r="AL20" t="e">
        <f>Calculations!BT67-2*Calculations!DL67</f>
        <v>#N/A</v>
      </c>
      <c r="AM20" t="str">
        <f>IF(P20="solid round",Calculations!BT67,"")</f>
        <v/>
      </c>
    </row>
    <row r="21" spans="15:39" x14ac:dyDescent="0.2">
      <c r="O21" s="16">
        <v>9</v>
      </c>
      <c r="P21" s="49" t="str">
        <f>IFERROR(Calculations!BS68,"")</f>
        <v/>
      </c>
      <c r="Q21" s="16"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16" t="str">
        <f>Calculations!N68</f>
        <v/>
      </c>
      <c r="S21" s="16" t="str">
        <f>IFERROR($Q21+(-IF($P21="channel",Calculations!BU68,Calculations!BX68)/2)*COS(RADIANS(Calculations!D68))+(-IF($P21="channel",Calculations!BT68,Calculations!BW68)/2)*SIN(RADIANS(Calculations!D68)),"")</f>
        <v/>
      </c>
      <c r="T21" s="16" t="str">
        <f>IF(P21="channel",Calculations!S68,Calculations!O68)</f>
        <v/>
      </c>
      <c r="U21" s="16" t="str">
        <f>IFERROR($Q21+(IF($P21="channel",Calculations!BU68,Calculations!BX68)/2)*COS(RADIANS(Calculations!D68))+(-IF($P21="channel",Calculations!BT68,Calculations!BW68)/2)*SIN(RADIANS(Calculations!D68)),"")</f>
        <v/>
      </c>
      <c r="V21" s="16" t="str">
        <f>IF(P21="channel",Calculations!T68,Calculations!P68)</f>
        <v/>
      </c>
      <c r="W21" s="16" t="str">
        <f>IFERROR($Q21+(IF($P21="channel",Calculations!BU68,Calculations!BX68)/2)*COS(RADIANS(Calculations!D68))+(IF($P21="channel",Calculations!BT68,Calculations!BW68)/2)*SIN(RADIANS(Calculations!D68)),"")</f>
        <v/>
      </c>
      <c r="X21" s="16" t="str">
        <f>IF(P21="channel",Calculations!U68,Calculations!Q68)</f>
        <v/>
      </c>
      <c r="Y21" s="16" t="str">
        <f>IFERROR($Q21+(-IF($P21="channel",Calculations!BU68,Calculations!BX68)/2)*COS(RADIANS(Calculations!D68))+(IF($P21="channel",Calculations!BT68,Calculations!BW68)/2)*SIN(RADIANS(Calculations!D68)),"")</f>
        <v/>
      </c>
      <c r="Z21" s="16" t="str">
        <f>IF(P21="channel",Calculations!V68,Calculations!R68)</f>
        <v/>
      </c>
      <c r="AA21" s="16" t="str">
        <f>IFERROR($AI21+(-AK21/2)*COS(RADIANS(Calculations!D68))+(-AL21/2)*SIN(RADIANS(Calculations!D68)),"")</f>
        <v/>
      </c>
      <c r="AB21" s="16" t="str">
        <f>IFERROR(AJ21+(-AK21/2)*SIN(RADIANS(Calculations!D68))+(AL21/2)*COS(RADIANS(Calculations!D68)),"")</f>
        <v/>
      </c>
      <c r="AC21" s="16" t="str">
        <f>IFERROR($AI21+(AK21/2)*COS(RADIANS(Calculations!D68))+(-AL21/2)*SIN(RADIANS(Calculations!D68)),"")</f>
        <v/>
      </c>
      <c r="AD21" s="16" t="str">
        <f>IFERROR(AJ21+(AK21/2)*SIN(RADIANS(Calculations!D68))+(AL21/2)*COS(RADIANS(Calculations!D68)),"")</f>
        <v/>
      </c>
      <c r="AE21" t="str">
        <f>IFERROR($AI21+(AK21/2)*COS(RADIANS(Calculations!D68))+(AL21/2)*SIN(RADIANS(Calculations!D68)),"")</f>
        <v/>
      </c>
      <c r="AF21" t="str">
        <f>IFERROR(AJ21+(AK21/2)*SIN(RADIANS(Calculations!D68))+(-AL21/2)*COS(RADIANS(Calculations!D68)),"")</f>
        <v/>
      </c>
      <c r="AG21" t="str">
        <f>IFERROR($AI21+(-AK21/2)*COS(RADIANS(Calculations!D68))+(AL21/2)*SIN(RADIANS(Calculations!D68)),"")</f>
        <v/>
      </c>
      <c r="AH21" t="str">
        <f>IFERROR(AJ21+(-AK21/2)*SIN(RADIANS(Calculations!D68))+(-AL21/2)*COS(RADIANS(Calculations!D68)),"")</f>
        <v/>
      </c>
      <c r="AI21" s="49"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t="e">
        <f>Calculations!BU68-Calculations!DI68</f>
        <v>#N/A</v>
      </c>
      <c r="AL21" t="e">
        <f>Calculations!BT68-2*Calculations!DL68</f>
        <v>#N/A</v>
      </c>
      <c r="AM21" t="str">
        <f>IF(P21="solid round",Calculations!BT68,"")</f>
        <v/>
      </c>
    </row>
    <row r="22" spans="15:39" x14ac:dyDescent="0.2">
      <c r="O22" s="16">
        <v>10</v>
      </c>
      <c r="P22" s="49" t="str">
        <f>IFERROR(Calculations!BS69,"")</f>
        <v/>
      </c>
      <c r="Q22" s="16"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16" t="str">
        <f>Calculations!N69</f>
        <v/>
      </c>
      <c r="S22" s="16" t="str">
        <f>IFERROR($Q22+(-IF($P22="channel",Calculations!BU69,Calculations!BX69)/2)*COS(RADIANS(Calculations!D69))+(-IF($P22="channel",Calculations!BT69,Calculations!BW69)/2)*SIN(RADIANS(Calculations!D69)),"")</f>
        <v/>
      </c>
      <c r="T22" s="16" t="str">
        <f>IF(P22="channel",Calculations!S69,Calculations!O69)</f>
        <v/>
      </c>
      <c r="U22" s="16" t="str">
        <f>IFERROR($Q22+(IF($P22="channel",Calculations!BU69,Calculations!BX69)/2)*COS(RADIANS(Calculations!D69))+(-IF($P22="channel",Calculations!BT69,Calculations!BW69)/2)*SIN(RADIANS(Calculations!D69)),"")</f>
        <v/>
      </c>
      <c r="V22" s="16" t="str">
        <f>IF(P22="channel",Calculations!T69,Calculations!P69)</f>
        <v/>
      </c>
      <c r="W22" s="16" t="str">
        <f>IFERROR($Q22+(IF($P22="channel",Calculations!BU69,Calculations!BX69)/2)*COS(RADIANS(Calculations!D69))+(IF($P22="channel",Calculations!BT69,Calculations!BW69)/2)*SIN(RADIANS(Calculations!D69)),"")</f>
        <v/>
      </c>
      <c r="X22" s="16" t="str">
        <f>IF(P22="channel",Calculations!U69,Calculations!Q69)</f>
        <v/>
      </c>
      <c r="Y22" s="16" t="str">
        <f>IFERROR($Q22+(-IF($P22="channel",Calculations!BU69,Calculations!BX69)/2)*COS(RADIANS(Calculations!D69))+(IF($P22="channel",Calculations!BT69,Calculations!BW69)/2)*SIN(RADIANS(Calculations!D69)),"")</f>
        <v/>
      </c>
      <c r="Z22" s="16" t="str">
        <f>IF(P22="channel",Calculations!V69,Calculations!R69)</f>
        <v/>
      </c>
      <c r="AA22" s="16" t="str">
        <f>IFERROR($AI22+(-AK22/2)*COS(RADIANS(Calculations!D69))+(-AL22/2)*SIN(RADIANS(Calculations!D69)),"")</f>
        <v/>
      </c>
      <c r="AB22" s="16" t="str">
        <f>IFERROR(AJ22+(-AK22/2)*SIN(RADIANS(Calculations!D69))+(AL22/2)*COS(RADIANS(Calculations!D69)),"")</f>
        <v/>
      </c>
      <c r="AC22" s="16" t="str">
        <f>IFERROR($AI22+(AK22/2)*COS(RADIANS(Calculations!D69))+(-AL22/2)*SIN(RADIANS(Calculations!D69)),"")</f>
        <v/>
      </c>
      <c r="AD22" s="16" t="str">
        <f>IFERROR(AJ22+(AK22/2)*SIN(RADIANS(Calculations!D69))+(AL22/2)*COS(RADIANS(Calculations!D69)),"")</f>
        <v/>
      </c>
      <c r="AE22" t="str">
        <f>IFERROR($AI22+(AK22/2)*COS(RADIANS(Calculations!D69))+(AL22/2)*SIN(RADIANS(Calculations!D69)),"")</f>
        <v/>
      </c>
      <c r="AF22" t="str">
        <f>IFERROR(AJ22+(AK22/2)*SIN(RADIANS(Calculations!D69))+(-AL22/2)*COS(RADIANS(Calculations!D69)),"")</f>
        <v/>
      </c>
      <c r="AG22" t="str">
        <f>IFERROR($AI22+(-AK22/2)*COS(RADIANS(Calculations!D69))+(AL22/2)*SIN(RADIANS(Calculations!D69)),"")</f>
        <v/>
      </c>
      <c r="AH22" t="str">
        <f>IFERROR(AJ22+(-AK22/2)*SIN(RADIANS(Calculations!D69))+(-AL22/2)*COS(RADIANS(Calculations!D69)),"")</f>
        <v/>
      </c>
      <c r="AI22" s="49"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t="e">
        <f>Calculations!BU69-Calculations!DI69</f>
        <v>#N/A</v>
      </c>
      <c r="AL22" t="e">
        <f>Calculations!BT69-2*Calculations!DL69</f>
        <v>#N/A</v>
      </c>
      <c r="AM22" t="str">
        <f>IF(P22="solid round",Calculations!BT69,"")</f>
        <v/>
      </c>
    </row>
    <row r="23" spans="15:39" x14ac:dyDescent="0.2">
      <c r="O23" s="16">
        <v>11</v>
      </c>
      <c r="P23" s="49" t="str">
        <f>IFERROR(Calculations!BS70,"")</f>
        <v/>
      </c>
      <c r="Q23" s="16"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16" t="str">
        <f>Calculations!N70</f>
        <v/>
      </c>
      <c r="S23" s="16" t="str">
        <f>IFERROR($Q23+(-IF($P23="channel",Calculations!BU70,Calculations!BX70)/2)*COS(RADIANS(Calculations!D70))+(-IF($P23="channel",Calculations!BT70,Calculations!BW70)/2)*SIN(RADIANS(Calculations!D70)),"")</f>
        <v/>
      </c>
      <c r="T23" s="16" t="str">
        <f>IF(P23="channel",Calculations!S70,Calculations!O70)</f>
        <v/>
      </c>
      <c r="U23" s="16" t="str">
        <f>IFERROR($Q23+(IF($P23="channel",Calculations!BU70,Calculations!BX70)/2)*COS(RADIANS(Calculations!D70))+(-IF($P23="channel",Calculations!BT70,Calculations!BW70)/2)*SIN(RADIANS(Calculations!D70)),"")</f>
        <v/>
      </c>
      <c r="V23" s="16" t="str">
        <f>IF(P23="channel",Calculations!T70,Calculations!P70)</f>
        <v/>
      </c>
      <c r="W23" s="16" t="str">
        <f>IFERROR($Q23+(IF($P23="channel",Calculations!BU70,Calculations!BX70)/2)*COS(RADIANS(Calculations!D70))+(IF($P23="channel",Calculations!BT70,Calculations!BW70)/2)*SIN(RADIANS(Calculations!D70)),"")</f>
        <v/>
      </c>
      <c r="X23" s="16" t="str">
        <f>IF(P23="channel",Calculations!U70,Calculations!Q70)</f>
        <v/>
      </c>
      <c r="Y23" s="16" t="str">
        <f>IFERROR($Q23+(-IF($P23="channel",Calculations!BU70,Calculations!BX70)/2)*COS(RADIANS(Calculations!D70))+(IF($P23="channel",Calculations!BT70,Calculations!BW70)/2)*SIN(RADIANS(Calculations!D70)),"")</f>
        <v/>
      </c>
      <c r="Z23" s="16" t="str">
        <f>IF(P23="channel",Calculations!V70,Calculations!R70)</f>
        <v/>
      </c>
      <c r="AA23" s="16" t="str">
        <f>IFERROR($AI23+(-AK23/2)*COS(RADIANS(Calculations!D70))+(-AL23/2)*SIN(RADIANS(Calculations!D70)),"")</f>
        <v/>
      </c>
      <c r="AB23" s="16" t="str">
        <f>IFERROR(AJ23+(-AK23/2)*SIN(RADIANS(Calculations!D70))+(AL23/2)*COS(RADIANS(Calculations!D70)),"")</f>
        <v/>
      </c>
      <c r="AC23" s="16" t="str">
        <f>IFERROR($AI23+(AK23/2)*COS(RADIANS(Calculations!D70))+(-AL23/2)*SIN(RADIANS(Calculations!D70)),"")</f>
        <v/>
      </c>
      <c r="AD23" s="16" t="str">
        <f>IFERROR(AJ23+(AK23/2)*SIN(RADIANS(Calculations!D70))+(AL23/2)*COS(RADIANS(Calculations!D70)),"")</f>
        <v/>
      </c>
      <c r="AE23" t="str">
        <f>IFERROR($AI23+(AK23/2)*COS(RADIANS(Calculations!D70))+(AL23/2)*SIN(RADIANS(Calculations!D70)),"")</f>
        <v/>
      </c>
      <c r="AF23" t="str">
        <f>IFERROR(AJ23+(AK23/2)*SIN(RADIANS(Calculations!D70))+(-AL23/2)*COS(RADIANS(Calculations!D70)),"")</f>
        <v/>
      </c>
      <c r="AG23" t="str">
        <f>IFERROR($AI23+(-AK23/2)*COS(RADIANS(Calculations!D70))+(AL23/2)*SIN(RADIANS(Calculations!D70)),"")</f>
        <v/>
      </c>
      <c r="AH23" t="str">
        <f>IFERROR(AJ23+(-AK23/2)*SIN(RADIANS(Calculations!D70))+(-AL23/2)*COS(RADIANS(Calculations!D70)),"")</f>
        <v/>
      </c>
      <c r="AI23" s="49"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t="e">
        <f>Calculations!BU70-Calculations!DI70</f>
        <v>#N/A</v>
      </c>
      <c r="AL23" t="e">
        <f>Calculations!BT70-2*Calculations!DL70</f>
        <v>#N/A</v>
      </c>
      <c r="AM23" t="str">
        <f>IF(P23="solid round",Calculations!BT70,"")</f>
        <v/>
      </c>
    </row>
    <row r="24" spans="15:39" x14ac:dyDescent="0.2">
      <c r="O24" s="16">
        <v>12</v>
      </c>
      <c r="P24" s="49" t="str">
        <f>IFERROR(Calculations!BS71,"")</f>
        <v/>
      </c>
      <c r="Q24" s="16"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16" t="str">
        <f>Calculations!N71</f>
        <v/>
      </c>
      <c r="S24" s="16" t="str">
        <f>IFERROR($Q24+(-IF($P24="channel",Calculations!BU71,Calculations!BX71)/2)*COS(RADIANS(Calculations!D71))+(-IF($P24="channel",Calculations!BT71,Calculations!BW71)/2)*SIN(RADIANS(Calculations!D71)),"")</f>
        <v/>
      </c>
      <c r="T24" s="16" t="str">
        <f>IF(P24="channel",Calculations!S71,Calculations!O71)</f>
        <v/>
      </c>
      <c r="U24" s="16" t="str">
        <f>IFERROR($Q24+(IF($P24="channel",Calculations!BU71,Calculations!BX71)/2)*COS(RADIANS(Calculations!D71))+(-IF($P24="channel",Calculations!BT71,Calculations!BW71)/2)*SIN(RADIANS(Calculations!D71)),"")</f>
        <v/>
      </c>
      <c r="V24" s="16" t="str">
        <f>IF(P24="channel",Calculations!T71,Calculations!P71)</f>
        <v/>
      </c>
      <c r="W24" s="16" t="str">
        <f>IFERROR($Q24+(IF($P24="channel",Calculations!BU71,Calculations!BX71)/2)*COS(RADIANS(Calculations!D71))+(IF($P24="channel",Calculations!BT71,Calculations!BW71)/2)*SIN(RADIANS(Calculations!D71)),"")</f>
        <v/>
      </c>
      <c r="X24" s="16" t="str">
        <f>IF(P24="channel",Calculations!U71,Calculations!Q71)</f>
        <v/>
      </c>
      <c r="Y24" s="16" t="str">
        <f>IFERROR($Q24+(-IF($P24="channel",Calculations!BU71,Calculations!BX71)/2)*COS(RADIANS(Calculations!D71))+(IF($P24="channel",Calculations!BT71,Calculations!BW71)/2)*SIN(RADIANS(Calculations!D71)),"")</f>
        <v/>
      </c>
      <c r="Z24" s="16" t="str">
        <f>IF(P24="channel",Calculations!V71,Calculations!R71)</f>
        <v/>
      </c>
      <c r="AA24" s="16" t="str">
        <f>IFERROR($AI24+(-AK24/2)*COS(RADIANS(Calculations!D71))+(-AL24/2)*SIN(RADIANS(Calculations!D71)),"")</f>
        <v/>
      </c>
      <c r="AB24" s="16" t="str">
        <f>IFERROR(AJ24+(-AK24/2)*SIN(RADIANS(Calculations!D71))+(AL24/2)*COS(RADIANS(Calculations!D71)),"")</f>
        <v/>
      </c>
      <c r="AC24" s="16" t="str">
        <f>IFERROR($AI24+(AK24/2)*COS(RADIANS(Calculations!D71))+(-AL24/2)*SIN(RADIANS(Calculations!D71)),"")</f>
        <v/>
      </c>
      <c r="AD24" s="16" t="str">
        <f>IFERROR(AJ24+(AK24/2)*SIN(RADIANS(Calculations!D71))+(AL24/2)*COS(RADIANS(Calculations!D71)),"")</f>
        <v/>
      </c>
      <c r="AE24" t="str">
        <f>IFERROR($AI24+(AK24/2)*COS(RADIANS(Calculations!D71))+(AL24/2)*SIN(RADIANS(Calculations!D71)),"")</f>
        <v/>
      </c>
      <c r="AF24" t="str">
        <f>IFERROR(AJ24+(AK24/2)*SIN(RADIANS(Calculations!D71))+(-AL24/2)*COS(RADIANS(Calculations!D71)),"")</f>
        <v/>
      </c>
      <c r="AG24" t="str">
        <f>IFERROR($AI24+(-AK24/2)*COS(RADIANS(Calculations!D71))+(AL24/2)*SIN(RADIANS(Calculations!D71)),"")</f>
        <v/>
      </c>
      <c r="AH24" t="str">
        <f>IFERROR(AJ24+(-AK24/2)*SIN(RADIANS(Calculations!D71))+(-AL24/2)*COS(RADIANS(Calculations!D71)),"")</f>
        <v/>
      </c>
      <c r="AI24" s="49"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t="e">
        <f>Calculations!BU71-Calculations!DI71</f>
        <v>#N/A</v>
      </c>
      <c r="AL24" t="e">
        <f>Calculations!BT71-2*Calculations!DL71</f>
        <v>#N/A</v>
      </c>
      <c r="AM24" t="str">
        <f>IF(P24="solid round",Calculations!BT71,"")</f>
        <v/>
      </c>
    </row>
    <row r="25" spans="15:39" x14ac:dyDescent="0.2">
      <c r="O25" s="16">
        <v>13</v>
      </c>
      <c r="P25" s="49" t="str">
        <f>IFERROR(Calculations!BS72,"")</f>
        <v/>
      </c>
      <c r="Q25" s="16"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16" t="str">
        <f>Calculations!N72</f>
        <v/>
      </c>
      <c r="S25" s="16" t="str">
        <f>IFERROR($Q25+(-IF($P25="channel",Calculations!BU72,Calculations!BX72)/2)*COS(RADIANS(Calculations!D72))+(-IF($P25="channel",Calculations!BT72,Calculations!BW72)/2)*SIN(RADIANS(Calculations!D72)),"")</f>
        <v/>
      </c>
      <c r="T25" s="16" t="str">
        <f>IF(P25="channel",Calculations!S72,Calculations!O72)</f>
        <v/>
      </c>
      <c r="U25" s="16" t="str">
        <f>IFERROR($Q25+(IF($P25="channel",Calculations!BU72,Calculations!BX72)/2)*COS(RADIANS(Calculations!D72))+(-IF($P25="channel",Calculations!BT72,Calculations!BW72)/2)*SIN(RADIANS(Calculations!D72)),"")</f>
        <v/>
      </c>
      <c r="V25" s="16" t="str">
        <f>IF(P25="channel",Calculations!T72,Calculations!P72)</f>
        <v/>
      </c>
      <c r="W25" s="16" t="str">
        <f>IFERROR($Q25+(IF($P25="channel",Calculations!BU72,Calculations!BX72)/2)*COS(RADIANS(Calculations!D72))+(IF($P25="channel",Calculations!BT72,Calculations!BW72)/2)*SIN(RADIANS(Calculations!D72)),"")</f>
        <v/>
      </c>
      <c r="X25" s="16" t="str">
        <f>IF(P25="channel",Calculations!U72,Calculations!Q72)</f>
        <v/>
      </c>
      <c r="Y25" s="16" t="str">
        <f>IFERROR($Q25+(-IF($P25="channel",Calculations!BU72,Calculations!BX72)/2)*COS(RADIANS(Calculations!D72))+(IF($P25="channel",Calculations!BT72,Calculations!BW72)/2)*SIN(RADIANS(Calculations!D72)),"")</f>
        <v/>
      </c>
      <c r="Z25" s="16" t="str">
        <f>IF(P25="channel",Calculations!V72,Calculations!R72)</f>
        <v/>
      </c>
      <c r="AA25" s="16" t="str">
        <f>IFERROR($AI25+(-AK25/2)*COS(RADIANS(Calculations!D72))+(-AL25/2)*SIN(RADIANS(Calculations!D72)),"")</f>
        <v/>
      </c>
      <c r="AB25" s="16" t="str">
        <f>IFERROR(AJ25+(-AK25/2)*SIN(RADIANS(Calculations!D72))+(AL25/2)*COS(RADIANS(Calculations!D72)),"")</f>
        <v/>
      </c>
      <c r="AC25" s="16" t="str">
        <f>IFERROR($AI25+(AK25/2)*COS(RADIANS(Calculations!D72))+(-AL25/2)*SIN(RADIANS(Calculations!D72)),"")</f>
        <v/>
      </c>
      <c r="AD25" s="16" t="str">
        <f>IFERROR(AJ25+(AK25/2)*SIN(RADIANS(Calculations!D72))+(AL25/2)*COS(RADIANS(Calculations!D72)),"")</f>
        <v/>
      </c>
      <c r="AE25" t="str">
        <f>IFERROR($AI25+(AK25/2)*COS(RADIANS(Calculations!D72))+(AL25/2)*SIN(RADIANS(Calculations!D72)),"")</f>
        <v/>
      </c>
      <c r="AF25" t="str">
        <f>IFERROR(AJ25+(AK25/2)*SIN(RADIANS(Calculations!D72))+(-AL25/2)*COS(RADIANS(Calculations!D72)),"")</f>
        <v/>
      </c>
      <c r="AG25" t="str">
        <f>IFERROR($AI25+(-AK25/2)*COS(RADIANS(Calculations!D72))+(AL25/2)*SIN(RADIANS(Calculations!D72)),"")</f>
        <v/>
      </c>
      <c r="AH25" t="str">
        <f>IFERROR(AJ25+(-AK25/2)*SIN(RADIANS(Calculations!D72))+(-AL25/2)*COS(RADIANS(Calculations!D72)),"")</f>
        <v/>
      </c>
      <c r="AI25" s="49"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t="e">
        <f>Calculations!BU72-Calculations!DI72</f>
        <v>#N/A</v>
      </c>
      <c r="AL25" t="e">
        <f>Calculations!BT72-2*Calculations!DL72</f>
        <v>#N/A</v>
      </c>
      <c r="AM25" t="str">
        <f>IF(P25="solid round",Calculations!BT72,"")</f>
        <v/>
      </c>
    </row>
    <row r="26" spans="15:39" x14ac:dyDescent="0.2">
      <c r="O26" s="16">
        <v>14</v>
      </c>
      <c r="P26" s="49" t="str">
        <f>IFERROR(Calculations!BS73,"")</f>
        <v/>
      </c>
      <c r="Q26" s="16"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16" t="str">
        <f>Calculations!N73</f>
        <v/>
      </c>
      <c r="S26" s="16" t="str">
        <f>IFERROR($Q26+(-IF($P26="channel",Calculations!BU73,Calculations!BX73)/2)*COS(RADIANS(Calculations!D73))+(-IF($P26="channel",Calculations!BT73,Calculations!BW73)/2)*SIN(RADIANS(Calculations!D73)),"")</f>
        <v/>
      </c>
      <c r="T26" s="16" t="str">
        <f>IF(P26="channel",Calculations!S73,Calculations!O73)</f>
        <v/>
      </c>
      <c r="U26" s="16" t="str">
        <f>IFERROR($Q26+(IF($P26="channel",Calculations!BU73,Calculations!BX73)/2)*COS(RADIANS(Calculations!D73))+(-IF($P26="channel",Calculations!BT73,Calculations!BW73)/2)*SIN(RADIANS(Calculations!D73)),"")</f>
        <v/>
      </c>
      <c r="V26" s="16" t="str">
        <f>IF(P26="channel",Calculations!T73,Calculations!P73)</f>
        <v/>
      </c>
      <c r="W26" s="16" t="str">
        <f>IFERROR($Q26+(IF($P26="channel",Calculations!BU73,Calculations!BX73)/2)*COS(RADIANS(Calculations!D73))+(IF($P26="channel",Calculations!BT73,Calculations!BW73)/2)*SIN(RADIANS(Calculations!D73)),"")</f>
        <v/>
      </c>
      <c r="X26" s="16" t="str">
        <f>IF(P26="channel",Calculations!U73,Calculations!Q73)</f>
        <v/>
      </c>
      <c r="Y26" s="16" t="str">
        <f>IFERROR($Q26+(-IF($P26="channel",Calculations!BU73,Calculations!BX73)/2)*COS(RADIANS(Calculations!D73))+(IF($P26="channel",Calculations!BT73,Calculations!BW73)/2)*SIN(RADIANS(Calculations!D73)),"")</f>
        <v/>
      </c>
      <c r="Z26" s="16" t="str">
        <f>IF(P26="channel",Calculations!V73,Calculations!R73)</f>
        <v/>
      </c>
      <c r="AA26" s="16" t="str">
        <f>IFERROR($AI26+(-AK26/2)*COS(RADIANS(Calculations!D73))+(-AL26/2)*SIN(RADIANS(Calculations!D73)),"")</f>
        <v/>
      </c>
      <c r="AB26" s="16" t="str">
        <f>IFERROR(AJ26+(-AK26/2)*SIN(RADIANS(Calculations!D73))+(AL26/2)*COS(RADIANS(Calculations!D73)),"")</f>
        <v/>
      </c>
      <c r="AC26" s="16" t="str">
        <f>IFERROR($AI26+(AK26/2)*COS(RADIANS(Calculations!D73))+(-AL26/2)*SIN(RADIANS(Calculations!D73)),"")</f>
        <v/>
      </c>
      <c r="AD26" s="16" t="str">
        <f>IFERROR(AJ26+(AK26/2)*SIN(RADIANS(Calculations!D73))+(AL26/2)*COS(RADIANS(Calculations!D73)),"")</f>
        <v/>
      </c>
      <c r="AE26" t="str">
        <f>IFERROR($AI26+(AK26/2)*COS(RADIANS(Calculations!D73))+(AL26/2)*SIN(RADIANS(Calculations!D73)),"")</f>
        <v/>
      </c>
      <c r="AF26" t="str">
        <f>IFERROR(AJ26+(AK26/2)*SIN(RADIANS(Calculations!D73))+(-AL26/2)*COS(RADIANS(Calculations!D73)),"")</f>
        <v/>
      </c>
      <c r="AG26" t="str">
        <f>IFERROR($AI26+(-AK26/2)*COS(RADIANS(Calculations!D73))+(AL26/2)*SIN(RADIANS(Calculations!D73)),"")</f>
        <v/>
      </c>
      <c r="AH26" t="str">
        <f>IFERROR(AJ26+(-AK26/2)*SIN(RADIANS(Calculations!D73))+(-AL26/2)*COS(RADIANS(Calculations!D73)),"")</f>
        <v/>
      </c>
      <c r="AI26" s="49"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t="e">
        <f>Calculations!BU73-Calculations!DI73</f>
        <v>#N/A</v>
      </c>
      <c r="AL26" t="e">
        <f>Calculations!BT73-2*Calculations!DL73</f>
        <v>#N/A</v>
      </c>
      <c r="AM26" t="str">
        <f>IF(P26="solid round",Calculations!BT73,"")</f>
        <v/>
      </c>
    </row>
    <row r="27" spans="15:39" x14ac:dyDescent="0.2">
      <c r="O27" s="16">
        <v>15</v>
      </c>
      <c r="P27" s="49" t="str">
        <f>IFERROR(Calculations!BS74,"")</f>
        <v/>
      </c>
      <c r="Q27" s="16"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16" t="str">
        <f>Calculations!N74</f>
        <v/>
      </c>
      <c r="S27" s="16" t="str">
        <f>IFERROR($Q27+(-IF($P27="channel",Calculations!BU74,Calculations!BX74)/2)*COS(RADIANS(Calculations!D74))+(-IF($P27="channel",Calculations!BT74,Calculations!BW74)/2)*SIN(RADIANS(Calculations!D74)),"")</f>
        <v/>
      </c>
      <c r="T27" s="16" t="str">
        <f>IF(P27="channel",Calculations!S74,Calculations!O74)</f>
        <v/>
      </c>
      <c r="U27" s="16" t="str">
        <f>IFERROR($Q27+(IF($P27="channel",Calculations!BU74,Calculations!BX74)/2)*COS(RADIANS(Calculations!D74))+(-IF($P27="channel",Calculations!BT74,Calculations!BW74)/2)*SIN(RADIANS(Calculations!D74)),"")</f>
        <v/>
      </c>
      <c r="V27" s="16" t="str">
        <f>IF(P27="channel",Calculations!T74,Calculations!P74)</f>
        <v/>
      </c>
      <c r="W27" s="16" t="str">
        <f>IFERROR($Q27+(IF($P27="channel",Calculations!BU74,Calculations!BX74)/2)*COS(RADIANS(Calculations!D74))+(IF($P27="channel",Calculations!BT74,Calculations!BW74)/2)*SIN(RADIANS(Calculations!D74)),"")</f>
        <v/>
      </c>
      <c r="X27" s="16" t="str">
        <f>IF(P27="channel",Calculations!U74,Calculations!Q74)</f>
        <v/>
      </c>
      <c r="Y27" s="16" t="str">
        <f>IFERROR($Q27+(-IF($P27="channel",Calculations!BU74,Calculations!BX74)/2)*COS(RADIANS(Calculations!D74))+(IF($P27="channel",Calculations!BT74,Calculations!BW74)/2)*SIN(RADIANS(Calculations!D74)),"")</f>
        <v/>
      </c>
      <c r="Z27" s="16" t="str">
        <f>IF(P27="channel",Calculations!V74,Calculations!R74)</f>
        <v/>
      </c>
      <c r="AA27" s="16" t="str">
        <f>IFERROR($AI27+(-AK27/2)*COS(RADIANS(Calculations!D74))+(-AL27/2)*SIN(RADIANS(Calculations!D74)),"")</f>
        <v/>
      </c>
      <c r="AB27" s="16" t="str">
        <f>IFERROR(AJ27+(-AK27/2)*SIN(RADIANS(Calculations!D74))+(AL27/2)*COS(RADIANS(Calculations!D74)),"")</f>
        <v/>
      </c>
      <c r="AC27" s="16" t="str">
        <f>IFERROR($AI27+(AK27/2)*COS(RADIANS(Calculations!D74))+(-AL27/2)*SIN(RADIANS(Calculations!D74)),"")</f>
        <v/>
      </c>
      <c r="AD27" s="16" t="str">
        <f>IFERROR(AJ27+(AK27/2)*SIN(RADIANS(Calculations!D74))+(AL27/2)*COS(RADIANS(Calculations!D74)),"")</f>
        <v/>
      </c>
      <c r="AE27" t="str">
        <f>IFERROR($AI27+(AK27/2)*COS(RADIANS(Calculations!D74))+(AL27/2)*SIN(RADIANS(Calculations!D74)),"")</f>
        <v/>
      </c>
      <c r="AF27" t="str">
        <f>IFERROR(AJ27+(AK27/2)*SIN(RADIANS(Calculations!D74))+(-AL27/2)*COS(RADIANS(Calculations!D74)),"")</f>
        <v/>
      </c>
      <c r="AG27" t="str">
        <f>IFERROR($AI27+(-AK27/2)*COS(RADIANS(Calculations!D74))+(AL27/2)*SIN(RADIANS(Calculations!D74)),"")</f>
        <v/>
      </c>
      <c r="AH27" t="str">
        <f>IFERROR(AJ27+(-AK27/2)*SIN(RADIANS(Calculations!D74))+(-AL27/2)*COS(RADIANS(Calculations!D74)),"")</f>
        <v/>
      </c>
      <c r="AI27" s="49"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t="e">
        <f>Calculations!BU74-Calculations!DI74</f>
        <v>#N/A</v>
      </c>
      <c r="AL27" t="e">
        <f>Calculations!BT74-2*Calculations!DL74</f>
        <v>#N/A</v>
      </c>
      <c r="AM27" t="str">
        <f>IF(P27="solid round",Calculations!BT74,"")</f>
        <v/>
      </c>
    </row>
    <row r="28" spans="15:39" x14ac:dyDescent="0.2">
      <c r="O28" s="16">
        <v>16</v>
      </c>
      <c r="P28" s="49" t="str">
        <f>IFERROR(Calculations!BS75,"")</f>
        <v/>
      </c>
      <c r="Q28" s="16"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16" t="str">
        <f>Calculations!N75</f>
        <v/>
      </c>
      <c r="S28" s="16" t="str">
        <f>IFERROR($Q28+(-IF($P28="channel",Calculations!BU75,Calculations!BX75)/2)*COS(RADIANS(Calculations!D75))+(-IF($P28="channel",Calculations!BT75,Calculations!BW75)/2)*SIN(RADIANS(Calculations!D75)),"")</f>
        <v/>
      </c>
      <c r="T28" s="16" t="str">
        <f>IF(P28="channel",Calculations!S75,Calculations!O75)</f>
        <v/>
      </c>
      <c r="U28" s="16" t="str">
        <f>IFERROR($Q28+(IF($P28="channel",Calculations!BU75,Calculations!BX75)/2)*COS(RADIANS(Calculations!D75))+(-IF($P28="channel",Calculations!BT75,Calculations!BW75)/2)*SIN(RADIANS(Calculations!D75)),"")</f>
        <v/>
      </c>
      <c r="V28" s="16" t="str">
        <f>IF(P28="channel",Calculations!T75,Calculations!P75)</f>
        <v/>
      </c>
      <c r="W28" s="16" t="str">
        <f>IFERROR($Q28+(IF($P28="channel",Calculations!BU75,Calculations!BX75)/2)*COS(RADIANS(Calculations!D75))+(IF($P28="channel",Calculations!BT75,Calculations!BW75)/2)*SIN(RADIANS(Calculations!D75)),"")</f>
        <v/>
      </c>
      <c r="X28" s="16" t="str">
        <f>IF(P28="channel",Calculations!U75,Calculations!Q75)</f>
        <v/>
      </c>
      <c r="Y28" s="16" t="str">
        <f>IFERROR($Q28+(-IF($P28="channel",Calculations!BU75,Calculations!BX75)/2)*COS(RADIANS(Calculations!D75))+(IF($P28="channel",Calculations!BT75,Calculations!BW75)/2)*SIN(RADIANS(Calculations!D75)),"")</f>
        <v/>
      </c>
      <c r="Z28" s="16" t="str">
        <f>IF(P28="channel",Calculations!V75,Calculations!R75)</f>
        <v/>
      </c>
      <c r="AA28" s="16" t="str">
        <f>IFERROR($AI28+(-AK28/2)*COS(RADIANS(Calculations!D75))+(-AL28/2)*SIN(RADIANS(Calculations!D75)),"")</f>
        <v/>
      </c>
      <c r="AB28" s="16" t="str">
        <f>IFERROR(AJ28+(-AK28/2)*SIN(RADIANS(Calculations!D75))+(AL28/2)*COS(RADIANS(Calculations!D75)),"")</f>
        <v/>
      </c>
      <c r="AC28" s="16" t="str">
        <f>IFERROR($AI28+(AK28/2)*COS(RADIANS(Calculations!D75))+(-AL28/2)*SIN(RADIANS(Calculations!D75)),"")</f>
        <v/>
      </c>
      <c r="AD28" s="16" t="str">
        <f>IFERROR(AJ28+(AK28/2)*SIN(RADIANS(Calculations!D75))+(AL28/2)*COS(RADIANS(Calculations!D75)),"")</f>
        <v/>
      </c>
      <c r="AE28" t="str">
        <f>IFERROR($AI28+(AK28/2)*COS(RADIANS(Calculations!D75))+(AL28/2)*SIN(RADIANS(Calculations!D75)),"")</f>
        <v/>
      </c>
      <c r="AF28" t="str">
        <f>IFERROR(AJ28+(AK28/2)*SIN(RADIANS(Calculations!D75))+(-AL28/2)*COS(RADIANS(Calculations!D75)),"")</f>
        <v/>
      </c>
      <c r="AG28" t="str">
        <f>IFERROR($AI28+(-AK28/2)*COS(RADIANS(Calculations!D75))+(AL28/2)*SIN(RADIANS(Calculations!D75)),"")</f>
        <v/>
      </c>
      <c r="AH28" t="str">
        <f>IFERROR(AJ28+(-AK28/2)*SIN(RADIANS(Calculations!D75))+(-AL28/2)*COS(RADIANS(Calculations!D75)),"")</f>
        <v/>
      </c>
      <c r="AI28" s="49"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t="e">
        <f>Calculations!BU75-Calculations!DI75</f>
        <v>#N/A</v>
      </c>
      <c r="AL28" t="e">
        <f>Calculations!BT75-2*Calculations!DL75</f>
        <v>#N/A</v>
      </c>
      <c r="AM28" t="str">
        <f>IF(P28="solid round",Calculations!BT75,"")</f>
        <v/>
      </c>
    </row>
    <row r="29" spans="15:39" x14ac:dyDescent="0.2">
      <c r="O29" s="16">
        <v>17</v>
      </c>
      <c r="P29" s="49" t="str">
        <f>IFERROR(Calculations!BS76,"")</f>
        <v/>
      </c>
      <c r="Q29" s="16"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16" t="str">
        <f>Calculations!N76</f>
        <v/>
      </c>
      <c r="S29" s="16" t="str">
        <f>IFERROR($Q29+(-IF($P29="channel",Calculations!BU76,Calculations!BX76)/2)*COS(RADIANS(Calculations!D76))+(-IF($P29="channel",Calculations!BT76,Calculations!BW76)/2)*SIN(RADIANS(Calculations!D76)),"")</f>
        <v/>
      </c>
      <c r="T29" s="16" t="str">
        <f>IF(P29="channel",Calculations!S76,Calculations!O76)</f>
        <v/>
      </c>
      <c r="U29" s="16" t="str">
        <f>IFERROR($Q29+(IF($P29="channel",Calculations!BU76,Calculations!BX76)/2)*COS(RADIANS(Calculations!D76))+(-IF($P29="channel",Calculations!BT76,Calculations!BW76)/2)*SIN(RADIANS(Calculations!D76)),"")</f>
        <v/>
      </c>
      <c r="V29" s="16" t="str">
        <f>IF(P29="channel",Calculations!T76,Calculations!P76)</f>
        <v/>
      </c>
      <c r="W29" s="16" t="str">
        <f>IFERROR($Q29+(IF($P29="channel",Calculations!BU76,Calculations!BX76)/2)*COS(RADIANS(Calculations!D76))+(IF($P29="channel",Calculations!BT76,Calculations!BW76)/2)*SIN(RADIANS(Calculations!D76)),"")</f>
        <v/>
      </c>
      <c r="X29" s="16" t="str">
        <f>IF(P29="channel",Calculations!U76,Calculations!Q76)</f>
        <v/>
      </c>
      <c r="Y29" s="16" t="str">
        <f>IFERROR($Q29+(-IF($P29="channel",Calculations!BU76,Calculations!BX76)/2)*COS(RADIANS(Calculations!D76))+(IF($P29="channel",Calculations!BT76,Calculations!BW76)/2)*SIN(RADIANS(Calculations!D76)),"")</f>
        <v/>
      </c>
      <c r="Z29" s="16" t="str">
        <f>IF(P29="channel",Calculations!V76,Calculations!R76)</f>
        <v/>
      </c>
      <c r="AA29" s="16" t="str">
        <f>IFERROR($AI29+(-AK29/2)*COS(RADIANS(Calculations!D76))+(-AL29/2)*SIN(RADIANS(Calculations!D76)),"")</f>
        <v/>
      </c>
      <c r="AB29" s="16" t="str">
        <f>IFERROR(AJ29+(-AK29/2)*SIN(RADIANS(Calculations!D76))+(AL29/2)*COS(RADIANS(Calculations!D76)),"")</f>
        <v/>
      </c>
      <c r="AC29" s="16" t="str">
        <f>IFERROR($AI29+(AK29/2)*COS(RADIANS(Calculations!D76))+(-AL29/2)*SIN(RADIANS(Calculations!D76)),"")</f>
        <v/>
      </c>
      <c r="AD29" s="16" t="str">
        <f>IFERROR(AJ29+(AK29/2)*SIN(RADIANS(Calculations!D76))+(AL29/2)*COS(RADIANS(Calculations!D76)),"")</f>
        <v/>
      </c>
      <c r="AE29" t="str">
        <f>IFERROR($AI29+(AK29/2)*COS(RADIANS(Calculations!D76))+(AL29/2)*SIN(RADIANS(Calculations!D76)),"")</f>
        <v/>
      </c>
      <c r="AF29" t="str">
        <f>IFERROR(AJ29+(AK29/2)*SIN(RADIANS(Calculations!D76))+(-AL29/2)*COS(RADIANS(Calculations!D76)),"")</f>
        <v/>
      </c>
      <c r="AG29" t="str">
        <f>IFERROR($AI29+(-AK29/2)*COS(RADIANS(Calculations!D76))+(AL29/2)*SIN(RADIANS(Calculations!D76)),"")</f>
        <v/>
      </c>
      <c r="AH29" t="str">
        <f>IFERROR(AJ29+(-AK29/2)*SIN(RADIANS(Calculations!D76))+(-AL29/2)*COS(RADIANS(Calculations!D76)),"")</f>
        <v/>
      </c>
      <c r="AI29" s="49"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t="e">
        <f>Calculations!BU76-Calculations!DI76</f>
        <v>#N/A</v>
      </c>
      <c r="AL29" t="e">
        <f>Calculations!BT76-2*Calculations!DL76</f>
        <v>#N/A</v>
      </c>
      <c r="AM29" t="str">
        <f>IF(P29="solid round",Calculations!BT76,"")</f>
        <v/>
      </c>
    </row>
    <row r="30" spans="15:39" x14ac:dyDescent="0.2">
      <c r="O30" s="16">
        <v>18</v>
      </c>
      <c r="P30" s="49" t="str">
        <f>IFERROR(Calculations!BS77,"")</f>
        <v/>
      </c>
      <c r="Q30" s="16"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16" t="str">
        <f>Calculations!N77</f>
        <v/>
      </c>
      <c r="S30" s="16" t="str">
        <f>IFERROR($Q30+(-IF($P30="channel",Calculations!BU77,Calculations!BX77)/2)*COS(RADIANS(Calculations!D77))+(-IF($P30="channel",Calculations!BT77,Calculations!BW77)/2)*SIN(RADIANS(Calculations!D77)),"")</f>
        <v/>
      </c>
      <c r="T30" s="16" t="str">
        <f>IF(P30="channel",Calculations!S77,Calculations!O77)</f>
        <v/>
      </c>
      <c r="U30" s="16" t="str">
        <f>IFERROR($Q30+(IF($P30="channel",Calculations!BU77,Calculations!BX77)/2)*COS(RADIANS(Calculations!D77))+(-IF($P30="channel",Calculations!BT77,Calculations!BW77)/2)*SIN(RADIANS(Calculations!D77)),"")</f>
        <v/>
      </c>
      <c r="V30" s="16" t="str">
        <f>IF(P30="channel",Calculations!T77,Calculations!P77)</f>
        <v/>
      </c>
      <c r="W30" s="16" t="str">
        <f>IFERROR($Q30+(IF($P30="channel",Calculations!BU77,Calculations!BX77)/2)*COS(RADIANS(Calculations!D77))+(IF($P30="channel",Calculations!BT77,Calculations!BW77)/2)*SIN(RADIANS(Calculations!D77)),"")</f>
        <v/>
      </c>
      <c r="X30" s="16" t="str">
        <f>IF(P30="channel",Calculations!U77,Calculations!Q77)</f>
        <v/>
      </c>
      <c r="Y30" s="16" t="str">
        <f>IFERROR($Q30+(-IF($P30="channel",Calculations!BU77,Calculations!BX77)/2)*COS(RADIANS(Calculations!D77))+(IF($P30="channel",Calculations!BT77,Calculations!BW77)/2)*SIN(RADIANS(Calculations!D77)),"")</f>
        <v/>
      </c>
      <c r="Z30" s="16" t="str">
        <f>IF(P30="channel",Calculations!V77,Calculations!R77)</f>
        <v/>
      </c>
      <c r="AA30" s="16" t="str">
        <f>IFERROR($AI30+(-AK30/2)*COS(RADIANS(Calculations!D77))+(-AL30/2)*SIN(RADIANS(Calculations!D77)),"")</f>
        <v/>
      </c>
      <c r="AB30" s="16" t="str">
        <f>IFERROR(AJ30+(-AK30/2)*SIN(RADIANS(Calculations!D77))+(AL30/2)*COS(RADIANS(Calculations!D77)),"")</f>
        <v/>
      </c>
      <c r="AC30" s="16" t="str">
        <f>IFERROR($AI30+(AK30/2)*COS(RADIANS(Calculations!D77))+(-AL30/2)*SIN(RADIANS(Calculations!D77)),"")</f>
        <v/>
      </c>
      <c r="AD30" s="16" t="str">
        <f>IFERROR(AJ30+(AK30/2)*SIN(RADIANS(Calculations!D77))+(AL30/2)*COS(RADIANS(Calculations!D77)),"")</f>
        <v/>
      </c>
      <c r="AE30" t="str">
        <f>IFERROR($AI30+(AK30/2)*COS(RADIANS(Calculations!D77))+(AL30/2)*SIN(RADIANS(Calculations!D77)),"")</f>
        <v/>
      </c>
      <c r="AF30" t="str">
        <f>IFERROR(AJ30+(AK30/2)*SIN(RADIANS(Calculations!D77))+(-AL30/2)*COS(RADIANS(Calculations!D77)),"")</f>
        <v/>
      </c>
      <c r="AG30" t="str">
        <f>IFERROR($AI30+(-AK30/2)*COS(RADIANS(Calculations!D77))+(AL30/2)*SIN(RADIANS(Calculations!D77)),"")</f>
        <v/>
      </c>
      <c r="AH30" t="str">
        <f>IFERROR(AJ30+(-AK30/2)*SIN(RADIANS(Calculations!D77))+(-AL30/2)*COS(RADIANS(Calculations!D77)),"")</f>
        <v/>
      </c>
      <c r="AI30" s="49"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t="e">
        <f>Calculations!BU77-Calculations!DI77</f>
        <v>#N/A</v>
      </c>
      <c r="AL30" t="e">
        <f>Calculations!BT77-2*Calculations!DL77</f>
        <v>#N/A</v>
      </c>
      <c r="AM30" t="str">
        <f>IF(P30="solid round",Calculations!BT77,"")</f>
        <v/>
      </c>
    </row>
    <row r="31" spans="15:39" x14ac:dyDescent="0.2">
      <c r="O31" s="16">
        <v>19</v>
      </c>
      <c r="P31" s="49" t="str">
        <f>IFERROR(Calculations!BS79,"")</f>
        <v/>
      </c>
      <c r="Q31" s="16"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16" t="str">
        <f>Calculations!N79</f>
        <v/>
      </c>
      <c r="S31" s="16" t="str">
        <f>IFERROR($Q31+(-IF($P31="channel",Calculations!BU79,Calculations!BX79)/2)*COS(RADIANS(Calculations!D79))+(-IF($P31="channel",Calculations!BT79,Calculations!BW79)/2)*SIN(RADIANS(Calculations!D79)),"")</f>
        <v/>
      </c>
      <c r="T31" s="16" t="str">
        <f>IF(P31="channel",Calculations!S79,Calculations!O79)</f>
        <v/>
      </c>
      <c r="U31" s="16" t="str">
        <f>IFERROR($Q31+(IF($P31="channel",Calculations!BU79,Calculations!BX79)/2)*COS(RADIANS(Calculations!D79))+(-IF($P31="channel",Calculations!BT79,Calculations!BW79)/2)*SIN(RADIANS(Calculations!D79)),"")</f>
        <v/>
      </c>
      <c r="V31" s="16" t="str">
        <f>IF(P31="channel",Calculations!T79,Calculations!P79)</f>
        <v/>
      </c>
      <c r="W31" s="16" t="str">
        <f>IFERROR($Q31+(IF($P31="channel",Calculations!BU79,Calculations!BX79)/2)*COS(RADIANS(Calculations!D79))+(IF($P31="channel",Calculations!BT79,Calculations!BW79)/2)*SIN(RADIANS(Calculations!D79)),"")</f>
        <v/>
      </c>
      <c r="X31" s="16" t="str">
        <f>IF(P31="channel",Calculations!U79,Calculations!Q79)</f>
        <v/>
      </c>
      <c r="Y31" s="16" t="str">
        <f>IFERROR($Q31+(-IF($P31="channel",Calculations!BU79,Calculations!BX79)/2)*COS(RADIANS(Calculations!D79))+(IF($P31="channel",Calculations!BT79,Calculations!BW79)/2)*SIN(RADIANS(Calculations!D79)),"")</f>
        <v/>
      </c>
      <c r="Z31" s="16" t="str">
        <f>IF(P31="channel",Calculations!V79,Calculations!R79)</f>
        <v/>
      </c>
      <c r="AA31" s="16" t="str">
        <f>IFERROR($AI31+(-AK31/2)*COS(RADIANS(Calculations!D79))+(-AL31/2)*SIN(RADIANS(Calculations!D79)),"")</f>
        <v/>
      </c>
      <c r="AB31" s="16" t="str">
        <f>IFERROR(AJ31+(-AK31/2)*SIN(RADIANS(Calculations!D79))+(AL31/2)*COS(RADIANS(Calculations!D79)),"")</f>
        <v/>
      </c>
      <c r="AC31" s="16" t="str">
        <f>IFERROR($AI31+(AK31/2)*COS(RADIANS(Calculations!D79))+(-AL31/2)*SIN(RADIANS(Calculations!D79)),"")</f>
        <v/>
      </c>
      <c r="AD31" s="16" t="str">
        <f>IFERROR(AJ31+(AK31/2)*SIN(RADIANS(Calculations!D79))+(AL31/2)*COS(RADIANS(Calculations!D79)),"")</f>
        <v/>
      </c>
      <c r="AE31" t="str">
        <f>IFERROR($AI31+(AK31/2)*COS(RADIANS(Calculations!D79))+(AL31/2)*SIN(RADIANS(Calculations!D79)),"")</f>
        <v/>
      </c>
      <c r="AF31" t="str">
        <f>IFERROR(AJ31+(AK31/2)*SIN(RADIANS(Calculations!D79))+(-AL31/2)*COS(RADIANS(Calculations!D79)),"")</f>
        <v/>
      </c>
      <c r="AG31" t="str">
        <f>IFERROR($AI31+(-AK31/2)*COS(RADIANS(Calculations!D79))+(AL31/2)*SIN(RADIANS(Calculations!D79)),"")</f>
        <v/>
      </c>
      <c r="AH31" t="str">
        <f>IFERROR(AJ31+(-AK31/2)*SIN(RADIANS(Calculations!D79))+(-AL31/2)*COS(RADIANS(Calculations!D79)),"")</f>
        <v/>
      </c>
      <c r="AI31" s="49"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t="e">
        <f>Calculations!BU79-Calculations!DI79</f>
        <v>#N/A</v>
      </c>
      <c r="AL31" t="e">
        <f>Calculations!BT79-2*Calculations!DL79</f>
        <v>#N/A</v>
      </c>
      <c r="AM31" t="str">
        <f>IF(P31="solid round",Calculations!BT79,"")</f>
        <v/>
      </c>
    </row>
    <row r="32" spans="15:39" x14ac:dyDescent="0.2">
      <c r="O32" s="16">
        <v>20</v>
      </c>
      <c r="P32" s="49" t="str">
        <f>IFERROR(Calculations!BS80,"")</f>
        <v/>
      </c>
      <c r="Q32" s="16"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16" t="str">
        <f>Calculations!N80</f>
        <v/>
      </c>
      <c r="S32" s="16" t="str">
        <f>IFERROR($Q32+(-IF($P32="channel",Calculations!BU80,Calculations!BX80)/2)*COS(RADIANS(Calculations!D80))+(-IF($P32="channel",Calculations!BT80,Calculations!BW80)/2)*SIN(RADIANS(Calculations!D80)),"")</f>
        <v/>
      </c>
      <c r="T32" s="16" t="str">
        <f>IF(P32="channel",Calculations!S80,Calculations!O80)</f>
        <v/>
      </c>
      <c r="U32" s="16" t="str">
        <f>IFERROR($Q32+(IF($P32="channel",Calculations!BU80,Calculations!BX80)/2)*COS(RADIANS(Calculations!D80))+(-IF($P32="channel",Calculations!BT80,Calculations!BW80)/2)*SIN(RADIANS(Calculations!D80)),"")</f>
        <v/>
      </c>
      <c r="V32" s="16" t="str">
        <f>IF(P32="channel",Calculations!T80,Calculations!P80)</f>
        <v/>
      </c>
      <c r="W32" s="16" t="str">
        <f>IFERROR($Q32+(IF($P32="channel",Calculations!BU80,Calculations!BX80)/2)*COS(RADIANS(Calculations!D80))+(IF($P32="channel",Calculations!BT80,Calculations!BW80)/2)*SIN(RADIANS(Calculations!D80)),"")</f>
        <v/>
      </c>
      <c r="X32" s="16" t="str">
        <f>IF(P32="channel",Calculations!U80,Calculations!Q80)</f>
        <v/>
      </c>
      <c r="Y32" s="16" t="str">
        <f>IFERROR($Q32+(-IF($P32="channel",Calculations!BU80,Calculations!BX80)/2)*COS(RADIANS(Calculations!D80))+(IF($P32="channel",Calculations!BT80,Calculations!BW80)/2)*SIN(RADIANS(Calculations!D80)),"")</f>
        <v/>
      </c>
      <c r="Z32" s="16" t="str">
        <f>IF(P32="channel",Calculations!V80,Calculations!R80)</f>
        <v/>
      </c>
      <c r="AA32" s="16" t="str">
        <f>IFERROR($AI32+(-AK32/2)*COS(RADIANS(Calculations!D80))+(-AL32/2)*SIN(RADIANS(Calculations!D80)),"")</f>
        <v/>
      </c>
      <c r="AB32" s="16" t="str">
        <f>IFERROR(AJ32+(-AK32/2)*SIN(RADIANS(Calculations!D80))+(AL32/2)*COS(RADIANS(Calculations!D80)),"")</f>
        <v/>
      </c>
      <c r="AC32" s="16" t="str">
        <f>IFERROR($AI32+(AK32/2)*COS(RADIANS(Calculations!D80))+(-AL32/2)*SIN(RADIANS(Calculations!D80)),"")</f>
        <v/>
      </c>
      <c r="AD32" s="16" t="str">
        <f>IFERROR(AJ32+(AK32/2)*SIN(RADIANS(Calculations!D80))+(AL32/2)*COS(RADIANS(Calculations!D80)),"")</f>
        <v/>
      </c>
      <c r="AE32" t="str">
        <f>IFERROR($AI32+(AK32/2)*COS(RADIANS(Calculations!D80))+(AL32/2)*SIN(RADIANS(Calculations!D80)),"")</f>
        <v/>
      </c>
      <c r="AF32" t="str">
        <f>IFERROR(AJ32+(AK32/2)*SIN(RADIANS(Calculations!D80))+(-AL32/2)*COS(RADIANS(Calculations!D80)),"")</f>
        <v/>
      </c>
      <c r="AG32" t="str">
        <f>IFERROR($AI32+(-AK32/2)*COS(RADIANS(Calculations!D80))+(AL32/2)*SIN(RADIANS(Calculations!D80)),"")</f>
        <v/>
      </c>
      <c r="AH32" t="str">
        <f>IFERROR(AJ32+(-AK32/2)*SIN(RADIANS(Calculations!D80))+(-AL32/2)*COS(RADIANS(Calculations!D80)),"")</f>
        <v/>
      </c>
      <c r="AI32" s="49"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t="e">
        <f>Calculations!BU80-Calculations!DI80</f>
        <v>#N/A</v>
      </c>
      <c r="AL32" t="e">
        <f>Calculations!BT80-2*Calculations!DL80</f>
        <v>#N/A</v>
      </c>
      <c r="AM32" t="str">
        <f>IF(P32="solid round",Calculations!BT80,"")</f>
        <v/>
      </c>
    </row>
    <row r="33" spans="15:39" x14ac:dyDescent="0.2">
      <c r="O33" s="16">
        <v>21</v>
      </c>
      <c r="P33" s="49" t="str">
        <f>IFERROR(Calculations!BS81,"")</f>
        <v/>
      </c>
      <c r="Q33" s="16"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16" t="str">
        <f>Calculations!N81</f>
        <v/>
      </c>
      <c r="S33" s="16" t="str">
        <f>IFERROR($Q33+(-IF($P33="channel",Calculations!BU81,Calculations!BX81)/2)*COS(RADIANS(Calculations!D81))+(-IF($P33="channel",Calculations!BT81,Calculations!BW81)/2)*SIN(RADIANS(Calculations!D81)),"")</f>
        <v/>
      </c>
      <c r="T33" s="16" t="str">
        <f>IF(P33="channel",Calculations!S81,Calculations!O81)</f>
        <v/>
      </c>
      <c r="U33" s="16" t="str">
        <f>IFERROR($Q33+(IF($P33="channel",Calculations!BU81,Calculations!BX81)/2)*COS(RADIANS(Calculations!D81))+(-IF($P33="channel",Calculations!BT81,Calculations!BW81)/2)*SIN(RADIANS(Calculations!D81)),"")</f>
        <v/>
      </c>
      <c r="V33" s="16" t="str">
        <f>IF(P33="channel",Calculations!T81,Calculations!P81)</f>
        <v/>
      </c>
      <c r="W33" s="16" t="str">
        <f>IFERROR($Q33+(IF($P33="channel",Calculations!BU81,Calculations!BX81)/2)*COS(RADIANS(Calculations!D81))+(IF($P33="channel",Calculations!BT81,Calculations!BW81)/2)*SIN(RADIANS(Calculations!D81)),"")</f>
        <v/>
      </c>
      <c r="X33" s="16" t="str">
        <f>IF(P33="channel",Calculations!U81,Calculations!Q81)</f>
        <v/>
      </c>
      <c r="Y33" s="16" t="str">
        <f>IFERROR($Q33+(-IF($P33="channel",Calculations!BU81,Calculations!BX81)/2)*COS(RADIANS(Calculations!D81))+(IF($P33="channel",Calculations!BT81,Calculations!BW81)/2)*SIN(RADIANS(Calculations!D81)),"")</f>
        <v/>
      </c>
      <c r="Z33" s="16" t="str">
        <f>IF(P33="channel",Calculations!V81,Calculations!R81)</f>
        <v/>
      </c>
      <c r="AA33" s="16" t="str">
        <f>IFERROR($AI33+(-AK33/2)*COS(RADIANS(Calculations!D81))+(-AL33/2)*SIN(RADIANS(Calculations!D81)),"")</f>
        <v/>
      </c>
      <c r="AB33" s="16" t="str">
        <f>IFERROR(AJ33+(-AK33/2)*SIN(RADIANS(Calculations!D81))+(AL33/2)*COS(RADIANS(Calculations!D81)),"")</f>
        <v/>
      </c>
      <c r="AC33" s="16" t="str">
        <f>IFERROR($AI33+(AK33/2)*COS(RADIANS(Calculations!D81))+(-AL33/2)*SIN(RADIANS(Calculations!D81)),"")</f>
        <v/>
      </c>
      <c r="AD33" s="16" t="str">
        <f>IFERROR(AJ33+(AK33/2)*SIN(RADIANS(Calculations!D81))+(AL33/2)*COS(RADIANS(Calculations!D81)),"")</f>
        <v/>
      </c>
      <c r="AE33" t="str">
        <f>IFERROR($AI33+(AK33/2)*COS(RADIANS(Calculations!D81))+(AL33/2)*SIN(RADIANS(Calculations!D81)),"")</f>
        <v/>
      </c>
      <c r="AF33" t="str">
        <f>IFERROR(AJ33+(AK33/2)*SIN(RADIANS(Calculations!D81))+(-AL33/2)*COS(RADIANS(Calculations!D81)),"")</f>
        <v/>
      </c>
      <c r="AG33" t="str">
        <f>IFERROR($AI33+(-AK33/2)*COS(RADIANS(Calculations!D81))+(AL33/2)*SIN(RADIANS(Calculations!D81)),"")</f>
        <v/>
      </c>
      <c r="AH33" t="str">
        <f>IFERROR(AJ33+(-AK33/2)*SIN(RADIANS(Calculations!D81))+(-AL33/2)*COS(RADIANS(Calculations!D81)),"")</f>
        <v/>
      </c>
      <c r="AI33" s="49"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t="e">
        <f>Calculations!BU81-Calculations!DI81</f>
        <v>#N/A</v>
      </c>
      <c r="AL33" t="e">
        <f>Calculations!BT81-2*Calculations!DL81</f>
        <v>#N/A</v>
      </c>
      <c r="AM33" t="str">
        <f>IF(P33="solid round",Calculations!BT81,"")</f>
        <v/>
      </c>
    </row>
    <row r="34" spans="15:39" x14ac:dyDescent="0.2">
      <c r="O34" s="16">
        <v>22</v>
      </c>
      <c r="P34" s="49" t="str">
        <f>IFERROR(Calculations!BS82,"")</f>
        <v/>
      </c>
      <c r="Q34" s="16"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16" t="str">
        <f>Calculations!N82</f>
        <v/>
      </c>
      <c r="S34" s="16" t="str">
        <f>IFERROR($Q34+(-IF($P34="channel",Calculations!BU82,Calculations!BX82)/2)*COS(RADIANS(Calculations!D82))+(-IF($P34="channel",Calculations!BT82,Calculations!BW82)/2)*SIN(RADIANS(Calculations!D82)),"")</f>
        <v/>
      </c>
      <c r="T34" s="16" t="str">
        <f>IF(P34="channel",Calculations!S82,Calculations!O82)</f>
        <v/>
      </c>
      <c r="U34" s="16" t="str">
        <f>IFERROR($Q34+(IF($P34="channel",Calculations!BU82,Calculations!BX82)/2)*COS(RADIANS(Calculations!D82))+(-IF($P34="channel",Calculations!BT82,Calculations!BW82)/2)*SIN(RADIANS(Calculations!D82)),"")</f>
        <v/>
      </c>
      <c r="V34" s="16" t="str">
        <f>IF(P34="channel",Calculations!T82,Calculations!P82)</f>
        <v/>
      </c>
      <c r="W34" s="16" t="str">
        <f>IFERROR($Q34+(IF($P34="channel",Calculations!BU82,Calculations!BX82)/2)*COS(RADIANS(Calculations!D82))+(IF($P34="channel",Calculations!BT82,Calculations!BW82)/2)*SIN(RADIANS(Calculations!D82)),"")</f>
        <v/>
      </c>
      <c r="X34" s="16" t="str">
        <f>IF(P34="channel",Calculations!U82,Calculations!Q82)</f>
        <v/>
      </c>
      <c r="Y34" s="16" t="str">
        <f>IFERROR($Q34+(-IF($P34="channel",Calculations!BU82,Calculations!BX82)/2)*COS(RADIANS(Calculations!D82))+(IF($P34="channel",Calculations!BT82,Calculations!BW82)/2)*SIN(RADIANS(Calculations!D82)),"")</f>
        <v/>
      </c>
      <c r="Z34" s="16" t="str">
        <f>IF(P34="channel",Calculations!V82,Calculations!R82)</f>
        <v/>
      </c>
      <c r="AA34" s="16" t="str">
        <f>IFERROR($AI34+(-AK34/2)*COS(RADIANS(Calculations!D82))+(-AL34/2)*SIN(RADIANS(Calculations!D82)),"")</f>
        <v/>
      </c>
      <c r="AB34" s="16" t="str">
        <f>IFERROR(AJ34+(-AK34/2)*SIN(RADIANS(Calculations!D82))+(AL34/2)*COS(RADIANS(Calculations!D82)),"")</f>
        <v/>
      </c>
      <c r="AC34" s="16" t="str">
        <f>IFERROR($AI34+(AK34/2)*COS(RADIANS(Calculations!D82))+(-AL34/2)*SIN(RADIANS(Calculations!D82)),"")</f>
        <v/>
      </c>
      <c r="AD34" s="16" t="str">
        <f>IFERROR(AJ34+(AK34/2)*SIN(RADIANS(Calculations!D82))+(AL34/2)*COS(RADIANS(Calculations!D82)),"")</f>
        <v/>
      </c>
      <c r="AE34" t="str">
        <f>IFERROR($AI34+(AK34/2)*COS(RADIANS(Calculations!D82))+(AL34/2)*SIN(RADIANS(Calculations!D82)),"")</f>
        <v/>
      </c>
      <c r="AF34" t="str">
        <f>IFERROR(AJ34+(AK34/2)*SIN(RADIANS(Calculations!D82))+(-AL34/2)*COS(RADIANS(Calculations!D82)),"")</f>
        <v/>
      </c>
      <c r="AG34" t="str">
        <f>IFERROR($AI34+(-AK34/2)*COS(RADIANS(Calculations!D82))+(AL34/2)*SIN(RADIANS(Calculations!D82)),"")</f>
        <v/>
      </c>
      <c r="AH34" t="str">
        <f>IFERROR(AJ34+(-AK34/2)*SIN(RADIANS(Calculations!D82))+(-AL34/2)*COS(RADIANS(Calculations!D82)),"")</f>
        <v/>
      </c>
      <c r="AI34" s="49"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t="e">
        <f>Calculations!BU82-Calculations!DI82</f>
        <v>#N/A</v>
      </c>
      <c r="AL34" t="e">
        <f>Calculations!BT82-2*Calculations!DL82</f>
        <v>#N/A</v>
      </c>
      <c r="AM34" t="str">
        <f>IF(P34="solid round",Calculations!BT82,"")</f>
        <v/>
      </c>
    </row>
    <row r="35" spans="15:39" x14ac:dyDescent="0.2">
      <c r="O35" s="16">
        <v>23</v>
      </c>
      <c r="P35" s="49" t="str">
        <f>IFERROR(Calculations!BS83,"")</f>
        <v/>
      </c>
      <c r="Q35" s="16"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16" t="str">
        <f>Calculations!N83</f>
        <v/>
      </c>
      <c r="S35" s="16" t="str">
        <f>IFERROR($Q35+(-IF($P35="channel",Calculations!BU83,Calculations!BX83)/2)*COS(RADIANS(Calculations!D83))+(-IF($P35="channel",Calculations!BT83,Calculations!BW83)/2)*SIN(RADIANS(Calculations!D83)),"")</f>
        <v/>
      </c>
      <c r="T35" s="16" t="str">
        <f>IF(P35="channel",Calculations!S83,Calculations!O83)</f>
        <v/>
      </c>
      <c r="U35" s="16" t="str">
        <f>IFERROR($Q35+(IF($P35="channel",Calculations!BU83,Calculations!BX83)/2)*COS(RADIANS(Calculations!D83))+(-IF($P35="channel",Calculations!BT83,Calculations!BW83)/2)*SIN(RADIANS(Calculations!D83)),"")</f>
        <v/>
      </c>
      <c r="V35" s="16" t="str">
        <f>IF(P35="channel",Calculations!T83,Calculations!P83)</f>
        <v/>
      </c>
      <c r="W35" s="16" t="str">
        <f>IFERROR($Q35+(IF($P35="channel",Calculations!BU83,Calculations!BX83)/2)*COS(RADIANS(Calculations!D83))+(IF($P35="channel",Calculations!BT83,Calculations!BW83)/2)*SIN(RADIANS(Calculations!D83)),"")</f>
        <v/>
      </c>
      <c r="X35" s="16" t="str">
        <f>IF(P35="channel",Calculations!U83,Calculations!Q83)</f>
        <v/>
      </c>
      <c r="Y35" s="16" t="str">
        <f>IFERROR($Q35+(-IF($P35="channel",Calculations!BU83,Calculations!BX83)/2)*COS(RADIANS(Calculations!D83))+(IF($P35="channel",Calculations!BT83,Calculations!BW83)/2)*SIN(RADIANS(Calculations!D83)),"")</f>
        <v/>
      </c>
      <c r="Z35" s="16" t="str">
        <f>IF(P35="channel",Calculations!V83,Calculations!R83)</f>
        <v/>
      </c>
      <c r="AA35" s="16" t="str">
        <f>IFERROR($AI35+(-AK35/2)*COS(RADIANS(Calculations!D83))+(-AL35/2)*SIN(RADIANS(Calculations!D83)),"")</f>
        <v/>
      </c>
      <c r="AB35" s="16" t="str">
        <f>IFERROR(AJ35+(-AK35/2)*SIN(RADIANS(Calculations!D83))+(AL35/2)*COS(RADIANS(Calculations!D83)),"")</f>
        <v/>
      </c>
      <c r="AC35" s="16" t="str">
        <f>IFERROR($AI35+(AK35/2)*COS(RADIANS(Calculations!D83))+(-AL35/2)*SIN(RADIANS(Calculations!D83)),"")</f>
        <v/>
      </c>
      <c r="AD35" s="16" t="str">
        <f>IFERROR(AJ35+(AK35/2)*SIN(RADIANS(Calculations!D83))+(AL35/2)*COS(RADIANS(Calculations!D83)),"")</f>
        <v/>
      </c>
      <c r="AE35" t="str">
        <f>IFERROR($AI35+(AK35/2)*COS(RADIANS(Calculations!D83))+(AL35/2)*SIN(RADIANS(Calculations!D83)),"")</f>
        <v/>
      </c>
      <c r="AF35" t="str">
        <f>IFERROR(AJ35+(AK35/2)*SIN(RADIANS(Calculations!D83))+(-AL35/2)*COS(RADIANS(Calculations!D83)),"")</f>
        <v/>
      </c>
      <c r="AG35" t="str">
        <f>IFERROR($AI35+(-AK35/2)*COS(RADIANS(Calculations!D83))+(AL35/2)*SIN(RADIANS(Calculations!D83)),"")</f>
        <v/>
      </c>
      <c r="AH35" t="str">
        <f>IFERROR(AJ35+(-AK35/2)*SIN(RADIANS(Calculations!D83))+(-AL35/2)*COS(RADIANS(Calculations!D83)),"")</f>
        <v/>
      </c>
      <c r="AI35" s="49"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t="e">
        <f>Calculations!BU83-Calculations!DI83</f>
        <v>#N/A</v>
      </c>
      <c r="AL35" t="e">
        <f>Calculations!BT83-2*Calculations!DL83</f>
        <v>#N/A</v>
      </c>
      <c r="AM35" t="str">
        <f>IF(P35="solid round",Calculations!BT83,"")</f>
        <v/>
      </c>
    </row>
    <row r="36" spans="15:39" x14ac:dyDescent="0.2">
      <c r="O36" s="16">
        <v>24</v>
      </c>
      <c r="P36" s="49" t="str">
        <f>IFERROR(Calculations!BS84,"")</f>
        <v/>
      </c>
      <c r="Q36" s="16"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16" t="str">
        <f>Calculations!N84</f>
        <v/>
      </c>
      <c r="S36" s="16" t="str">
        <f>IFERROR($Q36+(-IF($P36="channel",Calculations!BU84,Calculations!BX84)/2)*COS(RADIANS(Calculations!D84))+(-IF($P36="channel",Calculations!BT84,Calculations!BW84)/2)*SIN(RADIANS(Calculations!D84)),"")</f>
        <v/>
      </c>
      <c r="T36" s="16" t="str">
        <f>IF(P36="channel",Calculations!S84,Calculations!O84)</f>
        <v/>
      </c>
      <c r="U36" s="16" t="str">
        <f>IFERROR($Q36+(IF($P36="channel",Calculations!BU84,Calculations!BX84)/2)*COS(RADIANS(Calculations!D84))+(-IF($P36="channel",Calculations!BT84,Calculations!BW84)/2)*SIN(RADIANS(Calculations!D84)),"")</f>
        <v/>
      </c>
      <c r="V36" s="16" t="str">
        <f>IF(P36="channel",Calculations!T84,Calculations!P84)</f>
        <v/>
      </c>
      <c r="W36" s="16" t="str">
        <f>IFERROR($Q36+(IF($P36="channel",Calculations!BU84,Calculations!BX84)/2)*COS(RADIANS(Calculations!D84))+(IF($P36="channel",Calculations!BT84,Calculations!BW84)/2)*SIN(RADIANS(Calculations!D84)),"")</f>
        <v/>
      </c>
      <c r="X36" s="16" t="str">
        <f>IF(P36="channel",Calculations!U84,Calculations!Q84)</f>
        <v/>
      </c>
      <c r="Y36" s="16" t="str">
        <f>IFERROR($Q36+(-IF($P36="channel",Calculations!BU84,Calculations!BX84)/2)*COS(RADIANS(Calculations!D84))+(IF($P36="channel",Calculations!BT84,Calculations!BW84)/2)*SIN(RADIANS(Calculations!D84)),"")</f>
        <v/>
      </c>
      <c r="Z36" s="16" t="str">
        <f>IF(P36="channel",Calculations!V84,Calculations!R84)</f>
        <v/>
      </c>
      <c r="AA36" s="16" t="str">
        <f>IFERROR($AI36+(-AK36/2)*COS(RADIANS(Calculations!D84))+(-AL36/2)*SIN(RADIANS(Calculations!D84)),"")</f>
        <v/>
      </c>
      <c r="AB36" s="16" t="str">
        <f>IFERROR(AJ36+(-AK36/2)*SIN(RADIANS(Calculations!D84))+(AL36/2)*COS(RADIANS(Calculations!D84)),"")</f>
        <v/>
      </c>
      <c r="AC36" s="16" t="str">
        <f>IFERROR($AI36+(AK36/2)*COS(RADIANS(Calculations!D84))+(-AL36/2)*SIN(RADIANS(Calculations!D84)),"")</f>
        <v/>
      </c>
      <c r="AD36" s="16" t="str">
        <f>IFERROR(AJ36+(AK36/2)*SIN(RADIANS(Calculations!D84))+(AL36/2)*COS(RADIANS(Calculations!D84)),"")</f>
        <v/>
      </c>
      <c r="AE36" t="str">
        <f>IFERROR($AI36+(AK36/2)*COS(RADIANS(Calculations!D84))+(AL36/2)*SIN(RADIANS(Calculations!D84)),"")</f>
        <v/>
      </c>
      <c r="AF36" t="str">
        <f>IFERROR(AJ36+(AK36/2)*SIN(RADIANS(Calculations!D84))+(-AL36/2)*COS(RADIANS(Calculations!D84)),"")</f>
        <v/>
      </c>
      <c r="AG36" t="str">
        <f>IFERROR($AI36+(-AK36/2)*COS(RADIANS(Calculations!D84))+(AL36/2)*SIN(RADIANS(Calculations!D84)),"")</f>
        <v/>
      </c>
      <c r="AH36" t="str">
        <f>IFERROR(AJ36+(-AK36/2)*SIN(RADIANS(Calculations!D84))+(-AL36/2)*COS(RADIANS(Calculations!D84)),"")</f>
        <v/>
      </c>
      <c r="AI36" s="49"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t="e">
        <f>Calculations!BU84-Calculations!DI84</f>
        <v>#N/A</v>
      </c>
      <c r="AL36" t="e">
        <f>Calculations!BT84-2*Calculations!DL84</f>
        <v>#N/A</v>
      </c>
      <c r="AM36" t="str">
        <f>IF(P36="solid round",Calculations!BT84,"")</f>
        <v/>
      </c>
    </row>
    <row r="37" spans="15:39" x14ac:dyDescent="0.2">
      <c r="O37" s="16">
        <v>25</v>
      </c>
      <c r="P37" s="49" t="str">
        <f>IFERROR(Calculations!BS85,"")</f>
        <v/>
      </c>
      <c r="Q37" s="16"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16" t="str">
        <f>Calculations!N85</f>
        <v/>
      </c>
      <c r="S37" s="16" t="str">
        <f>IFERROR($Q37+(-IF($P37="channel",Calculations!BU85,Calculations!BX85)/2)*COS(RADIANS(Calculations!D85))+(-IF($P37="channel",Calculations!BT85,Calculations!BW85)/2)*SIN(RADIANS(Calculations!D85)),"")</f>
        <v/>
      </c>
      <c r="T37" s="16" t="str">
        <f>IF(P37="channel",Calculations!S85,Calculations!O85)</f>
        <v/>
      </c>
      <c r="U37" s="16" t="str">
        <f>IFERROR($Q37+(IF($P37="channel",Calculations!BU85,Calculations!BX85)/2)*COS(RADIANS(Calculations!D85))+(-IF($P37="channel",Calculations!BT85,Calculations!BW85)/2)*SIN(RADIANS(Calculations!D85)),"")</f>
        <v/>
      </c>
      <c r="V37" s="16" t="str">
        <f>IF(P37="channel",Calculations!T85,Calculations!P85)</f>
        <v/>
      </c>
      <c r="W37" s="16" t="str">
        <f>IFERROR($Q37+(IF($P37="channel",Calculations!BU85,Calculations!BX85)/2)*COS(RADIANS(Calculations!D85))+(IF($P37="channel",Calculations!BT85,Calculations!BW85)/2)*SIN(RADIANS(Calculations!D85)),"")</f>
        <v/>
      </c>
      <c r="X37" s="16" t="str">
        <f>IF(P37="channel",Calculations!U85,Calculations!Q85)</f>
        <v/>
      </c>
      <c r="Y37" s="16" t="str">
        <f>IFERROR($Q37+(-IF($P37="channel",Calculations!BU85,Calculations!BX85)/2)*COS(RADIANS(Calculations!D85))+(IF($P37="channel",Calculations!BT85,Calculations!BW85)/2)*SIN(RADIANS(Calculations!D85)),"")</f>
        <v/>
      </c>
      <c r="Z37" s="16" t="str">
        <f>IF(P37="channel",Calculations!V85,Calculations!R85)</f>
        <v/>
      </c>
      <c r="AA37" s="16" t="str">
        <f>IFERROR($AI37+(-AK37/2)*COS(RADIANS(Calculations!D85))+(-AL37/2)*SIN(RADIANS(Calculations!D85)),"")</f>
        <v/>
      </c>
      <c r="AB37" s="16" t="str">
        <f>IFERROR(AJ37+(-AK37/2)*SIN(RADIANS(Calculations!D85))+(AL37/2)*COS(RADIANS(Calculations!D85)),"")</f>
        <v/>
      </c>
      <c r="AC37" s="16" t="str">
        <f>IFERROR($AI37+(AK37/2)*COS(RADIANS(Calculations!D85))+(-AL37/2)*SIN(RADIANS(Calculations!D85)),"")</f>
        <v/>
      </c>
      <c r="AD37" s="16" t="str">
        <f>IFERROR(AJ37+(AK37/2)*SIN(RADIANS(Calculations!D85))+(AL37/2)*COS(RADIANS(Calculations!D85)),"")</f>
        <v/>
      </c>
      <c r="AE37" t="str">
        <f>IFERROR($AI37+(AK37/2)*COS(RADIANS(Calculations!D85))+(AL37/2)*SIN(RADIANS(Calculations!D85)),"")</f>
        <v/>
      </c>
      <c r="AF37" t="str">
        <f>IFERROR(AJ37+(AK37/2)*SIN(RADIANS(Calculations!D85))+(-AL37/2)*COS(RADIANS(Calculations!D85)),"")</f>
        <v/>
      </c>
      <c r="AG37" t="str">
        <f>IFERROR($AI37+(-AK37/2)*COS(RADIANS(Calculations!D85))+(AL37/2)*SIN(RADIANS(Calculations!D85)),"")</f>
        <v/>
      </c>
      <c r="AH37" t="str">
        <f>IFERROR(AJ37+(-AK37/2)*SIN(RADIANS(Calculations!D85))+(-AL37/2)*COS(RADIANS(Calculations!D85)),"")</f>
        <v/>
      </c>
      <c r="AI37" s="49"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t="e">
        <f>Calculations!BU85-Calculations!DI85</f>
        <v>#N/A</v>
      </c>
      <c r="AL37" t="e">
        <f>Calculations!BT85-2*Calculations!DL85</f>
        <v>#N/A</v>
      </c>
      <c r="AM37" t="str">
        <f>IF(P37="solid round",Calculations!BT85,"")</f>
        <v/>
      </c>
    </row>
    <row r="38" spans="15:39" x14ac:dyDescent="0.2">
      <c r="O38" s="16">
        <v>26</v>
      </c>
      <c r="P38" s="49" t="str">
        <f>IFERROR(Calculations!BS86,"")</f>
        <v/>
      </c>
      <c r="Q38" s="16"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16" t="str">
        <f>Calculations!N86</f>
        <v/>
      </c>
      <c r="S38" s="16" t="str">
        <f>IFERROR($Q38+(-IF($P38="channel",Calculations!BU86,Calculations!BX86)/2)*COS(RADIANS(Calculations!D86))+(-IF($P38="channel",Calculations!BT86,Calculations!BW86)/2)*SIN(RADIANS(Calculations!D86)),"")</f>
        <v/>
      </c>
      <c r="T38" s="16" t="str">
        <f>IF(P38="channel",Calculations!S86,Calculations!O86)</f>
        <v/>
      </c>
      <c r="U38" s="16" t="str">
        <f>IFERROR($Q38+(IF($P38="channel",Calculations!BU86,Calculations!BX86)/2)*COS(RADIANS(Calculations!D86))+(-IF($P38="channel",Calculations!BT86,Calculations!BW86)/2)*SIN(RADIANS(Calculations!D86)),"")</f>
        <v/>
      </c>
      <c r="V38" s="16" t="str">
        <f>IF(P38="channel",Calculations!T86,Calculations!P86)</f>
        <v/>
      </c>
      <c r="W38" s="16" t="str">
        <f>IFERROR($Q38+(IF($P38="channel",Calculations!BU86,Calculations!BX86)/2)*COS(RADIANS(Calculations!D86))+(IF($P38="channel",Calculations!BT86,Calculations!BW86)/2)*SIN(RADIANS(Calculations!D86)),"")</f>
        <v/>
      </c>
      <c r="X38" s="16" t="str">
        <f>IF(P38="channel",Calculations!U86,Calculations!Q86)</f>
        <v/>
      </c>
      <c r="Y38" s="16" t="str">
        <f>IFERROR($Q38+(-IF($P38="channel",Calculations!BU86,Calculations!BX86)/2)*COS(RADIANS(Calculations!D86))+(IF($P38="channel",Calculations!BT86,Calculations!BW86)/2)*SIN(RADIANS(Calculations!D86)),"")</f>
        <v/>
      </c>
      <c r="Z38" s="16" t="str">
        <f>IF(P38="channel",Calculations!V86,Calculations!R86)</f>
        <v/>
      </c>
      <c r="AA38" s="16" t="str">
        <f>IFERROR($AI38+(-AK38/2)*COS(RADIANS(Calculations!D86))+(-AL38/2)*SIN(RADIANS(Calculations!D86)),"")</f>
        <v/>
      </c>
      <c r="AB38" s="16" t="str">
        <f>IFERROR(AJ38+(-AK38/2)*SIN(RADIANS(Calculations!D86))+(AL38/2)*COS(RADIANS(Calculations!D86)),"")</f>
        <v/>
      </c>
      <c r="AC38" s="16" t="str">
        <f>IFERROR($AI38+(AK38/2)*COS(RADIANS(Calculations!D86))+(-AL38/2)*SIN(RADIANS(Calculations!D86)),"")</f>
        <v/>
      </c>
      <c r="AD38" s="16" t="str">
        <f>IFERROR(AJ38+(AK38/2)*SIN(RADIANS(Calculations!D86))+(AL38/2)*COS(RADIANS(Calculations!D86)),"")</f>
        <v/>
      </c>
      <c r="AE38" t="str">
        <f>IFERROR($AI38+(AK38/2)*COS(RADIANS(Calculations!D86))+(AL38/2)*SIN(RADIANS(Calculations!D86)),"")</f>
        <v/>
      </c>
      <c r="AF38" t="str">
        <f>IFERROR(AJ38+(AK38/2)*SIN(RADIANS(Calculations!D86))+(-AL38/2)*COS(RADIANS(Calculations!D86)),"")</f>
        <v/>
      </c>
      <c r="AG38" t="str">
        <f>IFERROR($AI38+(-AK38/2)*COS(RADIANS(Calculations!D86))+(AL38/2)*SIN(RADIANS(Calculations!D86)),"")</f>
        <v/>
      </c>
      <c r="AH38" t="str">
        <f>IFERROR(AJ38+(-AK38/2)*SIN(RADIANS(Calculations!D86))+(-AL38/2)*COS(RADIANS(Calculations!D86)),"")</f>
        <v/>
      </c>
      <c r="AI38" s="49"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t="e">
        <f>Calculations!BU86-Calculations!DI86</f>
        <v>#N/A</v>
      </c>
      <c r="AL38" t="e">
        <f>Calculations!BT86-2*Calculations!DL86</f>
        <v>#N/A</v>
      </c>
      <c r="AM38" t="str">
        <f>IF(P38="solid round",Calculations!BT86,"")</f>
        <v/>
      </c>
    </row>
    <row r="39" spans="15:39" x14ac:dyDescent="0.2">
      <c r="O39" s="16">
        <v>27</v>
      </c>
      <c r="P39" s="49" t="str">
        <f>IFERROR(Calculations!BS87,"")</f>
        <v/>
      </c>
      <c r="Q39" s="16"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16" t="str">
        <f>Calculations!N87</f>
        <v/>
      </c>
      <c r="S39" s="16" t="str">
        <f>IFERROR($Q39+(-IF($P39="channel",Calculations!BU87,Calculations!BX87)/2)*COS(RADIANS(Calculations!D87))+(-IF($P39="channel",Calculations!BT87,Calculations!BW87)/2)*SIN(RADIANS(Calculations!D87)),"")</f>
        <v/>
      </c>
      <c r="T39" s="16" t="str">
        <f>IF(P39="channel",Calculations!S87,Calculations!O87)</f>
        <v/>
      </c>
      <c r="U39" s="16" t="str">
        <f>IFERROR($Q39+(IF($P39="channel",Calculations!BU87,Calculations!BX87)/2)*COS(RADIANS(Calculations!D87))+(-IF($P39="channel",Calculations!BT87,Calculations!BW87)/2)*SIN(RADIANS(Calculations!D87)),"")</f>
        <v/>
      </c>
      <c r="V39" s="16" t="str">
        <f>IF(P39="channel",Calculations!T87,Calculations!P87)</f>
        <v/>
      </c>
      <c r="W39" s="16" t="str">
        <f>IFERROR($Q39+(IF($P39="channel",Calculations!BU87,Calculations!BX87)/2)*COS(RADIANS(Calculations!D87))+(IF($P39="channel",Calculations!BT87,Calculations!BW87)/2)*SIN(RADIANS(Calculations!D87)),"")</f>
        <v/>
      </c>
      <c r="X39" s="16" t="str">
        <f>IF(P39="channel",Calculations!U87,Calculations!Q87)</f>
        <v/>
      </c>
      <c r="Y39" s="16" t="str">
        <f>IFERROR($Q39+(-IF($P39="channel",Calculations!BU87,Calculations!BX87)/2)*COS(RADIANS(Calculations!D87))+(IF($P39="channel",Calculations!BT87,Calculations!BW87)/2)*SIN(RADIANS(Calculations!D87)),"")</f>
        <v/>
      </c>
      <c r="Z39" s="16" t="str">
        <f>IF(P39="channel",Calculations!V87,Calculations!R87)</f>
        <v/>
      </c>
      <c r="AA39" s="16" t="str">
        <f>IFERROR($AI39+(-AK39/2)*COS(RADIANS(Calculations!D87))+(-AL39/2)*SIN(RADIANS(Calculations!D87)),"")</f>
        <v/>
      </c>
      <c r="AB39" s="16" t="str">
        <f>IFERROR(AJ39+(-AK39/2)*SIN(RADIANS(Calculations!D87))+(AL39/2)*COS(RADIANS(Calculations!D87)),"")</f>
        <v/>
      </c>
      <c r="AC39" s="16" t="str">
        <f>IFERROR($AI39+(AK39/2)*COS(RADIANS(Calculations!D87))+(-AL39/2)*SIN(RADIANS(Calculations!D87)),"")</f>
        <v/>
      </c>
      <c r="AD39" s="16" t="str">
        <f>IFERROR(AJ39+(AK39/2)*SIN(RADIANS(Calculations!D87))+(AL39/2)*COS(RADIANS(Calculations!D87)),"")</f>
        <v/>
      </c>
      <c r="AE39" t="str">
        <f>IFERROR($AI39+(AK39/2)*COS(RADIANS(Calculations!D87))+(AL39/2)*SIN(RADIANS(Calculations!D87)),"")</f>
        <v/>
      </c>
      <c r="AF39" t="str">
        <f>IFERROR(AJ39+(AK39/2)*SIN(RADIANS(Calculations!D87))+(-AL39/2)*COS(RADIANS(Calculations!D87)),"")</f>
        <v/>
      </c>
      <c r="AG39" t="str">
        <f>IFERROR($AI39+(-AK39/2)*COS(RADIANS(Calculations!D87))+(AL39/2)*SIN(RADIANS(Calculations!D87)),"")</f>
        <v/>
      </c>
      <c r="AH39" t="str">
        <f>IFERROR(AJ39+(-AK39/2)*SIN(RADIANS(Calculations!D87))+(-AL39/2)*COS(RADIANS(Calculations!D87)),"")</f>
        <v/>
      </c>
      <c r="AI39" s="49"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t="e">
        <f>Calculations!BU87-Calculations!DI87</f>
        <v>#N/A</v>
      </c>
      <c r="AL39" t="e">
        <f>Calculations!BT87-2*Calculations!DL87</f>
        <v>#N/A</v>
      </c>
      <c r="AM39" t="str">
        <f>IF(P39="solid round",Calculations!BT87,"")</f>
        <v/>
      </c>
    </row>
    <row r="40" spans="15:39" x14ac:dyDescent="0.2">
      <c r="O40" s="16">
        <v>28</v>
      </c>
      <c r="P40" s="49" t="str">
        <f>IFERROR(Calculations!BS88,"")</f>
        <v/>
      </c>
      <c r="Q40" s="16"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16" t="str">
        <f>Calculations!N88</f>
        <v/>
      </c>
      <c r="S40" s="16" t="str">
        <f>IFERROR($Q40+(-IF($P40="channel",Calculations!BU88,Calculations!BX88)/2)*COS(RADIANS(Calculations!D88))+(-IF($P40="channel",Calculations!BT88,Calculations!BW88)/2)*SIN(RADIANS(Calculations!D88)),"")</f>
        <v/>
      </c>
      <c r="T40" s="16" t="str">
        <f>IF(P40="channel",Calculations!S88,Calculations!O88)</f>
        <v/>
      </c>
      <c r="U40" s="16" t="str">
        <f>IFERROR($Q40+(IF($P40="channel",Calculations!BU88,Calculations!BX88)/2)*COS(RADIANS(Calculations!D88))+(-IF($P40="channel",Calculations!BT88,Calculations!BW88)/2)*SIN(RADIANS(Calculations!D88)),"")</f>
        <v/>
      </c>
      <c r="V40" s="16" t="str">
        <f>IF(P40="channel",Calculations!T88,Calculations!P88)</f>
        <v/>
      </c>
      <c r="W40" s="16" t="str">
        <f>IFERROR($Q40+(IF($P40="channel",Calculations!BU88,Calculations!BX88)/2)*COS(RADIANS(Calculations!D88))+(IF($P40="channel",Calculations!BT88,Calculations!BW88)/2)*SIN(RADIANS(Calculations!D88)),"")</f>
        <v/>
      </c>
      <c r="X40" s="16" t="str">
        <f>IF(P40="channel",Calculations!U88,Calculations!Q88)</f>
        <v/>
      </c>
      <c r="Y40" s="16" t="str">
        <f>IFERROR($Q40+(-IF($P40="channel",Calculations!BU88,Calculations!BX88)/2)*COS(RADIANS(Calculations!D88))+(IF($P40="channel",Calculations!BT88,Calculations!BW88)/2)*SIN(RADIANS(Calculations!D88)),"")</f>
        <v/>
      </c>
      <c r="Z40" s="16" t="str">
        <f>IF(P40="channel",Calculations!V88,Calculations!R88)</f>
        <v/>
      </c>
      <c r="AA40" s="16" t="str">
        <f>IFERROR($AI40+(-AK40/2)*COS(RADIANS(Calculations!D88))+(-AL40/2)*SIN(RADIANS(Calculations!D88)),"")</f>
        <v/>
      </c>
      <c r="AB40" s="16" t="str">
        <f>IFERROR(AJ40+(-AK40/2)*SIN(RADIANS(Calculations!D88))+(AL40/2)*COS(RADIANS(Calculations!D88)),"")</f>
        <v/>
      </c>
      <c r="AC40" s="16" t="str">
        <f>IFERROR($AI40+(AK40/2)*COS(RADIANS(Calculations!D88))+(-AL40/2)*SIN(RADIANS(Calculations!D88)),"")</f>
        <v/>
      </c>
      <c r="AD40" s="16" t="str">
        <f>IFERROR(AJ40+(AK40/2)*SIN(RADIANS(Calculations!D88))+(AL40/2)*COS(RADIANS(Calculations!D88)),"")</f>
        <v/>
      </c>
      <c r="AE40" t="str">
        <f>IFERROR($AI40+(AK40/2)*COS(RADIANS(Calculations!D88))+(AL40/2)*SIN(RADIANS(Calculations!D88)),"")</f>
        <v/>
      </c>
      <c r="AF40" t="str">
        <f>IFERROR(AJ40+(AK40/2)*SIN(RADIANS(Calculations!D88))+(-AL40/2)*COS(RADIANS(Calculations!D88)),"")</f>
        <v/>
      </c>
      <c r="AG40" t="str">
        <f>IFERROR($AI40+(-AK40/2)*COS(RADIANS(Calculations!D88))+(AL40/2)*SIN(RADIANS(Calculations!D88)),"")</f>
        <v/>
      </c>
      <c r="AH40" t="str">
        <f>IFERROR(AJ40+(-AK40/2)*SIN(RADIANS(Calculations!D88))+(-AL40/2)*COS(RADIANS(Calculations!D88)),"")</f>
        <v/>
      </c>
      <c r="AI40" s="49"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t="e">
        <f>Calculations!BU88-Calculations!DI88</f>
        <v>#N/A</v>
      </c>
      <c r="AL40" t="e">
        <f>Calculations!BT88-2*Calculations!DL88</f>
        <v>#N/A</v>
      </c>
      <c r="AM40" t="str">
        <f>IF(P40="solid round",Calculations!BT88,"")</f>
        <v/>
      </c>
    </row>
    <row r="41" spans="15:39" ht="15" customHeight="1" x14ac:dyDescent="0.2">
      <c r="O41" s="16">
        <v>29</v>
      </c>
      <c r="P41" s="49" t="str">
        <f>IFERROR(Calculations!BS89,"")</f>
        <v/>
      </c>
      <c r="Q41" s="16"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16" t="str">
        <f>Calculations!N89</f>
        <v/>
      </c>
      <c r="S41" s="16" t="str">
        <f>IFERROR($Q41+(-IF($P41="channel",Calculations!BU89,Calculations!BX89)/2)*COS(RADIANS(Calculations!D89))+(-IF($P41="channel",Calculations!BT89,Calculations!BW89)/2)*SIN(RADIANS(Calculations!D89)),"")</f>
        <v/>
      </c>
      <c r="T41" s="16" t="str">
        <f>IF(P41="channel",Calculations!S89,Calculations!O89)</f>
        <v/>
      </c>
      <c r="U41" s="16" t="str">
        <f>IFERROR($Q41+(IF($P41="channel",Calculations!BU89,Calculations!BX89)/2)*COS(RADIANS(Calculations!D89))+(-IF($P41="channel",Calculations!BT89,Calculations!BW89)/2)*SIN(RADIANS(Calculations!D89)),"")</f>
        <v/>
      </c>
      <c r="V41" s="16" t="str">
        <f>IF(P41="channel",Calculations!T89,Calculations!P89)</f>
        <v/>
      </c>
      <c r="W41" s="16" t="str">
        <f>IFERROR($Q41+(IF($P41="channel",Calculations!BU89,Calculations!BX89)/2)*COS(RADIANS(Calculations!D89))+(IF($P41="channel",Calculations!BT89,Calculations!BW89)/2)*SIN(RADIANS(Calculations!D89)),"")</f>
        <v/>
      </c>
      <c r="X41" s="16" t="str">
        <f>IF(P41="channel",Calculations!U89,Calculations!Q89)</f>
        <v/>
      </c>
      <c r="Y41" s="16" t="str">
        <f>IFERROR($Q41+(-IF($P41="channel",Calculations!BU89,Calculations!BX89)/2)*COS(RADIANS(Calculations!D89))+(IF($P41="channel",Calculations!BT89,Calculations!BW89)/2)*SIN(RADIANS(Calculations!D89)),"")</f>
        <v/>
      </c>
      <c r="Z41" s="16" t="str">
        <f>IF(P41="channel",Calculations!V89,Calculations!R89)</f>
        <v/>
      </c>
      <c r="AA41" s="16" t="str">
        <f>IFERROR($AI41+(-AK41/2)*COS(RADIANS(Calculations!D89))+(-AL41/2)*SIN(RADIANS(Calculations!D89)),"")</f>
        <v/>
      </c>
      <c r="AB41" s="16" t="str">
        <f>IFERROR(AJ41+(-AK41/2)*SIN(RADIANS(Calculations!D89))+(AL41/2)*COS(RADIANS(Calculations!D89)),"")</f>
        <v/>
      </c>
      <c r="AC41" s="16" t="str">
        <f>IFERROR($AI41+(AK41/2)*COS(RADIANS(Calculations!D89))+(-AL41/2)*SIN(RADIANS(Calculations!D89)),"")</f>
        <v/>
      </c>
      <c r="AD41" s="16" t="str">
        <f>IFERROR(AJ41+(AK41/2)*SIN(RADIANS(Calculations!D89))+(AL41/2)*COS(RADIANS(Calculations!D89)),"")</f>
        <v/>
      </c>
      <c r="AE41" t="str">
        <f>IFERROR($AI41+(AK41/2)*COS(RADIANS(Calculations!D89))+(AL41/2)*SIN(RADIANS(Calculations!D89)),"")</f>
        <v/>
      </c>
      <c r="AF41" t="str">
        <f>IFERROR(AJ41+(AK41/2)*SIN(RADIANS(Calculations!D89))+(-AL41/2)*COS(RADIANS(Calculations!D89)),"")</f>
        <v/>
      </c>
      <c r="AG41" t="str">
        <f>IFERROR($AI41+(-AK41/2)*COS(RADIANS(Calculations!D89))+(AL41/2)*SIN(RADIANS(Calculations!D89)),"")</f>
        <v/>
      </c>
      <c r="AH41" t="str">
        <f>IFERROR(AJ41+(-AK41/2)*SIN(RADIANS(Calculations!D89))+(-AL41/2)*COS(RADIANS(Calculations!D89)),"")</f>
        <v/>
      </c>
      <c r="AI41" s="49"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t="e">
        <f>Calculations!BU89-Calculations!DI89</f>
        <v>#N/A</v>
      </c>
      <c r="AL41" t="e">
        <f>Calculations!BT89-2*Calculations!DL89</f>
        <v>#N/A</v>
      </c>
      <c r="AM41" t="str">
        <f>IF(P41="solid round",Calculations!BT89,"")</f>
        <v/>
      </c>
    </row>
    <row r="42" spans="15:39" x14ac:dyDescent="0.2">
      <c r="O42" s="16">
        <v>30</v>
      </c>
      <c r="P42" s="49" t="str">
        <f>IFERROR(Calculations!BS90,"")</f>
        <v/>
      </c>
      <c r="Q42" s="16"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16" t="str">
        <f>Calculations!N90</f>
        <v/>
      </c>
      <c r="S42" s="16" t="str">
        <f>IFERROR($Q42+(-IF($P42="channel",Calculations!BU90,Calculations!BX90)/2)*COS(RADIANS(Calculations!D90))+(-IF($P42="channel",Calculations!BT90,Calculations!BW90)/2)*SIN(RADIANS(Calculations!D90)),"")</f>
        <v/>
      </c>
      <c r="T42" s="16" t="str">
        <f>IF(P42="channel",Calculations!S90,Calculations!O90)</f>
        <v/>
      </c>
      <c r="U42" s="16" t="str">
        <f>IFERROR($Q42+(IF($P42="channel",Calculations!BU90,Calculations!BX90)/2)*COS(RADIANS(Calculations!D90))+(-IF($P42="channel",Calculations!BT90,Calculations!BW90)/2)*SIN(RADIANS(Calculations!D90)),"")</f>
        <v/>
      </c>
      <c r="V42" s="16" t="str">
        <f>IF(P42="channel",Calculations!T90,Calculations!P90)</f>
        <v/>
      </c>
      <c r="W42" s="16" t="str">
        <f>IFERROR($Q42+(IF($P42="channel",Calculations!BU90,Calculations!BX90)/2)*COS(RADIANS(Calculations!D90))+(IF($P42="channel",Calculations!BT90,Calculations!BW90)/2)*SIN(RADIANS(Calculations!D90)),"")</f>
        <v/>
      </c>
      <c r="X42" s="16" t="str">
        <f>IF(P42="channel",Calculations!U90,Calculations!Q90)</f>
        <v/>
      </c>
      <c r="Y42" s="16" t="str">
        <f>IFERROR($Q42+(-IF($P42="channel",Calculations!BU90,Calculations!BX90)/2)*COS(RADIANS(Calculations!D90))+(IF($P42="channel",Calculations!BT90,Calculations!BW90)/2)*SIN(RADIANS(Calculations!D90)),"")</f>
        <v/>
      </c>
      <c r="Z42" s="16" t="str">
        <f>IF(P42="channel",Calculations!V90,Calculations!R90)</f>
        <v/>
      </c>
      <c r="AA42" s="16" t="str">
        <f>IFERROR($AI42+(-AK42/2)*COS(RADIANS(Calculations!D90))+(-AL42/2)*SIN(RADIANS(Calculations!D90)),"")</f>
        <v/>
      </c>
      <c r="AB42" s="16" t="str">
        <f>IFERROR(AJ42+(-AK42/2)*SIN(RADIANS(Calculations!D90))+(AL42/2)*COS(RADIANS(Calculations!D90)),"")</f>
        <v/>
      </c>
      <c r="AC42" s="16" t="str">
        <f>IFERROR($AI42+(AK42/2)*COS(RADIANS(Calculations!D90))+(-AL42/2)*SIN(RADIANS(Calculations!D90)),"")</f>
        <v/>
      </c>
      <c r="AD42" s="16" t="str">
        <f>IFERROR(AJ42+(AK42/2)*SIN(RADIANS(Calculations!D90))+(AL42/2)*COS(RADIANS(Calculations!D90)),"")</f>
        <v/>
      </c>
      <c r="AE42" t="str">
        <f>IFERROR($AI42+(AK42/2)*COS(RADIANS(Calculations!D90))+(AL42/2)*SIN(RADIANS(Calculations!D90)),"")</f>
        <v/>
      </c>
      <c r="AF42" t="str">
        <f>IFERROR(AJ42+(AK42/2)*SIN(RADIANS(Calculations!D90))+(-AL42/2)*COS(RADIANS(Calculations!D90)),"")</f>
        <v/>
      </c>
      <c r="AG42" t="str">
        <f>IFERROR($AI42+(-AK42/2)*COS(RADIANS(Calculations!D90))+(AL42/2)*SIN(RADIANS(Calculations!D90)),"")</f>
        <v/>
      </c>
      <c r="AH42" t="str">
        <f>IFERROR(AJ42+(-AK42/2)*SIN(RADIANS(Calculations!D90))+(-AL42/2)*COS(RADIANS(Calculations!D90)),"")</f>
        <v/>
      </c>
      <c r="AI42" s="49"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t="e">
        <f>Calculations!BU90-Calculations!DI90</f>
        <v>#N/A</v>
      </c>
      <c r="AL42" t="e">
        <f>Calculations!BT90-2*Calculations!DL90</f>
        <v>#N/A</v>
      </c>
      <c r="AM42" t="str">
        <f>IF(P42="solid round",Calculations!BT90,"")</f>
        <v/>
      </c>
    </row>
    <row r="43" spans="15:39" x14ac:dyDescent="0.2">
      <c r="O43" s="16">
        <v>31</v>
      </c>
      <c r="P43" s="49" t="str">
        <f>IFERROR(Calculations!BS91,"")</f>
        <v/>
      </c>
      <c r="Q43" s="16"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16" t="str">
        <f>Calculations!N91</f>
        <v/>
      </c>
      <c r="S43" s="16" t="str">
        <f>IFERROR($Q43+(-IF($P43="channel",Calculations!BU91,Calculations!BX91)/2)*COS(RADIANS(Calculations!D91))+(-IF($P43="channel",Calculations!BT91,Calculations!BW91)/2)*SIN(RADIANS(Calculations!D91)),"")</f>
        <v/>
      </c>
      <c r="T43" s="16" t="str">
        <f>IF(P43="channel",Calculations!S91,Calculations!O91)</f>
        <v/>
      </c>
      <c r="U43" s="16" t="str">
        <f>IFERROR($Q43+(IF($P43="channel",Calculations!BU91,Calculations!BX91)/2)*COS(RADIANS(Calculations!D91))+(-IF($P43="channel",Calculations!BT91,Calculations!BW91)/2)*SIN(RADIANS(Calculations!D91)),"")</f>
        <v/>
      </c>
      <c r="V43" s="16" t="str">
        <f>IF(P43="channel",Calculations!T91,Calculations!P91)</f>
        <v/>
      </c>
      <c r="W43" s="16" t="str">
        <f>IFERROR($Q43+(IF($P43="channel",Calculations!BU91,Calculations!BX91)/2)*COS(RADIANS(Calculations!D91))+(IF($P43="channel",Calculations!BT91,Calculations!BW91)/2)*SIN(RADIANS(Calculations!D91)),"")</f>
        <v/>
      </c>
      <c r="X43" s="16" t="str">
        <f>IF(P43="channel",Calculations!U91,Calculations!Q91)</f>
        <v/>
      </c>
      <c r="Y43" s="16" t="str">
        <f>IFERROR($Q43+(-IF($P43="channel",Calculations!BU91,Calculations!BX91)/2)*COS(RADIANS(Calculations!D91))+(IF($P43="channel",Calculations!BT91,Calculations!BW91)/2)*SIN(RADIANS(Calculations!D91)),"")</f>
        <v/>
      </c>
      <c r="Z43" s="16" t="str">
        <f>IF(P43="channel",Calculations!V91,Calculations!R91)</f>
        <v/>
      </c>
      <c r="AA43" s="16" t="str">
        <f>IFERROR($AI43+(-AK43/2)*COS(RADIANS(Calculations!D91))+(-AL43/2)*SIN(RADIANS(Calculations!D91)),"")</f>
        <v/>
      </c>
      <c r="AB43" s="16" t="str">
        <f>IFERROR(AJ43+(-AK43/2)*SIN(RADIANS(Calculations!D91))+(AL43/2)*COS(RADIANS(Calculations!D91)),"")</f>
        <v/>
      </c>
      <c r="AC43" s="16" t="str">
        <f>IFERROR($AI43+(AK43/2)*COS(RADIANS(Calculations!D91))+(-AL43/2)*SIN(RADIANS(Calculations!D91)),"")</f>
        <v/>
      </c>
      <c r="AD43" s="16" t="str">
        <f>IFERROR(AJ43+(AK43/2)*SIN(RADIANS(Calculations!D91))+(AL43/2)*COS(RADIANS(Calculations!D91)),"")</f>
        <v/>
      </c>
      <c r="AE43" t="str">
        <f>IFERROR($AI43+(AK43/2)*COS(RADIANS(Calculations!D91))+(AL43/2)*SIN(RADIANS(Calculations!D91)),"")</f>
        <v/>
      </c>
      <c r="AF43" t="str">
        <f>IFERROR(AJ43+(AK43/2)*SIN(RADIANS(Calculations!D91))+(-AL43/2)*COS(RADIANS(Calculations!D91)),"")</f>
        <v/>
      </c>
      <c r="AG43" t="str">
        <f>IFERROR($AI43+(-AK43/2)*COS(RADIANS(Calculations!D91))+(AL43/2)*SIN(RADIANS(Calculations!D91)),"")</f>
        <v/>
      </c>
      <c r="AH43" t="str">
        <f>IFERROR(AJ43+(-AK43/2)*SIN(RADIANS(Calculations!D91))+(-AL43/2)*COS(RADIANS(Calculations!D91)),"")</f>
        <v/>
      </c>
      <c r="AI43" s="49"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t="e">
        <f>Calculations!BU91-Calculations!DI91</f>
        <v>#N/A</v>
      </c>
      <c r="AL43" t="e">
        <f>Calculations!BT91-2*Calculations!DL91</f>
        <v>#N/A</v>
      </c>
      <c r="AM43" t="str">
        <f>IF(P43="solid round",Calculations!BT91,"")</f>
        <v/>
      </c>
    </row>
    <row r="44" spans="15:39" x14ac:dyDescent="0.2">
      <c r="O44" s="16">
        <v>32</v>
      </c>
      <c r="P44" s="49" t="str">
        <f>IFERROR(Calculations!BS92,"")</f>
        <v/>
      </c>
      <c r="Q44" s="16"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16" t="str">
        <f>Calculations!N92</f>
        <v/>
      </c>
      <c r="S44" s="16" t="str">
        <f>IFERROR($Q44+(-IF($P44="channel",Calculations!BU92,Calculations!BX92)/2)*COS(RADIANS(Calculations!D92))+(-IF($P44="channel",Calculations!BT92,Calculations!BW92)/2)*SIN(RADIANS(Calculations!D92)),"")</f>
        <v/>
      </c>
      <c r="T44" s="16" t="str">
        <f>IF(P44="channel",Calculations!S92,Calculations!O92)</f>
        <v/>
      </c>
      <c r="U44" s="16" t="str">
        <f>IFERROR($Q44+(IF($P44="channel",Calculations!BU92,Calculations!BX92)/2)*COS(RADIANS(Calculations!D92))+(-IF($P44="channel",Calculations!BT92,Calculations!BW92)/2)*SIN(RADIANS(Calculations!D92)),"")</f>
        <v/>
      </c>
      <c r="V44" s="16" t="str">
        <f>IF(P44="channel",Calculations!T92,Calculations!P92)</f>
        <v/>
      </c>
      <c r="W44" s="16" t="str">
        <f>IFERROR($Q44+(IF($P44="channel",Calculations!BU92,Calculations!BX92)/2)*COS(RADIANS(Calculations!D92))+(IF($P44="channel",Calculations!BT92,Calculations!BW92)/2)*SIN(RADIANS(Calculations!D92)),"")</f>
        <v/>
      </c>
      <c r="X44" s="16" t="str">
        <f>IF(P44="channel",Calculations!U92,Calculations!Q92)</f>
        <v/>
      </c>
      <c r="Y44" s="16" t="str">
        <f>IFERROR($Q44+(-IF($P44="channel",Calculations!BU92,Calculations!BX92)/2)*COS(RADIANS(Calculations!D92))+(IF($P44="channel",Calculations!BT92,Calculations!BW92)/2)*SIN(RADIANS(Calculations!D92)),"")</f>
        <v/>
      </c>
      <c r="Z44" s="16" t="str">
        <f>IF(P44="channel",Calculations!V92,Calculations!R92)</f>
        <v/>
      </c>
      <c r="AA44" s="16" t="str">
        <f>IFERROR($AI44+(-AK44/2)*COS(RADIANS(Calculations!D92))+(-AL44/2)*SIN(RADIANS(Calculations!D92)),"")</f>
        <v/>
      </c>
      <c r="AB44" s="16" t="str">
        <f>IFERROR(AJ44+(-AK44/2)*SIN(RADIANS(Calculations!D92))+(AL44/2)*COS(RADIANS(Calculations!D92)),"")</f>
        <v/>
      </c>
      <c r="AC44" s="16" t="str">
        <f>IFERROR($AI44+(AK44/2)*COS(RADIANS(Calculations!D92))+(-AL44/2)*SIN(RADIANS(Calculations!D92)),"")</f>
        <v/>
      </c>
      <c r="AD44" s="16" t="str">
        <f>IFERROR(AJ44+(AK44/2)*SIN(RADIANS(Calculations!D92))+(AL44/2)*COS(RADIANS(Calculations!D92)),"")</f>
        <v/>
      </c>
      <c r="AE44" t="str">
        <f>IFERROR($AI44+(AK44/2)*COS(RADIANS(Calculations!D92))+(AL44/2)*SIN(RADIANS(Calculations!D92)),"")</f>
        <v/>
      </c>
      <c r="AF44" t="str">
        <f>IFERROR(AJ44+(AK44/2)*SIN(RADIANS(Calculations!D92))+(-AL44/2)*COS(RADIANS(Calculations!D92)),"")</f>
        <v/>
      </c>
      <c r="AG44" t="str">
        <f>IFERROR($AI44+(-AK44/2)*COS(RADIANS(Calculations!D92))+(AL44/2)*SIN(RADIANS(Calculations!D92)),"")</f>
        <v/>
      </c>
      <c r="AH44" t="str">
        <f>IFERROR(AJ44+(-AK44/2)*SIN(RADIANS(Calculations!D92))+(-AL44/2)*COS(RADIANS(Calculations!D92)),"")</f>
        <v/>
      </c>
      <c r="AI44" s="49"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t="e">
        <f>Calculations!BU92-Calculations!DI92</f>
        <v>#N/A</v>
      </c>
      <c r="AL44" t="e">
        <f>Calculations!BT92-2*Calculations!DL92</f>
        <v>#N/A</v>
      </c>
      <c r="AM44" t="str">
        <f>IF(P44="solid round",Calculations!BT92,"")</f>
        <v/>
      </c>
    </row>
    <row r="45" spans="15:39" x14ac:dyDescent="0.2">
      <c r="O45" s="16">
        <v>33</v>
      </c>
      <c r="P45" s="49" t="str">
        <f>IFERROR(Calculations!BS93,"")</f>
        <v/>
      </c>
      <c r="Q45" s="16"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16" t="str">
        <f>Calculations!N93</f>
        <v/>
      </c>
      <c r="S45" s="16" t="str">
        <f>IFERROR($Q45+(-IF($P45="channel",Calculations!BU93,Calculations!BX93)/2)*COS(RADIANS(Calculations!D93))+(-IF($P45="channel",Calculations!BT93,Calculations!BW93)/2)*SIN(RADIANS(Calculations!D93)),"")</f>
        <v/>
      </c>
      <c r="T45" s="16" t="str">
        <f>IF(P45="channel",Calculations!S93,Calculations!O93)</f>
        <v/>
      </c>
      <c r="U45" s="16" t="str">
        <f>IFERROR($Q45+(IF($P45="channel",Calculations!BU93,Calculations!BX93)/2)*COS(RADIANS(Calculations!D93))+(-IF($P45="channel",Calculations!BT93,Calculations!BW93)/2)*SIN(RADIANS(Calculations!D93)),"")</f>
        <v/>
      </c>
      <c r="V45" s="16" t="str">
        <f>IF(P45="channel",Calculations!T93,Calculations!P93)</f>
        <v/>
      </c>
      <c r="W45" s="16" t="str">
        <f>IFERROR($Q45+(IF($P45="channel",Calculations!BU93,Calculations!BX93)/2)*COS(RADIANS(Calculations!D93))+(IF($P45="channel",Calculations!BT93,Calculations!BW93)/2)*SIN(RADIANS(Calculations!D93)),"")</f>
        <v/>
      </c>
      <c r="X45" s="16" t="str">
        <f>IF(P45="channel",Calculations!U93,Calculations!Q93)</f>
        <v/>
      </c>
      <c r="Y45" s="16" t="str">
        <f>IFERROR($Q45+(-IF($P45="channel",Calculations!BU93,Calculations!BX93)/2)*COS(RADIANS(Calculations!D93))+(IF($P45="channel",Calculations!BT93,Calculations!BW93)/2)*SIN(RADIANS(Calculations!D93)),"")</f>
        <v/>
      </c>
      <c r="Z45" s="16" t="str">
        <f>IF(P45="channel",Calculations!V93,Calculations!R93)</f>
        <v/>
      </c>
      <c r="AA45" s="16" t="str">
        <f>IFERROR($AI45+(-AK45/2)*COS(RADIANS(Calculations!D93))+(-AL45/2)*SIN(RADIANS(Calculations!D93)),"")</f>
        <v/>
      </c>
      <c r="AB45" s="16" t="str">
        <f>IFERROR(AJ45+(-AK45/2)*SIN(RADIANS(Calculations!D93))+(AL45/2)*COS(RADIANS(Calculations!D93)),"")</f>
        <v/>
      </c>
      <c r="AC45" s="16" t="str">
        <f>IFERROR($AI45+(AK45/2)*COS(RADIANS(Calculations!D93))+(-AL45/2)*SIN(RADIANS(Calculations!D93)),"")</f>
        <v/>
      </c>
      <c r="AD45" s="16" t="str">
        <f>IFERROR(AJ45+(AK45/2)*SIN(RADIANS(Calculations!D93))+(AL45/2)*COS(RADIANS(Calculations!D93)),"")</f>
        <v/>
      </c>
      <c r="AE45" t="str">
        <f>IFERROR($AI45+(AK45/2)*COS(RADIANS(Calculations!D93))+(AL45/2)*SIN(RADIANS(Calculations!D93)),"")</f>
        <v/>
      </c>
      <c r="AF45" t="str">
        <f>IFERROR(AJ45+(AK45/2)*SIN(RADIANS(Calculations!D93))+(-AL45/2)*COS(RADIANS(Calculations!D93)),"")</f>
        <v/>
      </c>
      <c r="AG45" t="str">
        <f>IFERROR($AI45+(-AK45/2)*COS(RADIANS(Calculations!D93))+(AL45/2)*SIN(RADIANS(Calculations!D93)),"")</f>
        <v/>
      </c>
      <c r="AH45" t="str">
        <f>IFERROR(AJ45+(-AK45/2)*SIN(RADIANS(Calculations!D93))+(-AL45/2)*COS(RADIANS(Calculations!D93)),"")</f>
        <v/>
      </c>
      <c r="AI45" s="49"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t="e">
        <f>Calculations!BU93-Calculations!DI93</f>
        <v>#N/A</v>
      </c>
      <c r="AL45" t="e">
        <f>Calculations!BT93-2*Calculations!DL93</f>
        <v>#N/A</v>
      </c>
      <c r="AM45" t="str">
        <f>IF(P45="solid round",Calculations!BT93,"")</f>
        <v/>
      </c>
    </row>
    <row r="46" spans="15:39" x14ac:dyDescent="0.2">
      <c r="O46" s="16">
        <v>34</v>
      </c>
      <c r="P46" s="49" t="str">
        <f>IFERROR(Calculations!BS94,"")</f>
        <v/>
      </c>
      <c r="Q46" s="16"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16" t="str">
        <f>Calculations!N94</f>
        <v/>
      </c>
      <c r="S46" s="16" t="str">
        <f>IFERROR($Q46+(-IF($P46="channel",Calculations!BU94,Calculations!BX94)/2)*COS(RADIANS(Calculations!D94))+(-IF($P46="channel",Calculations!BT94,Calculations!BW94)/2)*SIN(RADIANS(Calculations!D94)),"")</f>
        <v/>
      </c>
      <c r="T46" s="16" t="str">
        <f>IF(P46="channel",Calculations!S94,Calculations!O94)</f>
        <v/>
      </c>
      <c r="U46" s="16" t="str">
        <f>IFERROR($Q46+(IF($P46="channel",Calculations!BU94,Calculations!BX94)/2)*COS(RADIANS(Calculations!D94))+(-IF($P46="channel",Calculations!BT94,Calculations!BW94)/2)*SIN(RADIANS(Calculations!D94)),"")</f>
        <v/>
      </c>
      <c r="V46" s="16" t="str">
        <f>IF(P46="channel",Calculations!T94,Calculations!P94)</f>
        <v/>
      </c>
      <c r="W46" s="16" t="str">
        <f>IFERROR($Q46+(IF($P46="channel",Calculations!BU94,Calculations!BX94)/2)*COS(RADIANS(Calculations!D94))+(IF($P46="channel",Calculations!BT94,Calculations!BW94)/2)*SIN(RADIANS(Calculations!D94)),"")</f>
        <v/>
      </c>
      <c r="X46" s="16" t="str">
        <f>IF(P46="channel",Calculations!U94,Calculations!Q94)</f>
        <v/>
      </c>
      <c r="Y46" s="16" t="str">
        <f>IFERROR($Q46+(-IF($P46="channel",Calculations!BU94,Calculations!BX94)/2)*COS(RADIANS(Calculations!D94))+(IF($P46="channel",Calculations!BT94,Calculations!BW94)/2)*SIN(RADIANS(Calculations!D94)),"")</f>
        <v/>
      </c>
      <c r="Z46" s="16" t="str">
        <f>IF(P46="channel",Calculations!V94,Calculations!R94)</f>
        <v/>
      </c>
      <c r="AA46" s="16" t="str">
        <f>IFERROR($AI46+(-AK46/2)*COS(RADIANS(Calculations!D94))+(-AL46/2)*SIN(RADIANS(Calculations!D94)),"")</f>
        <v/>
      </c>
      <c r="AB46" s="16" t="str">
        <f>IFERROR(AJ46+(-AK46/2)*SIN(RADIANS(Calculations!D94))+(AL46/2)*COS(RADIANS(Calculations!D94)),"")</f>
        <v/>
      </c>
      <c r="AC46" s="16" t="str">
        <f>IFERROR($AI46+(AK46/2)*COS(RADIANS(Calculations!D94))+(-AL46/2)*SIN(RADIANS(Calculations!D94)),"")</f>
        <v/>
      </c>
      <c r="AD46" s="16" t="str">
        <f>IFERROR(AJ46+(AK46/2)*SIN(RADIANS(Calculations!D94))+(AL46/2)*COS(RADIANS(Calculations!D94)),"")</f>
        <v/>
      </c>
      <c r="AE46" t="str">
        <f>IFERROR($AI46+(AK46/2)*COS(RADIANS(Calculations!D94))+(AL46/2)*SIN(RADIANS(Calculations!D94)),"")</f>
        <v/>
      </c>
      <c r="AF46" t="str">
        <f>IFERROR(AJ46+(AK46/2)*SIN(RADIANS(Calculations!D94))+(-AL46/2)*COS(RADIANS(Calculations!D94)),"")</f>
        <v/>
      </c>
      <c r="AG46" t="str">
        <f>IFERROR($AI46+(-AK46/2)*COS(RADIANS(Calculations!D94))+(AL46/2)*SIN(RADIANS(Calculations!D94)),"")</f>
        <v/>
      </c>
      <c r="AH46" t="str">
        <f>IFERROR(AJ46+(-AK46/2)*SIN(RADIANS(Calculations!D94))+(-AL46/2)*COS(RADIANS(Calculations!D94)),"")</f>
        <v/>
      </c>
      <c r="AI46" s="49"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t="e">
        <f>Calculations!BU94-Calculations!DI94</f>
        <v>#N/A</v>
      </c>
      <c r="AL46" t="e">
        <f>Calculations!BT94-2*Calculations!DL94</f>
        <v>#N/A</v>
      </c>
      <c r="AM46" t="str">
        <f>IF(P46="solid round",Calculations!BT94,"")</f>
        <v/>
      </c>
    </row>
    <row r="47" spans="15:39" x14ac:dyDescent="0.2">
      <c r="O47" s="16">
        <v>35</v>
      </c>
      <c r="P47" s="49" t="str">
        <f>IFERROR(Calculations!BS95,"")</f>
        <v/>
      </c>
      <c r="Q47" s="16"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16" t="str">
        <f>Calculations!N95</f>
        <v/>
      </c>
      <c r="S47" s="16" t="str">
        <f>IFERROR($Q47+(-IF($P47="channel",Calculations!BU95,Calculations!BX95)/2)*COS(RADIANS(Calculations!D95))+(-IF($P47="channel",Calculations!BT95,Calculations!BW95)/2)*SIN(RADIANS(Calculations!D95)),"")</f>
        <v/>
      </c>
      <c r="T47" s="16" t="str">
        <f>IF(P47="channel",Calculations!S95,Calculations!O95)</f>
        <v/>
      </c>
      <c r="U47" s="16" t="str">
        <f>IFERROR($Q47+(IF($P47="channel",Calculations!BU95,Calculations!BX95)/2)*COS(RADIANS(Calculations!D95))+(-IF($P47="channel",Calculations!BT95,Calculations!BW95)/2)*SIN(RADIANS(Calculations!D95)),"")</f>
        <v/>
      </c>
      <c r="V47" s="16" t="str">
        <f>IF(P47="channel",Calculations!T95,Calculations!P95)</f>
        <v/>
      </c>
      <c r="W47" s="16" t="str">
        <f>IFERROR($Q47+(IF($P47="channel",Calculations!BU95,Calculations!BX95)/2)*COS(RADIANS(Calculations!D95))+(IF($P47="channel",Calculations!BT95,Calculations!BW95)/2)*SIN(RADIANS(Calculations!D95)),"")</f>
        <v/>
      </c>
      <c r="X47" s="16" t="str">
        <f>IF(P47="channel",Calculations!U95,Calculations!Q95)</f>
        <v/>
      </c>
      <c r="Y47" s="16" t="str">
        <f>IFERROR($Q47+(-IF($P47="channel",Calculations!BU95,Calculations!BX95)/2)*COS(RADIANS(Calculations!D95))+(IF($P47="channel",Calculations!BT95,Calculations!BW95)/2)*SIN(RADIANS(Calculations!D95)),"")</f>
        <v/>
      </c>
      <c r="Z47" s="16" t="str">
        <f>IF(P47="channel",Calculations!V95,Calculations!R95)</f>
        <v/>
      </c>
      <c r="AA47" s="16" t="str">
        <f>IFERROR($AI47+(-AK47/2)*COS(RADIANS(Calculations!D95))+(-AL47/2)*SIN(RADIANS(Calculations!D95)),"")</f>
        <v/>
      </c>
      <c r="AB47" s="16" t="str">
        <f>IFERROR(AJ47+(-AK47/2)*SIN(RADIANS(Calculations!D95))+(AL47/2)*COS(RADIANS(Calculations!D95)),"")</f>
        <v/>
      </c>
      <c r="AC47" s="16" t="str">
        <f>IFERROR($AI47+(AK47/2)*COS(RADIANS(Calculations!D95))+(-AL47/2)*SIN(RADIANS(Calculations!D95)),"")</f>
        <v/>
      </c>
      <c r="AD47" s="16" t="str">
        <f>IFERROR(AJ47+(AK47/2)*SIN(RADIANS(Calculations!D95))+(AL47/2)*COS(RADIANS(Calculations!D95)),"")</f>
        <v/>
      </c>
      <c r="AE47" t="str">
        <f>IFERROR($AI47+(AK47/2)*COS(RADIANS(Calculations!D95))+(AL47/2)*SIN(RADIANS(Calculations!D95)),"")</f>
        <v/>
      </c>
      <c r="AF47" t="str">
        <f>IFERROR(AJ47+(AK47/2)*SIN(RADIANS(Calculations!D95))+(-AL47/2)*COS(RADIANS(Calculations!D95)),"")</f>
        <v/>
      </c>
      <c r="AG47" t="str">
        <f>IFERROR($AI47+(-AK47/2)*COS(RADIANS(Calculations!D95))+(AL47/2)*SIN(RADIANS(Calculations!D95)),"")</f>
        <v/>
      </c>
      <c r="AH47" t="str">
        <f>IFERROR(AJ47+(-AK47/2)*SIN(RADIANS(Calculations!D95))+(-AL47/2)*COS(RADIANS(Calculations!D95)),"")</f>
        <v/>
      </c>
      <c r="AI47" s="49"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t="e">
        <f>Calculations!BU95-Calculations!DI95</f>
        <v>#N/A</v>
      </c>
      <c r="AL47" t="e">
        <f>Calculations!BT95-2*Calculations!DL95</f>
        <v>#N/A</v>
      </c>
      <c r="AM47" t="str">
        <f>IF(P47="solid round",Calculations!BT95,"")</f>
        <v/>
      </c>
    </row>
    <row r="48" spans="15:39" x14ac:dyDescent="0.2">
      <c r="O48" s="16">
        <v>36</v>
      </c>
      <c r="P48" s="49" t="str">
        <f>IFERROR(Calculations!BS96,"")</f>
        <v/>
      </c>
      <c r="Q48" s="16"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16" t="str">
        <f>Calculations!N96</f>
        <v/>
      </c>
      <c r="S48" s="16" t="str">
        <f>IFERROR($Q48+(-IF($P48="channel",Calculations!BU96,Calculations!BX96)/2)*COS(RADIANS(Calculations!D96))+(-IF($P48="channel",Calculations!BT96,Calculations!BW96)/2)*SIN(RADIANS(Calculations!D96)),"")</f>
        <v/>
      </c>
      <c r="T48" s="16" t="str">
        <f>IF(P48="channel",Calculations!S96,Calculations!O96)</f>
        <v/>
      </c>
      <c r="U48" s="16" t="str">
        <f>IFERROR($Q48+(IF($P48="channel",Calculations!BU96,Calculations!BX96)/2)*COS(RADIANS(Calculations!D96))+(-IF($P48="channel",Calculations!BT96,Calculations!BW96)/2)*SIN(RADIANS(Calculations!D96)),"")</f>
        <v/>
      </c>
      <c r="V48" s="16" t="str">
        <f>IF(P48="channel",Calculations!T96,Calculations!P96)</f>
        <v/>
      </c>
      <c r="W48" s="16" t="str">
        <f>IFERROR($Q48+(IF($P48="channel",Calculations!BU96,Calculations!BX96)/2)*COS(RADIANS(Calculations!D96))+(IF($P48="channel",Calculations!BT96,Calculations!BW96)/2)*SIN(RADIANS(Calculations!D96)),"")</f>
        <v/>
      </c>
      <c r="X48" s="16" t="str">
        <f>IF(P48="channel",Calculations!U96,Calculations!Q96)</f>
        <v/>
      </c>
      <c r="Y48" s="16" t="str">
        <f>IFERROR($Q48+(-IF($P48="channel",Calculations!BU96,Calculations!BX96)/2)*COS(RADIANS(Calculations!D96))+(IF($P48="channel",Calculations!BT96,Calculations!BW96)/2)*SIN(RADIANS(Calculations!D96)),"")</f>
        <v/>
      </c>
      <c r="Z48" s="16" t="str">
        <f>IF(P48="channel",Calculations!V96,Calculations!R96)</f>
        <v/>
      </c>
      <c r="AA48" s="16" t="str">
        <f>IFERROR($AI48+(-AK48/2)*COS(RADIANS(Calculations!D96))+(-AL48/2)*SIN(RADIANS(Calculations!D96)),"")</f>
        <v/>
      </c>
      <c r="AB48" s="16" t="str">
        <f>IFERROR(AJ48+(-AK48/2)*SIN(RADIANS(Calculations!D96))+(AL48/2)*COS(RADIANS(Calculations!D96)),"")</f>
        <v/>
      </c>
      <c r="AC48" s="16" t="str">
        <f>IFERROR($AI48+(AK48/2)*COS(RADIANS(Calculations!D96))+(-AL48/2)*SIN(RADIANS(Calculations!D96)),"")</f>
        <v/>
      </c>
      <c r="AD48" s="16" t="str">
        <f>IFERROR(AJ48+(AK48/2)*SIN(RADIANS(Calculations!D96))+(AL48/2)*COS(RADIANS(Calculations!D96)),"")</f>
        <v/>
      </c>
      <c r="AE48" t="str">
        <f>IFERROR($AI48+(AK48/2)*COS(RADIANS(Calculations!D96))+(AL48/2)*SIN(RADIANS(Calculations!D96)),"")</f>
        <v/>
      </c>
      <c r="AF48" t="str">
        <f>IFERROR(AJ48+(AK48/2)*SIN(RADIANS(Calculations!D96))+(-AL48/2)*COS(RADIANS(Calculations!D96)),"")</f>
        <v/>
      </c>
      <c r="AG48" t="str">
        <f>IFERROR($AI48+(-AK48/2)*COS(RADIANS(Calculations!D96))+(AL48/2)*SIN(RADIANS(Calculations!D96)),"")</f>
        <v/>
      </c>
      <c r="AH48" t="str">
        <f>IFERROR(AJ48+(-AK48/2)*SIN(RADIANS(Calculations!D96))+(-AL48/2)*COS(RADIANS(Calculations!D96)),"")</f>
        <v/>
      </c>
      <c r="AI48" s="49"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t="e">
        <f>Calculations!BU96-Calculations!DI96</f>
        <v>#N/A</v>
      </c>
      <c r="AL48" t="e">
        <f>Calculations!BT96-2*Calculations!DL96</f>
        <v>#N/A</v>
      </c>
      <c r="AM48" t="str">
        <f>IF(P48="solid round",Calculations!BT96,"")</f>
        <v/>
      </c>
    </row>
    <row r="49" spans="15:35" x14ac:dyDescent="0.2">
      <c r="R49" s="16"/>
      <c r="S49" s="16"/>
      <c r="T49" s="16"/>
      <c r="U49" s="16"/>
      <c r="V49" s="16"/>
      <c r="W49" s="16"/>
      <c r="X49" s="16"/>
      <c r="Y49" s="16"/>
      <c r="Z49" s="16"/>
      <c r="AA49" s="16"/>
      <c r="AB49" s="16"/>
      <c r="AC49" s="16"/>
      <c r="AD49" s="16"/>
      <c r="AI49" s="49"/>
    </row>
    <row r="50" spans="15:35" x14ac:dyDescent="0.2">
      <c r="O50" s="139" t="s">
        <v>2100</v>
      </c>
      <c r="Q50" s="16"/>
      <c r="R50" s="16"/>
      <c r="S50" s="16"/>
      <c r="T50" s="16"/>
      <c r="U50" s="16"/>
      <c r="V50" s="16"/>
      <c r="W50" s="16"/>
      <c r="X50" s="16"/>
      <c r="Y50" s="16"/>
      <c r="Z50" s="16"/>
      <c r="AA50" s="16"/>
      <c r="AB50" s="16"/>
      <c r="AC50" s="16"/>
      <c r="AD50" s="16"/>
    </row>
    <row r="51" spans="15:35" x14ac:dyDescent="0.2">
      <c r="O51" s="16" t="s">
        <v>2132</v>
      </c>
      <c r="Q51" s="16" t="s">
        <v>2110</v>
      </c>
      <c r="R51" s="16" t="s">
        <v>2111</v>
      </c>
      <c r="S51" s="16" t="s">
        <v>2112</v>
      </c>
      <c r="T51" s="16" t="s">
        <v>2113</v>
      </c>
      <c r="U51" s="16" t="s">
        <v>2114</v>
      </c>
      <c r="V51" s="16" t="s">
        <v>558</v>
      </c>
      <c r="W51" s="16" t="s">
        <v>2115</v>
      </c>
      <c r="X51" s="16" t="s">
        <v>2116</v>
      </c>
      <c r="Y51" s="16" t="s">
        <v>2117</v>
      </c>
      <c r="Z51" s="16" t="s">
        <v>2118</v>
      </c>
    </row>
    <row r="52" spans="15:35" x14ac:dyDescent="0.2">
      <c r="O52" s="16">
        <v>1</v>
      </c>
      <c r="Q52" t="str">
        <f>IFERROR((Calculations!$D$20-Calculations!$D$10/2)*COS(RADIANS(Calculations!D40)),"")</f>
        <v/>
      </c>
      <c r="R52" t="str">
        <f>Calculations!N40</f>
        <v/>
      </c>
      <c r="S52" s="16" t="str">
        <f>IFERROR(Q52+(-Calculations!$D$10/2)*COS(RADIANS(Calculations!D40))+(-Calculations!$D$23/2)*SIN(RADIANS(Calculations!D40)),"")</f>
        <v/>
      </c>
      <c r="T52" s="16"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16">
        <v>2</v>
      </c>
      <c r="Q53" t="str">
        <f>IFERROR((Calculations!$D$20-Calculations!$D$10/2)*COS(RADIANS(Calculations!D41)),"")</f>
        <v/>
      </c>
      <c r="R53" t="str">
        <f>Calculations!N41</f>
        <v/>
      </c>
      <c r="S53" s="16" t="str">
        <f>IFERROR(Q53+(-Calculations!$D$10/2)*COS(RADIANS(Calculations!D41))+(-Calculations!$D$23/2)*SIN(RADIANS(Calculations!D41)),"")</f>
        <v/>
      </c>
      <c r="T53" s="16" t="str">
        <f>Calculations!O41</f>
        <v/>
      </c>
      <c r="U53" t="str">
        <f>IFERROR(Q53+(Calculations!$D$10/2)*COS(RADIANS(Calculations!D41))+(-Calculations!$D$23/2)*SIN(RADIANS(Calculations!D41)),"")</f>
        <v/>
      </c>
      <c r="V53" t="str">
        <f>Calculations!P41</f>
        <v/>
      </c>
      <c r="W53" t="str">
        <f>IFERROR(Q53+(Calculations!$D$10/2)*COS(RADIANS(Calculations!D41))+(Calculations!$D$23/2)*SIN(RADIANS(Calculations!D41)),"")</f>
        <v/>
      </c>
      <c r="X53" t="str">
        <f>Calculations!Q41</f>
        <v/>
      </c>
      <c r="Y53" t="str">
        <f>IFERROR(Q53+(-Calculations!$D$10/2)*COS(RADIANS(Calculations!D41))+(Calculations!$D$23/2)*SIN(RADIANS(Calculations!D41)),"")</f>
        <v/>
      </c>
      <c r="Z53" t="str">
        <f>Calculations!R41</f>
        <v/>
      </c>
    </row>
    <row r="54" spans="15:35" x14ac:dyDescent="0.2">
      <c r="O54" s="16">
        <v>3</v>
      </c>
      <c r="Q54" t="str">
        <f>IFERROR((Calculations!$D$20-Calculations!$D$10/2)*COS(RADIANS(Calculations!D42)),"")</f>
        <v/>
      </c>
      <c r="R54" t="str">
        <f>Calculations!N42</f>
        <v/>
      </c>
      <c r="S54" s="16" t="str">
        <f>IFERROR(Q54+(-Calculations!$D$10/2)*COS(RADIANS(Calculations!D42))+(-Calculations!$D$23/2)*SIN(RADIANS(Calculations!D42)),"")</f>
        <v/>
      </c>
      <c r="T54" s="16" t="str">
        <f>Calculations!O42</f>
        <v/>
      </c>
      <c r="U54" t="str">
        <f>IFERROR(Q54+(Calculations!$D$10/2)*COS(RADIANS(Calculations!D42))+(-Calculations!$D$23/2)*SIN(RADIANS(Calculations!D42)),"")</f>
        <v/>
      </c>
      <c r="V54" t="str">
        <f>Calculations!P42</f>
        <v/>
      </c>
      <c r="W54" t="str">
        <f>IFERROR(Q54+(Calculations!$D$10/2)*COS(RADIANS(Calculations!D42))+(Calculations!$D$23/2)*SIN(RADIANS(Calculations!D42)),"")</f>
        <v/>
      </c>
      <c r="X54" t="str">
        <f>Calculations!Q42</f>
        <v/>
      </c>
      <c r="Y54" t="str">
        <f>IFERROR(Q54+(-Calculations!$D$10/2)*COS(RADIANS(Calculations!D42))+(Calculations!$D$23/2)*SIN(RADIANS(Calculations!D42)),"")</f>
        <v/>
      </c>
      <c r="Z54" t="str">
        <f>Calculations!R42</f>
        <v/>
      </c>
    </row>
    <row r="55" spans="15:35" x14ac:dyDescent="0.2">
      <c r="O55" s="16">
        <v>4</v>
      </c>
      <c r="Q55" t="str">
        <f>IFERROR((Calculations!$D$20-Calculations!$D$10/2)*COS(RADIANS(Calculations!D43)),"")</f>
        <v/>
      </c>
      <c r="R55" t="str">
        <f>Calculations!N43</f>
        <v/>
      </c>
      <c r="S55" s="16" t="str">
        <f>IFERROR(Q55+(-Calculations!$D$10/2)*COS(RADIANS(Calculations!D43))+(-Calculations!$D$23/2)*SIN(RADIANS(Calculations!D43)),"")</f>
        <v/>
      </c>
      <c r="T55" s="16" t="str">
        <f>Calculations!O43</f>
        <v/>
      </c>
      <c r="U55" t="str">
        <f>IFERROR(Q55+(Calculations!$D$10/2)*COS(RADIANS(Calculations!D43))+(-Calculations!$D$23/2)*SIN(RADIANS(Calculations!D43)),"")</f>
        <v/>
      </c>
      <c r="V55" t="str">
        <f>Calculations!P43</f>
        <v/>
      </c>
      <c r="W55" t="str">
        <f>IFERROR(Q55+(Calculations!$D$10/2)*COS(RADIANS(Calculations!D43))+(Calculations!$D$23/2)*SIN(RADIANS(Calculations!D43)),"")</f>
        <v/>
      </c>
      <c r="X55" t="str">
        <f>Calculations!Q43</f>
        <v/>
      </c>
      <c r="Y55" t="str">
        <f>IFERROR(Q55+(-Calculations!$D$10/2)*COS(RADIANS(Calculations!D43))+(Calculations!$D$23/2)*SIN(RADIANS(Calculations!D43)),"")</f>
        <v/>
      </c>
      <c r="Z55" t="str">
        <f>Calculations!R43</f>
        <v/>
      </c>
    </row>
    <row r="56" spans="15:35" x14ac:dyDescent="0.2">
      <c r="O56" s="16">
        <v>5</v>
      </c>
      <c r="Q56" t="str">
        <f>IFERROR((Calculations!$D$20-Calculations!$D$10/2)*COS(RADIANS(Calculations!D44)),"")</f>
        <v/>
      </c>
      <c r="R56" t="str">
        <f>Calculations!N44</f>
        <v/>
      </c>
      <c r="S56" s="16" t="str">
        <f>IFERROR(Q56+(-Calculations!$D$10/2)*COS(RADIANS(Calculations!D44))+(-Calculations!$D$23/2)*SIN(RADIANS(Calculations!D44)),"")</f>
        <v/>
      </c>
      <c r="T56" s="16" t="str">
        <f>Calculations!O44</f>
        <v/>
      </c>
      <c r="U56" t="str">
        <f>IFERROR(Q56+(Calculations!$D$10/2)*COS(RADIANS(Calculations!D44))+(-Calculations!$D$23/2)*SIN(RADIANS(Calculations!D44)),"")</f>
        <v/>
      </c>
      <c r="V56" t="str">
        <f>Calculations!P44</f>
        <v/>
      </c>
      <c r="W56" t="str">
        <f>IFERROR(Q56+(Calculations!$D$10/2)*COS(RADIANS(Calculations!D44))+(Calculations!$D$23/2)*SIN(RADIANS(Calculations!D44)),"")</f>
        <v/>
      </c>
      <c r="X56" t="str">
        <f>Calculations!Q44</f>
        <v/>
      </c>
      <c r="Y56" t="str">
        <f>IFERROR(Q56+(-Calculations!$D$10/2)*COS(RADIANS(Calculations!D44))+(Calculations!$D$23/2)*SIN(RADIANS(Calculations!D44)),"")</f>
        <v/>
      </c>
      <c r="Z56" t="str">
        <f>Calculations!R44</f>
        <v/>
      </c>
    </row>
    <row r="57" spans="15:35" x14ac:dyDescent="0.2">
      <c r="O57" s="16">
        <v>6</v>
      </c>
      <c r="Q57" t="str">
        <f>IFERROR((Calculations!$D$20-Calculations!$D$10/2)*COS(RADIANS(Calculations!D45)),"")</f>
        <v/>
      </c>
      <c r="R57" t="str">
        <f>Calculations!N45</f>
        <v/>
      </c>
      <c r="S57" s="16" t="str">
        <f>IFERROR(Q57+(-Calculations!$D$10/2)*COS(RADIANS(Calculations!D45))+(-Calculations!$D$23/2)*SIN(RADIANS(Calculations!D45)),"")</f>
        <v/>
      </c>
      <c r="T57" s="16" t="str">
        <f>Calculations!O45</f>
        <v/>
      </c>
      <c r="U57" t="str">
        <f>IFERROR(Q57+(Calculations!$D$10/2)*COS(RADIANS(Calculations!D45))+(-Calculations!$D$23/2)*SIN(RADIANS(Calculations!D45)),"")</f>
        <v/>
      </c>
      <c r="V57" t="str">
        <f>Calculations!P45</f>
        <v/>
      </c>
      <c r="W57" t="str">
        <f>IFERROR(Q57+(Calculations!$D$10/2)*COS(RADIANS(Calculations!D45))+(Calculations!$D$23/2)*SIN(RADIANS(Calculations!D45)),"")</f>
        <v/>
      </c>
      <c r="X57" t="str">
        <f>Calculations!Q45</f>
        <v/>
      </c>
      <c r="Y57" t="str">
        <f>IFERROR(Q57+(-Calculations!$D$10/2)*COS(RADIANS(Calculations!D45))+(Calculations!$D$23/2)*SIN(RADIANS(Calculations!D45)),"")</f>
        <v/>
      </c>
      <c r="Z57" t="str">
        <f>Calculations!R45</f>
        <v/>
      </c>
    </row>
    <row r="58" spans="15:35" x14ac:dyDescent="0.2">
      <c r="O58" s="16">
        <v>7</v>
      </c>
      <c r="Q58" t="str">
        <f>IFERROR((Calculations!$D$20-Calculations!$D$10/2)*COS(RADIANS(Calculations!D46)),"")</f>
        <v/>
      </c>
      <c r="R58" t="str">
        <f>Calculations!N46</f>
        <v/>
      </c>
      <c r="S58" s="16" t="str">
        <f>IFERROR(Q58+(-Calculations!$D$10/2)*COS(RADIANS(Calculations!D46))+(-Calculations!$D$23/2)*SIN(RADIANS(Calculations!D46)),"")</f>
        <v/>
      </c>
      <c r="T58" s="16" t="str">
        <f>Calculations!O46</f>
        <v/>
      </c>
      <c r="U58" t="str">
        <f>IFERROR(Q58+(Calculations!$D$10/2)*COS(RADIANS(Calculations!D46))+(-Calculations!$D$23/2)*SIN(RADIANS(Calculations!D46)),"")</f>
        <v/>
      </c>
      <c r="V58" t="str">
        <f>Calculations!P46</f>
        <v/>
      </c>
      <c r="W58" t="str">
        <f>IFERROR(Q58+(Calculations!$D$10/2)*COS(RADIANS(Calculations!D46))+(Calculations!$D$23/2)*SIN(RADIANS(Calculations!D46)),"")</f>
        <v/>
      </c>
      <c r="X58" t="str">
        <f>Calculations!Q46</f>
        <v/>
      </c>
      <c r="Y58" t="str">
        <f>IFERROR(Q58+(-Calculations!$D$10/2)*COS(RADIANS(Calculations!D46))+(Calculations!$D$23/2)*SIN(RADIANS(Calculations!D46)),"")</f>
        <v/>
      </c>
      <c r="Z58" t="str">
        <f>Calculations!R46</f>
        <v/>
      </c>
    </row>
    <row r="59" spans="15:35" x14ac:dyDescent="0.2">
      <c r="O59" s="16">
        <v>8</v>
      </c>
      <c r="Q59" t="str">
        <f>IFERROR((Calculations!$D$20-Calculations!$D$10/2)*COS(RADIANS(Calculations!D47)),"")</f>
        <v/>
      </c>
      <c r="R59" t="str">
        <f>Calculations!N47</f>
        <v/>
      </c>
      <c r="S59" s="16" t="str">
        <f>IFERROR(Q59+(-Calculations!$D$10/2)*COS(RADIANS(Calculations!D47))+(-Calculations!$D$23/2)*SIN(RADIANS(Calculations!D47)),"")</f>
        <v/>
      </c>
      <c r="T59" s="16" t="str">
        <f>Calculations!O47</f>
        <v/>
      </c>
      <c r="U59" t="str">
        <f>IFERROR(Q59+(Calculations!$D$10/2)*COS(RADIANS(Calculations!D47))+(-Calculations!$D$23/2)*SIN(RADIANS(Calculations!D47)),"")</f>
        <v/>
      </c>
      <c r="V59" t="str">
        <f>Calculations!P47</f>
        <v/>
      </c>
      <c r="W59" t="str">
        <f>IFERROR(Q59+(Calculations!$D$10/2)*COS(RADIANS(Calculations!D47))+(Calculations!$D$23/2)*SIN(RADIANS(Calculations!D47)),"")</f>
        <v/>
      </c>
      <c r="X59" t="str">
        <f>Calculations!Q47</f>
        <v/>
      </c>
      <c r="Y59" t="str">
        <f>IFERROR(Q59+(-Calculations!$D$10/2)*COS(RADIANS(Calculations!D47))+(Calculations!$D$23/2)*SIN(RADIANS(Calculations!D47)),"")</f>
        <v/>
      </c>
      <c r="Z59" t="str">
        <f>Calculations!R47</f>
        <v/>
      </c>
    </row>
    <row r="60" spans="15:35" x14ac:dyDescent="0.2">
      <c r="O60" s="16">
        <v>9</v>
      </c>
      <c r="Q60" t="str">
        <f>IFERROR((Calculations!$D$20-Calculations!$D$10/2)*COS(RADIANS(Calculations!D48)),"")</f>
        <v/>
      </c>
      <c r="R60" t="str">
        <f>Calculations!N48</f>
        <v/>
      </c>
      <c r="S60" s="16" t="str">
        <f>IFERROR(Q60+(-Calculations!$D$10/2)*COS(RADIANS(Calculations!D48))+(-Calculations!$D$23/2)*SIN(RADIANS(Calculations!D48)),"")</f>
        <v/>
      </c>
      <c r="T60" s="16" t="str">
        <f>Calculations!O48</f>
        <v/>
      </c>
      <c r="U60" t="str">
        <f>IFERROR(Q60+(Calculations!$D$10/2)*COS(RADIANS(Calculations!D48))+(-Calculations!$D$23/2)*SIN(RADIANS(Calculations!D48)),"")</f>
        <v/>
      </c>
      <c r="V60" t="str">
        <f>Calculations!P48</f>
        <v/>
      </c>
      <c r="W60" t="str">
        <f>IFERROR(Q60+(Calculations!$D$10/2)*COS(RADIANS(Calculations!D48))+(Calculations!$D$23/2)*SIN(RADIANS(Calculations!D48)),"")</f>
        <v/>
      </c>
      <c r="X60" t="str">
        <f>Calculations!Q48</f>
        <v/>
      </c>
      <c r="Y60" t="str">
        <f>IFERROR(Q60+(-Calculations!$D$10/2)*COS(RADIANS(Calculations!D48))+(Calculations!$D$23/2)*SIN(RADIANS(Calculations!D48)),"")</f>
        <v/>
      </c>
      <c r="Z60" t="str">
        <f>Calculations!R48</f>
        <v/>
      </c>
    </row>
    <row r="61" spans="15:35" x14ac:dyDescent="0.2">
      <c r="O61" s="16">
        <v>10</v>
      </c>
      <c r="Q61" t="str">
        <f>IFERROR((Calculations!$D$20-Calculations!$D$10/2)*COS(RADIANS(Calculations!D49)),"")</f>
        <v/>
      </c>
      <c r="R61" t="str">
        <f>Calculations!N49</f>
        <v/>
      </c>
      <c r="S61" s="16" t="str">
        <f>IFERROR(Q61+(-Calculations!$D$10/2)*COS(RADIANS(Calculations!D49))+(-Calculations!$D$23/2)*SIN(RADIANS(Calculations!D49)),"")</f>
        <v/>
      </c>
      <c r="T61" s="16" t="str">
        <f>Calculations!O49</f>
        <v/>
      </c>
      <c r="U61" t="str">
        <f>IFERROR(Q61+(Calculations!$D$10/2)*COS(RADIANS(Calculations!D49))+(-Calculations!$D$23/2)*SIN(RADIANS(Calculations!D49)),"")</f>
        <v/>
      </c>
      <c r="V61" t="str">
        <f>Calculations!P49</f>
        <v/>
      </c>
      <c r="W61" t="str">
        <f>IFERROR(Q61+(Calculations!$D$10/2)*COS(RADIANS(Calculations!D49))+(Calculations!$D$23/2)*SIN(RADIANS(Calculations!D49)),"")</f>
        <v/>
      </c>
      <c r="X61" t="str">
        <f>Calculations!Q49</f>
        <v/>
      </c>
      <c r="Y61" t="str">
        <f>IFERROR(Q61+(-Calculations!$D$10/2)*COS(RADIANS(Calculations!D49))+(Calculations!$D$23/2)*SIN(RADIANS(Calculations!D49)),"")</f>
        <v/>
      </c>
      <c r="Z61" t="str">
        <f>Calculations!R49</f>
        <v/>
      </c>
    </row>
    <row r="62" spans="15:35" x14ac:dyDescent="0.2">
      <c r="O62" s="16">
        <v>11</v>
      </c>
      <c r="Q62" t="str">
        <f>IFERROR((Calculations!$D$20-Calculations!$D$10/2)*COS(RADIANS(Calculations!D50)),"")</f>
        <v/>
      </c>
      <c r="R62" t="str">
        <f>Calculations!N50</f>
        <v/>
      </c>
      <c r="S62" s="16" t="str">
        <f>IFERROR(Q62+(-Calculations!$D$10/2)*COS(RADIANS(Calculations!D50))+(-Calculations!$D$23/2)*SIN(RADIANS(Calculations!D50)),"")</f>
        <v/>
      </c>
      <c r="T62" s="16" t="str">
        <f>Calculations!O50</f>
        <v/>
      </c>
      <c r="U62" t="str">
        <f>IFERROR(Q62+(Calculations!$D$10/2)*COS(RADIANS(Calculations!D50))+(-Calculations!$D$23/2)*SIN(RADIANS(Calculations!D50)),"")</f>
        <v/>
      </c>
      <c r="V62" t="str">
        <f>Calculations!P50</f>
        <v/>
      </c>
      <c r="W62" t="str">
        <f>IFERROR(Q62+(Calculations!$D$10/2)*COS(RADIANS(Calculations!D50))+(Calculations!$D$23/2)*SIN(RADIANS(Calculations!D50)),"")</f>
        <v/>
      </c>
      <c r="X62" t="str">
        <f>Calculations!Q50</f>
        <v/>
      </c>
      <c r="Y62" t="str">
        <f>IFERROR(Q62+(-Calculations!$D$10/2)*COS(RADIANS(Calculations!D50))+(Calculations!$D$23/2)*SIN(RADIANS(Calculations!D50)),"")</f>
        <v/>
      </c>
      <c r="Z62" t="str">
        <f>Calculations!R50</f>
        <v/>
      </c>
    </row>
    <row r="63" spans="15:35" x14ac:dyDescent="0.2">
      <c r="O63" s="16">
        <v>12</v>
      </c>
      <c r="Q63" t="str">
        <f>IFERROR((Calculations!$D$20-Calculations!$D$10/2)*COS(RADIANS(Calculations!D51)),"")</f>
        <v/>
      </c>
      <c r="R63" t="str">
        <f>Calculations!N51</f>
        <v/>
      </c>
      <c r="S63" s="16" t="str">
        <f>IFERROR(Q63+(-Calculations!$D$10/2)*COS(RADIANS(Calculations!D51))+(-Calculations!$D$23/2)*SIN(RADIANS(Calculations!D51)),"")</f>
        <v/>
      </c>
      <c r="T63" s="16" t="str">
        <f>Calculations!O51</f>
        <v/>
      </c>
      <c r="U63" t="str">
        <f>IFERROR(Q63+(Calculations!$D$10/2)*COS(RADIANS(Calculations!D51))+(-Calculations!$D$23/2)*SIN(RADIANS(Calculations!D51)),"")</f>
        <v/>
      </c>
      <c r="V63" t="str">
        <f>Calculations!P51</f>
        <v/>
      </c>
      <c r="W63" t="str">
        <f>IFERROR(Q63+(Calculations!$D$10/2)*COS(RADIANS(Calculations!D51))+(Calculations!$D$23/2)*SIN(RADIANS(Calculations!D51)),"")</f>
        <v/>
      </c>
      <c r="X63" t="str">
        <f>Calculations!Q51</f>
        <v/>
      </c>
      <c r="Y63" t="str">
        <f>IFERROR(Q63+(-Calculations!$D$10/2)*COS(RADIANS(Calculations!D51))+(Calculations!$D$23/2)*SIN(RADIANS(Calculations!D51)),"")</f>
        <v/>
      </c>
      <c r="Z63" t="str">
        <f>Calculations!R51</f>
        <v/>
      </c>
    </row>
    <row r="64" spans="15:35" x14ac:dyDescent="0.2">
      <c r="O64" s="16">
        <v>13</v>
      </c>
      <c r="Q64" t="str">
        <f>IFERROR((Calculations!$D$20-Calculations!$D$10/2)*COS(RADIANS(Calculations!D52)),"")</f>
        <v/>
      </c>
      <c r="R64" t="str">
        <f>Calculations!N52</f>
        <v/>
      </c>
      <c r="S64" s="16" t="str">
        <f>IFERROR(Q64+(-Calculations!$D$10/2)*COS(RADIANS(Calculations!D52))+(-Calculations!$D$23/2)*SIN(RADIANS(Calculations!D52)),"")</f>
        <v/>
      </c>
      <c r="T64" s="16" t="str">
        <f>Calculations!O52</f>
        <v/>
      </c>
      <c r="U64" t="str">
        <f>IFERROR(Q64+(Calculations!$D$10/2)*COS(RADIANS(Calculations!D52))+(-Calculations!$D$23/2)*SIN(RADIANS(Calculations!D52)),"")</f>
        <v/>
      </c>
      <c r="V64" t="str">
        <f>Calculations!P52</f>
        <v/>
      </c>
      <c r="W64" t="str">
        <f>IFERROR(Q64+(Calculations!$D$10/2)*COS(RADIANS(Calculations!D52))+(Calculations!$D$23/2)*SIN(RADIANS(Calculations!D52)),"")</f>
        <v/>
      </c>
      <c r="X64" t="str">
        <f>Calculations!Q52</f>
        <v/>
      </c>
      <c r="Y64" t="str">
        <f>IFERROR(Q64+(-Calculations!$D$10/2)*COS(RADIANS(Calculations!D52))+(Calculations!$D$23/2)*SIN(RADIANS(Calculations!D52)),"")</f>
        <v/>
      </c>
      <c r="Z64" t="str">
        <f>Calculations!R52</f>
        <v/>
      </c>
    </row>
    <row r="65" spans="15:26" x14ac:dyDescent="0.2">
      <c r="O65" s="16">
        <v>14</v>
      </c>
      <c r="Q65" t="str">
        <f>IFERROR((Calculations!$D$20-Calculations!$D$10/2)*COS(RADIANS(Calculations!D53)),"")</f>
        <v/>
      </c>
      <c r="R65" t="str">
        <f>Calculations!N53</f>
        <v/>
      </c>
      <c r="S65" s="16" t="str">
        <f>IFERROR(Q65+(-Calculations!$D$10/2)*COS(RADIANS(Calculations!D53))+(-Calculations!$D$23/2)*SIN(RADIANS(Calculations!D53)),"")</f>
        <v/>
      </c>
      <c r="T65" s="16" t="str">
        <f>Calculations!O53</f>
        <v/>
      </c>
      <c r="U65" t="str">
        <f>IFERROR(Q65+(Calculations!$D$10/2)*COS(RADIANS(Calculations!D53))+(-Calculations!$D$23/2)*SIN(RADIANS(Calculations!D53)),"")</f>
        <v/>
      </c>
      <c r="V65" t="str">
        <f>Calculations!P53</f>
        <v/>
      </c>
      <c r="W65" t="str">
        <f>IFERROR(Q65+(Calculations!$D$10/2)*COS(RADIANS(Calculations!D53))+(Calculations!$D$23/2)*SIN(RADIANS(Calculations!D53)),"")</f>
        <v/>
      </c>
      <c r="X65" t="str">
        <f>Calculations!Q53</f>
        <v/>
      </c>
      <c r="Y65" t="str">
        <f>IFERROR(Q65+(-Calculations!$D$10/2)*COS(RADIANS(Calculations!D53))+(Calculations!$D$23/2)*SIN(RADIANS(Calculations!D53)),"")</f>
        <v/>
      </c>
      <c r="Z65" t="str">
        <f>Calculations!R53</f>
        <v/>
      </c>
    </row>
    <row r="66" spans="15:26" x14ac:dyDescent="0.2">
      <c r="O66" s="16">
        <v>15</v>
      </c>
      <c r="Q66" t="str">
        <f>IFERROR((Calculations!$D$20-Calculations!$D$10/2)*COS(RADIANS(Calculations!D54)),"")</f>
        <v/>
      </c>
      <c r="R66" t="str">
        <f>Calculations!N54</f>
        <v/>
      </c>
      <c r="S66" s="16" t="str">
        <f>IFERROR(Q66+(-Calculations!$D$10/2)*COS(RADIANS(Calculations!D54))+(-Calculations!$D$23/2)*SIN(RADIANS(Calculations!D54)),"")</f>
        <v/>
      </c>
      <c r="T66" s="16" t="str">
        <f>Calculations!O54</f>
        <v/>
      </c>
      <c r="U66" t="str">
        <f>IFERROR(Q66+(Calculations!$D$10/2)*COS(RADIANS(Calculations!D54))+(-Calculations!$D$23/2)*SIN(RADIANS(Calculations!D54)),"")</f>
        <v/>
      </c>
      <c r="V66" t="str">
        <f>Calculations!P54</f>
        <v/>
      </c>
      <c r="W66" t="str">
        <f>IFERROR(Q66+(Calculations!$D$10/2)*COS(RADIANS(Calculations!D54))+(Calculations!$D$23/2)*SIN(RADIANS(Calculations!D54)),"")</f>
        <v/>
      </c>
      <c r="X66" t="str">
        <f>Calculations!Q54</f>
        <v/>
      </c>
      <c r="Y66" t="str">
        <f>IFERROR(Q66+(-Calculations!$D$10/2)*COS(RADIANS(Calculations!D54))+(Calculations!$D$23/2)*SIN(RADIANS(Calculations!D54)),"")</f>
        <v/>
      </c>
      <c r="Z66" t="str">
        <f>Calculations!R54</f>
        <v/>
      </c>
    </row>
    <row r="67" spans="15:26" x14ac:dyDescent="0.2">
      <c r="O67" s="16">
        <v>16</v>
      </c>
      <c r="Q67" t="str">
        <f>IFERROR((Calculations!$D$20-Calculations!$D$10/2)*COS(RADIANS(Calculations!D55)),"")</f>
        <v/>
      </c>
      <c r="R67" t="str">
        <f>Calculations!N55</f>
        <v/>
      </c>
      <c r="S67" s="16" t="str">
        <f>IFERROR(Q67+(-Calculations!$D$10/2)*COS(RADIANS(Calculations!D55))+(-Calculations!$D$23/2)*SIN(RADIANS(Calculations!D55)),"")</f>
        <v/>
      </c>
      <c r="T67" s="16" t="str">
        <f>Calculations!O55</f>
        <v/>
      </c>
      <c r="U67" t="str">
        <f>IFERROR(Q67+(Calculations!$D$10/2)*COS(RADIANS(Calculations!D55))+(-Calculations!$D$23/2)*SIN(RADIANS(Calculations!D55)),"")</f>
        <v/>
      </c>
      <c r="V67" t="str">
        <f>Calculations!P55</f>
        <v/>
      </c>
      <c r="W67" t="str">
        <f>IFERROR(Q67+(Calculations!$D$10/2)*COS(RADIANS(Calculations!D55))+(Calculations!$D$23/2)*SIN(RADIANS(Calculations!D55)),"")</f>
        <v/>
      </c>
      <c r="X67" t="str">
        <f>Calculations!Q55</f>
        <v/>
      </c>
      <c r="Y67" t="str">
        <f>IFERROR(Q67+(-Calculations!$D$10/2)*COS(RADIANS(Calculations!D55))+(Calculations!$D$23/2)*SIN(RADIANS(Calculations!D55)),"")</f>
        <v/>
      </c>
      <c r="Z67" t="str">
        <f>Calculations!R55</f>
        <v/>
      </c>
    </row>
    <row r="68" spans="15:26" x14ac:dyDescent="0.2">
      <c r="O68" s="16">
        <v>17</v>
      </c>
      <c r="Q68" t="str">
        <f>IFERROR((Calculations!$D$20-Calculations!$D$10/2)*COS(RADIANS(Calculations!D56)),"")</f>
        <v/>
      </c>
      <c r="R68" t="str">
        <f>Calculations!N56</f>
        <v/>
      </c>
      <c r="S68" s="16" t="str">
        <f>IFERROR(Q68+(-Calculations!$D$10/2)*COS(RADIANS(Calculations!D56))+(-Calculations!$D$23/2)*SIN(RADIANS(Calculations!D56)),"")</f>
        <v/>
      </c>
      <c r="T68" s="16" t="str">
        <f>Calculations!O56</f>
        <v/>
      </c>
      <c r="U68" t="str">
        <f>IFERROR(Q68+(Calculations!$D$10/2)*COS(RADIANS(Calculations!D56))+(-Calculations!$D$23/2)*SIN(RADIANS(Calculations!D56)),"")</f>
        <v/>
      </c>
      <c r="V68" t="str">
        <f>Calculations!P56</f>
        <v/>
      </c>
      <c r="W68" t="str">
        <f>IFERROR(Q68+(Calculations!$D$10/2)*COS(RADIANS(Calculations!D56))+(Calculations!$D$23/2)*SIN(RADIANS(Calculations!D56)),"")</f>
        <v/>
      </c>
      <c r="X68" t="str">
        <f>Calculations!Q56</f>
        <v/>
      </c>
      <c r="Y68" t="str">
        <f>IFERROR(Q68+(-Calculations!$D$10/2)*COS(RADIANS(Calculations!D56))+(Calculations!$D$23/2)*SIN(RADIANS(Calculations!D56)),"")</f>
        <v/>
      </c>
      <c r="Z68" t="str">
        <f>Calculations!R56</f>
        <v/>
      </c>
    </row>
    <row r="69" spans="15:26" x14ac:dyDescent="0.2">
      <c r="O69" s="16">
        <v>18</v>
      </c>
      <c r="Q69" t="str">
        <f>IFERROR((Calculations!$D$20-Calculations!$D$10/2)*COS(RADIANS(Calculations!D57)),"")</f>
        <v/>
      </c>
      <c r="R69" t="str">
        <f>Calculations!N57</f>
        <v/>
      </c>
      <c r="S69" s="16" t="str">
        <f>IFERROR(Q69+(-Calculations!$D$10/2)*COS(RADIANS(Calculations!D57))+(-Calculations!$D$23/2)*SIN(RADIANS(Calculations!D57)),"")</f>
        <v/>
      </c>
      <c r="T69" s="16" t="str">
        <f>Calculations!O57</f>
        <v/>
      </c>
      <c r="U69" t="str">
        <f>IFERROR(Q69+(Calculations!$D$10/2)*COS(RADIANS(Calculations!D57))+(-Calculations!$D$23/2)*SIN(RADIANS(Calculations!D57)),"")</f>
        <v/>
      </c>
      <c r="V69" t="str">
        <f>Calculations!P57</f>
        <v/>
      </c>
      <c r="W69" t="str">
        <f>IFERROR(Q69+(Calculations!$D$10/2)*COS(RADIANS(Calculations!D57))+(Calculations!$D$23/2)*SIN(RADIANS(Calculations!D57)),"")</f>
        <v/>
      </c>
      <c r="X69" t="str">
        <f>Calculations!Q57</f>
        <v/>
      </c>
      <c r="Y69" t="str">
        <f>IFERROR(Q69+(-Calculations!$D$10/2)*COS(RADIANS(Calculations!D57))+(Calculations!$D$23/2)*SIN(RADIANS(Calculations!D57)),"")</f>
        <v/>
      </c>
      <c r="Z69" t="str">
        <f>Calculations!R57</f>
        <v/>
      </c>
    </row>
  </sheetData>
  <sheetProtection algorithmName="SHA-512" hashValue="pVNsT2Uo+bBWc5EF4Ni8E9HR037+0jkRc/MzAc4GOjHsr8mw4wZIF45pPBD5V1AlzZKmPOviwzJDvhf3/b/R4A==" saltValue="7ZZ+vdNQ/9WnD2dpYp6zaQ=="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26"/>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6" t="s">
        <v>759</v>
      </c>
      <c r="C2">
        <v>2</v>
      </c>
    </row>
    <row r="3" spans="1:19" x14ac:dyDescent="0.2">
      <c r="B3" s="6" t="s">
        <v>2133</v>
      </c>
      <c r="C3" t="e">
        <f>Calculations!D8</f>
        <v>#N/A</v>
      </c>
    </row>
    <row r="4" spans="1:19" ht="15" customHeight="1" x14ac:dyDescent="0.25">
      <c r="A4" s="49"/>
      <c r="B4" s="6" t="s">
        <v>2134</v>
      </c>
      <c r="C4" s="110">
        <v>2</v>
      </c>
    </row>
    <row r="5" spans="1:19" ht="15" x14ac:dyDescent="0.25">
      <c r="B5" s="111" t="s">
        <v>2135</v>
      </c>
      <c r="C5" s="110">
        <v>18</v>
      </c>
    </row>
    <row r="6" spans="1:19" x14ac:dyDescent="0.2">
      <c r="B6" s="6" t="s">
        <v>2136</v>
      </c>
      <c r="C6" t="b">
        <f ca="1">AND(OFFSET(Calculations!$BQ$60,IF('Detailed Plot'!C4=1,'Detailed Plot'!C5-1,C5+18),0)&lt;&gt;"")</f>
        <v>0</v>
      </c>
      <c r="D6" t="str">
        <f ca="1">OFFSET(Calculations!$BQ$60,IF('Detailed Plot'!C4=1,'Detailed Plot'!C5-1,C5+18),0)</f>
        <v/>
      </c>
    </row>
    <row r="7" spans="1:19" x14ac:dyDescent="0.2">
      <c r="B7" s="664" t="s">
        <v>84</v>
      </c>
      <c r="C7" s="664"/>
    </row>
    <row r="8" spans="1:19" x14ac:dyDescent="0.2">
      <c r="B8" s="6" t="s">
        <v>2137</v>
      </c>
      <c r="C8" t="e">
        <f>Calculations!D9</f>
        <v>#N/A</v>
      </c>
      <c r="D8" s="49" t="s">
        <v>2138</v>
      </c>
      <c r="E8" t="e">
        <f>C8*$C$17</f>
        <v>#N/A</v>
      </c>
      <c r="F8" s="49" t="s">
        <v>2139</v>
      </c>
    </row>
    <row r="9" spans="1:19" x14ac:dyDescent="0.2">
      <c r="B9" s="6" t="s">
        <v>2140</v>
      </c>
      <c r="C9" t="e">
        <f>C8*TAN(RADIANS(180/C3))</f>
        <v>#N/A</v>
      </c>
      <c r="D9" s="49" t="s">
        <v>2138</v>
      </c>
      <c r="E9" t="e">
        <f>C9*$C$17</f>
        <v>#N/A</v>
      </c>
      <c r="F9" s="49" t="s">
        <v>2139</v>
      </c>
    </row>
    <row r="10" spans="1:19" x14ac:dyDescent="0.2">
      <c r="B10" s="6" t="s">
        <v>2141</v>
      </c>
      <c r="C10" t="e">
        <f>360/C3*(C5-1)</f>
        <v>#N/A</v>
      </c>
      <c r="D10" s="49" t="s">
        <v>2142</v>
      </c>
    </row>
    <row r="11" spans="1:19" x14ac:dyDescent="0.2">
      <c r="C11" s="112" t="s">
        <v>2143</v>
      </c>
      <c r="D11" s="49" t="s">
        <v>352</v>
      </c>
      <c r="K11" s="6"/>
    </row>
    <row r="12" spans="1:19" x14ac:dyDescent="0.2">
      <c r="B12" s="6" t="s">
        <v>2144</v>
      </c>
      <c r="C12" t="e">
        <f ca="1">OFFSET(Calculations!$BT$60,IF('Detailed Plot'!C4=1,'Detailed Plot'!C5-1,C5+18),0)</f>
        <v>#N/A</v>
      </c>
      <c r="D12" s="49" t="s">
        <v>2138</v>
      </c>
      <c r="E12" t="e">
        <f ca="1">C12*$C$17</f>
        <v>#N/A</v>
      </c>
      <c r="F12" s="49" t="s">
        <v>2139</v>
      </c>
    </row>
    <row r="13" spans="1:19" x14ac:dyDescent="0.2">
      <c r="B13" s="6" t="s">
        <v>760</v>
      </c>
      <c r="C13" t="e">
        <f ca="1">OFFSET(Calculations!$BU$60,IF('Detailed Plot'!C4=1,'Detailed Plot'!C5-1,C5+18),0)</f>
        <v>#N/A</v>
      </c>
      <c r="D13" s="49" t="s">
        <v>2138</v>
      </c>
      <c r="E13" t="e">
        <f ca="1">C13*$C$17</f>
        <v>#N/A</v>
      </c>
      <c r="F13" s="49" t="s">
        <v>2139</v>
      </c>
    </row>
    <row r="14" spans="1:19" x14ac:dyDescent="0.2">
      <c r="B14" s="111" t="s">
        <v>2145</v>
      </c>
      <c r="C14" t="e">
        <f ca="1">(Calculations!$D$20+OFFSET(Calculations!$CA$60,IF('Detailed Plot'!C4=1,'Detailed Plot'!C5-1,C5+18),0))*COS(RADIANS(C10))</f>
        <v>#N/A</v>
      </c>
    </row>
    <row r="15" spans="1:19" x14ac:dyDescent="0.2">
      <c r="B15" s="111" t="s">
        <v>2146</v>
      </c>
      <c r="C15" t="e">
        <f ca="1">(Calculations!$D$20+OFFSET(Calculations!$CA$60,IF('Detailed Plot'!C4=1,'Detailed Plot'!C5-1,C5+18),0))*SIN(RADIANS(C10))</f>
        <v>#N/A</v>
      </c>
      <c r="S15" t="s">
        <v>2147</v>
      </c>
    </row>
    <row r="16" spans="1:19" x14ac:dyDescent="0.2">
      <c r="B16" s="664" t="s">
        <v>2148</v>
      </c>
      <c r="C16" s="664"/>
    </row>
    <row r="17" spans="2:4" x14ac:dyDescent="0.2">
      <c r="B17" s="111" t="s">
        <v>2149</v>
      </c>
      <c r="C17" t="e">
        <f>IF(C3=18,C21/C8,"")</f>
        <v>#N/A</v>
      </c>
    </row>
    <row r="18" spans="2:4" x14ac:dyDescent="0.2">
      <c r="B18" s="664" t="s">
        <v>2150</v>
      </c>
      <c r="C18" s="664"/>
    </row>
    <row r="19" spans="2:4" x14ac:dyDescent="0.2">
      <c r="B19" s="6" t="s">
        <v>2151</v>
      </c>
      <c r="C19">
        <v>340</v>
      </c>
      <c r="D19" s="49" t="s">
        <v>2139</v>
      </c>
    </row>
    <row r="20" spans="2:4" x14ac:dyDescent="0.2">
      <c r="B20" s="6" t="s">
        <v>2152</v>
      </c>
      <c r="C20">
        <v>345.2</v>
      </c>
      <c r="D20" s="49" t="s">
        <v>2139</v>
      </c>
    </row>
    <row r="21" spans="2:4" x14ac:dyDescent="0.2">
      <c r="B21" s="111" t="s">
        <v>2153</v>
      </c>
      <c r="C21">
        <v>318</v>
      </c>
      <c r="D21" s="49" t="s">
        <v>2139</v>
      </c>
    </row>
    <row r="22" spans="2:4" x14ac:dyDescent="0.2">
      <c r="B22" s="111" t="s">
        <v>2154</v>
      </c>
      <c r="C22">
        <v>334</v>
      </c>
      <c r="D22" s="49" t="s">
        <v>2139</v>
      </c>
    </row>
    <row r="25" spans="2:4" x14ac:dyDescent="0.2">
      <c r="B25" s="6"/>
    </row>
    <row r="26" spans="2:4" x14ac:dyDescent="0.2">
      <c r="B26" s="6"/>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KN30"/>
  <sheetViews>
    <sheetView workbookViewId="0"/>
  </sheetViews>
  <sheetFormatPr defaultRowHeight="12.75" x14ac:dyDescent="0.2"/>
  <sheetData>
    <row r="1" spans="1:300" x14ac:dyDescent="0.2">
      <c r="A1" s="65"/>
      <c r="B1" s="118"/>
      <c r="C1" s="66"/>
      <c r="D1" s="65"/>
      <c r="E1" s="118"/>
      <c r="F1" s="66"/>
      <c r="G1" s="65"/>
      <c r="H1" s="118"/>
      <c r="I1" s="66"/>
      <c r="J1" s="65"/>
      <c r="K1" s="118"/>
      <c r="L1" s="66"/>
      <c r="M1" s="65"/>
      <c r="N1" s="118"/>
      <c r="O1" s="66"/>
      <c r="P1" s="65"/>
      <c r="Q1" s="118"/>
      <c r="R1" s="66"/>
      <c r="S1" s="65"/>
      <c r="T1" s="118"/>
      <c r="U1" s="66"/>
      <c r="V1" s="65"/>
      <c r="W1" s="118"/>
      <c r="X1" s="66"/>
      <c r="Y1" s="65"/>
      <c r="Z1" s="118"/>
      <c r="AA1" s="66"/>
      <c r="AB1" s="65"/>
      <c r="AC1" s="118"/>
      <c r="AD1" s="66"/>
      <c r="AE1" s="65"/>
      <c r="AF1" s="118"/>
      <c r="AG1" s="66"/>
      <c r="AH1" s="65"/>
      <c r="AI1" s="118"/>
      <c r="AJ1" s="66"/>
      <c r="AK1" s="65"/>
      <c r="AL1" s="118"/>
      <c r="AM1" s="66"/>
      <c r="AN1" s="65"/>
      <c r="AO1" s="118"/>
      <c r="AP1" s="66"/>
      <c r="AQ1" s="65"/>
      <c r="AR1" s="118"/>
      <c r="AS1" s="66"/>
      <c r="AT1" s="65"/>
      <c r="AU1" s="118"/>
      <c r="AV1" s="66"/>
      <c r="AW1" s="65"/>
      <c r="AX1" s="118"/>
      <c r="AY1" s="66"/>
      <c r="AZ1" s="65"/>
      <c r="BA1" s="118"/>
      <c r="BB1" s="66"/>
      <c r="BC1" s="65"/>
      <c r="BD1" s="118"/>
      <c r="BE1" s="66"/>
      <c r="BF1" s="65"/>
      <c r="BG1" s="118"/>
      <c r="BH1" s="66"/>
      <c r="BI1" s="65"/>
      <c r="BJ1" s="118"/>
      <c r="BK1" s="66"/>
      <c r="BL1" s="65"/>
      <c r="BM1" s="118"/>
      <c r="BN1" s="66"/>
      <c r="BO1" s="65"/>
      <c r="BP1" s="118"/>
      <c r="BQ1" s="66"/>
      <c r="BR1" s="65"/>
      <c r="BS1" s="118"/>
      <c r="BT1" s="66"/>
      <c r="BU1" s="65"/>
      <c r="BV1" s="118"/>
      <c r="BW1" s="66"/>
      <c r="BX1" s="65"/>
      <c r="BY1" s="118"/>
      <c r="BZ1" s="66"/>
      <c r="CA1" s="65"/>
      <c r="CB1" s="118"/>
      <c r="CC1" s="66"/>
      <c r="CD1" s="65"/>
      <c r="CE1" s="118"/>
      <c r="CF1" s="66"/>
      <c r="CG1" s="65"/>
      <c r="CH1" s="118"/>
      <c r="CI1" s="66"/>
      <c r="CJ1" s="65"/>
      <c r="CK1" s="118"/>
      <c r="CL1" s="66"/>
      <c r="CM1" s="65"/>
      <c r="CN1" s="118"/>
      <c r="CO1" s="66"/>
      <c r="CP1" s="65"/>
      <c r="CQ1" s="118"/>
      <c r="CR1" s="66"/>
      <c r="CS1" s="65"/>
      <c r="CT1" s="118"/>
      <c r="CU1" s="66"/>
      <c r="CV1" s="65"/>
      <c r="CW1" s="118"/>
      <c r="CX1" s="66"/>
      <c r="CY1" s="65"/>
      <c r="CZ1" s="118"/>
      <c r="DA1" s="66"/>
      <c r="DB1" s="65"/>
      <c r="DC1" s="118"/>
      <c r="DD1" s="66"/>
      <c r="DE1" s="65"/>
      <c r="DF1" s="118"/>
      <c r="DG1" s="66"/>
      <c r="DH1" s="65"/>
      <c r="DI1" s="118"/>
      <c r="DJ1" s="66"/>
      <c r="DK1" s="65"/>
      <c r="DL1" s="118"/>
      <c r="DM1" s="66"/>
      <c r="DN1" s="65"/>
      <c r="DO1" s="118"/>
      <c r="DP1" s="66"/>
      <c r="DQ1" s="65"/>
      <c r="DR1" s="118"/>
      <c r="DS1" s="66"/>
      <c r="DT1" s="65"/>
      <c r="DU1" s="118"/>
      <c r="DV1" s="66"/>
      <c r="DW1" s="65"/>
      <c r="DX1" s="118"/>
      <c r="DY1" s="66"/>
      <c r="DZ1" s="65"/>
      <c r="EA1" s="118"/>
      <c r="EB1" s="66"/>
      <c r="EC1" s="65"/>
      <c r="ED1" s="118"/>
      <c r="EE1" s="66"/>
      <c r="EF1" s="65"/>
      <c r="EG1" s="118"/>
      <c r="EH1" s="66"/>
      <c r="EI1" s="65"/>
      <c r="EJ1" s="118"/>
      <c r="EK1" s="66"/>
      <c r="EL1" s="65"/>
      <c r="EM1" s="118"/>
      <c r="EN1" s="66"/>
      <c r="EO1" s="65"/>
      <c r="EP1" s="118"/>
      <c r="EQ1" s="66"/>
      <c r="ER1" s="65"/>
      <c r="ES1" s="118"/>
      <c r="ET1" s="66"/>
      <c r="EU1" s="65"/>
      <c r="EV1" s="118"/>
      <c r="EW1" s="66"/>
      <c r="EX1" s="65"/>
      <c r="EY1" s="118"/>
      <c r="EZ1" s="66"/>
      <c r="FA1" s="65"/>
      <c r="FB1" s="118"/>
      <c r="FC1" s="66"/>
      <c r="FD1" s="65"/>
      <c r="FE1" s="118"/>
      <c r="FF1" s="66"/>
      <c r="FG1" s="65"/>
      <c r="FH1" s="118"/>
      <c r="FI1" s="66"/>
      <c r="FJ1" s="65"/>
      <c r="FK1" s="118"/>
      <c r="FL1" s="66"/>
      <c r="FM1" s="65"/>
      <c r="FN1" s="118"/>
      <c r="FO1" s="66"/>
      <c r="FP1" s="65"/>
      <c r="FQ1" s="118"/>
      <c r="FR1" s="66"/>
      <c r="FS1" s="65"/>
      <c r="FT1" s="118"/>
      <c r="FU1" s="66"/>
      <c r="FV1" s="65"/>
      <c r="FW1" s="118"/>
      <c r="FX1" s="66"/>
      <c r="FY1" s="65"/>
      <c r="FZ1" s="118"/>
      <c r="GA1" s="66"/>
      <c r="GB1" s="65"/>
      <c r="GC1" s="118"/>
      <c r="GD1" s="66"/>
      <c r="GE1" s="65"/>
      <c r="GF1" s="118"/>
      <c r="GG1" s="66"/>
      <c r="GH1" s="65"/>
      <c r="GI1" s="118"/>
      <c r="GJ1" s="66"/>
      <c r="GK1" s="65"/>
      <c r="GL1" s="118"/>
      <c r="GM1" s="66"/>
      <c r="GN1" s="65"/>
      <c r="GO1" s="118"/>
      <c r="GP1" s="66"/>
      <c r="GQ1" s="65"/>
      <c r="GR1" s="118"/>
      <c r="GS1" s="66"/>
      <c r="GT1" s="65"/>
      <c r="GU1" s="118"/>
      <c r="GV1" s="66"/>
      <c r="GW1" s="65"/>
      <c r="GX1" s="118"/>
      <c r="GY1" s="66"/>
      <c r="GZ1" s="65"/>
      <c r="HA1" s="118"/>
      <c r="HB1" s="66"/>
      <c r="HC1" s="65"/>
      <c r="HD1" s="118"/>
      <c r="HE1" s="66"/>
      <c r="HF1" s="65"/>
      <c r="HG1" s="118"/>
      <c r="HH1" s="66"/>
      <c r="HI1" s="65"/>
      <c r="HJ1" s="118"/>
      <c r="HK1" s="66"/>
      <c r="HL1" s="65"/>
      <c r="HM1" s="118"/>
      <c r="HN1" s="66"/>
      <c r="HO1" s="65"/>
      <c r="HP1" s="118"/>
      <c r="HQ1" s="66"/>
      <c r="HR1" s="65"/>
      <c r="HS1" s="118"/>
      <c r="HT1" s="66"/>
      <c r="HU1" s="65"/>
      <c r="HV1" s="118"/>
      <c r="HW1" s="66"/>
      <c r="HX1" s="65"/>
      <c r="HY1" s="118"/>
      <c r="HZ1" s="66"/>
      <c r="IA1" s="65"/>
      <c r="IB1" s="118"/>
      <c r="IC1" s="66"/>
      <c r="ID1" s="65"/>
      <c r="IE1" s="118"/>
      <c r="IF1" s="66"/>
      <c r="IG1" s="65"/>
      <c r="IH1" s="118"/>
      <c r="II1" s="66"/>
      <c r="IJ1" s="65"/>
      <c r="IK1" s="118"/>
      <c r="IL1" s="66"/>
      <c r="IM1" s="65"/>
      <c r="IN1" s="118"/>
      <c r="IO1" s="66"/>
      <c r="IP1" s="65"/>
      <c r="IQ1" s="118"/>
      <c r="IR1" s="66"/>
      <c r="IS1" s="65"/>
      <c r="IT1" s="118"/>
      <c r="IU1" s="66"/>
      <c r="IV1" s="65"/>
      <c r="IW1" s="118"/>
      <c r="IX1" s="66"/>
      <c r="IY1" s="65"/>
      <c r="IZ1" s="118"/>
      <c r="JA1" s="66"/>
      <c r="JB1" s="65"/>
      <c r="JC1" s="118"/>
      <c r="JD1" s="66"/>
      <c r="JE1" s="65"/>
      <c r="JF1" s="118"/>
      <c r="JG1" s="66"/>
      <c r="JH1" s="65"/>
      <c r="JI1" s="118"/>
      <c r="JJ1" s="66"/>
      <c r="JK1" s="65"/>
      <c r="JL1" s="118"/>
      <c r="JM1" s="66"/>
      <c r="JN1" s="65"/>
      <c r="JO1" s="118"/>
      <c r="JP1" s="66"/>
      <c r="JQ1" s="65"/>
      <c r="JR1" s="118"/>
      <c r="JS1" s="66"/>
      <c r="JT1" s="65"/>
      <c r="JU1" s="118"/>
      <c r="JV1" s="66"/>
      <c r="JW1" s="65"/>
      <c r="JX1" s="118"/>
      <c r="JY1" s="66"/>
      <c r="JZ1" s="65"/>
      <c r="KA1" s="118"/>
      <c r="KB1" s="66"/>
      <c r="KC1" s="65"/>
      <c r="KD1" s="118"/>
      <c r="KE1" s="66"/>
      <c r="KF1" s="65"/>
      <c r="KG1" s="118"/>
      <c r="KH1" s="66"/>
      <c r="KI1" s="65"/>
      <c r="KJ1" s="118"/>
      <c r="KK1" s="66"/>
      <c r="KL1" s="65"/>
      <c r="KM1" s="118"/>
      <c r="KN1" s="66"/>
    </row>
    <row r="2" spans="1:300" x14ac:dyDescent="0.2">
      <c r="A2" s="64"/>
      <c r="C2" s="67"/>
      <c r="D2" s="64"/>
      <c r="F2" s="67"/>
      <c r="G2" s="64"/>
      <c r="I2" s="67"/>
      <c r="J2" s="64"/>
      <c r="L2" s="67"/>
      <c r="M2" s="64"/>
      <c r="O2" s="67"/>
      <c r="P2" s="64"/>
      <c r="R2" s="67"/>
      <c r="S2" s="64"/>
      <c r="U2" s="67"/>
      <c r="V2" s="64"/>
      <c r="X2" s="67"/>
      <c r="Y2" s="64"/>
      <c r="AA2" s="67"/>
      <c r="AB2" s="64"/>
      <c r="AD2" s="67"/>
      <c r="AE2" s="64"/>
      <c r="AG2" s="67"/>
      <c r="AH2" s="64"/>
      <c r="AJ2" s="67"/>
      <c r="AK2" s="64"/>
      <c r="AM2" s="67"/>
      <c r="AN2" s="64"/>
      <c r="AP2" s="67"/>
      <c r="AQ2" s="64"/>
      <c r="AS2" s="67"/>
      <c r="AT2" s="64"/>
      <c r="AV2" s="67"/>
      <c r="AW2" s="64"/>
      <c r="AY2" s="67"/>
      <c r="AZ2" s="64"/>
      <c r="BB2" s="67"/>
      <c r="BC2" s="64"/>
      <c r="BE2" s="67"/>
      <c r="BF2" s="64"/>
      <c r="BH2" s="67"/>
      <c r="BI2" s="64"/>
      <c r="BK2" s="67"/>
      <c r="BL2" s="64"/>
      <c r="BN2" s="67"/>
      <c r="BO2" s="64"/>
      <c r="BQ2" s="67"/>
      <c r="BR2" s="64"/>
      <c r="BT2" s="67"/>
      <c r="BU2" s="64"/>
      <c r="BW2" s="67"/>
      <c r="BX2" s="64"/>
      <c r="BZ2" s="67"/>
      <c r="CA2" s="64"/>
      <c r="CC2" s="67"/>
      <c r="CD2" s="64"/>
      <c r="CF2" s="67"/>
      <c r="CG2" s="64"/>
      <c r="CI2" s="67"/>
      <c r="CJ2" s="64"/>
      <c r="CL2" s="67"/>
      <c r="CM2" s="64"/>
      <c r="CO2" s="67"/>
      <c r="CP2" s="64"/>
      <c r="CR2" s="67"/>
      <c r="CS2" s="64"/>
      <c r="CU2" s="67"/>
      <c r="CV2" s="64"/>
      <c r="CX2" s="67"/>
      <c r="CY2" s="64"/>
      <c r="DA2" s="67"/>
      <c r="DB2" s="64"/>
      <c r="DD2" s="67"/>
      <c r="DE2" s="64"/>
      <c r="DG2" s="67"/>
      <c r="DH2" s="64"/>
      <c r="DJ2" s="67"/>
      <c r="DK2" s="64"/>
      <c r="DM2" s="67"/>
      <c r="DN2" s="64"/>
      <c r="DP2" s="67"/>
      <c r="DQ2" s="64"/>
      <c r="DS2" s="67"/>
      <c r="DT2" s="64"/>
      <c r="DV2" s="67"/>
      <c r="DW2" s="64"/>
      <c r="DY2" s="67"/>
      <c r="DZ2" s="64"/>
      <c r="EB2" s="67"/>
      <c r="EC2" s="64"/>
      <c r="EE2" s="67"/>
      <c r="EF2" s="64"/>
      <c r="EH2" s="67"/>
      <c r="EI2" s="64"/>
      <c r="EK2" s="67"/>
      <c r="EL2" s="64"/>
      <c r="EN2" s="67"/>
      <c r="EO2" s="64"/>
      <c r="EQ2" s="67"/>
      <c r="ER2" s="64"/>
      <c r="ET2" s="67"/>
      <c r="EU2" s="64"/>
      <c r="EW2" s="67"/>
      <c r="EX2" s="64"/>
      <c r="EZ2" s="67"/>
      <c r="FA2" s="64"/>
      <c r="FC2" s="67"/>
      <c r="FD2" s="64"/>
      <c r="FF2" s="67"/>
      <c r="FG2" s="64"/>
      <c r="FI2" s="67"/>
      <c r="FJ2" s="64"/>
      <c r="FL2" s="67"/>
      <c r="FM2" s="64"/>
      <c r="FO2" s="67"/>
      <c r="FP2" s="64"/>
      <c r="FR2" s="67"/>
      <c r="FS2" s="64"/>
      <c r="FU2" s="67"/>
      <c r="FV2" s="64"/>
      <c r="FX2" s="67"/>
      <c r="FY2" s="64"/>
      <c r="GA2" s="67"/>
      <c r="GB2" s="64"/>
      <c r="GD2" s="67"/>
      <c r="GE2" s="64"/>
      <c r="GG2" s="67"/>
      <c r="GH2" s="64"/>
      <c r="GJ2" s="67"/>
      <c r="GK2" s="64"/>
      <c r="GM2" s="67"/>
      <c r="GN2" s="64"/>
      <c r="GP2" s="67"/>
      <c r="GQ2" s="64"/>
      <c r="GS2" s="67"/>
      <c r="GT2" s="64"/>
      <c r="GV2" s="67"/>
      <c r="GW2" s="64"/>
      <c r="GY2" s="67"/>
      <c r="GZ2" s="64"/>
      <c r="HB2" s="67"/>
      <c r="HC2" s="64"/>
      <c r="HE2" s="67"/>
      <c r="HF2" s="64"/>
      <c r="HH2" s="67"/>
      <c r="HI2" s="64"/>
      <c r="HK2" s="67"/>
      <c r="HL2" s="64"/>
      <c r="HN2" s="67"/>
      <c r="HO2" s="64"/>
      <c r="HQ2" s="67"/>
      <c r="HR2" s="64"/>
      <c r="HT2" s="67"/>
      <c r="HU2" s="64"/>
      <c r="HW2" s="67"/>
      <c r="HX2" s="64"/>
      <c r="HZ2" s="67"/>
      <c r="IA2" s="64"/>
      <c r="IC2" s="67"/>
      <c r="ID2" s="64"/>
      <c r="IF2" s="67"/>
      <c r="IG2" s="64"/>
      <c r="II2" s="67"/>
      <c r="IJ2" s="64"/>
      <c r="IL2" s="67"/>
      <c r="IM2" s="64"/>
      <c r="IO2" s="67"/>
      <c r="IP2" s="64"/>
      <c r="IR2" s="67"/>
      <c r="IS2" s="64"/>
      <c r="IU2" s="67"/>
      <c r="IV2" s="64"/>
      <c r="IX2" s="67"/>
      <c r="IY2" s="64"/>
      <c r="JA2" s="67"/>
      <c r="JB2" s="64"/>
      <c r="JD2" s="67"/>
      <c r="JE2" s="64"/>
      <c r="JG2" s="67"/>
      <c r="JH2" s="64"/>
      <c r="JJ2" s="67"/>
      <c r="JK2" s="64"/>
      <c r="JM2" s="67"/>
      <c r="JN2" s="64"/>
      <c r="JP2" s="67"/>
      <c r="JQ2" s="64"/>
      <c r="JS2" s="67"/>
      <c r="JT2" s="64"/>
      <c r="JV2" s="67"/>
      <c r="JW2" s="64"/>
      <c r="JY2" s="67"/>
      <c r="JZ2" s="64"/>
      <c r="KB2" s="67"/>
      <c r="KC2" s="64"/>
      <c r="KE2" s="67"/>
      <c r="KF2" s="64"/>
      <c r="KH2" s="67"/>
      <c r="KI2" s="64"/>
      <c r="KK2" s="67"/>
      <c r="KL2" s="64"/>
      <c r="KN2" s="67"/>
    </row>
    <row r="3" spans="1:300" x14ac:dyDescent="0.2">
      <c r="A3" s="64"/>
      <c r="C3" s="67"/>
      <c r="D3" s="64"/>
      <c r="F3" s="67"/>
      <c r="G3" s="64"/>
      <c r="I3" s="67"/>
      <c r="J3" s="64"/>
      <c r="L3" s="67"/>
      <c r="M3" s="64"/>
      <c r="O3" s="67"/>
      <c r="P3" s="64"/>
      <c r="R3" s="67"/>
      <c r="S3" s="64"/>
      <c r="U3" s="67"/>
      <c r="V3" s="64"/>
      <c r="X3" s="67"/>
      <c r="Y3" s="64"/>
      <c r="AA3" s="67"/>
      <c r="AB3" s="64"/>
      <c r="AD3" s="67"/>
      <c r="AE3" s="64"/>
      <c r="AG3" s="67"/>
      <c r="AH3" s="64"/>
      <c r="AJ3" s="67"/>
      <c r="AK3" s="64"/>
      <c r="AM3" s="67"/>
      <c r="AN3" s="64"/>
      <c r="AP3" s="67"/>
      <c r="AQ3" s="64"/>
      <c r="AS3" s="67"/>
      <c r="AT3" s="64"/>
      <c r="AV3" s="67"/>
      <c r="AW3" s="64"/>
      <c r="AY3" s="67"/>
      <c r="AZ3" s="64"/>
      <c r="BB3" s="67"/>
      <c r="BC3" s="64"/>
      <c r="BE3" s="67"/>
      <c r="BF3" s="64"/>
      <c r="BH3" s="67"/>
      <c r="BI3" s="64"/>
      <c r="BK3" s="67"/>
      <c r="BL3" s="64"/>
      <c r="BN3" s="67"/>
      <c r="BO3" s="64"/>
      <c r="BQ3" s="67"/>
      <c r="BR3" s="64"/>
      <c r="BT3" s="67"/>
      <c r="BU3" s="64"/>
      <c r="BW3" s="67"/>
      <c r="BX3" s="64"/>
      <c r="BZ3" s="67"/>
      <c r="CA3" s="64"/>
      <c r="CC3" s="67"/>
      <c r="CD3" s="64"/>
      <c r="CF3" s="67"/>
      <c r="CG3" s="64"/>
      <c r="CI3" s="67"/>
      <c r="CJ3" s="64"/>
      <c r="CL3" s="67"/>
      <c r="CM3" s="64"/>
      <c r="CO3" s="67"/>
      <c r="CP3" s="64"/>
      <c r="CR3" s="67"/>
      <c r="CS3" s="64"/>
      <c r="CU3" s="67"/>
      <c r="CV3" s="64"/>
      <c r="CX3" s="67"/>
      <c r="CY3" s="64"/>
      <c r="DA3" s="67"/>
      <c r="DB3" s="64"/>
      <c r="DD3" s="67"/>
      <c r="DE3" s="64"/>
      <c r="DG3" s="67"/>
      <c r="DH3" s="64"/>
      <c r="DJ3" s="67"/>
      <c r="DK3" s="64"/>
      <c r="DM3" s="67"/>
      <c r="DN3" s="64"/>
      <c r="DP3" s="67"/>
      <c r="DQ3" s="64"/>
      <c r="DS3" s="67"/>
      <c r="DT3" s="64"/>
      <c r="DV3" s="67"/>
      <c r="DW3" s="64"/>
      <c r="DY3" s="67"/>
      <c r="DZ3" s="64"/>
      <c r="EB3" s="67"/>
      <c r="EC3" s="64"/>
      <c r="EE3" s="67"/>
      <c r="EF3" s="64"/>
      <c r="EH3" s="67"/>
      <c r="EI3" s="64"/>
      <c r="EK3" s="67"/>
      <c r="EL3" s="64"/>
      <c r="EN3" s="67"/>
      <c r="EO3" s="64"/>
      <c r="EQ3" s="67"/>
      <c r="ER3" s="64"/>
      <c r="ET3" s="67"/>
      <c r="EU3" s="64"/>
      <c r="EW3" s="67"/>
      <c r="EX3" s="64"/>
      <c r="EZ3" s="67"/>
      <c r="FA3" s="64"/>
      <c r="FC3" s="67"/>
      <c r="FD3" s="64"/>
      <c r="FF3" s="67"/>
      <c r="FG3" s="64"/>
      <c r="FI3" s="67"/>
      <c r="FJ3" s="64"/>
      <c r="FL3" s="67"/>
      <c r="FM3" s="64"/>
      <c r="FO3" s="67"/>
      <c r="FP3" s="64"/>
      <c r="FR3" s="67"/>
      <c r="FS3" s="64"/>
      <c r="FU3" s="67"/>
      <c r="FV3" s="64"/>
      <c r="FX3" s="67"/>
      <c r="FY3" s="64"/>
      <c r="GA3" s="67"/>
      <c r="GB3" s="64"/>
      <c r="GD3" s="67"/>
      <c r="GE3" s="64"/>
      <c r="GG3" s="67"/>
      <c r="GH3" s="64"/>
      <c r="GJ3" s="67"/>
      <c r="GK3" s="64"/>
      <c r="GM3" s="67"/>
      <c r="GN3" s="64"/>
      <c r="GP3" s="67"/>
      <c r="GQ3" s="64"/>
      <c r="GS3" s="67"/>
      <c r="GT3" s="64"/>
      <c r="GV3" s="67"/>
      <c r="GW3" s="64"/>
      <c r="GY3" s="67"/>
      <c r="GZ3" s="64"/>
      <c r="HB3" s="67"/>
      <c r="HC3" s="64"/>
      <c r="HE3" s="67"/>
      <c r="HF3" s="64"/>
      <c r="HH3" s="67"/>
      <c r="HI3" s="64"/>
      <c r="HK3" s="67"/>
      <c r="HL3" s="64"/>
      <c r="HN3" s="67"/>
      <c r="HO3" s="64"/>
      <c r="HQ3" s="67"/>
      <c r="HR3" s="64"/>
      <c r="HT3" s="67"/>
      <c r="HU3" s="64"/>
      <c r="HW3" s="67"/>
      <c r="HX3" s="64"/>
      <c r="HZ3" s="67"/>
      <c r="IA3" s="64"/>
      <c r="IC3" s="67"/>
      <c r="ID3" s="64"/>
      <c r="IF3" s="67"/>
      <c r="IG3" s="64"/>
      <c r="II3" s="67"/>
      <c r="IJ3" s="64"/>
      <c r="IL3" s="67"/>
      <c r="IM3" s="64"/>
      <c r="IO3" s="67"/>
      <c r="IP3" s="64"/>
      <c r="IR3" s="67"/>
      <c r="IS3" s="64"/>
      <c r="IU3" s="67"/>
      <c r="IV3" s="64"/>
      <c r="IX3" s="67"/>
      <c r="IY3" s="64"/>
      <c r="JA3" s="67"/>
      <c r="JB3" s="64"/>
      <c r="JD3" s="67"/>
      <c r="JE3" s="64"/>
      <c r="JG3" s="67"/>
      <c r="JH3" s="64"/>
      <c r="JJ3" s="67"/>
      <c r="JK3" s="64"/>
      <c r="JM3" s="67"/>
      <c r="JN3" s="64"/>
      <c r="JP3" s="67"/>
      <c r="JQ3" s="64"/>
      <c r="JS3" s="67"/>
      <c r="JT3" s="64"/>
      <c r="JV3" s="67"/>
      <c r="JW3" s="64"/>
      <c r="JY3" s="67"/>
      <c r="JZ3" s="64"/>
      <c r="KB3" s="67"/>
      <c r="KC3" s="64"/>
      <c r="KE3" s="67"/>
      <c r="KF3" s="64"/>
      <c r="KH3" s="67"/>
      <c r="KI3" s="64"/>
      <c r="KK3" s="67"/>
      <c r="KL3" s="64"/>
      <c r="KN3" s="67"/>
    </row>
    <row r="4" spans="1:300" x14ac:dyDescent="0.2">
      <c r="A4" s="64"/>
      <c r="C4" s="67"/>
      <c r="D4" s="64"/>
      <c r="F4" s="67"/>
      <c r="G4" s="64"/>
      <c r="I4" s="67"/>
      <c r="J4" s="64"/>
      <c r="L4" s="67"/>
      <c r="M4" s="64"/>
      <c r="O4" s="67"/>
      <c r="P4" s="64"/>
      <c r="R4" s="67"/>
      <c r="S4" s="64"/>
      <c r="U4" s="67"/>
      <c r="V4" s="64"/>
      <c r="X4" s="67"/>
      <c r="Y4" s="64"/>
      <c r="AA4" s="67"/>
      <c r="AB4" s="64"/>
      <c r="AD4" s="67"/>
      <c r="AE4" s="64"/>
      <c r="AG4" s="67"/>
      <c r="AH4" s="64"/>
      <c r="AJ4" s="67"/>
      <c r="AK4" s="64"/>
      <c r="AM4" s="67"/>
      <c r="AN4" s="64"/>
      <c r="AP4" s="67"/>
      <c r="AQ4" s="64"/>
      <c r="AS4" s="67"/>
      <c r="AT4" s="64"/>
      <c r="AV4" s="67"/>
      <c r="AW4" s="64"/>
      <c r="AY4" s="67"/>
      <c r="AZ4" s="64"/>
      <c r="BB4" s="67"/>
      <c r="BC4" s="64"/>
      <c r="BE4" s="67"/>
      <c r="BF4" s="64"/>
      <c r="BH4" s="67"/>
      <c r="BI4" s="64"/>
      <c r="BK4" s="67"/>
      <c r="BL4" s="64"/>
      <c r="BN4" s="67"/>
      <c r="BO4" s="64"/>
      <c r="BQ4" s="67"/>
      <c r="BR4" s="64"/>
      <c r="BT4" s="67"/>
      <c r="BU4" s="64"/>
      <c r="BW4" s="67"/>
      <c r="BX4" s="64"/>
      <c r="BZ4" s="67"/>
      <c r="CA4" s="64"/>
      <c r="CC4" s="67"/>
      <c r="CD4" s="64"/>
      <c r="CF4" s="67"/>
      <c r="CG4" s="64"/>
      <c r="CI4" s="67"/>
      <c r="CJ4" s="64"/>
      <c r="CL4" s="67"/>
      <c r="CM4" s="64"/>
      <c r="CO4" s="67"/>
      <c r="CP4" s="64"/>
      <c r="CR4" s="67"/>
      <c r="CS4" s="64"/>
      <c r="CU4" s="67"/>
      <c r="CV4" s="64"/>
      <c r="CX4" s="67"/>
      <c r="CY4" s="64"/>
      <c r="DA4" s="67"/>
      <c r="DB4" s="64"/>
      <c r="DD4" s="67"/>
      <c r="DE4" s="64"/>
      <c r="DG4" s="67"/>
      <c r="DH4" s="64"/>
      <c r="DJ4" s="67"/>
      <c r="DK4" s="64"/>
      <c r="DM4" s="67"/>
      <c r="DN4" s="64"/>
      <c r="DP4" s="67"/>
      <c r="DQ4" s="64"/>
      <c r="DS4" s="67"/>
      <c r="DT4" s="64"/>
      <c r="DV4" s="67"/>
      <c r="DW4" s="64"/>
      <c r="DY4" s="67"/>
      <c r="DZ4" s="64"/>
      <c r="EB4" s="67"/>
      <c r="EC4" s="64"/>
      <c r="EE4" s="67"/>
      <c r="EF4" s="64"/>
      <c r="EH4" s="67"/>
      <c r="EI4" s="64"/>
      <c r="EK4" s="67"/>
      <c r="EL4" s="64"/>
      <c r="EN4" s="67"/>
      <c r="EO4" s="64"/>
      <c r="EQ4" s="67"/>
      <c r="ER4" s="64"/>
      <c r="ET4" s="67"/>
      <c r="EU4" s="64"/>
      <c r="EW4" s="67"/>
      <c r="EX4" s="64"/>
      <c r="EZ4" s="67"/>
      <c r="FA4" s="64"/>
      <c r="FC4" s="67"/>
      <c r="FD4" s="64"/>
      <c r="FF4" s="67"/>
      <c r="FG4" s="64"/>
      <c r="FI4" s="67"/>
      <c r="FJ4" s="64"/>
      <c r="FL4" s="67"/>
      <c r="FM4" s="64"/>
      <c r="FO4" s="67"/>
      <c r="FP4" s="64"/>
      <c r="FR4" s="67"/>
      <c r="FS4" s="64"/>
      <c r="FU4" s="67"/>
      <c r="FV4" s="64"/>
      <c r="FX4" s="67"/>
      <c r="FY4" s="64"/>
      <c r="GA4" s="67"/>
      <c r="GB4" s="64"/>
      <c r="GD4" s="67"/>
      <c r="GE4" s="64"/>
      <c r="GG4" s="67"/>
      <c r="GH4" s="64"/>
      <c r="GJ4" s="67"/>
      <c r="GK4" s="64"/>
      <c r="GM4" s="67"/>
      <c r="GN4" s="64"/>
      <c r="GP4" s="67"/>
      <c r="GQ4" s="64"/>
      <c r="GS4" s="67"/>
      <c r="GT4" s="64"/>
      <c r="GV4" s="67"/>
      <c r="GW4" s="64"/>
      <c r="GY4" s="67"/>
      <c r="GZ4" s="64"/>
      <c r="HB4" s="67"/>
      <c r="HC4" s="64"/>
      <c r="HE4" s="67"/>
      <c r="HF4" s="64"/>
      <c r="HH4" s="67"/>
      <c r="HI4" s="64"/>
      <c r="HK4" s="67"/>
      <c r="HL4" s="64"/>
      <c r="HN4" s="67"/>
      <c r="HO4" s="64"/>
      <c r="HQ4" s="67"/>
      <c r="HR4" s="64"/>
      <c r="HT4" s="67"/>
      <c r="HU4" s="64"/>
      <c r="HW4" s="67"/>
      <c r="HX4" s="64"/>
      <c r="HZ4" s="67"/>
      <c r="IA4" s="64"/>
      <c r="IC4" s="67"/>
      <c r="ID4" s="64"/>
      <c r="IF4" s="67"/>
      <c r="IG4" s="64"/>
      <c r="II4" s="67"/>
      <c r="IJ4" s="64"/>
      <c r="IL4" s="67"/>
      <c r="IM4" s="64"/>
      <c r="IO4" s="67"/>
      <c r="IP4" s="64"/>
      <c r="IR4" s="67"/>
      <c r="IS4" s="64"/>
      <c r="IU4" s="67"/>
      <c r="IV4" s="64"/>
      <c r="IX4" s="67"/>
      <c r="IY4" s="64"/>
      <c r="JA4" s="67"/>
      <c r="JB4" s="64"/>
      <c r="JD4" s="67"/>
      <c r="JE4" s="64"/>
      <c r="JG4" s="67"/>
      <c r="JH4" s="64"/>
      <c r="JJ4" s="67"/>
      <c r="JK4" s="64"/>
      <c r="JM4" s="67"/>
      <c r="JN4" s="64"/>
      <c r="JP4" s="67"/>
      <c r="JQ4" s="64"/>
      <c r="JS4" s="67"/>
      <c r="JT4" s="64"/>
      <c r="JV4" s="67"/>
      <c r="JW4" s="64"/>
      <c r="JY4" s="67"/>
      <c r="JZ4" s="64"/>
      <c r="KB4" s="67"/>
      <c r="KC4" s="64"/>
      <c r="KE4" s="67"/>
      <c r="KF4" s="64"/>
      <c r="KH4" s="67"/>
      <c r="KI4" s="64"/>
      <c r="KK4" s="67"/>
      <c r="KL4" s="64"/>
      <c r="KN4" s="67"/>
    </row>
    <row r="5" spans="1:300" x14ac:dyDescent="0.2">
      <c r="A5" s="64"/>
      <c r="C5" s="67"/>
      <c r="D5" s="64"/>
      <c r="F5" s="67"/>
      <c r="G5" s="64"/>
      <c r="I5" s="67"/>
      <c r="J5" s="64"/>
      <c r="L5" s="67"/>
      <c r="M5" s="64"/>
      <c r="O5" s="67"/>
      <c r="P5" s="64"/>
      <c r="R5" s="67"/>
      <c r="S5" s="64"/>
      <c r="U5" s="67"/>
      <c r="V5" s="64"/>
      <c r="X5" s="67"/>
      <c r="Y5" s="64"/>
      <c r="AA5" s="67"/>
      <c r="AB5" s="64"/>
      <c r="AD5" s="67"/>
      <c r="AE5" s="64"/>
      <c r="AG5" s="67"/>
      <c r="AH5" s="64"/>
      <c r="AJ5" s="67"/>
      <c r="AK5" s="64"/>
      <c r="AM5" s="67"/>
      <c r="AN5" s="64"/>
      <c r="AP5" s="67"/>
      <c r="AQ5" s="64"/>
      <c r="AS5" s="67"/>
      <c r="AT5" s="64"/>
      <c r="AV5" s="67"/>
      <c r="AW5" s="64"/>
      <c r="AY5" s="67"/>
      <c r="AZ5" s="64"/>
      <c r="BB5" s="67"/>
      <c r="BC5" s="64"/>
      <c r="BE5" s="67"/>
      <c r="BF5" s="64"/>
      <c r="BH5" s="67"/>
      <c r="BI5" s="64"/>
      <c r="BK5" s="67"/>
      <c r="BL5" s="64"/>
      <c r="BN5" s="67"/>
      <c r="BO5" s="64"/>
      <c r="BQ5" s="67"/>
      <c r="BR5" s="64"/>
      <c r="BT5" s="67"/>
      <c r="BU5" s="64"/>
      <c r="BW5" s="67"/>
      <c r="BX5" s="64"/>
      <c r="BZ5" s="67"/>
      <c r="CA5" s="64"/>
      <c r="CC5" s="67"/>
      <c r="CD5" s="64"/>
      <c r="CF5" s="67"/>
      <c r="CG5" s="64"/>
      <c r="CI5" s="67"/>
      <c r="CJ5" s="64"/>
      <c r="CL5" s="67"/>
      <c r="CM5" s="64"/>
      <c r="CO5" s="67"/>
      <c r="CP5" s="64"/>
      <c r="CR5" s="67"/>
      <c r="CS5" s="64"/>
      <c r="CU5" s="67"/>
      <c r="CV5" s="64"/>
      <c r="CX5" s="67"/>
      <c r="CY5" s="64"/>
      <c r="DA5" s="67"/>
      <c r="DB5" s="64"/>
      <c r="DD5" s="67"/>
      <c r="DE5" s="64"/>
      <c r="DG5" s="67"/>
      <c r="DH5" s="64"/>
      <c r="DJ5" s="67"/>
      <c r="DK5" s="64"/>
      <c r="DM5" s="67"/>
      <c r="DN5" s="64"/>
      <c r="DP5" s="67"/>
      <c r="DQ5" s="64"/>
      <c r="DS5" s="67"/>
      <c r="DT5" s="64"/>
      <c r="DV5" s="67"/>
      <c r="DW5" s="64"/>
      <c r="DY5" s="67"/>
      <c r="DZ5" s="64"/>
      <c r="EB5" s="67"/>
      <c r="EC5" s="64"/>
      <c r="EE5" s="67"/>
      <c r="EF5" s="64"/>
      <c r="EH5" s="67"/>
      <c r="EI5" s="64"/>
      <c r="EK5" s="67"/>
      <c r="EL5" s="64"/>
      <c r="EN5" s="67"/>
      <c r="EO5" s="64"/>
      <c r="EQ5" s="67"/>
      <c r="ER5" s="64"/>
      <c r="ET5" s="67"/>
      <c r="EU5" s="64"/>
      <c r="EW5" s="67"/>
      <c r="EX5" s="64"/>
      <c r="EZ5" s="67"/>
      <c r="FA5" s="64"/>
      <c r="FC5" s="67"/>
      <c r="FD5" s="64"/>
      <c r="FF5" s="67"/>
      <c r="FG5" s="64"/>
      <c r="FI5" s="67"/>
      <c r="FJ5" s="64"/>
      <c r="FL5" s="67"/>
      <c r="FM5" s="64"/>
      <c r="FO5" s="67"/>
      <c r="FP5" s="64"/>
      <c r="FR5" s="67"/>
      <c r="FS5" s="64"/>
      <c r="FU5" s="67"/>
      <c r="FV5" s="64"/>
      <c r="FX5" s="67"/>
      <c r="FY5" s="64"/>
      <c r="GA5" s="67"/>
      <c r="GB5" s="64"/>
      <c r="GD5" s="67"/>
      <c r="GE5" s="64"/>
      <c r="GG5" s="67"/>
      <c r="GH5" s="64"/>
      <c r="GJ5" s="67"/>
      <c r="GK5" s="64"/>
      <c r="GM5" s="67"/>
      <c r="GN5" s="64"/>
      <c r="GP5" s="67"/>
      <c r="GQ5" s="64"/>
      <c r="GS5" s="67"/>
      <c r="GT5" s="64"/>
      <c r="GV5" s="67"/>
      <c r="GW5" s="64"/>
      <c r="GY5" s="67"/>
      <c r="GZ5" s="64"/>
      <c r="HB5" s="67"/>
      <c r="HC5" s="64"/>
      <c r="HE5" s="67"/>
      <c r="HF5" s="64"/>
      <c r="HH5" s="67"/>
      <c r="HI5" s="64"/>
      <c r="HK5" s="67"/>
      <c r="HL5" s="64"/>
      <c r="HN5" s="67"/>
      <c r="HO5" s="64"/>
      <c r="HQ5" s="67"/>
      <c r="HR5" s="64"/>
      <c r="HT5" s="67"/>
      <c r="HU5" s="64"/>
      <c r="HW5" s="67"/>
      <c r="HX5" s="64"/>
      <c r="HZ5" s="67"/>
      <c r="IA5" s="64"/>
      <c r="IC5" s="67"/>
      <c r="ID5" s="64"/>
      <c r="IF5" s="67"/>
      <c r="IG5" s="64"/>
      <c r="II5" s="67"/>
      <c r="IJ5" s="64"/>
      <c r="IL5" s="67"/>
      <c r="IM5" s="64"/>
      <c r="IO5" s="67"/>
      <c r="IP5" s="64"/>
      <c r="IR5" s="67"/>
      <c r="IS5" s="64"/>
      <c r="IU5" s="67"/>
      <c r="IV5" s="64"/>
      <c r="IX5" s="67"/>
      <c r="IY5" s="64"/>
      <c r="JA5" s="67"/>
      <c r="JB5" s="64"/>
      <c r="JD5" s="67"/>
      <c r="JE5" s="64"/>
      <c r="JG5" s="67"/>
      <c r="JH5" s="64"/>
      <c r="JJ5" s="67"/>
      <c r="JK5" s="64"/>
      <c r="JM5" s="67"/>
      <c r="JN5" s="64"/>
      <c r="JP5" s="67"/>
      <c r="JQ5" s="64"/>
      <c r="JS5" s="67"/>
      <c r="JT5" s="64"/>
      <c r="JV5" s="67"/>
      <c r="JW5" s="64"/>
      <c r="JY5" s="67"/>
      <c r="JZ5" s="64"/>
      <c r="KB5" s="67"/>
      <c r="KC5" s="64"/>
      <c r="KE5" s="67"/>
      <c r="KF5" s="64"/>
      <c r="KH5" s="67"/>
      <c r="KI5" s="64"/>
      <c r="KK5" s="67"/>
      <c r="KL5" s="64"/>
      <c r="KN5" s="67"/>
    </row>
    <row r="6" spans="1:300" x14ac:dyDescent="0.2">
      <c r="A6" s="64"/>
      <c r="C6" s="67"/>
      <c r="D6" s="64"/>
      <c r="F6" s="67"/>
      <c r="G6" s="64"/>
      <c r="I6" s="67"/>
      <c r="J6" s="64"/>
      <c r="L6" s="67"/>
      <c r="M6" s="64"/>
      <c r="O6" s="67"/>
      <c r="P6" s="64"/>
      <c r="R6" s="67"/>
      <c r="S6" s="64"/>
      <c r="U6" s="67"/>
      <c r="V6" s="64"/>
      <c r="X6" s="67"/>
      <c r="Y6" s="64"/>
      <c r="AA6" s="67"/>
      <c r="AB6" s="64"/>
      <c r="AD6" s="67"/>
      <c r="AE6" s="64"/>
      <c r="AG6" s="67"/>
      <c r="AH6" s="64"/>
      <c r="AJ6" s="67"/>
      <c r="AK6" s="64"/>
      <c r="AM6" s="67"/>
      <c r="AN6" s="64"/>
      <c r="AP6" s="67"/>
      <c r="AQ6" s="64"/>
      <c r="AS6" s="67"/>
      <c r="AT6" s="64"/>
      <c r="AV6" s="67"/>
      <c r="AW6" s="64"/>
      <c r="AY6" s="67"/>
      <c r="AZ6" s="64"/>
      <c r="BB6" s="67"/>
      <c r="BC6" s="64"/>
      <c r="BE6" s="67"/>
      <c r="BF6" s="64"/>
      <c r="BH6" s="67"/>
      <c r="BI6" s="64"/>
      <c r="BK6" s="67"/>
      <c r="BL6" s="64"/>
      <c r="BN6" s="67"/>
      <c r="BO6" s="64"/>
      <c r="BQ6" s="67"/>
      <c r="BR6" s="64"/>
      <c r="BT6" s="67"/>
      <c r="BU6" s="64"/>
      <c r="BW6" s="67"/>
      <c r="BX6" s="64"/>
      <c r="BZ6" s="67"/>
      <c r="CA6" s="64"/>
      <c r="CC6" s="67"/>
      <c r="CD6" s="64"/>
      <c r="CF6" s="67"/>
      <c r="CG6" s="64"/>
      <c r="CI6" s="67"/>
      <c r="CJ6" s="64"/>
      <c r="CL6" s="67"/>
      <c r="CM6" s="64"/>
      <c r="CO6" s="67"/>
      <c r="CP6" s="64"/>
      <c r="CR6" s="67"/>
      <c r="CS6" s="64"/>
      <c r="CU6" s="67"/>
      <c r="CV6" s="64"/>
      <c r="CX6" s="67"/>
      <c r="CY6" s="64"/>
      <c r="DA6" s="67"/>
      <c r="DB6" s="64"/>
      <c r="DD6" s="67"/>
      <c r="DE6" s="64"/>
      <c r="DG6" s="67"/>
      <c r="DH6" s="64"/>
      <c r="DJ6" s="67"/>
      <c r="DK6" s="64"/>
      <c r="DM6" s="67"/>
      <c r="DN6" s="64"/>
      <c r="DP6" s="67"/>
      <c r="DQ6" s="64"/>
      <c r="DS6" s="67"/>
      <c r="DT6" s="64"/>
      <c r="DV6" s="67"/>
      <c r="DW6" s="64"/>
      <c r="DY6" s="67"/>
      <c r="DZ6" s="64"/>
      <c r="EB6" s="67"/>
      <c r="EC6" s="64"/>
      <c r="EE6" s="67"/>
      <c r="EF6" s="64"/>
      <c r="EH6" s="67"/>
      <c r="EI6" s="64"/>
      <c r="EK6" s="67"/>
      <c r="EL6" s="64"/>
      <c r="EN6" s="67"/>
      <c r="EO6" s="64"/>
      <c r="EQ6" s="67"/>
      <c r="ER6" s="64"/>
      <c r="ET6" s="67"/>
      <c r="EU6" s="64"/>
      <c r="EW6" s="67"/>
      <c r="EX6" s="64"/>
      <c r="EZ6" s="67"/>
      <c r="FA6" s="64"/>
      <c r="FC6" s="67"/>
      <c r="FD6" s="64"/>
      <c r="FF6" s="67"/>
      <c r="FG6" s="64"/>
      <c r="FI6" s="67"/>
      <c r="FJ6" s="64"/>
      <c r="FL6" s="67"/>
      <c r="FM6" s="64"/>
      <c r="FO6" s="67"/>
      <c r="FP6" s="64"/>
      <c r="FR6" s="67"/>
      <c r="FS6" s="64"/>
      <c r="FU6" s="67"/>
      <c r="FV6" s="64"/>
      <c r="FX6" s="67"/>
      <c r="FY6" s="64"/>
      <c r="GA6" s="67"/>
      <c r="GB6" s="64"/>
      <c r="GD6" s="67"/>
      <c r="GE6" s="64"/>
      <c r="GG6" s="67"/>
      <c r="GH6" s="64"/>
      <c r="GJ6" s="67"/>
      <c r="GK6" s="64"/>
      <c r="GM6" s="67"/>
      <c r="GN6" s="64"/>
      <c r="GP6" s="67"/>
      <c r="GQ6" s="64"/>
      <c r="GS6" s="67"/>
      <c r="GT6" s="64"/>
      <c r="GV6" s="67"/>
      <c r="GW6" s="64"/>
      <c r="GY6" s="67"/>
      <c r="GZ6" s="64"/>
      <c r="HB6" s="67"/>
      <c r="HC6" s="64"/>
      <c r="HE6" s="67"/>
      <c r="HF6" s="64"/>
      <c r="HH6" s="67"/>
      <c r="HI6" s="64"/>
      <c r="HK6" s="67"/>
      <c r="HL6" s="64"/>
      <c r="HN6" s="67"/>
      <c r="HO6" s="64"/>
      <c r="HQ6" s="67"/>
      <c r="HR6" s="64"/>
      <c r="HT6" s="67"/>
      <c r="HU6" s="64"/>
      <c r="HW6" s="67"/>
      <c r="HX6" s="64"/>
      <c r="HZ6" s="67"/>
      <c r="IA6" s="64"/>
      <c r="IC6" s="67"/>
      <c r="ID6" s="64"/>
      <c r="IF6" s="67"/>
      <c r="IG6" s="64"/>
      <c r="II6" s="67"/>
      <c r="IJ6" s="64"/>
      <c r="IL6" s="67"/>
      <c r="IM6" s="64"/>
      <c r="IO6" s="67"/>
      <c r="IP6" s="64"/>
      <c r="IR6" s="67"/>
      <c r="IS6" s="64"/>
      <c r="IU6" s="67"/>
      <c r="IV6" s="64"/>
      <c r="IX6" s="67"/>
      <c r="IY6" s="64"/>
      <c r="JA6" s="67"/>
      <c r="JB6" s="64"/>
      <c r="JD6" s="67"/>
      <c r="JE6" s="64"/>
      <c r="JG6" s="67"/>
      <c r="JH6" s="64"/>
      <c r="JJ6" s="67"/>
      <c r="JK6" s="64"/>
      <c r="JM6" s="67"/>
      <c r="JN6" s="64"/>
      <c r="JP6" s="67"/>
      <c r="JQ6" s="64"/>
      <c r="JS6" s="67"/>
      <c r="JT6" s="64"/>
      <c r="JV6" s="67"/>
      <c r="JW6" s="64"/>
      <c r="JY6" s="67"/>
      <c r="JZ6" s="64"/>
      <c r="KB6" s="67"/>
      <c r="KC6" s="64"/>
      <c r="KE6" s="67"/>
      <c r="KF6" s="64"/>
      <c r="KH6" s="67"/>
      <c r="KI6" s="64"/>
      <c r="KK6" s="67"/>
      <c r="KL6" s="64"/>
      <c r="KN6" s="67"/>
    </row>
    <row r="7" spans="1:300" x14ac:dyDescent="0.2">
      <c r="A7" s="64"/>
      <c r="C7" s="67"/>
      <c r="D7" s="64"/>
      <c r="F7" s="67"/>
      <c r="G7" s="64"/>
      <c r="I7" s="67"/>
      <c r="J7" s="64"/>
      <c r="L7" s="67"/>
      <c r="M7" s="64"/>
      <c r="O7" s="67"/>
      <c r="P7" s="64"/>
      <c r="R7" s="67"/>
      <c r="S7" s="64"/>
      <c r="U7" s="67"/>
      <c r="V7" s="64"/>
      <c r="X7" s="67"/>
      <c r="Y7" s="64"/>
      <c r="AA7" s="67"/>
      <c r="AB7" s="64"/>
      <c r="AD7" s="67"/>
      <c r="AE7" s="64"/>
      <c r="AG7" s="67"/>
      <c r="AH7" s="64"/>
      <c r="AJ7" s="67"/>
      <c r="AK7" s="64"/>
      <c r="AM7" s="67"/>
      <c r="AN7" s="64"/>
      <c r="AP7" s="67"/>
      <c r="AQ7" s="64"/>
      <c r="AS7" s="67"/>
      <c r="AT7" s="64"/>
      <c r="AV7" s="67"/>
      <c r="AW7" s="64"/>
      <c r="AY7" s="67"/>
      <c r="AZ7" s="64"/>
      <c r="BB7" s="67"/>
      <c r="BC7" s="64"/>
      <c r="BE7" s="67"/>
      <c r="BF7" s="64"/>
      <c r="BH7" s="67"/>
      <c r="BI7" s="64"/>
      <c r="BK7" s="67"/>
      <c r="BL7" s="64"/>
      <c r="BN7" s="67"/>
      <c r="BO7" s="64"/>
      <c r="BQ7" s="67"/>
      <c r="BR7" s="64"/>
      <c r="BT7" s="67"/>
      <c r="BU7" s="64"/>
      <c r="BW7" s="67"/>
      <c r="BX7" s="64"/>
      <c r="BZ7" s="67"/>
      <c r="CA7" s="64"/>
      <c r="CC7" s="67"/>
      <c r="CD7" s="64"/>
      <c r="CF7" s="67"/>
      <c r="CG7" s="64"/>
      <c r="CI7" s="67"/>
      <c r="CJ7" s="64"/>
      <c r="CL7" s="67"/>
      <c r="CM7" s="64"/>
      <c r="CO7" s="67"/>
      <c r="CP7" s="64"/>
      <c r="CR7" s="67"/>
      <c r="CS7" s="64"/>
      <c r="CU7" s="67"/>
      <c r="CV7" s="64"/>
      <c r="CX7" s="67"/>
      <c r="CY7" s="64"/>
      <c r="DA7" s="67"/>
      <c r="DB7" s="64"/>
      <c r="DD7" s="67"/>
      <c r="DE7" s="64"/>
      <c r="DG7" s="67"/>
      <c r="DH7" s="64"/>
      <c r="DJ7" s="67"/>
      <c r="DK7" s="64"/>
      <c r="DM7" s="67"/>
      <c r="DN7" s="64"/>
      <c r="DP7" s="67"/>
      <c r="DQ7" s="64"/>
      <c r="DS7" s="67"/>
      <c r="DT7" s="64"/>
      <c r="DV7" s="67"/>
      <c r="DW7" s="64"/>
      <c r="DY7" s="67"/>
      <c r="DZ7" s="64"/>
      <c r="EB7" s="67"/>
      <c r="EC7" s="64"/>
      <c r="EE7" s="67"/>
      <c r="EF7" s="64"/>
      <c r="EH7" s="67"/>
      <c r="EI7" s="64"/>
      <c r="EK7" s="67"/>
      <c r="EL7" s="64"/>
      <c r="EN7" s="67"/>
      <c r="EO7" s="64"/>
      <c r="EQ7" s="67"/>
      <c r="ER7" s="64"/>
      <c r="ET7" s="67"/>
      <c r="EU7" s="64"/>
      <c r="EW7" s="67"/>
      <c r="EX7" s="64"/>
      <c r="EZ7" s="67"/>
      <c r="FA7" s="64"/>
      <c r="FC7" s="67"/>
      <c r="FD7" s="64"/>
      <c r="FF7" s="67"/>
      <c r="FG7" s="64"/>
      <c r="FI7" s="67"/>
      <c r="FJ7" s="64"/>
      <c r="FL7" s="67"/>
      <c r="FM7" s="64"/>
      <c r="FO7" s="67"/>
      <c r="FP7" s="64"/>
      <c r="FR7" s="67"/>
      <c r="FS7" s="64"/>
      <c r="FU7" s="67"/>
      <c r="FV7" s="64"/>
      <c r="FX7" s="67"/>
      <c r="FY7" s="64"/>
      <c r="GA7" s="67"/>
      <c r="GB7" s="64"/>
      <c r="GD7" s="67"/>
      <c r="GE7" s="64"/>
      <c r="GG7" s="67"/>
      <c r="GH7" s="64"/>
      <c r="GJ7" s="67"/>
      <c r="GK7" s="64"/>
      <c r="GM7" s="67"/>
      <c r="GN7" s="64"/>
      <c r="GP7" s="67"/>
      <c r="GQ7" s="64"/>
      <c r="GS7" s="67"/>
      <c r="GT7" s="64"/>
      <c r="GV7" s="67"/>
      <c r="GW7" s="64"/>
      <c r="GY7" s="67"/>
      <c r="GZ7" s="64"/>
      <c r="HB7" s="67"/>
      <c r="HC7" s="64"/>
      <c r="HE7" s="67"/>
      <c r="HF7" s="64"/>
      <c r="HH7" s="67"/>
      <c r="HI7" s="64"/>
      <c r="HK7" s="67"/>
      <c r="HL7" s="64"/>
      <c r="HN7" s="67"/>
      <c r="HO7" s="64"/>
      <c r="HQ7" s="67"/>
      <c r="HR7" s="64"/>
      <c r="HT7" s="67"/>
      <c r="HU7" s="64"/>
      <c r="HW7" s="67"/>
      <c r="HX7" s="64"/>
      <c r="HZ7" s="67"/>
      <c r="IA7" s="64"/>
      <c r="IC7" s="67"/>
      <c r="ID7" s="64"/>
      <c r="IF7" s="67"/>
      <c r="IG7" s="64"/>
      <c r="II7" s="67"/>
      <c r="IJ7" s="64"/>
      <c r="IL7" s="67"/>
      <c r="IM7" s="64"/>
      <c r="IO7" s="67"/>
      <c r="IP7" s="64"/>
      <c r="IR7" s="67"/>
      <c r="IS7" s="64"/>
      <c r="IU7" s="67"/>
      <c r="IV7" s="64"/>
      <c r="IX7" s="67"/>
      <c r="IY7" s="64"/>
      <c r="JA7" s="67"/>
      <c r="JB7" s="64"/>
      <c r="JD7" s="67"/>
      <c r="JE7" s="64"/>
      <c r="JG7" s="67"/>
      <c r="JH7" s="64"/>
      <c r="JJ7" s="67"/>
      <c r="JK7" s="64"/>
      <c r="JM7" s="67"/>
      <c r="JN7" s="64"/>
      <c r="JP7" s="67"/>
      <c r="JQ7" s="64"/>
      <c r="JS7" s="67"/>
      <c r="JT7" s="64"/>
      <c r="JV7" s="67"/>
      <c r="JW7" s="64"/>
      <c r="JY7" s="67"/>
      <c r="JZ7" s="64"/>
      <c r="KB7" s="67"/>
      <c r="KC7" s="64"/>
      <c r="KE7" s="67"/>
      <c r="KF7" s="64"/>
      <c r="KH7" s="67"/>
      <c r="KI7" s="64"/>
      <c r="KK7" s="67"/>
      <c r="KL7" s="64"/>
      <c r="KN7" s="67"/>
    </row>
    <row r="8" spans="1:300" x14ac:dyDescent="0.2">
      <c r="A8" s="64"/>
      <c r="C8" s="67"/>
      <c r="D8" s="64"/>
      <c r="F8" s="67"/>
      <c r="G8" s="64"/>
      <c r="I8" s="67"/>
      <c r="J8" s="64"/>
      <c r="L8" s="67"/>
      <c r="M8" s="64"/>
      <c r="O8" s="67"/>
      <c r="P8" s="64"/>
      <c r="R8" s="67"/>
      <c r="S8" s="64"/>
      <c r="U8" s="67"/>
      <c r="V8" s="64"/>
      <c r="X8" s="67"/>
      <c r="Y8" s="64"/>
      <c r="AA8" s="67"/>
      <c r="AB8" s="64"/>
      <c r="AD8" s="67"/>
      <c r="AE8" s="64"/>
      <c r="AG8" s="67"/>
      <c r="AH8" s="64"/>
      <c r="AJ8" s="67"/>
      <c r="AK8" s="64"/>
      <c r="AM8" s="67"/>
      <c r="AN8" s="64"/>
      <c r="AP8" s="67"/>
      <c r="AQ8" s="64"/>
      <c r="AS8" s="67"/>
      <c r="AT8" s="64"/>
      <c r="AV8" s="67"/>
      <c r="AW8" s="64"/>
      <c r="AY8" s="67"/>
      <c r="AZ8" s="64"/>
      <c r="BB8" s="67"/>
      <c r="BC8" s="64"/>
      <c r="BE8" s="67"/>
      <c r="BF8" s="64"/>
      <c r="BH8" s="67"/>
      <c r="BI8" s="64"/>
      <c r="BK8" s="67"/>
      <c r="BL8" s="64"/>
      <c r="BN8" s="67"/>
      <c r="BO8" s="64"/>
      <c r="BQ8" s="67"/>
      <c r="BR8" s="64"/>
      <c r="BT8" s="67"/>
      <c r="BU8" s="64"/>
      <c r="BW8" s="67"/>
      <c r="BX8" s="64"/>
      <c r="BZ8" s="67"/>
      <c r="CA8" s="64"/>
      <c r="CC8" s="67"/>
      <c r="CD8" s="64"/>
      <c r="CF8" s="67"/>
      <c r="CG8" s="64"/>
      <c r="CI8" s="67"/>
      <c r="CJ8" s="64"/>
      <c r="CL8" s="67"/>
      <c r="CM8" s="64"/>
      <c r="CO8" s="67"/>
      <c r="CP8" s="64"/>
      <c r="CR8" s="67"/>
      <c r="CS8" s="64"/>
      <c r="CU8" s="67"/>
      <c r="CV8" s="64"/>
      <c r="CX8" s="67"/>
      <c r="CY8" s="64"/>
      <c r="DA8" s="67"/>
      <c r="DB8" s="64"/>
      <c r="DD8" s="67"/>
      <c r="DE8" s="64"/>
      <c r="DG8" s="67"/>
      <c r="DH8" s="64"/>
      <c r="DJ8" s="67"/>
      <c r="DK8" s="64"/>
      <c r="DM8" s="67"/>
      <c r="DN8" s="64"/>
      <c r="DP8" s="67"/>
      <c r="DQ8" s="64"/>
      <c r="DS8" s="67"/>
      <c r="DT8" s="64"/>
      <c r="DV8" s="67"/>
      <c r="DW8" s="64"/>
      <c r="DY8" s="67"/>
      <c r="DZ8" s="64"/>
      <c r="EB8" s="67"/>
      <c r="EC8" s="64"/>
      <c r="EE8" s="67"/>
      <c r="EF8" s="64"/>
      <c r="EH8" s="67"/>
      <c r="EI8" s="64"/>
      <c r="EK8" s="67"/>
      <c r="EL8" s="64"/>
      <c r="EN8" s="67"/>
      <c r="EO8" s="64"/>
      <c r="EQ8" s="67"/>
      <c r="ER8" s="64"/>
      <c r="ET8" s="67"/>
      <c r="EU8" s="64"/>
      <c r="EW8" s="67"/>
      <c r="EX8" s="64"/>
      <c r="EZ8" s="67"/>
      <c r="FA8" s="64"/>
      <c r="FC8" s="67"/>
      <c r="FD8" s="64"/>
      <c r="FF8" s="67"/>
      <c r="FG8" s="64"/>
      <c r="FI8" s="67"/>
      <c r="FJ8" s="64"/>
      <c r="FL8" s="67"/>
      <c r="FM8" s="64"/>
      <c r="FO8" s="67"/>
      <c r="FP8" s="64"/>
      <c r="FR8" s="67"/>
      <c r="FS8" s="64"/>
      <c r="FU8" s="67"/>
      <c r="FV8" s="64"/>
      <c r="FX8" s="67"/>
      <c r="FY8" s="64"/>
      <c r="GA8" s="67"/>
      <c r="GB8" s="64"/>
      <c r="GD8" s="67"/>
      <c r="GE8" s="64"/>
      <c r="GG8" s="67"/>
      <c r="GH8" s="64"/>
      <c r="GJ8" s="67"/>
      <c r="GK8" s="64"/>
      <c r="GM8" s="67"/>
      <c r="GN8" s="64"/>
      <c r="GP8" s="67"/>
      <c r="GQ8" s="64"/>
      <c r="GS8" s="67"/>
      <c r="GT8" s="64"/>
      <c r="GV8" s="67"/>
      <c r="GW8" s="64"/>
      <c r="GY8" s="67"/>
      <c r="GZ8" s="64"/>
      <c r="HB8" s="67"/>
      <c r="HC8" s="64"/>
      <c r="HE8" s="67"/>
      <c r="HF8" s="64"/>
      <c r="HH8" s="67"/>
      <c r="HI8" s="64"/>
      <c r="HK8" s="67"/>
      <c r="HL8" s="64"/>
      <c r="HN8" s="67"/>
      <c r="HO8" s="64"/>
      <c r="HQ8" s="67"/>
      <c r="HR8" s="64"/>
      <c r="HT8" s="67"/>
      <c r="HU8" s="64"/>
      <c r="HW8" s="67"/>
      <c r="HX8" s="64"/>
      <c r="HZ8" s="67"/>
      <c r="IA8" s="64"/>
      <c r="IC8" s="67"/>
      <c r="ID8" s="64"/>
      <c r="IF8" s="67"/>
      <c r="IG8" s="64"/>
      <c r="II8" s="67"/>
      <c r="IJ8" s="64"/>
      <c r="IL8" s="67"/>
      <c r="IM8" s="64"/>
      <c r="IO8" s="67"/>
      <c r="IP8" s="64"/>
      <c r="IR8" s="67"/>
      <c r="IS8" s="64"/>
      <c r="IU8" s="67"/>
      <c r="IV8" s="64"/>
      <c r="IX8" s="67"/>
      <c r="IY8" s="64"/>
      <c r="JA8" s="67"/>
      <c r="JB8" s="64"/>
      <c r="JD8" s="67"/>
      <c r="JE8" s="64"/>
      <c r="JG8" s="67"/>
      <c r="JH8" s="64"/>
      <c r="JJ8" s="67"/>
      <c r="JK8" s="64"/>
      <c r="JM8" s="67"/>
      <c r="JN8" s="64"/>
      <c r="JP8" s="67"/>
      <c r="JQ8" s="64"/>
      <c r="JS8" s="67"/>
      <c r="JT8" s="64"/>
      <c r="JV8" s="67"/>
      <c r="JW8" s="64"/>
      <c r="JY8" s="67"/>
      <c r="JZ8" s="64"/>
      <c r="KB8" s="67"/>
      <c r="KC8" s="64"/>
      <c r="KE8" s="67"/>
      <c r="KF8" s="64"/>
      <c r="KH8" s="67"/>
      <c r="KI8" s="64"/>
      <c r="KK8" s="67"/>
      <c r="KL8" s="64"/>
      <c r="KN8" s="67"/>
    </row>
    <row r="9" spans="1:300" x14ac:dyDescent="0.2">
      <c r="A9" s="64"/>
      <c r="C9" s="67"/>
      <c r="D9" s="64"/>
      <c r="F9" s="67"/>
      <c r="G9" s="64"/>
      <c r="I9" s="67"/>
      <c r="J9" s="64"/>
      <c r="L9" s="67"/>
      <c r="M9" s="64"/>
      <c r="O9" s="67"/>
      <c r="P9" s="64"/>
      <c r="R9" s="67"/>
      <c r="S9" s="64"/>
      <c r="U9" s="67"/>
      <c r="V9" s="64"/>
      <c r="X9" s="67"/>
      <c r="Y9" s="64"/>
      <c r="AA9" s="67"/>
      <c r="AB9" s="64"/>
      <c r="AD9" s="67"/>
      <c r="AE9" s="64"/>
      <c r="AG9" s="67"/>
      <c r="AH9" s="64"/>
      <c r="AJ9" s="67"/>
      <c r="AK9" s="64"/>
      <c r="AM9" s="67"/>
      <c r="AN9" s="64"/>
      <c r="AP9" s="67"/>
      <c r="AQ9" s="64"/>
      <c r="AS9" s="67"/>
      <c r="AT9" s="64"/>
      <c r="AV9" s="67"/>
      <c r="AW9" s="64"/>
      <c r="AY9" s="67"/>
      <c r="AZ9" s="64"/>
      <c r="BB9" s="67"/>
      <c r="BC9" s="64"/>
      <c r="BE9" s="67"/>
      <c r="BF9" s="64"/>
      <c r="BH9" s="67"/>
      <c r="BI9" s="64"/>
      <c r="BK9" s="67"/>
      <c r="BL9" s="64"/>
      <c r="BN9" s="67"/>
      <c r="BO9" s="64"/>
      <c r="BQ9" s="67"/>
      <c r="BR9" s="64"/>
      <c r="BT9" s="67"/>
      <c r="BU9" s="64"/>
      <c r="BW9" s="67"/>
      <c r="BX9" s="64"/>
      <c r="BZ9" s="67"/>
      <c r="CA9" s="64"/>
      <c r="CC9" s="67"/>
      <c r="CD9" s="64"/>
      <c r="CF9" s="67"/>
      <c r="CG9" s="64"/>
      <c r="CI9" s="67"/>
      <c r="CJ9" s="64"/>
      <c r="CL9" s="67"/>
      <c r="CM9" s="64"/>
      <c r="CO9" s="67"/>
      <c r="CP9" s="64"/>
      <c r="CR9" s="67"/>
      <c r="CS9" s="64"/>
      <c r="CU9" s="67"/>
      <c r="CV9" s="64"/>
      <c r="CX9" s="67"/>
      <c r="CY9" s="64"/>
      <c r="DA9" s="67"/>
      <c r="DB9" s="64"/>
      <c r="DD9" s="67"/>
      <c r="DE9" s="64"/>
      <c r="DG9" s="67"/>
      <c r="DH9" s="64"/>
      <c r="DJ9" s="67"/>
      <c r="DK9" s="64"/>
      <c r="DM9" s="67"/>
      <c r="DN9" s="64"/>
      <c r="DP9" s="67"/>
      <c r="DQ9" s="64"/>
      <c r="DS9" s="67"/>
      <c r="DT9" s="64"/>
      <c r="DV9" s="67"/>
      <c r="DW9" s="64"/>
      <c r="DY9" s="67"/>
      <c r="DZ9" s="64"/>
      <c r="EB9" s="67"/>
      <c r="EC9" s="64"/>
      <c r="EE9" s="67"/>
      <c r="EF9" s="64"/>
      <c r="EH9" s="67"/>
      <c r="EI9" s="64"/>
      <c r="EK9" s="67"/>
      <c r="EL9" s="64"/>
      <c r="EN9" s="67"/>
      <c r="EO9" s="64"/>
      <c r="EQ9" s="67"/>
      <c r="ER9" s="64"/>
      <c r="ET9" s="67"/>
      <c r="EU9" s="64"/>
      <c r="EW9" s="67"/>
      <c r="EX9" s="64"/>
      <c r="EZ9" s="67"/>
      <c r="FA9" s="64"/>
      <c r="FC9" s="67"/>
      <c r="FD9" s="64"/>
      <c r="FF9" s="67"/>
      <c r="FG9" s="64"/>
      <c r="FI9" s="67"/>
      <c r="FJ9" s="64"/>
      <c r="FL9" s="67"/>
      <c r="FM9" s="64"/>
      <c r="FO9" s="67"/>
      <c r="FP9" s="64"/>
      <c r="FR9" s="67"/>
      <c r="FS9" s="64"/>
      <c r="FU9" s="67"/>
      <c r="FV9" s="64"/>
      <c r="FX9" s="67"/>
      <c r="FY9" s="64"/>
      <c r="GA9" s="67"/>
      <c r="GB9" s="64"/>
      <c r="GD9" s="67"/>
      <c r="GE9" s="64"/>
      <c r="GG9" s="67"/>
      <c r="GH9" s="64"/>
      <c r="GJ9" s="67"/>
      <c r="GK9" s="64"/>
      <c r="GM9" s="67"/>
      <c r="GN9" s="64"/>
      <c r="GP9" s="67"/>
      <c r="GQ9" s="64"/>
      <c r="GS9" s="67"/>
      <c r="GT9" s="64"/>
      <c r="GV9" s="67"/>
      <c r="GW9" s="64"/>
      <c r="GY9" s="67"/>
      <c r="GZ9" s="64"/>
      <c r="HB9" s="67"/>
      <c r="HC9" s="64"/>
      <c r="HE9" s="67"/>
      <c r="HF9" s="64"/>
      <c r="HH9" s="67"/>
      <c r="HI9" s="64"/>
      <c r="HK9" s="67"/>
      <c r="HL9" s="64"/>
      <c r="HN9" s="67"/>
      <c r="HO9" s="64"/>
      <c r="HQ9" s="67"/>
      <c r="HR9" s="64"/>
      <c r="HT9" s="67"/>
      <c r="HU9" s="64"/>
      <c r="HW9" s="67"/>
      <c r="HX9" s="64"/>
      <c r="HZ9" s="67"/>
      <c r="IA9" s="64"/>
      <c r="IC9" s="67"/>
      <c r="ID9" s="64"/>
      <c r="IF9" s="67"/>
      <c r="IG9" s="64"/>
      <c r="II9" s="67"/>
      <c r="IJ9" s="64"/>
      <c r="IL9" s="67"/>
      <c r="IM9" s="64"/>
      <c r="IO9" s="67"/>
      <c r="IP9" s="64"/>
      <c r="IR9" s="67"/>
      <c r="IS9" s="64"/>
      <c r="IU9" s="67"/>
      <c r="IV9" s="64"/>
      <c r="IX9" s="67"/>
      <c r="IY9" s="64"/>
      <c r="JA9" s="67"/>
      <c r="JB9" s="64"/>
      <c r="JD9" s="67"/>
      <c r="JE9" s="64"/>
      <c r="JG9" s="67"/>
      <c r="JH9" s="64"/>
      <c r="JJ9" s="67"/>
      <c r="JK9" s="64"/>
      <c r="JM9" s="67"/>
      <c r="JN9" s="64"/>
      <c r="JP9" s="67"/>
      <c r="JQ9" s="64"/>
      <c r="JS9" s="67"/>
      <c r="JT9" s="64"/>
      <c r="JV9" s="67"/>
      <c r="JW9" s="64"/>
      <c r="JY9" s="67"/>
      <c r="JZ9" s="64"/>
      <c r="KB9" s="67"/>
      <c r="KC9" s="64"/>
      <c r="KE9" s="67"/>
      <c r="KF9" s="64"/>
      <c r="KH9" s="67"/>
      <c r="KI9" s="64"/>
      <c r="KK9" s="67"/>
      <c r="KL9" s="64"/>
      <c r="KN9" s="67"/>
    </row>
    <row r="10" spans="1:300" x14ac:dyDescent="0.2">
      <c r="A10" s="64"/>
      <c r="C10" s="67"/>
      <c r="D10" s="64"/>
      <c r="F10" s="67"/>
      <c r="G10" s="64"/>
      <c r="I10" s="67"/>
      <c r="J10" s="64"/>
      <c r="L10" s="67"/>
      <c r="M10" s="64"/>
      <c r="O10" s="67"/>
      <c r="P10" s="64"/>
      <c r="R10" s="67"/>
      <c r="S10" s="64"/>
      <c r="U10" s="67"/>
      <c r="V10" s="64"/>
      <c r="X10" s="67"/>
      <c r="Y10" s="64"/>
      <c r="AA10" s="67"/>
      <c r="AB10" s="64"/>
      <c r="AD10" s="67"/>
      <c r="AE10" s="64"/>
      <c r="AG10" s="67"/>
      <c r="AH10" s="64"/>
      <c r="AJ10" s="67"/>
      <c r="AK10" s="64"/>
      <c r="AM10" s="67"/>
      <c r="AN10" s="64"/>
      <c r="AP10" s="67"/>
      <c r="AQ10" s="64"/>
      <c r="AS10" s="67"/>
      <c r="AT10" s="64"/>
      <c r="AV10" s="67"/>
      <c r="AW10" s="64"/>
      <c r="AY10" s="67"/>
      <c r="AZ10" s="64"/>
      <c r="BB10" s="67"/>
      <c r="BC10" s="64"/>
      <c r="BE10" s="67"/>
      <c r="BF10" s="64"/>
      <c r="BH10" s="67"/>
      <c r="BI10" s="64"/>
      <c r="BK10" s="67"/>
      <c r="BL10" s="64"/>
      <c r="BN10" s="67"/>
      <c r="BO10" s="64"/>
      <c r="BQ10" s="67"/>
      <c r="BR10" s="64"/>
      <c r="BT10" s="67"/>
      <c r="BU10" s="64"/>
      <c r="BW10" s="67"/>
      <c r="BX10" s="64"/>
      <c r="BZ10" s="67"/>
      <c r="CA10" s="64"/>
      <c r="CC10" s="67"/>
      <c r="CD10" s="64"/>
      <c r="CF10" s="67"/>
      <c r="CG10" s="64"/>
      <c r="CI10" s="67"/>
      <c r="CJ10" s="64"/>
      <c r="CL10" s="67"/>
      <c r="CM10" s="64"/>
      <c r="CO10" s="67"/>
      <c r="CP10" s="64"/>
      <c r="CR10" s="67"/>
      <c r="CS10" s="64"/>
      <c r="CU10" s="67"/>
      <c r="CV10" s="64"/>
      <c r="CX10" s="67"/>
      <c r="CY10" s="64"/>
      <c r="DA10" s="67"/>
      <c r="DB10" s="64"/>
      <c r="DD10" s="67"/>
      <c r="DE10" s="64"/>
      <c r="DG10" s="67"/>
      <c r="DH10" s="64"/>
      <c r="DJ10" s="67"/>
      <c r="DK10" s="64"/>
      <c r="DM10" s="67"/>
      <c r="DN10" s="64"/>
      <c r="DP10" s="67"/>
      <c r="DQ10" s="64"/>
      <c r="DS10" s="67"/>
      <c r="DT10" s="64"/>
      <c r="DV10" s="67"/>
      <c r="DW10" s="64"/>
      <c r="DY10" s="67"/>
      <c r="DZ10" s="64"/>
      <c r="EB10" s="67"/>
      <c r="EC10" s="64"/>
      <c r="EE10" s="67"/>
      <c r="EF10" s="64"/>
      <c r="EH10" s="67"/>
      <c r="EI10" s="64"/>
      <c r="EK10" s="67"/>
      <c r="EL10" s="64"/>
      <c r="EN10" s="67"/>
      <c r="EO10" s="64"/>
      <c r="EQ10" s="67"/>
      <c r="ER10" s="64"/>
      <c r="ET10" s="67"/>
      <c r="EU10" s="64"/>
      <c r="EW10" s="67"/>
      <c r="EX10" s="64"/>
      <c r="EZ10" s="67"/>
      <c r="FA10" s="64"/>
      <c r="FC10" s="67"/>
      <c r="FD10" s="64"/>
      <c r="FF10" s="67"/>
      <c r="FG10" s="64"/>
      <c r="FI10" s="67"/>
      <c r="FJ10" s="64"/>
      <c r="FL10" s="67"/>
      <c r="FM10" s="64"/>
      <c r="FO10" s="67"/>
      <c r="FP10" s="64"/>
      <c r="FR10" s="67"/>
      <c r="FS10" s="64"/>
      <c r="FU10" s="67"/>
      <c r="FV10" s="64"/>
      <c r="FX10" s="67"/>
      <c r="FY10" s="64"/>
      <c r="GA10" s="67"/>
      <c r="GB10" s="64"/>
      <c r="GD10" s="67"/>
      <c r="GE10" s="64"/>
      <c r="GG10" s="67"/>
      <c r="GH10" s="64"/>
      <c r="GJ10" s="67"/>
      <c r="GK10" s="64"/>
      <c r="GM10" s="67"/>
      <c r="GN10" s="64"/>
      <c r="GP10" s="67"/>
      <c r="GQ10" s="64"/>
      <c r="GS10" s="67"/>
      <c r="GT10" s="64"/>
      <c r="GV10" s="67"/>
      <c r="GW10" s="64"/>
      <c r="GY10" s="67"/>
      <c r="GZ10" s="64"/>
      <c r="HB10" s="67"/>
      <c r="HC10" s="64"/>
      <c r="HE10" s="67"/>
      <c r="HF10" s="64"/>
      <c r="HH10" s="67"/>
      <c r="HI10" s="64"/>
      <c r="HK10" s="67"/>
      <c r="HL10" s="64"/>
      <c r="HN10" s="67"/>
      <c r="HO10" s="64"/>
      <c r="HQ10" s="67"/>
      <c r="HR10" s="64"/>
      <c r="HT10" s="67"/>
      <c r="HU10" s="64"/>
      <c r="HW10" s="67"/>
      <c r="HX10" s="64"/>
      <c r="HZ10" s="67"/>
      <c r="IA10" s="64"/>
      <c r="IC10" s="67"/>
      <c r="ID10" s="64"/>
      <c r="IF10" s="67"/>
      <c r="IG10" s="64"/>
      <c r="II10" s="67"/>
      <c r="IJ10" s="64"/>
      <c r="IL10" s="67"/>
      <c r="IM10" s="64"/>
      <c r="IO10" s="67"/>
      <c r="IP10" s="64"/>
      <c r="IR10" s="67"/>
      <c r="IS10" s="64"/>
      <c r="IU10" s="67"/>
      <c r="IV10" s="64"/>
      <c r="IX10" s="67"/>
      <c r="IY10" s="64"/>
      <c r="JA10" s="67"/>
      <c r="JB10" s="64"/>
      <c r="JD10" s="67"/>
      <c r="JE10" s="64"/>
      <c r="JG10" s="67"/>
      <c r="JH10" s="64"/>
      <c r="JJ10" s="67"/>
      <c r="JK10" s="64"/>
      <c r="JM10" s="67"/>
      <c r="JN10" s="64"/>
      <c r="JP10" s="67"/>
      <c r="JQ10" s="64"/>
      <c r="JS10" s="67"/>
      <c r="JT10" s="64"/>
      <c r="JV10" s="67"/>
      <c r="JW10" s="64"/>
      <c r="JY10" s="67"/>
      <c r="JZ10" s="64"/>
      <c r="KB10" s="67"/>
      <c r="KC10" s="64"/>
      <c r="KE10" s="67"/>
      <c r="KF10" s="64"/>
      <c r="KH10" s="67"/>
      <c r="KI10" s="64"/>
      <c r="KK10" s="67"/>
      <c r="KL10" s="64"/>
      <c r="KN10" s="67"/>
    </row>
    <row r="11" spans="1:300" x14ac:dyDescent="0.2">
      <c r="A11" s="64"/>
      <c r="C11" s="67"/>
      <c r="D11" s="64"/>
      <c r="F11" s="67"/>
      <c r="G11" s="64"/>
      <c r="I11" s="67"/>
      <c r="J11" s="64"/>
      <c r="L11" s="67"/>
      <c r="M11" s="64"/>
      <c r="O11" s="67"/>
      <c r="P11" s="64"/>
      <c r="R11" s="67"/>
      <c r="S11" s="64"/>
      <c r="U11" s="67"/>
      <c r="V11" s="64"/>
      <c r="X11" s="67"/>
      <c r="Y11" s="64"/>
      <c r="AA11" s="67"/>
      <c r="AB11" s="64"/>
      <c r="AD11" s="67"/>
      <c r="AE11" s="64"/>
      <c r="AG11" s="67"/>
      <c r="AH11" s="64"/>
      <c r="AJ11" s="67"/>
      <c r="AK11" s="64"/>
      <c r="AM11" s="67"/>
      <c r="AN11" s="64"/>
      <c r="AP11" s="67"/>
      <c r="AQ11" s="64"/>
      <c r="AS11" s="67"/>
      <c r="AT11" s="64"/>
      <c r="AV11" s="67"/>
      <c r="AW11" s="64"/>
      <c r="AY11" s="67"/>
      <c r="AZ11" s="64"/>
      <c r="BB11" s="67"/>
      <c r="BC11" s="64"/>
      <c r="BE11" s="67"/>
      <c r="BF11" s="64"/>
      <c r="BH11" s="67"/>
      <c r="BI11" s="64"/>
      <c r="BK11" s="67"/>
      <c r="BL11" s="64"/>
      <c r="BN11" s="67"/>
      <c r="BO11" s="64"/>
      <c r="BQ11" s="67"/>
      <c r="BR11" s="64"/>
      <c r="BT11" s="67"/>
      <c r="BU11" s="64"/>
      <c r="BW11" s="67"/>
      <c r="BX11" s="64"/>
      <c r="BZ11" s="67"/>
      <c r="CA11" s="64"/>
      <c r="CC11" s="67"/>
      <c r="CD11" s="64"/>
      <c r="CF11" s="67"/>
      <c r="CG11" s="64"/>
      <c r="CI11" s="67"/>
      <c r="CJ11" s="64"/>
      <c r="CL11" s="67"/>
      <c r="CM11" s="64"/>
      <c r="CO11" s="67"/>
      <c r="CP11" s="64"/>
      <c r="CR11" s="67"/>
      <c r="CS11" s="64"/>
      <c r="CU11" s="67"/>
      <c r="CV11" s="64"/>
      <c r="CX11" s="67"/>
      <c r="CY11" s="64"/>
      <c r="DA11" s="67"/>
      <c r="DB11" s="64"/>
      <c r="DD11" s="67"/>
      <c r="DE11" s="64"/>
      <c r="DG11" s="67"/>
      <c r="DH11" s="64"/>
      <c r="DJ11" s="67"/>
      <c r="DK11" s="64"/>
      <c r="DM11" s="67"/>
      <c r="DN11" s="64"/>
      <c r="DP11" s="67"/>
      <c r="DQ11" s="64"/>
      <c r="DS11" s="67"/>
      <c r="DT11" s="64"/>
      <c r="DV11" s="67"/>
      <c r="DW11" s="64"/>
      <c r="DY11" s="67"/>
      <c r="DZ11" s="64"/>
      <c r="EB11" s="67"/>
      <c r="EC11" s="64"/>
      <c r="EE11" s="67"/>
      <c r="EF11" s="64"/>
      <c r="EH11" s="67"/>
      <c r="EI11" s="64"/>
      <c r="EK11" s="67"/>
      <c r="EL11" s="64"/>
      <c r="EN11" s="67"/>
      <c r="EO11" s="64"/>
      <c r="EQ11" s="67"/>
      <c r="ER11" s="64"/>
      <c r="ET11" s="67"/>
      <c r="EU11" s="64"/>
      <c r="EW11" s="67"/>
      <c r="EX11" s="64"/>
      <c r="EZ11" s="67"/>
      <c r="FA11" s="64"/>
      <c r="FC11" s="67"/>
      <c r="FD11" s="64"/>
      <c r="FF11" s="67"/>
      <c r="FG11" s="64"/>
      <c r="FI11" s="67"/>
      <c r="FJ11" s="64"/>
      <c r="FL11" s="67"/>
      <c r="FM11" s="64"/>
      <c r="FO11" s="67"/>
      <c r="FP11" s="64"/>
      <c r="FR11" s="67"/>
      <c r="FS11" s="64"/>
      <c r="FU11" s="67"/>
      <c r="FV11" s="64"/>
      <c r="FX11" s="67"/>
      <c r="FY11" s="64"/>
      <c r="GA11" s="67"/>
      <c r="GB11" s="64"/>
      <c r="GD11" s="67"/>
      <c r="GE11" s="64"/>
      <c r="GG11" s="67"/>
      <c r="GH11" s="64"/>
      <c r="GJ11" s="67"/>
      <c r="GK11" s="64"/>
      <c r="GM11" s="67"/>
      <c r="GN11" s="64"/>
      <c r="GP11" s="67"/>
      <c r="GQ11" s="64"/>
      <c r="GS11" s="67"/>
      <c r="GT11" s="64"/>
      <c r="GV11" s="67"/>
      <c r="GW11" s="64"/>
      <c r="GY11" s="67"/>
      <c r="GZ11" s="64"/>
      <c r="HB11" s="67"/>
      <c r="HC11" s="64"/>
      <c r="HE11" s="67"/>
      <c r="HF11" s="64"/>
      <c r="HH11" s="67"/>
      <c r="HI11" s="64"/>
      <c r="HK11" s="67"/>
      <c r="HL11" s="64"/>
      <c r="HN11" s="67"/>
      <c r="HO11" s="64"/>
      <c r="HQ11" s="67"/>
      <c r="HR11" s="64"/>
      <c r="HT11" s="67"/>
      <c r="HU11" s="64"/>
      <c r="HW11" s="67"/>
      <c r="HX11" s="64"/>
      <c r="HZ11" s="67"/>
      <c r="IA11" s="64"/>
      <c r="IC11" s="67"/>
      <c r="ID11" s="64"/>
      <c r="IF11" s="67"/>
      <c r="IG11" s="64"/>
      <c r="II11" s="67"/>
      <c r="IJ11" s="64"/>
      <c r="IL11" s="67"/>
      <c r="IM11" s="64"/>
      <c r="IO11" s="67"/>
      <c r="IP11" s="64"/>
      <c r="IR11" s="67"/>
      <c r="IS11" s="64"/>
      <c r="IU11" s="67"/>
      <c r="IV11" s="64"/>
      <c r="IX11" s="67"/>
      <c r="IY11" s="64"/>
      <c r="JA11" s="67"/>
      <c r="JB11" s="64"/>
      <c r="JD11" s="67"/>
      <c r="JE11" s="64"/>
      <c r="JG11" s="67"/>
      <c r="JH11" s="64"/>
      <c r="JJ11" s="67"/>
      <c r="JK11" s="64"/>
      <c r="JM11" s="67"/>
      <c r="JN11" s="64"/>
      <c r="JP11" s="67"/>
      <c r="JQ11" s="64"/>
      <c r="JS11" s="67"/>
      <c r="JT11" s="64"/>
      <c r="JV11" s="67"/>
      <c r="JW11" s="64"/>
      <c r="JY11" s="67"/>
      <c r="JZ11" s="64"/>
      <c r="KB11" s="67"/>
      <c r="KC11" s="64"/>
      <c r="KE11" s="67"/>
      <c r="KF11" s="64"/>
      <c r="KH11" s="67"/>
      <c r="KI11" s="64"/>
      <c r="KK11" s="67"/>
      <c r="KL11" s="64"/>
      <c r="KN11" s="67"/>
    </row>
    <row r="12" spans="1:300" x14ac:dyDescent="0.2">
      <c r="A12" s="64"/>
      <c r="C12" s="67"/>
      <c r="D12" s="64"/>
      <c r="F12" s="67"/>
      <c r="G12" s="64"/>
      <c r="I12" s="67"/>
      <c r="J12" s="64"/>
      <c r="L12" s="67"/>
      <c r="M12" s="64"/>
      <c r="O12" s="67"/>
      <c r="P12" s="64"/>
      <c r="R12" s="67"/>
      <c r="S12" s="64"/>
      <c r="U12" s="67"/>
      <c r="V12" s="64"/>
      <c r="X12" s="67"/>
      <c r="Y12" s="64"/>
      <c r="AA12" s="67"/>
      <c r="AB12" s="64"/>
      <c r="AD12" s="67"/>
      <c r="AE12" s="64"/>
      <c r="AG12" s="67"/>
      <c r="AH12" s="64"/>
      <c r="AJ12" s="67"/>
      <c r="AK12" s="64"/>
      <c r="AM12" s="67"/>
      <c r="AN12" s="64"/>
      <c r="AP12" s="67"/>
      <c r="AQ12" s="64"/>
      <c r="AS12" s="67"/>
      <c r="AT12" s="64"/>
      <c r="AV12" s="67"/>
      <c r="AW12" s="64"/>
      <c r="AY12" s="67"/>
      <c r="AZ12" s="64"/>
      <c r="BB12" s="67"/>
      <c r="BC12" s="64"/>
      <c r="BE12" s="67"/>
      <c r="BF12" s="64"/>
      <c r="BH12" s="67"/>
      <c r="BI12" s="64"/>
      <c r="BK12" s="67"/>
      <c r="BL12" s="64"/>
      <c r="BN12" s="67"/>
      <c r="BO12" s="64"/>
      <c r="BQ12" s="67"/>
      <c r="BR12" s="64"/>
      <c r="BT12" s="67"/>
      <c r="BU12" s="64"/>
      <c r="BW12" s="67"/>
      <c r="BX12" s="64"/>
      <c r="BZ12" s="67"/>
      <c r="CA12" s="64"/>
      <c r="CC12" s="67"/>
      <c r="CD12" s="64"/>
      <c r="CF12" s="67"/>
      <c r="CG12" s="64"/>
      <c r="CI12" s="67"/>
      <c r="CJ12" s="64"/>
      <c r="CL12" s="67"/>
      <c r="CM12" s="64"/>
      <c r="CO12" s="67"/>
      <c r="CP12" s="64"/>
      <c r="CR12" s="67"/>
      <c r="CS12" s="64"/>
      <c r="CU12" s="67"/>
      <c r="CV12" s="64"/>
      <c r="CX12" s="67"/>
      <c r="CY12" s="64"/>
      <c r="DA12" s="67"/>
      <c r="DB12" s="64"/>
      <c r="DD12" s="67"/>
      <c r="DE12" s="64"/>
      <c r="DG12" s="67"/>
      <c r="DH12" s="64"/>
      <c r="DJ12" s="67"/>
      <c r="DK12" s="64"/>
      <c r="DM12" s="67"/>
      <c r="DN12" s="64"/>
      <c r="DP12" s="67"/>
      <c r="DQ12" s="64"/>
      <c r="DS12" s="67"/>
      <c r="DT12" s="64"/>
      <c r="DV12" s="67"/>
      <c r="DW12" s="64"/>
      <c r="DY12" s="67"/>
      <c r="DZ12" s="64"/>
      <c r="EB12" s="67"/>
      <c r="EC12" s="64"/>
      <c r="EE12" s="67"/>
      <c r="EF12" s="64"/>
      <c r="EH12" s="67"/>
      <c r="EI12" s="64"/>
      <c r="EK12" s="67"/>
      <c r="EL12" s="64"/>
      <c r="EN12" s="67"/>
      <c r="EO12" s="64"/>
      <c r="EQ12" s="67"/>
      <c r="ER12" s="64"/>
      <c r="ET12" s="67"/>
      <c r="EU12" s="64"/>
      <c r="EW12" s="67"/>
      <c r="EX12" s="64"/>
      <c r="EZ12" s="67"/>
      <c r="FA12" s="64"/>
      <c r="FC12" s="67"/>
      <c r="FD12" s="64"/>
      <c r="FF12" s="67"/>
      <c r="FG12" s="64"/>
      <c r="FI12" s="67"/>
      <c r="FJ12" s="64"/>
      <c r="FL12" s="67"/>
      <c r="FM12" s="64"/>
      <c r="FO12" s="67"/>
      <c r="FP12" s="64"/>
      <c r="FR12" s="67"/>
      <c r="FS12" s="64"/>
      <c r="FU12" s="67"/>
      <c r="FV12" s="64"/>
      <c r="FX12" s="67"/>
      <c r="FY12" s="64"/>
      <c r="GA12" s="67"/>
      <c r="GB12" s="64"/>
      <c r="GD12" s="67"/>
      <c r="GE12" s="64"/>
      <c r="GG12" s="67"/>
      <c r="GH12" s="64"/>
      <c r="GJ12" s="67"/>
      <c r="GK12" s="64"/>
      <c r="GM12" s="67"/>
      <c r="GN12" s="64"/>
      <c r="GP12" s="67"/>
      <c r="GQ12" s="64"/>
      <c r="GS12" s="67"/>
      <c r="GT12" s="64"/>
      <c r="GV12" s="67"/>
      <c r="GW12" s="64"/>
      <c r="GY12" s="67"/>
      <c r="GZ12" s="64"/>
      <c r="HB12" s="67"/>
      <c r="HC12" s="64"/>
      <c r="HE12" s="67"/>
      <c r="HF12" s="64"/>
      <c r="HH12" s="67"/>
      <c r="HI12" s="64"/>
      <c r="HK12" s="67"/>
      <c r="HL12" s="64"/>
      <c r="HN12" s="67"/>
      <c r="HO12" s="64"/>
      <c r="HQ12" s="67"/>
      <c r="HR12" s="64"/>
      <c r="HT12" s="67"/>
      <c r="HU12" s="64"/>
      <c r="HW12" s="67"/>
      <c r="HX12" s="64"/>
      <c r="HZ12" s="67"/>
      <c r="IA12" s="64"/>
      <c r="IC12" s="67"/>
      <c r="ID12" s="64"/>
      <c r="IF12" s="67"/>
      <c r="IG12" s="64"/>
      <c r="II12" s="67"/>
      <c r="IJ12" s="64"/>
      <c r="IL12" s="67"/>
      <c r="IM12" s="64"/>
      <c r="IO12" s="67"/>
      <c r="IP12" s="64"/>
      <c r="IR12" s="67"/>
      <c r="IS12" s="64"/>
      <c r="IU12" s="67"/>
      <c r="IV12" s="64"/>
      <c r="IX12" s="67"/>
      <c r="IY12" s="64"/>
      <c r="JA12" s="67"/>
      <c r="JB12" s="64"/>
      <c r="JD12" s="67"/>
      <c r="JE12" s="64"/>
      <c r="JG12" s="67"/>
      <c r="JH12" s="64"/>
      <c r="JJ12" s="67"/>
      <c r="JK12" s="64"/>
      <c r="JM12" s="67"/>
      <c r="JN12" s="64"/>
      <c r="JP12" s="67"/>
      <c r="JQ12" s="64"/>
      <c r="JS12" s="67"/>
      <c r="JT12" s="64"/>
      <c r="JV12" s="67"/>
      <c r="JW12" s="64"/>
      <c r="JY12" s="67"/>
      <c r="JZ12" s="64"/>
      <c r="KB12" s="67"/>
      <c r="KC12" s="64"/>
      <c r="KE12" s="67"/>
      <c r="KF12" s="64"/>
      <c r="KH12" s="67"/>
      <c r="KI12" s="64"/>
      <c r="KK12" s="67"/>
      <c r="KL12" s="64"/>
      <c r="KN12" s="67"/>
    </row>
    <row r="13" spans="1:300" x14ac:dyDescent="0.2">
      <c r="A13" s="64"/>
      <c r="C13" s="67"/>
      <c r="D13" s="64"/>
      <c r="F13" s="67"/>
      <c r="G13" s="64"/>
      <c r="I13" s="67"/>
      <c r="J13" s="64"/>
      <c r="L13" s="67"/>
      <c r="M13" s="64"/>
      <c r="O13" s="67"/>
      <c r="P13" s="64"/>
      <c r="R13" s="67"/>
      <c r="S13" s="64"/>
      <c r="U13" s="67"/>
      <c r="V13" s="64"/>
      <c r="X13" s="67"/>
      <c r="Y13" s="64"/>
      <c r="AA13" s="67"/>
      <c r="AB13" s="64"/>
      <c r="AD13" s="67"/>
      <c r="AE13" s="64"/>
      <c r="AG13" s="67"/>
      <c r="AH13" s="64"/>
      <c r="AJ13" s="67"/>
      <c r="AK13" s="64"/>
      <c r="AM13" s="67"/>
      <c r="AN13" s="64"/>
      <c r="AP13" s="67"/>
      <c r="AQ13" s="64"/>
      <c r="AS13" s="67"/>
      <c r="AT13" s="64"/>
      <c r="AV13" s="67"/>
      <c r="AW13" s="64"/>
      <c r="AY13" s="67"/>
      <c r="AZ13" s="64"/>
      <c r="BB13" s="67"/>
      <c r="BC13" s="64"/>
      <c r="BE13" s="67"/>
      <c r="BF13" s="64"/>
      <c r="BH13" s="67"/>
      <c r="BI13" s="64"/>
      <c r="BK13" s="67"/>
      <c r="BL13" s="64"/>
      <c r="BN13" s="67"/>
      <c r="BO13" s="64"/>
      <c r="BQ13" s="67"/>
      <c r="BR13" s="64"/>
      <c r="BT13" s="67"/>
      <c r="BU13" s="64"/>
      <c r="BW13" s="67"/>
      <c r="BX13" s="64"/>
      <c r="BZ13" s="67"/>
      <c r="CA13" s="64"/>
      <c r="CC13" s="67"/>
      <c r="CD13" s="64"/>
      <c r="CF13" s="67"/>
      <c r="CG13" s="64"/>
      <c r="CI13" s="67"/>
      <c r="CJ13" s="64"/>
      <c r="CL13" s="67"/>
      <c r="CM13" s="64"/>
      <c r="CO13" s="67"/>
      <c r="CP13" s="64"/>
      <c r="CR13" s="67"/>
      <c r="CS13" s="64"/>
      <c r="CU13" s="67"/>
      <c r="CV13" s="64"/>
      <c r="CX13" s="67"/>
      <c r="CY13" s="64"/>
      <c r="DA13" s="67"/>
      <c r="DB13" s="64"/>
      <c r="DD13" s="67"/>
      <c r="DE13" s="64"/>
      <c r="DG13" s="67"/>
      <c r="DH13" s="64"/>
      <c r="DJ13" s="67"/>
      <c r="DK13" s="64"/>
      <c r="DM13" s="67"/>
      <c r="DN13" s="64"/>
      <c r="DP13" s="67"/>
      <c r="DQ13" s="64"/>
      <c r="DS13" s="67"/>
      <c r="DT13" s="64"/>
      <c r="DV13" s="67"/>
      <c r="DW13" s="64"/>
      <c r="DY13" s="67"/>
      <c r="DZ13" s="64"/>
      <c r="EB13" s="67"/>
      <c r="EC13" s="64"/>
      <c r="EE13" s="67"/>
      <c r="EF13" s="64"/>
      <c r="EH13" s="67"/>
      <c r="EI13" s="64"/>
      <c r="EK13" s="67"/>
      <c r="EL13" s="64"/>
      <c r="EN13" s="67"/>
      <c r="EO13" s="64"/>
      <c r="EQ13" s="67"/>
      <c r="ER13" s="64"/>
      <c r="ET13" s="67"/>
      <c r="EU13" s="64"/>
      <c r="EW13" s="67"/>
      <c r="EX13" s="64"/>
      <c r="EZ13" s="67"/>
      <c r="FA13" s="64"/>
      <c r="FC13" s="67"/>
      <c r="FD13" s="64"/>
      <c r="FF13" s="67"/>
      <c r="FG13" s="64"/>
      <c r="FI13" s="67"/>
      <c r="FJ13" s="64"/>
      <c r="FL13" s="67"/>
      <c r="FM13" s="64"/>
      <c r="FO13" s="67"/>
      <c r="FP13" s="64"/>
      <c r="FR13" s="67"/>
      <c r="FS13" s="64"/>
      <c r="FU13" s="67"/>
      <c r="FV13" s="64"/>
      <c r="FX13" s="67"/>
      <c r="FY13" s="64"/>
      <c r="GA13" s="67"/>
      <c r="GB13" s="64"/>
      <c r="GD13" s="67"/>
      <c r="GE13" s="64"/>
      <c r="GG13" s="67"/>
      <c r="GH13" s="64"/>
      <c r="GJ13" s="67"/>
      <c r="GK13" s="64"/>
      <c r="GM13" s="67"/>
      <c r="GN13" s="64"/>
      <c r="GP13" s="67"/>
      <c r="GQ13" s="64"/>
      <c r="GS13" s="67"/>
      <c r="GT13" s="64"/>
      <c r="GV13" s="67"/>
      <c r="GW13" s="64"/>
      <c r="GY13" s="67"/>
      <c r="GZ13" s="64"/>
      <c r="HB13" s="67"/>
      <c r="HC13" s="64"/>
      <c r="HE13" s="67"/>
      <c r="HF13" s="64"/>
      <c r="HH13" s="67"/>
      <c r="HI13" s="64"/>
      <c r="HK13" s="67"/>
      <c r="HL13" s="64"/>
      <c r="HN13" s="67"/>
      <c r="HO13" s="64"/>
      <c r="HQ13" s="67"/>
      <c r="HR13" s="64"/>
      <c r="HT13" s="67"/>
      <c r="HU13" s="64"/>
      <c r="HW13" s="67"/>
      <c r="HX13" s="64"/>
      <c r="HZ13" s="67"/>
      <c r="IA13" s="64"/>
      <c r="IC13" s="67"/>
      <c r="ID13" s="64"/>
      <c r="IF13" s="67"/>
      <c r="IG13" s="64"/>
      <c r="II13" s="67"/>
      <c r="IJ13" s="64"/>
      <c r="IL13" s="67"/>
      <c r="IM13" s="64"/>
      <c r="IO13" s="67"/>
      <c r="IP13" s="64"/>
      <c r="IR13" s="67"/>
      <c r="IS13" s="64"/>
      <c r="IU13" s="67"/>
      <c r="IV13" s="64"/>
      <c r="IX13" s="67"/>
      <c r="IY13" s="64"/>
      <c r="JA13" s="67"/>
      <c r="JB13" s="64"/>
      <c r="JD13" s="67"/>
      <c r="JE13" s="64"/>
      <c r="JG13" s="67"/>
      <c r="JH13" s="64"/>
      <c r="JJ13" s="67"/>
      <c r="JK13" s="64"/>
      <c r="JM13" s="67"/>
      <c r="JN13" s="64"/>
      <c r="JP13" s="67"/>
      <c r="JQ13" s="64"/>
      <c r="JS13" s="67"/>
      <c r="JT13" s="64"/>
      <c r="JV13" s="67"/>
      <c r="JW13" s="64"/>
      <c r="JY13" s="67"/>
      <c r="JZ13" s="64"/>
      <c r="KB13" s="67"/>
      <c r="KC13" s="64"/>
      <c r="KE13" s="67"/>
      <c r="KF13" s="64"/>
      <c r="KH13" s="67"/>
      <c r="KI13" s="64"/>
      <c r="KK13" s="67"/>
      <c r="KL13" s="64"/>
      <c r="KN13" s="67"/>
    </row>
    <row r="14" spans="1:300" x14ac:dyDescent="0.2">
      <c r="A14" s="64"/>
      <c r="C14" s="67"/>
      <c r="D14" s="64"/>
      <c r="F14" s="67"/>
      <c r="G14" s="64"/>
      <c r="I14" s="67"/>
      <c r="J14" s="64"/>
      <c r="L14" s="67"/>
      <c r="M14" s="64"/>
      <c r="O14" s="67"/>
      <c r="P14" s="64"/>
      <c r="R14" s="67"/>
      <c r="S14" s="64"/>
      <c r="U14" s="67"/>
      <c r="V14" s="64"/>
      <c r="X14" s="67"/>
      <c r="Y14" s="64"/>
      <c r="AA14" s="67"/>
      <c r="AB14" s="64"/>
      <c r="AD14" s="67"/>
      <c r="AE14" s="64"/>
      <c r="AG14" s="67"/>
      <c r="AH14" s="64"/>
      <c r="AJ14" s="67"/>
      <c r="AK14" s="64"/>
      <c r="AM14" s="67"/>
      <c r="AN14" s="64"/>
      <c r="AP14" s="67"/>
      <c r="AQ14" s="64"/>
      <c r="AS14" s="67"/>
      <c r="AT14" s="64"/>
      <c r="AV14" s="67"/>
      <c r="AW14" s="64"/>
      <c r="AY14" s="67"/>
      <c r="AZ14" s="64"/>
      <c r="BB14" s="67"/>
      <c r="BC14" s="64"/>
      <c r="BE14" s="67"/>
      <c r="BF14" s="64"/>
      <c r="BH14" s="67"/>
      <c r="BI14" s="64"/>
      <c r="BK14" s="67"/>
      <c r="BL14" s="64"/>
      <c r="BN14" s="67"/>
      <c r="BO14" s="64"/>
      <c r="BQ14" s="67"/>
      <c r="BR14" s="64"/>
      <c r="BT14" s="67"/>
      <c r="BU14" s="64"/>
      <c r="BW14" s="67"/>
      <c r="BX14" s="64"/>
      <c r="BZ14" s="67"/>
      <c r="CA14" s="64"/>
      <c r="CC14" s="67"/>
      <c r="CD14" s="64"/>
      <c r="CF14" s="67"/>
      <c r="CG14" s="64"/>
      <c r="CI14" s="67"/>
      <c r="CJ14" s="64"/>
      <c r="CL14" s="67"/>
      <c r="CM14" s="64"/>
      <c r="CO14" s="67"/>
      <c r="CP14" s="64"/>
      <c r="CR14" s="67"/>
      <c r="CS14" s="64"/>
      <c r="CU14" s="67"/>
      <c r="CV14" s="64"/>
      <c r="CX14" s="67"/>
      <c r="CY14" s="64"/>
      <c r="DA14" s="67"/>
      <c r="DB14" s="64"/>
      <c r="DD14" s="67"/>
      <c r="DE14" s="64"/>
      <c r="DG14" s="67"/>
      <c r="DH14" s="64"/>
      <c r="DJ14" s="67"/>
      <c r="DK14" s="64"/>
      <c r="DM14" s="67"/>
      <c r="DN14" s="64"/>
      <c r="DP14" s="67"/>
      <c r="DQ14" s="64"/>
      <c r="DS14" s="67"/>
      <c r="DT14" s="64"/>
      <c r="DV14" s="67"/>
      <c r="DW14" s="64"/>
      <c r="DY14" s="67"/>
      <c r="DZ14" s="64"/>
      <c r="EB14" s="67"/>
      <c r="EC14" s="64"/>
      <c r="EE14" s="67"/>
      <c r="EF14" s="64"/>
      <c r="EH14" s="67"/>
      <c r="EI14" s="64"/>
      <c r="EK14" s="67"/>
      <c r="EL14" s="64"/>
      <c r="EN14" s="67"/>
      <c r="EO14" s="64"/>
      <c r="EQ14" s="67"/>
      <c r="ER14" s="64"/>
      <c r="ET14" s="67"/>
      <c r="EU14" s="64"/>
      <c r="EW14" s="67"/>
      <c r="EX14" s="64"/>
      <c r="EZ14" s="67"/>
      <c r="FA14" s="64"/>
      <c r="FC14" s="67"/>
      <c r="FD14" s="64"/>
      <c r="FF14" s="67"/>
      <c r="FG14" s="64"/>
      <c r="FI14" s="67"/>
      <c r="FJ14" s="64"/>
      <c r="FL14" s="67"/>
      <c r="FM14" s="64"/>
      <c r="FO14" s="67"/>
      <c r="FP14" s="64"/>
      <c r="FR14" s="67"/>
      <c r="FS14" s="64"/>
      <c r="FU14" s="67"/>
      <c r="FV14" s="64"/>
      <c r="FX14" s="67"/>
      <c r="FY14" s="64"/>
      <c r="GA14" s="67"/>
      <c r="GB14" s="64"/>
      <c r="GD14" s="67"/>
      <c r="GE14" s="64"/>
      <c r="GG14" s="67"/>
      <c r="GH14" s="64"/>
      <c r="GJ14" s="67"/>
      <c r="GK14" s="64"/>
      <c r="GM14" s="67"/>
      <c r="GN14" s="64"/>
      <c r="GP14" s="67"/>
      <c r="GQ14" s="64"/>
      <c r="GS14" s="67"/>
      <c r="GT14" s="64"/>
      <c r="GV14" s="67"/>
      <c r="GW14" s="64"/>
      <c r="GY14" s="67"/>
      <c r="GZ14" s="64"/>
      <c r="HB14" s="67"/>
      <c r="HC14" s="64"/>
      <c r="HE14" s="67"/>
      <c r="HF14" s="64"/>
      <c r="HH14" s="67"/>
      <c r="HI14" s="64"/>
      <c r="HK14" s="67"/>
      <c r="HL14" s="64"/>
      <c r="HN14" s="67"/>
      <c r="HO14" s="64"/>
      <c r="HQ14" s="67"/>
      <c r="HR14" s="64"/>
      <c r="HT14" s="67"/>
      <c r="HU14" s="64"/>
      <c r="HW14" s="67"/>
      <c r="HX14" s="64"/>
      <c r="HZ14" s="67"/>
      <c r="IA14" s="64"/>
      <c r="IC14" s="67"/>
      <c r="ID14" s="64"/>
      <c r="IF14" s="67"/>
      <c r="IG14" s="64"/>
      <c r="II14" s="67"/>
      <c r="IJ14" s="64"/>
      <c r="IL14" s="67"/>
      <c r="IM14" s="64"/>
      <c r="IO14" s="67"/>
      <c r="IP14" s="64"/>
      <c r="IR14" s="67"/>
      <c r="IS14" s="64"/>
      <c r="IU14" s="67"/>
      <c r="IV14" s="64"/>
      <c r="IX14" s="67"/>
      <c r="IY14" s="64"/>
      <c r="JA14" s="67"/>
      <c r="JB14" s="64"/>
      <c r="JD14" s="67"/>
      <c r="JE14" s="64"/>
      <c r="JG14" s="67"/>
      <c r="JH14" s="64"/>
      <c r="JJ14" s="67"/>
      <c r="JK14" s="64"/>
      <c r="JM14" s="67"/>
      <c r="JN14" s="64"/>
      <c r="JP14" s="67"/>
      <c r="JQ14" s="64"/>
      <c r="JS14" s="67"/>
      <c r="JT14" s="64"/>
      <c r="JV14" s="67"/>
      <c r="JW14" s="64"/>
      <c r="JY14" s="67"/>
      <c r="JZ14" s="64"/>
      <c r="KB14" s="67"/>
      <c r="KC14" s="64"/>
      <c r="KE14" s="67"/>
      <c r="KF14" s="64"/>
      <c r="KH14" s="67"/>
      <c r="KI14" s="64"/>
      <c r="KK14" s="67"/>
      <c r="KL14" s="64"/>
      <c r="KN14" s="67"/>
    </row>
    <row r="15" spans="1:300" x14ac:dyDescent="0.2">
      <c r="A15" s="64"/>
      <c r="C15" s="67"/>
      <c r="D15" s="64"/>
      <c r="F15" s="67"/>
      <c r="G15" s="64"/>
      <c r="I15" s="67"/>
      <c r="J15" s="64"/>
      <c r="L15" s="67"/>
      <c r="M15" s="64"/>
      <c r="O15" s="67"/>
      <c r="P15" s="64"/>
      <c r="R15" s="67"/>
      <c r="S15" s="64"/>
      <c r="U15" s="67"/>
      <c r="V15" s="64"/>
      <c r="X15" s="67"/>
      <c r="Y15" s="64"/>
      <c r="AA15" s="67"/>
      <c r="AB15" s="64"/>
      <c r="AD15" s="67"/>
      <c r="AE15" s="64"/>
      <c r="AG15" s="67"/>
      <c r="AH15" s="64"/>
      <c r="AJ15" s="67"/>
      <c r="AK15" s="64"/>
      <c r="AM15" s="67"/>
      <c r="AN15" s="64"/>
      <c r="AP15" s="67"/>
      <c r="AQ15" s="64"/>
      <c r="AS15" s="67"/>
      <c r="AT15" s="64"/>
      <c r="AV15" s="67"/>
      <c r="AW15" s="64"/>
      <c r="AY15" s="67"/>
      <c r="AZ15" s="64"/>
      <c r="BB15" s="67"/>
      <c r="BC15" s="64"/>
      <c r="BE15" s="67"/>
      <c r="BF15" s="64"/>
      <c r="BH15" s="67"/>
      <c r="BI15" s="64"/>
      <c r="BK15" s="67"/>
      <c r="BL15" s="64"/>
      <c r="BN15" s="67"/>
      <c r="BO15" s="64"/>
      <c r="BQ15" s="67"/>
      <c r="BR15" s="64"/>
      <c r="BT15" s="67"/>
      <c r="BU15" s="64"/>
      <c r="BW15" s="67"/>
      <c r="BX15" s="64"/>
      <c r="BZ15" s="67"/>
      <c r="CA15" s="64"/>
      <c r="CC15" s="67"/>
      <c r="CD15" s="64"/>
      <c r="CF15" s="67"/>
      <c r="CG15" s="64"/>
      <c r="CI15" s="67"/>
      <c r="CJ15" s="64"/>
      <c r="CL15" s="67"/>
      <c r="CM15" s="64"/>
      <c r="CO15" s="67"/>
      <c r="CP15" s="64"/>
      <c r="CR15" s="67"/>
      <c r="CS15" s="64"/>
      <c r="CU15" s="67"/>
      <c r="CV15" s="64"/>
      <c r="CX15" s="67"/>
      <c r="CY15" s="64"/>
      <c r="DA15" s="67"/>
      <c r="DB15" s="64"/>
      <c r="DD15" s="67"/>
      <c r="DE15" s="64"/>
      <c r="DG15" s="67"/>
      <c r="DH15" s="64"/>
      <c r="DJ15" s="67"/>
      <c r="DK15" s="64"/>
      <c r="DM15" s="67"/>
      <c r="DN15" s="64"/>
      <c r="DP15" s="67"/>
      <c r="DQ15" s="64"/>
      <c r="DS15" s="67"/>
      <c r="DT15" s="64"/>
      <c r="DV15" s="67"/>
      <c r="DW15" s="64"/>
      <c r="DY15" s="67"/>
      <c r="DZ15" s="64"/>
      <c r="EB15" s="67"/>
      <c r="EC15" s="64"/>
      <c r="EE15" s="67"/>
      <c r="EF15" s="64"/>
      <c r="EH15" s="67"/>
      <c r="EI15" s="64"/>
      <c r="EK15" s="67"/>
      <c r="EL15" s="64"/>
      <c r="EN15" s="67"/>
      <c r="EO15" s="64"/>
      <c r="EQ15" s="67"/>
      <c r="ER15" s="64"/>
      <c r="ET15" s="67"/>
      <c r="EU15" s="64"/>
      <c r="EW15" s="67"/>
      <c r="EX15" s="64"/>
      <c r="EZ15" s="67"/>
      <c r="FA15" s="64"/>
      <c r="FC15" s="67"/>
      <c r="FD15" s="64"/>
      <c r="FF15" s="67"/>
      <c r="FG15" s="64"/>
      <c r="FI15" s="67"/>
      <c r="FJ15" s="64"/>
      <c r="FL15" s="67"/>
      <c r="FM15" s="64"/>
      <c r="FO15" s="67"/>
      <c r="FP15" s="64"/>
      <c r="FR15" s="67"/>
      <c r="FS15" s="64"/>
      <c r="FU15" s="67"/>
      <c r="FV15" s="64"/>
      <c r="FX15" s="67"/>
      <c r="FY15" s="64"/>
      <c r="GA15" s="67"/>
      <c r="GB15" s="64"/>
      <c r="GD15" s="67"/>
      <c r="GE15" s="64"/>
      <c r="GG15" s="67"/>
      <c r="GH15" s="64"/>
      <c r="GJ15" s="67"/>
      <c r="GK15" s="64"/>
      <c r="GM15" s="67"/>
      <c r="GN15" s="64"/>
      <c r="GP15" s="67"/>
      <c r="GQ15" s="64"/>
      <c r="GS15" s="67"/>
      <c r="GT15" s="64"/>
      <c r="GV15" s="67"/>
      <c r="GW15" s="64"/>
      <c r="GY15" s="67"/>
      <c r="GZ15" s="64"/>
      <c r="HB15" s="67"/>
      <c r="HC15" s="64"/>
      <c r="HE15" s="67"/>
      <c r="HF15" s="64"/>
      <c r="HH15" s="67"/>
      <c r="HI15" s="64"/>
      <c r="HK15" s="67"/>
      <c r="HL15" s="64"/>
      <c r="HN15" s="67"/>
      <c r="HO15" s="64"/>
      <c r="HQ15" s="67"/>
      <c r="HR15" s="64"/>
      <c r="HT15" s="67"/>
      <c r="HU15" s="64"/>
      <c r="HW15" s="67"/>
      <c r="HX15" s="64"/>
      <c r="HZ15" s="67"/>
      <c r="IA15" s="64"/>
      <c r="IC15" s="67"/>
      <c r="ID15" s="64"/>
      <c r="IF15" s="67"/>
      <c r="IG15" s="64"/>
      <c r="II15" s="67"/>
      <c r="IJ15" s="64"/>
      <c r="IL15" s="67"/>
      <c r="IM15" s="64"/>
      <c r="IO15" s="67"/>
      <c r="IP15" s="64"/>
      <c r="IR15" s="67"/>
      <c r="IS15" s="64"/>
      <c r="IU15" s="67"/>
      <c r="IV15" s="64"/>
      <c r="IX15" s="67"/>
      <c r="IY15" s="64"/>
      <c r="JA15" s="67"/>
      <c r="JB15" s="64"/>
      <c r="JD15" s="67"/>
      <c r="JE15" s="64"/>
      <c r="JG15" s="67"/>
      <c r="JH15" s="64"/>
      <c r="JJ15" s="67"/>
      <c r="JK15" s="64"/>
      <c r="JM15" s="67"/>
      <c r="JN15" s="64"/>
      <c r="JP15" s="67"/>
      <c r="JQ15" s="64"/>
      <c r="JS15" s="67"/>
      <c r="JT15" s="64"/>
      <c r="JV15" s="67"/>
      <c r="JW15" s="64"/>
      <c r="JY15" s="67"/>
      <c r="JZ15" s="64"/>
      <c r="KB15" s="67"/>
      <c r="KC15" s="64"/>
      <c r="KE15" s="67"/>
      <c r="KF15" s="64"/>
      <c r="KH15" s="67"/>
      <c r="KI15" s="64"/>
      <c r="KK15" s="67"/>
      <c r="KL15" s="64"/>
      <c r="KN15" s="67"/>
    </row>
    <row r="16" spans="1:300" x14ac:dyDescent="0.2">
      <c r="A16" s="64"/>
      <c r="C16" s="67"/>
      <c r="D16" s="64"/>
      <c r="F16" s="67"/>
      <c r="G16" s="64"/>
      <c r="I16" s="67"/>
      <c r="J16" s="64"/>
      <c r="L16" s="67"/>
      <c r="M16" s="64"/>
      <c r="O16" s="67"/>
      <c r="P16" s="64"/>
      <c r="R16" s="67"/>
      <c r="S16" s="64"/>
      <c r="U16" s="67"/>
      <c r="V16" s="64"/>
      <c r="X16" s="67"/>
      <c r="Y16" s="64"/>
      <c r="AA16" s="67"/>
      <c r="AB16" s="64"/>
      <c r="AD16" s="67"/>
      <c r="AE16" s="64"/>
      <c r="AG16" s="67"/>
      <c r="AH16" s="64"/>
      <c r="AJ16" s="67"/>
      <c r="AK16" s="64"/>
      <c r="AM16" s="67"/>
      <c r="AN16" s="64"/>
      <c r="AP16" s="67"/>
      <c r="AQ16" s="64"/>
      <c r="AS16" s="67"/>
      <c r="AT16" s="64"/>
      <c r="AV16" s="67"/>
      <c r="AW16" s="64"/>
      <c r="AY16" s="67"/>
      <c r="AZ16" s="64"/>
      <c r="BB16" s="67"/>
      <c r="BC16" s="64"/>
      <c r="BE16" s="67"/>
      <c r="BF16" s="64"/>
      <c r="BH16" s="67"/>
      <c r="BI16" s="64"/>
      <c r="BK16" s="67"/>
      <c r="BL16" s="64"/>
      <c r="BN16" s="67"/>
      <c r="BO16" s="64"/>
      <c r="BQ16" s="67"/>
      <c r="BR16" s="64"/>
      <c r="BT16" s="67"/>
      <c r="BU16" s="64"/>
      <c r="BW16" s="67"/>
      <c r="BX16" s="64"/>
      <c r="BZ16" s="67"/>
      <c r="CA16" s="64"/>
      <c r="CC16" s="67"/>
      <c r="CD16" s="64"/>
      <c r="CF16" s="67"/>
      <c r="CG16" s="64"/>
      <c r="CI16" s="67"/>
      <c r="CJ16" s="64"/>
      <c r="CL16" s="67"/>
      <c r="CM16" s="64"/>
      <c r="CO16" s="67"/>
      <c r="CP16" s="64"/>
      <c r="CR16" s="67"/>
      <c r="CS16" s="64"/>
      <c r="CU16" s="67"/>
      <c r="CV16" s="64"/>
      <c r="CX16" s="67"/>
      <c r="CY16" s="64"/>
      <c r="DA16" s="67"/>
      <c r="DB16" s="64"/>
      <c r="DD16" s="67"/>
      <c r="DE16" s="64"/>
      <c r="DG16" s="67"/>
      <c r="DH16" s="64"/>
      <c r="DJ16" s="67"/>
      <c r="DK16" s="64"/>
      <c r="DM16" s="67"/>
      <c r="DN16" s="64"/>
      <c r="DP16" s="67"/>
      <c r="DQ16" s="64"/>
      <c r="DS16" s="67"/>
      <c r="DT16" s="64"/>
      <c r="DV16" s="67"/>
      <c r="DW16" s="64"/>
      <c r="DY16" s="67"/>
      <c r="DZ16" s="64"/>
      <c r="EB16" s="67"/>
      <c r="EC16" s="64"/>
      <c r="EE16" s="67"/>
      <c r="EF16" s="64"/>
      <c r="EH16" s="67"/>
      <c r="EI16" s="64"/>
      <c r="EK16" s="67"/>
      <c r="EL16" s="64"/>
      <c r="EN16" s="67"/>
      <c r="EO16" s="64"/>
      <c r="EQ16" s="67"/>
      <c r="ER16" s="64"/>
      <c r="ET16" s="67"/>
      <c r="EU16" s="64"/>
      <c r="EW16" s="67"/>
      <c r="EX16" s="64"/>
      <c r="EZ16" s="67"/>
      <c r="FA16" s="64"/>
      <c r="FC16" s="67"/>
      <c r="FD16" s="64"/>
      <c r="FF16" s="67"/>
      <c r="FG16" s="64"/>
      <c r="FI16" s="67"/>
      <c r="FJ16" s="64"/>
      <c r="FL16" s="67"/>
      <c r="FM16" s="64"/>
      <c r="FO16" s="67"/>
      <c r="FP16" s="64"/>
      <c r="FR16" s="67"/>
      <c r="FS16" s="64"/>
      <c r="FU16" s="67"/>
      <c r="FV16" s="64"/>
      <c r="FX16" s="67"/>
      <c r="FY16" s="64"/>
      <c r="GA16" s="67"/>
      <c r="GB16" s="64"/>
      <c r="GD16" s="67"/>
      <c r="GE16" s="64"/>
      <c r="GG16" s="67"/>
      <c r="GH16" s="64"/>
      <c r="GJ16" s="67"/>
      <c r="GK16" s="64"/>
      <c r="GM16" s="67"/>
      <c r="GN16" s="64"/>
      <c r="GP16" s="67"/>
      <c r="GQ16" s="64"/>
      <c r="GS16" s="67"/>
      <c r="GT16" s="64"/>
      <c r="GV16" s="67"/>
      <c r="GW16" s="64"/>
      <c r="GY16" s="67"/>
      <c r="GZ16" s="64"/>
      <c r="HB16" s="67"/>
      <c r="HC16" s="64"/>
      <c r="HE16" s="67"/>
      <c r="HF16" s="64"/>
      <c r="HH16" s="67"/>
      <c r="HI16" s="64"/>
      <c r="HK16" s="67"/>
      <c r="HL16" s="64"/>
      <c r="HN16" s="67"/>
      <c r="HO16" s="64"/>
      <c r="HQ16" s="67"/>
      <c r="HR16" s="64"/>
      <c r="HT16" s="67"/>
      <c r="HU16" s="64"/>
      <c r="HW16" s="67"/>
      <c r="HX16" s="64"/>
      <c r="HZ16" s="67"/>
      <c r="IA16" s="64"/>
      <c r="IC16" s="67"/>
      <c r="ID16" s="64"/>
      <c r="IF16" s="67"/>
      <c r="IG16" s="64"/>
      <c r="II16" s="67"/>
      <c r="IJ16" s="64"/>
      <c r="IL16" s="67"/>
      <c r="IM16" s="64"/>
      <c r="IO16" s="67"/>
      <c r="IP16" s="64"/>
      <c r="IR16" s="67"/>
      <c r="IS16" s="64"/>
      <c r="IU16" s="67"/>
      <c r="IV16" s="64"/>
      <c r="IX16" s="67"/>
      <c r="IY16" s="64"/>
      <c r="JA16" s="67"/>
      <c r="JB16" s="64"/>
      <c r="JD16" s="67"/>
      <c r="JE16" s="64"/>
      <c r="JG16" s="67"/>
      <c r="JH16" s="64"/>
      <c r="JJ16" s="67"/>
      <c r="JK16" s="64"/>
      <c r="JM16" s="67"/>
      <c r="JN16" s="64"/>
      <c r="JP16" s="67"/>
      <c r="JQ16" s="64"/>
      <c r="JS16" s="67"/>
      <c r="JT16" s="64"/>
      <c r="JV16" s="67"/>
      <c r="JW16" s="64"/>
      <c r="JY16" s="67"/>
      <c r="JZ16" s="64"/>
      <c r="KB16" s="67"/>
      <c r="KC16" s="64"/>
      <c r="KE16" s="67"/>
      <c r="KF16" s="64"/>
      <c r="KH16" s="67"/>
      <c r="KI16" s="64"/>
      <c r="KK16" s="67"/>
      <c r="KL16" s="64"/>
      <c r="KN16" s="67"/>
    </row>
    <row r="17" spans="1:300" x14ac:dyDescent="0.2">
      <c r="A17" s="64"/>
      <c r="C17" s="67"/>
      <c r="D17" s="64"/>
      <c r="F17" s="67"/>
      <c r="G17" s="64"/>
      <c r="I17" s="67"/>
      <c r="J17" s="64"/>
      <c r="L17" s="67"/>
      <c r="M17" s="64"/>
      <c r="O17" s="67"/>
      <c r="P17" s="64"/>
      <c r="R17" s="67"/>
      <c r="S17" s="64"/>
      <c r="U17" s="67"/>
      <c r="V17" s="64"/>
      <c r="X17" s="67"/>
      <c r="Y17" s="64"/>
      <c r="AA17" s="67"/>
      <c r="AB17" s="64"/>
      <c r="AD17" s="67"/>
      <c r="AE17" s="64"/>
      <c r="AG17" s="67"/>
      <c r="AH17" s="64"/>
      <c r="AJ17" s="67"/>
      <c r="AK17" s="64"/>
      <c r="AM17" s="67"/>
      <c r="AN17" s="64"/>
      <c r="AP17" s="67"/>
      <c r="AQ17" s="64"/>
      <c r="AS17" s="67"/>
      <c r="AT17" s="64"/>
      <c r="AV17" s="67"/>
      <c r="AW17" s="64"/>
      <c r="AY17" s="67"/>
      <c r="AZ17" s="64"/>
      <c r="BB17" s="67"/>
      <c r="BC17" s="64"/>
      <c r="BE17" s="67"/>
      <c r="BF17" s="64"/>
      <c r="BH17" s="67"/>
      <c r="BI17" s="64"/>
      <c r="BK17" s="67"/>
      <c r="BL17" s="64"/>
      <c r="BN17" s="67"/>
      <c r="BO17" s="64"/>
      <c r="BQ17" s="67"/>
      <c r="BR17" s="64"/>
      <c r="BT17" s="67"/>
      <c r="BU17" s="64"/>
      <c r="BW17" s="67"/>
      <c r="BX17" s="64"/>
      <c r="BZ17" s="67"/>
      <c r="CA17" s="64"/>
      <c r="CC17" s="67"/>
      <c r="CD17" s="64"/>
      <c r="CF17" s="67"/>
      <c r="CG17" s="64"/>
      <c r="CI17" s="67"/>
      <c r="CJ17" s="64"/>
      <c r="CL17" s="67"/>
      <c r="CM17" s="64"/>
      <c r="CO17" s="67"/>
      <c r="CP17" s="64"/>
      <c r="CR17" s="67"/>
      <c r="CS17" s="64"/>
      <c r="CU17" s="67"/>
      <c r="CV17" s="64"/>
      <c r="CX17" s="67"/>
      <c r="CY17" s="64"/>
      <c r="DA17" s="67"/>
      <c r="DB17" s="64"/>
      <c r="DD17" s="67"/>
      <c r="DE17" s="64"/>
      <c r="DG17" s="67"/>
      <c r="DH17" s="64"/>
      <c r="DJ17" s="67"/>
      <c r="DK17" s="64"/>
      <c r="DM17" s="67"/>
      <c r="DN17" s="64"/>
      <c r="DP17" s="67"/>
      <c r="DQ17" s="64"/>
      <c r="DS17" s="67"/>
      <c r="DT17" s="64"/>
      <c r="DV17" s="67"/>
      <c r="DW17" s="64"/>
      <c r="DY17" s="67"/>
      <c r="DZ17" s="64"/>
      <c r="EB17" s="67"/>
      <c r="EC17" s="64"/>
      <c r="EE17" s="67"/>
      <c r="EF17" s="64"/>
      <c r="EH17" s="67"/>
      <c r="EI17" s="64"/>
      <c r="EK17" s="67"/>
      <c r="EL17" s="64"/>
      <c r="EN17" s="67"/>
      <c r="EO17" s="64"/>
      <c r="EQ17" s="67"/>
      <c r="ER17" s="64"/>
      <c r="ET17" s="67"/>
      <c r="EU17" s="64"/>
      <c r="EW17" s="67"/>
      <c r="EX17" s="64"/>
      <c r="EZ17" s="67"/>
      <c r="FA17" s="64"/>
      <c r="FC17" s="67"/>
      <c r="FD17" s="64"/>
      <c r="FF17" s="67"/>
      <c r="FG17" s="64"/>
      <c r="FI17" s="67"/>
      <c r="FJ17" s="64"/>
      <c r="FL17" s="67"/>
      <c r="FM17" s="64"/>
      <c r="FO17" s="67"/>
      <c r="FP17" s="64"/>
      <c r="FR17" s="67"/>
      <c r="FS17" s="64"/>
      <c r="FU17" s="67"/>
      <c r="FV17" s="64"/>
      <c r="FX17" s="67"/>
      <c r="FY17" s="64"/>
      <c r="GA17" s="67"/>
      <c r="GB17" s="64"/>
      <c r="GD17" s="67"/>
      <c r="GE17" s="64"/>
      <c r="GG17" s="67"/>
      <c r="GH17" s="64"/>
      <c r="GJ17" s="67"/>
      <c r="GK17" s="64"/>
      <c r="GM17" s="67"/>
      <c r="GN17" s="64"/>
      <c r="GP17" s="67"/>
      <c r="GQ17" s="64"/>
      <c r="GS17" s="67"/>
      <c r="GT17" s="64"/>
      <c r="GV17" s="67"/>
      <c r="GW17" s="64"/>
      <c r="GY17" s="67"/>
      <c r="GZ17" s="64"/>
      <c r="HB17" s="67"/>
      <c r="HC17" s="64"/>
      <c r="HE17" s="67"/>
      <c r="HF17" s="64"/>
      <c r="HH17" s="67"/>
      <c r="HI17" s="64"/>
      <c r="HK17" s="67"/>
      <c r="HL17" s="64"/>
      <c r="HN17" s="67"/>
      <c r="HO17" s="64"/>
      <c r="HQ17" s="67"/>
      <c r="HR17" s="64"/>
      <c r="HT17" s="67"/>
      <c r="HU17" s="64"/>
      <c r="HW17" s="67"/>
      <c r="HX17" s="64"/>
      <c r="HZ17" s="67"/>
      <c r="IA17" s="64"/>
      <c r="IC17" s="67"/>
      <c r="ID17" s="64"/>
      <c r="IF17" s="67"/>
      <c r="IG17" s="64"/>
      <c r="II17" s="67"/>
      <c r="IJ17" s="64"/>
      <c r="IL17" s="67"/>
      <c r="IM17" s="64"/>
      <c r="IO17" s="67"/>
      <c r="IP17" s="64"/>
      <c r="IR17" s="67"/>
      <c r="IS17" s="64"/>
      <c r="IU17" s="67"/>
      <c r="IV17" s="64"/>
      <c r="IX17" s="67"/>
      <c r="IY17" s="64"/>
      <c r="JA17" s="67"/>
      <c r="JB17" s="64"/>
      <c r="JD17" s="67"/>
      <c r="JE17" s="64"/>
      <c r="JG17" s="67"/>
      <c r="JH17" s="64"/>
      <c r="JJ17" s="67"/>
      <c r="JK17" s="64"/>
      <c r="JM17" s="67"/>
      <c r="JN17" s="64"/>
      <c r="JP17" s="67"/>
      <c r="JQ17" s="64"/>
      <c r="JS17" s="67"/>
      <c r="JT17" s="64"/>
      <c r="JV17" s="67"/>
      <c r="JW17" s="64"/>
      <c r="JY17" s="67"/>
      <c r="JZ17" s="64"/>
      <c r="KB17" s="67"/>
      <c r="KC17" s="64"/>
      <c r="KE17" s="67"/>
      <c r="KF17" s="64"/>
      <c r="KH17" s="67"/>
      <c r="KI17" s="64"/>
      <c r="KK17" s="67"/>
      <c r="KL17" s="64"/>
      <c r="KN17" s="67"/>
    </row>
    <row r="18" spans="1:300" x14ac:dyDescent="0.2">
      <c r="A18" s="64"/>
      <c r="C18" s="67"/>
      <c r="D18" s="64"/>
      <c r="F18" s="67"/>
      <c r="G18" s="64"/>
      <c r="I18" s="67"/>
      <c r="J18" s="64"/>
      <c r="L18" s="67"/>
      <c r="M18" s="64"/>
      <c r="O18" s="67"/>
      <c r="P18" s="64"/>
      <c r="R18" s="67"/>
      <c r="S18" s="64"/>
      <c r="U18" s="67"/>
      <c r="V18" s="64"/>
      <c r="X18" s="67"/>
      <c r="Y18" s="64"/>
      <c r="AA18" s="67"/>
      <c r="AB18" s="64"/>
      <c r="AD18" s="67"/>
      <c r="AE18" s="64"/>
      <c r="AG18" s="67"/>
      <c r="AH18" s="64"/>
      <c r="AJ18" s="67"/>
      <c r="AK18" s="64"/>
      <c r="AM18" s="67"/>
      <c r="AN18" s="64"/>
      <c r="AP18" s="67"/>
      <c r="AQ18" s="64"/>
      <c r="AS18" s="67"/>
      <c r="AT18" s="64"/>
      <c r="AV18" s="67"/>
      <c r="AW18" s="64"/>
      <c r="AY18" s="67"/>
      <c r="AZ18" s="64"/>
      <c r="BB18" s="67"/>
      <c r="BC18" s="64"/>
      <c r="BE18" s="67"/>
      <c r="BF18" s="64"/>
      <c r="BH18" s="67"/>
      <c r="BI18" s="64"/>
      <c r="BK18" s="67"/>
      <c r="BL18" s="64"/>
      <c r="BN18" s="67"/>
      <c r="BO18" s="64"/>
      <c r="BQ18" s="67"/>
      <c r="BR18" s="64"/>
      <c r="BT18" s="67"/>
      <c r="BU18" s="64"/>
      <c r="BW18" s="67"/>
      <c r="BX18" s="64"/>
      <c r="BZ18" s="67"/>
      <c r="CA18" s="64"/>
      <c r="CC18" s="67"/>
      <c r="CD18" s="64"/>
      <c r="CF18" s="67"/>
      <c r="CG18" s="64"/>
      <c r="CI18" s="67"/>
      <c r="CJ18" s="64"/>
      <c r="CL18" s="67"/>
      <c r="CM18" s="64"/>
      <c r="CO18" s="67"/>
      <c r="CP18" s="64"/>
      <c r="CR18" s="67"/>
      <c r="CS18" s="64"/>
      <c r="CU18" s="67"/>
      <c r="CV18" s="64"/>
      <c r="CX18" s="67"/>
      <c r="CY18" s="64"/>
      <c r="DA18" s="67"/>
      <c r="DB18" s="64"/>
      <c r="DD18" s="67"/>
      <c r="DE18" s="64"/>
      <c r="DG18" s="67"/>
      <c r="DH18" s="64"/>
      <c r="DJ18" s="67"/>
      <c r="DK18" s="64"/>
      <c r="DM18" s="67"/>
      <c r="DN18" s="64"/>
      <c r="DP18" s="67"/>
      <c r="DQ18" s="64"/>
      <c r="DS18" s="67"/>
      <c r="DT18" s="64"/>
      <c r="DV18" s="67"/>
      <c r="DW18" s="64"/>
      <c r="DY18" s="67"/>
      <c r="DZ18" s="64"/>
      <c r="EB18" s="67"/>
      <c r="EC18" s="64"/>
      <c r="EE18" s="67"/>
      <c r="EF18" s="64"/>
      <c r="EH18" s="67"/>
      <c r="EI18" s="64"/>
      <c r="EK18" s="67"/>
      <c r="EL18" s="64"/>
      <c r="EN18" s="67"/>
      <c r="EO18" s="64"/>
      <c r="EQ18" s="67"/>
      <c r="ER18" s="64"/>
      <c r="ET18" s="67"/>
      <c r="EU18" s="64"/>
      <c r="EW18" s="67"/>
      <c r="EX18" s="64"/>
      <c r="EZ18" s="67"/>
      <c r="FA18" s="64"/>
      <c r="FC18" s="67"/>
      <c r="FD18" s="64"/>
      <c r="FF18" s="67"/>
      <c r="FG18" s="64"/>
      <c r="FI18" s="67"/>
      <c r="FJ18" s="64"/>
      <c r="FL18" s="67"/>
      <c r="FM18" s="64"/>
      <c r="FO18" s="67"/>
      <c r="FP18" s="64"/>
      <c r="FR18" s="67"/>
      <c r="FS18" s="64"/>
      <c r="FU18" s="67"/>
      <c r="FV18" s="64"/>
      <c r="FX18" s="67"/>
      <c r="FY18" s="64"/>
      <c r="GA18" s="67"/>
      <c r="GB18" s="64"/>
      <c r="GD18" s="67"/>
      <c r="GE18" s="64"/>
      <c r="GG18" s="67"/>
      <c r="GH18" s="64"/>
      <c r="GJ18" s="67"/>
      <c r="GK18" s="64"/>
      <c r="GM18" s="67"/>
      <c r="GN18" s="64"/>
      <c r="GP18" s="67"/>
      <c r="GQ18" s="64"/>
      <c r="GS18" s="67"/>
      <c r="GT18" s="64"/>
      <c r="GV18" s="67"/>
      <c r="GW18" s="64"/>
      <c r="GY18" s="67"/>
      <c r="GZ18" s="64"/>
      <c r="HB18" s="67"/>
      <c r="HC18" s="64"/>
      <c r="HE18" s="67"/>
      <c r="HF18" s="64"/>
      <c r="HH18" s="67"/>
      <c r="HI18" s="64"/>
      <c r="HK18" s="67"/>
      <c r="HL18" s="64"/>
      <c r="HN18" s="67"/>
      <c r="HO18" s="64"/>
      <c r="HQ18" s="67"/>
      <c r="HR18" s="64"/>
      <c r="HT18" s="67"/>
      <c r="HU18" s="64"/>
      <c r="HW18" s="67"/>
      <c r="HX18" s="64"/>
      <c r="HZ18" s="67"/>
      <c r="IA18" s="64"/>
      <c r="IC18" s="67"/>
      <c r="ID18" s="64"/>
      <c r="IF18" s="67"/>
      <c r="IG18" s="64"/>
      <c r="II18" s="67"/>
      <c r="IJ18" s="64"/>
      <c r="IL18" s="67"/>
      <c r="IM18" s="64"/>
      <c r="IO18" s="67"/>
      <c r="IP18" s="64"/>
      <c r="IR18" s="67"/>
      <c r="IS18" s="64"/>
      <c r="IU18" s="67"/>
      <c r="IV18" s="64"/>
      <c r="IX18" s="67"/>
      <c r="IY18" s="64"/>
      <c r="JA18" s="67"/>
      <c r="JB18" s="64"/>
      <c r="JD18" s="67"/>
      <c r="JE18" s="64"/>
      <c r="JG18" s="67"/>
      <c r="JH18" s="64"/>
      <c r="JJ18" s="67"/>
      <c r="JK18" s="64"/>
      <c r="JM18" s="67"/>
      <c r="JN18" s="64"/>
      <c r="JP18" s="67"/>
      <c r="JQ18" s="64"/>
      <c r="JS18" s="67"/>
      <c r="JT18" s="64"/>
      <c r="JV18" s="67"/>
      <c r="JW18" s="64"/>
      <c r="JY18" s="67"/>
      <c r="JZ18" s="64"/>
      <c r="KB18" s="67"/>
      <c r="KC18" s="64"/>
      <c r="KE18" s="67"/>
      <c r="KF18" s="64"/>
      <c r="KH18" s="67"/>
      <c r="KI18" s="64"/>
      <c r="KK18" s="67"/>
      <c r="KL18" s="64"/>
      <c r="KN18" s="67"/>
    </row>
    <row r="19" spans="1:300" x14ac:dyDescent="0.2">
      <c r="A19" s="64"/>
      <c r="C19" s="67"/>
      <c r="D19" s="64"/>
      <c r="F19" s="67"/>
      <c r="G19" s="64"/>
      <c r="I19" s="67"/>
      <c r="J19" s="64"/>
      <c r="L19" s="67"/>
      <c r="M19" s="64"/>
      <c r="O19" s="67"/>
      <c r="P19" s="64"/>
      <c r="R19" s="67"/>
      <c r="S19" s="64"/>
      <c r="U19" s="67"/>
      <c r="V19" s="64"/>
      <c r="X19" s="67"/>
      <c r="Y19" s="64"/>
      <c r="AA19" s="67"/>
      <c r="AB19" s="64"/>
      <c r="AD19" s="67"/>
      <c r="AE19" s="64"/>
      <c r="AG19" s="67"/>
      <c r="AH19" s="64"/>
      <c r="AJ19" s="67"/>
      <c r="AK19" s="64"/>
      <c r="AM19" s="67"/>
      <c r="AN19" s="64"/>
      <c r="AP19" s="67"/>
      <c r="AQ19" s="64"/>
      <c r="AS19" s="67"/>
      <c r="AT19" s="64"/>
      <c r="AV19" s="67"/>
      <c r="AW19" s="64"/>
      <c r="AY19" s="67"/>
      <c r="AZ19" s="64"/>
      <c r="BB19" s="67"/>
      <c r="BC19" s="64"/>
      <c r="BE19" s="67"/>
      <c r="BF19" s="64"/>
      <c r="BH19" s="67"/>
      <c r="BI19" s="64"/>
      <c r="BK19" s="67"/>
      <c r="BL19" s="64"/>
      <c r="BN19" s="67"/>
      <c r="BO19" s="64"/>
      <c r="BQ19" s="67"/>
      <c r="BR19" s="64"/>
      <c r="BT19" s="67"/>
      <c r="BU19" s="64"/>
      <c r="BW19" s="67"/>
      <c r="BX19" s="64"/>
      <c r="BZ19" s="67"/>
      <c r="CA19" s="64"/>
      <c r="CC19" s="67"/>
      <c r="CD19" s="64"/>
      <c r="CF19" s="67"/>
      <c r="CG19" s="64"/>
      <c r="CI19" s="67"/>
      <c r="CJ19" s="64"/>
      <c r="CL19" s="67"/>
      <c r="CM19" s="64"/>
      <c r="CO19" s="67"/>
      <c r="CP19" s="64"/>
      <c r="CR19" s="67"/>
      <c r="CS19" s="64"/>
      <c r="CU19" s="67"/>
      <c r="CV19" s="64"/>
      <c r="CX19" s="67"/>
      <c r="CY19" s="64"/>
      <c r="DA19" s="67"/>
      <c r="DB19" s="64"/>
      <c r="DD19" s="67"/>
      <c r="DE19" s="64"/>
      <c r="DG19" s="67"/>
      <c r="DH19" s="64"/>
      <c r="DJ19" s="67"/>
      <c r="DK19" s="64"/>
      <c r="DM19" s="67"/>
      <c r="DN19" s="64"/>
      <c r="DP19" s="67"/>
      <c r="DQ19" s="64"/>
      <c r="DS19" s="67"/>
      <c r="DT19" s="64"/>
      <c r="DV19" s="67"/>
      <c r="DW19" s="64"/>
      <c r="DY19" s="67"/>
      <c r="DZ19" s="64"/>
      <c r="EB19" s="67"/>
      <c r="EC19" s="64"/>
      <c r="EE19" s="67"/>
      <c r="EF19" s="64"/>
      <c r="EH19" s="67"/>
      <c r="EI19" s="64"/>
      <c r="EK19" s="67"/>
      <c r="EL19" s="64"/>
      <c r="EN19" s="67"/>
      <c r="EO19" s="64"/>
      <c r="EQ19" s="67"/>
      <c r="ER19" s="64"/>
      <c r="ET19" s="67"/>
      <c r="EU19" s="64"/>
      <c r="EW19" s="67"/>
      <c r="EX19" s="64"/>
      <c r="EZ19" s="67"/>
      <c r="FA19" s="64"/>
      <c r="FC19" s="67"/>
      <c r="FD19" s="64"/>
      <c r="FF19" s="67"/>
      <c r="FG19" s="64"/>
      <c r="FI19" s="67"/>
      <c r="FJ19" s="64"/>
      <c r="FL19" s="67"/>
      <c r="FM19" s="64"/>
      <c r="FO19" s="67"/>
      <c r="FP19" s="64"/>
      <c r="FR19" s="67"/>
      <c r="FS19" s="64"/>
      <c r="FU19" s="67"/>
      <c r="FV19" s="64"/>
      <c r="FX19" s="67"/>
      <c r="FY19" s="64"/>
      <c r="GA19" s="67"/>
      <c r="GB19" s="64"/>
      <c r="GD19" s="67"/>
      <c r="GE19" s="64"/>
      <c r="GG19" s="67"/>
      <c r="GH19" s="64"/>
      <c r="GJ19" s="67"/>
      <c r="GK19" s="64"/>
      <c r="GM19" s="67"/>
      <c r="GN19" s="64"/>
      <c r="GP19" s="67"/>
      <c r="GQ19" s="64"/>
      <c r="GS19" s="67"/>
      <c r="GT19" s="64"/>
      <c r="GV19" s="67"/>
      <c r="GW19" s="64"/>
      <c r="GY19" s="67"/>
      <c r="GZ19" s="64"/>
      <c r="HB19" s="67"/>
      <c r="HC19" s="64"/>
      <c r="HE19" s="67"/>
      <c r="HF19" s="64"/>
      <c r="HH19" s="67"/>
      <c r="HI19" s="64"/>
      <c r="HK19" s="67"/>
      <c r="HL19" s="64"/>
      <c r="HN19" s="67"/>
      <c r="HO19" s="64"/>
      <c r="HQ19" s="67"/>
      <c r="HR19" s="64"/>
      <c r="HT19" s="67"/>
      <c r="HU19" s="64"/>
      <c r="HW19" s="67"/>
      <c r="HX19" s="64"/>
      <c r="HZ19" s="67"/>
      <c r="IA19" s="64"/>
      <c r="IC19" s="67"/>
      <c r="ID19" s="64"/>
      <c r="IF19" s="67"/>
      <c r="IG19" s="64"/>
      <c r="II19" s="67"/>
      <c r="IJ19" s="64"/>
      <c r="IL19" s="67"/>
      <c r="IM19" s="64"/>
      <c r="IO19" s="67"/>
      <c r="IP19" s="64"/>
      <c r="IR19" s="67"/>
      <c r="IS19" s="64"/>
      <c r="IU19" s="67"/>
      <c r="IV19" s="64"/>
      <c r="IX19" s="67"/>
      <c r="IY19" s="64"/>
      <c r="JA19" s="67"/>
      <c r="JB19" s="64"/>
      <c r="JD19" s="67"/>
      <c r="JE19" s="64"/>
      <c r="JG19" s="67"/>
      <c r="JH19" s="64"/>
      <c r="JJ19" s="67"/>
      <c r="JK19" s="64"/>
      <c r="JM19" s="67"/>
      <c r="JN19" s="64"/>
      <c r="JP19" s="67"/>
      <c r="JQ19" s="64"/>
      <c r="JS19" s="67"/>
      <c r="JT19" s="64"/>
      <c r="JV19" s="67"/>
      <c r="JW19" s="64"/>
      <c r="JY19" s="67"/>
      <c r="JZ19" s="64"/>
      <c r="KB19" s="67"/>
      <c r="KC19" s="64"/>
      <c r="KE19" s="67"/>
      <c r="KF19" s="64"/>
      <c r="KH19" s="67"/>
      <c r="KI19" s="64"/>
      <c r="KK19" s="67"/>
      <c r="KL19" s="64"/>
      <c r="KN19" s="67"/>
    </row>
    <row r="20" spans="1:300" x14ac:dyDescent="0.2">
      <c r="A20" s="64"/>
      <c r="C20" s="67"/>
      <c r="D20" s="64"/>
      <c r="F20" s="67"/>
      <c r="G20" s="64"/>
      <c r="I20" s="67"/>
      <c r="J20" s="64"/>
      <c r="L20" s="67"/>
      <c r="M20" s="64"/>
      <c r="O20" s="67"/>
      <c r="P20" s="64"/>
      <c r="R20" s="67"/>
      <c r="S20" s="64"/>
      <c r="U20" s="67"/>
      <c r="V20" s="64"/>
      <c r="X20" s="67"/>
      <c r="Y20" s="64"/>
      <c r="AA20" s="67"/>
      <c r="AB20" s="64"/>
      <c r="AD20" s="67"/>
      <c r="AE20" s="64"/>
      <c r="AG20" s="67"/>
      <c r="AH20" s="64"/>
      <c r="AJ20" s="67"/>
      <c r="AK20" s="64"/>
      <c r="AM20" s="67"/>
      <c r="AN20" s="64"/>
      <c r="AP20" s="67"/>
      <c r="AQ20" s="64"/>
      <c r="AS20" s="67"/>
      <c r="AT20" s="64"/>
      <c r="AV20" s="67"/>
      <c r="AW20" s="64"/>
      <c r="AY20" s="67"/>
      <c r="AZ20" s="64"/>
      <c r="BB20" s="67"/>
      <c r="BC20" s="64"/>
      <c r="BE20" s="67"/>
      <c r="BF20" s="64"/>
      <c r="BH20" s="67"/>
      <c r="BI20" s="64"/>
      <c r="BK20" s="67"/>
      <c r="BL20" s="64"/>
      <c r="BN20" s="67"/>
      <c r="BO20" s="64"/>
      <c r="BQ20" s="67"/>
      <c r="BR20" s="64"/>
      <c r="BT20" s="67"/>
      <c r="BU20" s="64"/>
      <c r="BW20" s="67"/>
      <c r="BX20" s="64"/>
      <c r="BZ20" s="67"/>
      <c r="CA20" s="64"/>
      <c r="CC20" s="67"/>
      <c r="CD20" s="64"/>
      <c r="CF20" s="67"/>
      <c r="CG20" s="64"/>
      <c r="CI20" s="67"/>
      <c r="CJ20" s="64"/>
      <c r="CL20" s="67"/>
      <c r="CM20" s="64"/>
      <c r="CO20" s="67"/>
      <c r="CP20" s="64"/>
      <c r="CR20" s="67"/>
      <c r="CS20" s="64"/>
      <c r="CU20" s="67"/>
      <c r="CV20" s="64"/>
      <c r="CX20" s="67"/>
      <c r="CY20" s="64"/>
      <c r="DA20" s="67"/>
      <c r="DB20" s="64"/>
      <c r="DD20" s="67"/>
      <c r="DE20" s="64"/>
      <c r="DG20" s="67"/>
      <c r="DH20" s="64"/>
      <c r="DJ20" s="67"/>
      <c r="DK20" s="64"/>
      <c r="DM20" s="67"/>
      <c r="DN20" s="64"/>
      <c r="DP20" s="67"/>
      <c r="DQ20" s="64"/>
      <c r="DS20" s="67"/>
      <c r="DT20" s="64"/>
      <c r="DV20" s="67"/>
      <c r="DW20" s="64"/>
      <c r="DY20" s="67"/>
      <c r="DZ20" s="64"/>
      <c r="EB20" s="67"/>
      <c r="EC20" s="64"/>
      <c r="EE20" s="67"/>
      <c r="EF20" s="64"/>
      <c r="EH20" s="67"/>
      <c r="EI20" s="64"/>
      <c r="EK20" s="67"/>
      <c r="EL20" s="64"/>
      <c r="EN20" s="67"/>
      <c r="EO20" s="64"/>
      <c r="EQ20" s="67"/>
      <c r="ER20" s="64"/>
      <c r="ET20" s="67"/>
      <c r="EU20" s="64"/>
      <c r="EW20" s="67"/>
      <c r="EX20" s="64"/>
      <c r="EZ20" s="67"/>
      <c r="FA20" s="64"/>
      <c r="FC20" s="67"/>
      <c r="FD20" s="64"/>
      <c r="FF20" s="67"/>
      <c r="FG20" s="64"/>
      <c r="FI20" s="67"/>
      <c r="FJ20" s="64"/>
      <c r="FL20" s="67"/>
      <c r="FM20" s="64"/>
      <c r="FO20" s="67"/>
      <c r="FP20" s="64"/>
      <c r="FR20" s="67"/>
      <c r="FS20" s="64"/>
      <c r="FU20" s="67"/>
      <c r="FV20" s="64"/>
      <c r="FX20" s="67"/>
      <c r="FY20" s="64"/>
      <c r="GA20" s="67"/>
      <c r="GB20" s="64"/>
      <c r="GD20" s="67"/>
      <c r="GE20" s="64"/>
      <c r="GG20" s="67"/>
      <c r="GH20" s="64"/>
      <c r="GJ20" s="67"/>
      <c r="GK20" s="64"/>
      <c r="GM20" s="67"/>
      <c r="GN20" s="64"/>
      <c r="GP20" s="67"/>
      <c r="GQ20" s="64"/>
      <c r="GS20" s="67"/>
      <c r="GT20" s="64"/>
      <c r="GV20" s="67"/>
      <c r="GW20" s="64"/>
      <c r="GY20" s="67"/>
      <c r="GZ20" s="64"/>
      <c r="HB20" s="67"/>
      <c r="HC20" s="64"/>
      <c r="HE20" s="67"/>
      <c r="HF20" s="64"/>
      <c r="HH20" s="67"/>
      <c r="HI20" s="64"/>
      <c r="HK20" s="67"/>
      <c r="HL20" s="64"/>
      <c r="HN20" s="67"/>
      <c r="HO20" s="64"/>
      <c r="HQ20" s="67"/>
      <c r="HR20" s="64"/>
      <c r="HT20" s="67"/>
      <c r="HU20" s="64"/>
      <c r="HW20" s="67"/>
      <c r="HX20" s="64"/>
      <c r="HZ20" s="67"/>
      <c r="IA20" s="64"/>
      <c r="IC20" s="67"/>
      <c r="ID20" s="64"/>
      <c r="IF20" s="67"/>
      <c r="IG20" s="64"/>
      <c r="II20" s="67"/>
      <c r="IJ20" s="64"/>
      <c r="IL20" s="67"/>
      <c r="IM20" s="64"/>
      <c r="IO20" s="67"/>
      <c r="IP20" s="64"/>
      <c r="IR20" s="67"/>
      <c r="IS20" s="64"/>
      <c r="IU20" s="67"/>
      <c r="IV20" s="64"/>
      <c r="IX20" s="67"/>
      <c r="IY20" s="64"/>
      <c r="JA20" s="67"/>
      <c r="JB20" s="64"/>
      <c r="JD20" s="67"/>
      <c r="JE20" s="64"/>
      <c r="JG20" s="67"/>
      <c r="JH20" s="64"/>
      <c r="JJ20" s="67"/>
      <c r="JK20" s="64"/>
      <c r="JM20" s="67"/>
      <c r="JN20" s="64"/>
      <c r="JP20" s="67"/>
      <c r="JQ20" s="64"/>
      <c r="JS20" s="67"/>
      <c r="JT20" s="64"/>
      <c r="JV20" s="67"/>
      <c r="JW20" s="64"/>
      <c r="JY20" s="67"/>
      <c r="JZ20" s="64"/>
      <c r="KB20" s="67"/>
      <c r="KC20" s="64"/>
      <c r="KE20" s="67"/>
      <c r="KF20" s="64"/>
      <c r="KH20" s="67"/>
      <c r="KI20" s="64"/>
      <c r="KK20" s="67"/>
      <c r="KL20" s="64"/>
      <c r="KN20" s="67"/>
    </row>
    <row r="21" spans="1:300" x14ac:dyDescent="0.2">
      <c r="A21" s="64"/>
      <c r="C21" s="67"/>
      <c r="D21" s="64"/>
      <c r="F21" s="67"/>
      <c r="G21" s="64"/>
      <c r="I21" s="67"/>
      <c r="J21" s="64"/>
      <c r="L21" s="67"/>
      <c r="M21" s="64"/>
      <c r="O21" s="67"/>
      <c r="P21" s="64"/>
      <c r="R21" s="67"/>
      <c r="S21" s="64"/>
      <c r="U21" s="67"/>
      <c r="V21" s="64"/>
      <c r="X21" s="67"/>
      <c r="Y21" s="64"/>
      <c r="AA21" s="67"/>
      <c r="AB21" s="64"/>
      <c r="AD21" s="67"/>
      <c r="AE21" s="64"/>
      <c r="AG21" s="67"/>
      <c r="AH21" s="64"/>
      <c r="AJ21" s="67"/>
      <c r="AK21" s="64"/>
      <c r="AM21" s="67"/>
      <c r="AN21" s="64"/>
      <c r="AP21" s="67"/>
      <c r="AQ21" s="64"/>
      <c r="AS21" s="67"/>
      <c r="AT21" s="64"/>
      <c r="AV21" s="67"/>
      <c r="AW21" s="64"/>
      <c r="AY21" s="67"/>
      <c r="AZ21" s="64"/>
      <c r="BB21" s="67"/>
      <c r="BC21" s="64"/>
      <c r="BE21" s="67"/>
      <c r="BF21" s="64"/>
      <c r="BH21" s="67"/>
      <c r="BI21" s="64"/>
      <c r="BK21" s="67"/>
      <c r="BL21" s="64"/>
      <c r="BN21" s="67"/>
      <c r="BO21" s="64"/>
      <c r="BQ21" s="67"/>
      <c r="BR21" s="64"/>
      <c r="BT21" s="67"/>
      <c r="BU21" s="64"/>
      <c r="BW21" s="67"/>
      <c r="BX21" s="64"/>
      <c r="BZ21" s="67"/>
      <c r="CA21" s="64"/>
      <c r="CC21" s="67"/>
      <c r="CD21" s="64"/>
      <c r="CF21" s="67"/>
      <c r="CG21" s="64"/>
      <c r="CI21" s="67"/>
      <c r="CJ21" s="64"/>
      <c r="CL21" s="67"/>
      <c r="CM21" s="64"/>
      <c r="CO21" s="67"/>
      <c r="CP21" s="64"/>
      <c r="CR21" s="67"/>
      <c r="CS21" s="64"/>
      <c r="CU21" s="67"/>
      <c r="CV21" s="64"/>
      <c r="CX21" s="67"/>
      <c r="CY21" s="64"/>
      <c r="DA21" s="67"/>
      <c r="DB21" s="64"/>
      <c r="DD21" s="67"/>
      <c r="DE21" s="64"/>
      <c r="DG21" s="67"/>
      <c r="DH21" s="64"/>
      <c r="DJ21" s="67"/>
      <c r="DK21" s="64"/>
      <c r="DM21" s="67"/>
      <c r="DN21" s="64"/>
      <c r="DP21" s="67"/>
      <c r="DQ21" s="64"/>
      <c r="DS21" s="67"/>
      <c r="DT21" s="64"/>
      <c r="DV21" s="67"/>
      <c r="DW21" s="64"/>
      <c r="DY21" s="67"/>
      <c r="DZ21" s="64"/>
      <c r="EB21" s="67"/>
      <c r="EC21" s="64"/>
      <c r="EE21" s="67"/>
      <c r="EF21" s="64"/>
      <c r="EH21" s="67"/>
      <c r="EI21" s="64"/>
      <c r="EK21" s="67"/>
      <c r="EL21" s="64"/>
      <c r="EN21" s="67"/>
      <c r="EO21" s="64"/>
      <c r="EQ21" s="67"/>
      <c r="ER21" s="64"/>
      <c r="ET21" s="67"/>
      <c r="EU21" s="64"/>
      <c r="EW21" s="67"/>
      <c r="EX21" s="64"/>
      <c r="EZ21" s="67"/>
      <c r="FA21" s="64"/>
      <c r="FC21" s="67"/>
      <c r="FD21" s="64"/>
      <c r="FF21" s="67"/>
      <c r="FG21" s="64"/>
      <c r="FI21" s="67"/>
      <c r="FJ21" s="64"/>
      <c r="FL21" s="67"/>
      <c r="FM21" s="64"/>
      <c r="FO21" s="67"/>
      <c r="FP21" s="64"/>
      <c r="FR21" s="67"/>
      <c r="FS21" s="64"/>
      <c r="FU21" s="67"/>
      <c r="FV21" s="64"/>
      <c r="FX21" s="67"/>
      <c r="FY21" s="64"/>
      <c r="GA21" s="67"/>
      <c r="GB21" s="64"/>
      <c r="GD21" s="67"/>
      <c r="GE21" s="64"/>
      <c r="GG21" s="67"/>
      <c r="GH21" s="64"/>
      <c r="GJ21" s="67"/>
      <c r="GK21" s="64"/>
      <c r="GM21" s="67"/>
      <c r="GN21" s="64"/>
      <c r="GP21" s="67"/>
      <c r="GQ21" s="64"/>
      <c r="GS21" s="67"/>
      <c r="GT21" s="64"/>
      <c r="GV21" s="67"/>
      <c r="GW21" s="64"/>
      <c r="GY21" s="67"/>
      <c r="GZ21" s="64"/>
      <c r="HB21" s="67"/>
      <c r="HC21" s="64"/>
      <c r="HE21" s="67"/>
      <c r="HF21" s="64"/>
      <c r="HH21" s="67"/>
      <c r="HI21" s="64"/>
      <c r="HK21" s="67"/>
      <c r="HL21" s="64"/>
      <c r="HN21" s="67"/>
      <c r="HO21" s="64"/>
      <c r="HQ21" s="67"/>
      <c r="HR21" s="64"/>
      <c r="HT21" s="67"/>
      <c r="HU21" s="64"/>
      <c r="HW21" s="67"/>
      <c r="HX21" s="64"/>
      <c r="HZ21" s="67"/>
      <c r="IA21" s="64"/>
      <c r="IC21" s="67"/>
      <c r="ID21" s="64"/>
      <c r="IF21" s="67"/>
      <c r="IG21" s="64"/>
      <c r="II21" s="67"/>
      <c r="IJ21" s="64"/>
      <c r="IL21" s="67"/>
      <c r="IM21" s="64"/>
      <c r="IO21" s="67"/>
      <c r="IP21" s="64"/>
      <c r="IR21" s="67"/>
      <c r="IS21" s="64"/>
      <c r="IU21" s="67"/>
      <c r="IV21" s="64"/>
      <c r="IX21" s="67"/>
      <c r="IY21" s="64"/>
      <c r="JA21" s="67"/>
      <c r="JB21" s="64"/>
      <c r="JD21" s="67"/>
      <c r="JE21" s="64"/>
      <c r="JG21" s="67"/>
      <c r="JH21" s="64"/>
      <c r="JJ21" s="67"/>
      <c r="JK21" s="64"/>
      <c r="JM21" s="67"/>
      <c r="JN21" s="64"/>
      <c r="JP21" s="67"/>
      <c r="JQ21" s="64"/>
      <c r="JS21" s="67"/>
      <c r="JT21" s="64"/>
      <c r="JV21" s="67"/>
      <c r="JW21" s="64"/>
      <c r="JY21" s="67"/>
      <c r="JZ21" s="64"/>
      <c r="KB21" s="67"/>
      <c r="KC21" s="64"/>
      <c r="KE21" s="67"/>
      <c r="KF21" s="64"/>
      <c r="KH21" s="67"/>
      <c r="KI21" s="64"/>
      <c r="KK21" s="67"/>
      <c r="KL21" s="64"/>
      <c r="KN21" s="67"/>
    </row>
    <row r="22" spans="1:300" x14ac:dyDescent="0.2">
      <c r="A22" s="64"/>
      <c r="C22" s="67"/>
      <c r="D22" s="64"/>
      <c r="F22" s="67"/>
      <c r="G22" s="64"/>
      <c r="I22" s="67"/>
      <c r="J22" s="64"/>
      <c r="L22" s="67"/>
      <c r="M22" s="64"/>
      <c r="O22" s="67"/>
      <c r="P22" s="64"/>
      <c r="R22" s="67"/>
      <c r="S22" s="64"/>
      <c r="U22" s="67"/>
      <c r="V22" s="64"/>
      <c r="X22" s="67"/>
      <c r="Y22" s="64"/>
      <c r="AA22" s="67"/>
      <c r="AB22" s="64"/>
      <c r="AD22" s="67"/>
      <c r="AE22" s="64"/>
      <c r="AG22" s="67"/>
      <c r="AH22" s="64"/>
      <c r="AJ22" s="67"/>
      <c r="AK22" s="64"/>
      <c r="AM22" s="67"/>
      <c r="AN22" s="64"/>
      <c r="AP22" s="67"/>
      <c r="AQ22" s="64"/>
      <c r="AS22" s="67"/>
      <c r="AT22" s="64"/>
      <c r="AV22" s="67"/>
      <c r="AW22" s="64"/>
      <c r="AY22" s="67"/>
      <c r="AZ22" s="64"/>
      <c r="BB22" s="67"/>
      <c r="BC22" s="64"/>
      <c r="BE22" s="67"/>
      <c r="BF22" s="64"/>
      <c r="BH22" s="67"/>
      <c r="BI22" s="64"/>
      <c r="BK22" s="67"/>
      <c r="BL22" s="64"/>
      <c r="BN22" s="67"/>
      <c r="BO22" s="64"/>
      <c r="BQ22" s="67"/>
      <c r="BR22" s="64"/>
      <c r="BT22" s="67"/>
      <c r="BU22" s="64"/>
      <c r="BW22" s="67"/>
      <c r="BX22" s="64"/>
      <c r="BZ22" s="67"/>
      <c r="CA22" s="64"/>
      <c r="CC22" s="67"/>
      <c r="CD22" s="64"/>
      <c r="CF22" s="67"/>
      <c r="CG22" s="64"/>
      <c r="CI22" s="67"/>
      <c r="CJ22" s="64"/>
      <c r="CL22" s="67"/>
      <c r="CM22" s="64"/>
      <c r="CO22" s="67"/>
      <c r="CP22" s="64"/>
      <c r="CR22" s="67"/>
      <c r="CS22" s="64"/>
      <c r="CU22" s="67"/>
      <c r="CV22" s="64"/>
      <c r="CX22" s="67"/>
      <c r="CY22" s="64"/>
      <c r="DA22" s="67"/>
      <c r="DB22" s="64"/>
      <c r="DD22" s="67"/>
      <c r="DE22" s="64"/>
      <c r="DG22" s="67"/>
      <c r="DH22" s="64"/>
      <c r="DJ22" s="67"/>
      <c r="DK22" s="64"/>
      <c r="DM22" s="67"/>
      <c r="DN22" s="64"/>
      <c r="DP22" s="67"/>
      <c r="DQ22" s="64"/>
      <c r="DS22" s="67"/>
      <c r="DT22" s="64"/>
      <c r="DV22" s="67"/>
      <c r="DW22" s="64"/>
      <c r="DY22" s="67"/>
      <c r="DZ22" s="64"/>
      <c r="EB22" s="67"/>
      <c r="EC22" s="64"/>
      <c r="EE22" s="67"/>
      <c r="EF22" s="64"/>
      <c r="EH22" s="67"/>
      <c r="EI22" s="64"/>
      <c r="EK22" s="67"/>
      <c r="EL22" s="64"/>
      <c r="EN22" s="67"/>
      <c r="EO22" s="64"/>
      <c r="EQ22" s="67"/>
      <c r="ER22" s="64"/>
      <c r="ET22" s="67"/>
      <c r="EU22" s="64"/>
      <c r="EW22" s="67"/>
      <c r="EX22" s="64"/>
      <c r="EZ22" s="67"/>
      <c r="FA22" s="64"/>
      <c r="FC22" s="67"/>
      <c r="FD22" s="64"/>
      <c r="FF22" s="67"/>
      <c r="FG22" s="64"/>
      <c r="FI22" s="67"/>
      <c r="FJ22" s="64"/>
      <c r="FL22" s="67"/>
      <c r="FM22" s="64"/>
      <c r="FO22" s="67"/>
      <c r="FP22" s="64"/>
      <c r="FR22" s="67"/>
      <c r="FS22" s="64"/>
      <c r="FU22" s="67"/>
      <c r="FV22" s="64"/>
      <c r="FX22" s="67"/>
      <c r="FY22" s="64"/>
      <c r="GA22" s="67"/>
      <c r="GB22" s="64"/>
      <c r="GD22" s="67"/>
      <c r="GE22" s="64"/>
      <c r="GG22" s="67"/>
      <c r="GH22" s="64"/>
      <c r="GJ22" s="67"/>
      <c r="GK22" s="64"/>
      <c r="GM22" s="67"/>
      <c r="GN22" s="64"/>
      <c r="GP22" s="67"/>
      <c r="GQ22" s="64"/>
      <c r="GS22" s="67"/>
      <c r="GT22" s="64"/>
      <c r="GV22" s="67"/>
      <c r="GW22" s="64"/>
      <c r="GY22" s="67"/>
      <c r="GZ22" s="64"/>
      <c r="HB22" s="67"/>
      <c r="HC22" s="64"/>
      <c r="HE22" s="67"/>
      <c r="HF22" s="64"/>
      <c r="HH22" s="67"/>
      <c r="HI22" s="64"/>
      <c r="HK22" s="67"/>
      <c r="HL22" s="64"/>
      <c r="HN22" s="67"/>
      <c r="HO22" s="64"/>
      <c r="HQ22" s="67"/>
      <c r="HR22" s="64"/>
      <c r="HT22" s="67"/>
      <c r="HU22" s="64"/>
      <c r="HW22" s="67"/>
      <c r="HX22" s="64"/>
      <c r="HZ22" s="67"/>
      <c r="IA22" s="64"/>
      <c r="IC22" s="67"/>
      <c r="ID22" s="64"/>
      <c r="IF22" s="67"/>
      <c r="IG22" s="64"/>
      <c r="II22" s="67"/>
      <c r="IJ22" s="64"/>
      <c r="IL22" s="67"/>
      <c r="IM22" s="64"/>
      <c r="IO22" s="67"/>
      <c r="IP22" s="64"/>
      <c r="IR22" s="67"/>
      <c r="IS22" s="64"/>
      <c r="IU22" s="67"/>
      <c r="IV22" s="64"/>
      <c r="IX22" s="67"/>
      <c r="IY22" s="64"/>
      <c r="JA22" s="67"/>
      <c r="JB22" s="64"/>
      <c r="JD22" s="67"/>
      <c r="JE22" s="64"/>
      <c r="JG22" s="67"/>
      <c r="JH22" s="64"/>
      <c r="JJ22" s="67"/>
      <c r="JK22" s="64"/>
      <c r="JM22" s="67"/>
      <c r="JN22" s="64"/>
      <c r="JP22" s="67"/>
      <c r="JQ22" s="64"/>
      <c r="JS22" s="67"/>
      <c r="JT22" s="64"/>
      <c r="JV22" s="67"/>
      <c r="JW22" s="64"/>
      <c r="JY22" s="67"/>
      <c r="JZ22" s="64"/>
      <c r="KB22" s="67"/>
      <c r="KC22" s="64"/>
      <c r="KE22" s="67"/>
      <c r="KF22" s="64"/>
      <c r="KH22" s="67"/>
      <c r="KI22" s="64"/>
      <c r="KK22" s="67"/>
      <c r="KL22" s="64"/>
      <c r="KN22" s="67"/>
    </row>
    <row r="23" spans="1:300" x14ac:dyDescent="0.2">
      <c r="A23" s="64"/>
      <c r="C23" s="67"/>
      <c r="D23" s="64"/>
      <c r="F23" s="67"/>
      <c r="G23" s="64"/>
      <c r="I23" s="67"/>
      <c r="J23" s="64"/>
      <c r="L23" s="67"/>
      <c r="M23" s="64"/>
      <c r="O23" s="67"/>
      <c r="P23" s="64"/>
      <c r="R23" s="67"/>
      <c r="S23" s="64"/>
      <c r="U23" s="67"/>
      <c r="V23" s="64"/>
      <c r="X23" s="67"/>
      <c r="Y23" s="64"/>
      <c r="AA23" s="67"/>
      <c r="AB23" s="64"/>
      <c r="AD23" s="67"/>
      <c r="AE23" s="64"/>
      <c r="AG23" s="67"/>
      <c r="AH23" s="64"/>
      <c r="AJ23" s="67"/>
      <c r="AK23" s="64"/>
      <c r="AM23" s="67"/>
      <c r="AN23" s="64"/>
      <c r="AP23" s="67"/>
      <c r="AQ23" s="64"/>
      <c r="AS23" s="67"/>
      <c r="AT23" s="64"/>
      <c r="AV23" s="67"/>
      <c r="AW23" s="64"/>
      <c r="AY23" s="67"/>
      <c r="AZ23" s="64"/>
      <c r="BB23" s="67"/>
      <c r="BC23" s="64"/>
      <c r="BE23" s="67"/>
      <c r="BF23" s="64"/>
      <c r="BH23" s="67"/>
      <c r="BI23" s="64"/>
      <c r="BK23" s="67"/>
      <c r="BL23" s="64"/>
      <c r="BN23" s="67"/>
      <c r="BO23" s="64"/>
      <c r="BQ23" s="67"/>
      <c r="BR23" s="64"/>
      <c r="BT23" s="67"/>
      <c r="BU23" s="64"/>
      <c r="BW23" s="67"/>
      <c r="BX23" s="64"/>
      <c r="BZ23" s="67"/>
      <c r="CA23" s="64"/>
      <c r="CC23" s="67"/>
      <c r="CD23" s="64"/>
      <c r="CF23" s="67"/>
      <c r="CG23" s="64"/>
      <c r="CI23" s="67"/>
      <c r="CJ23" s="64"/>
      <c r="CL23" s="67"/>
      <c r="CM23" s="64"/>
      <c r="CO23" s="67"/>
      <c r="CP23" s="64"/>
      <c r="CR23" s="67"/>
      <c r="CS23" s="64"/>
      <c r="CU23" s="67"/>
      <c r="CV23" s="64"/>
      <c r="CX23" s="67"/>
      <c r="CY23" s="64"/>
      <c r="DA23" s="67"/>
      <c r="DB23" s="64"/>
      <c r="DD23" s="67"/>
      <c r="DE23" s="64"/>
      <c r="DG23" s="67"/>
      <c r="DH23" s="64"/>
      <c r="DJ23" s="67"/>
      <c r="DK23" s="64"/>
      <c r="DM23" s="67"/>
      <c r="DN23" s="64"/>
      <c r="DP23" s="67"/>
      <c r="DQ23" s="64"/>
      <c r="DS23" s="67"/>
      <c r="DT23" s="64"/>
      <c r="DV23" s="67"/>
      <c r="DW23" s="64"/>
      <c r="DY23" s="67"/>
      <c r="DZ23" s="64"/>
      <c r="EB23" s="67"/>
      <c r="EC23" s="64"/>
      <c r="EE23" s="67"/>
      <c r="EF23" s="64"/>
      <c r="EH23" s="67"/>
      <c r="EI23" s="64"/>
      <c r="EK23" s="67"/>
      <c r="EL23" s="64"/>
      <c r="EN23" s="67"/>
      <c r="EO23" s="64"/>
      <c r="EQ23" s="67"/>
      <c r="ER23" s="64"/>
      <c r="ET23" s="67"/>
      <c r="EU23" s="64"/>
      <c r="EW23" s="67"/>
      <c r="EX23" s="64"/>
      <c r="EZ23" s="67"/>
      <c r="FA23" s="64"/>
      <c r="FC23" s="67"/>
      <c r="FD23" s="64"/>
      <c r="FF23" s="67"/>
      <c r="FG23" s="64"/>
      <c r="FI23" s="67"/>
      <c r="FJ23" s="64"/>
      <c r="FL23" s="67"/>
      <c r="FM23" s="64"/>
      <c r="FO23" s="67"/>
      <c r="FP23" s="64"/>
      <c r="FR23" s="67"/>
      <c r="FS23" s="64"/>
      <c r="FU23" s="67"/>
      <c r="FV23" s="64"/>
      <c r="FX23" s="67"/>
      <c r="FY23" s="64"/>
      <c r="GA23" s="67"/>
      <c r="GB23" s="64"/>
      <c r="GD23" s="67"/>
      <c r="GE23" s="64"/>
      <c r="GG23" s="67"/>
      <c r="GH23" s="64"/>
      <c r="GJ23" s="67"/>
      <c r="GK23" s="64"/>
      <c r="GM23" s="67"/>
      <c r="GN23" s="64"/>
      <c r="GP23" s="67"/>
      <c r="GQ23" s="64"/>
      <c r="GS23" s="67"/>
      <c r="GT23" s="64"/>
      <c r="GV23" s="67"/>
      <c r="GW23" s="64"/>
      <c r="GY23" s="67"/>
      <c r="GZ23" s="64"/>
      <c r="HB23" s="67"/>
      <c r="HC23" s="64"/>
      <c r="HE23" s="67"/>
      <c r="HF23" s="64"/>
      <c r="HH23" s="67"/>
      <c r="HI23" s="64"/>
      <c r="HK23" s="67"/>
      <c r="HL23" s="64"/>
      <c r="HN23" s="67"/>
      <c r="HO23" s="64"/>
      <c r="HQ23" s="67"/>
      <c r="HR23" s="64"/>
      <c r="HT23" s="67"/>
      <c r="HU23" s="64"/>
      <c r="HW23" s="67"/>
      <c r="HX23" s="64"/>
      <c r="HZ23" s="67"/>
      <c r="IA23" s="64"/>
      <c r="IC23" s="67"/>
      <c r="ID23" s="64"/>
      <c r="IF23" s="67"/>
      <c r="IG23" s="64"/>
      <c r="II23" s="67"/>
      <c r="IJ23" s="64"/>
      <c r="IL23" s="67"/>
      <c r="IM23" s="64"/>
      <c r="IO23" s="67"/>
      <c r="IP23" s="64"/>
      <c r="IR23" s="67"/>
      <c r="IS23" s="64"/>
      <c r="IU23" s="67"/>
      <c r="IV23" s="64"/>
      <c r="IX23" s="67"/>
      <c r="IY23" s="64"/>
      <c r="JA23" s="67"/>
      <c r="JB23" s="64"/>
      <c r="JD23" s="67"/>
      <c r="JE23" s="64"/>
      <c r="JG23" s="67"/>
      <c r="JH23" s="64"/>
      <c r="JJ23" s="67"/>
      <c r="JK23" s="64"/>
      <c r="JM23" s="67"/>
      <c r="JN23" s="64"/>
      <c r="JP23" s="67"/>
      <c r="JQ23" s="64"/>
      <c r="JS23" s="67"/>
      <c r="JT23" s="64"/>
      <c r="JV23" s="67"/>
      <c r="JW23" s="64"/>
      <c r="JY23" s="67"/>
      <c r="JZ23" s="64"/>
      <c r="KB23" s="67"/>
      <c r="KC23" s="64"/>
      <c r="KE23" s="67"/>
      <c r="KF23" s="64"/>
      <c r="KH23" s="67"/>
      <c r="KI23" s="64"/>
      <c r="KK23" s="67"/>
      <c r="KL23" s="64"/>
      <c r="KN23" s="67"/>
    </row>
    <row r="24" spans="1:300" x14ac:dyDescent="0.2">
      <c r="A24" s="64"/>
      <c r="C24" s="67"/>
      <c r="D24" s="64"/>
      <c r="F24" s="67"/>
      <c r="G24" s="64"/>
      <c r="I24" s="67"/>
      <c r="J24" s="64"/>
      <c r="L24" s="67"/>
      <c r="M24" s="64"/>
      <c r="O24" s="67"/>
      <c r="P24" s="64"/>
      <c r="R24" s="67"/>
      <c r="S24" s="64"/>
      <c r="U24" s="67"/>
      <c r="V24" s="64"/>
      <c r="X24" s="67"/>
      <c r="Y24" s="64"/>
      <c r="AA24" s="67"/>
      <c r="AB24" s="64"/>
      <c r="AD24" s="67"/>
      <c r="AE24" s="64"/>
      <c r="AG24" s="67"/>
      <c r="AH24" s="64"/>
      <c r="AJ24" s="67"/>
      <c r="AK24" s="64"/>
      <c r="AM24" s="67"/>
      <c r="AN24" s="64"/>
      <c r="AP24" s="67"/>
      <c r="AQ24" s="64"/>
      <c r="AS24" s="67"/>
      <c r="AT24" s="64"/>
      <c r="AV24" s="67"/>
      <c r="AW24" s="64"/>
      <c r="AY24" s="67"/>
      <c r="AZ24" s="64"/>
      <c r="BB24" s="67"/>
      <c r="BC24" s="64"/>
      <c r="BE24" s="67"/>
      <c r="BF24" s="64"/>
      <c r="BH24" s="67"/>
      <c r="BI24" s="64"/>
      <c r="BK24" s="67"/>
      <c r="BL24" s="64"/>
      <c r="BN24" s="67"/>
      <c r="BO24" s="64"/>
      <c r="BQ24" s="67"/>
      <c r="BR24" s="64"/>
      <c r="BT24" s="67"/>
      <c r="BU24" s="64"/>
      <c r="BW24" s="67"/>
      <c r="BX24" s="64"/>
      <c r="BZ24" s="67"/>
      <c r="CA24" s="64"/>
      <c r="CC24" s="67"/>
      <c r="CD24" s="64"/>
      <c r="CF24" s="67"/>
      <c r="CG24" s="64"/>
      <c r="CI24" s="67"/>
      <c r="CJ24" s="64"/>
      <c r="CL24" s="67"/>
      <c r="CM24" s="64"/>
      <c r="CO24" s="67"/>
      <c r="CP24" s="64"/>
      <c r="CR24" s="67"/>
      <c r="CS24" s="64"/>
      <c r="CU24" s="67"/>
      <c r="CV24" s="64"/>
      <c r="CX24" s="67"/>
      <c r="CY24" s="64"/>
      <c r="DA24" s="67"/>
      <c r="DB24" s="64"/>
      <c r="DD24" s="67"/>
      <c r="DE24" s="64"/>
      <c r="DG24" s="67"/>
      <c r="DH24" s="64"/>
      <c r="DJ24" s="67"/>
      <c r="DK24" s="64"/>
      <c r="DM24" s="67"/>
      <c r="DN24" s="64"/>
      <c r="DP24" s="67"/>
      <c r="DQ24" s="64"/>
      <c r="DS24" s="67"/>
      <c r="DT24" s="64"/>
      <c r="DV24" s="67"/>
      <c r="DW24" s="64"/>
      <c r="DY24" s="67"/>
      <c r="DZ24" s="64"/>
      <c r="EB24" s="67"/>
      <c r="EC24" s="64"/>
      <c r="EE24" s="67"/>
      <c r="EF24" s="64"/>
      <c r="EH24" s="67"/>
      <c r="EI24" s="64"/>
      <c r="EK24" s="67"/>
      <c r="EL24" s="64"/>
      <c r="EN24" s="67"/>
      <c r="EO24" s="64"/>
      <c r="EQ24" s="67"/>
      <c r="ER24" s="64"/>
      <c r="ET24" s="67"/>
      <c r="EU24" s="64"/>
      <c r="EW24" s="67"/>
      <c r="EX24" s="64"/>
      <c r="EZ24" s="67"/>
      <c r="FA24" s="64"/>
      <c r="FC24" s="67"/>
      <c r="FD24" s="64"/>
      <c r="FF24" s="67"/>
      <c r="FG24" s="64"/>
      <c r="FI24" s="67"/>
      <c r="FJ24" s="64"/>
      <c r="FL24" s="67"/>
      <c r="FM24" s="64"/>
      <c r="FO24" s="67"/>
      <c r="FP24" s="64"/>
      <c r="FR24" s="67"/>
      <c r="FS24" s="64"/>
      <c r="FU24" s="67"/>
      <c r="FV24" s="64"/>
      <c r="FX24" s="67"/>
      <c r="FY24" s="64"/>
      <c r="GA24" s="67"/>
      <c r="GB24" s="64"/>
      <c r="GD24" s="67"/>
      <c r="GE24" s="64"/>
      <c r="GG24" s="67"/>
      <c r="GH24" s="64"/>
      <c r="GJ24" s="67"/>
      <c r="GK24" s="64"/>
      <c r="GM24" s="67"/>
      <c r="GN24" s="64"/>
      <c r="GP24" s="67"/>
      <c r="GQ24" s="64"/>
      <c r="GS24" s="67"/>
      <c r="GT24" s="64"/>
      <c r="GV24" s="67"/>
      <c r="GW24" s="64"/>
      <c r="GY24" s="67"/>
      <c r="GZ24" s="64"/>
      <c r="HB24" s="67"/>
      <c r="HC24" s="64"/>
      <c r="HE24" s="67"/>
      <c r="HF24" s="64"/>
      <c r="HH24" s="67"/>
      <c r="HI24" s="64"/>
      <c r="HK24" s="67"/>
      <c r="HL24" s="64"/>
      <c r="HN24" s="67"/>
      <c r="HO24" s="64"/>
      <c r="HQ24" s="67"/>
      <c r="HR24" s="64"/>
      <c r="HT24" s="67"/>
      <c r="HU24" s="64"/>
      <c r="HW24" s="67"/>
      <c r="HX24" s="64"/>
      <c r="HZ24" s="67"/>
      <c r="IA24" s="64"/>
      <c r="IC24" s="67"/>
      <c r="ID24" s="64"/>
      <c r="IF24" s="67"/>
      <c r="IG24" s="64"/>
      <c r="II24" s="67"/>
      <c r="IJ24" s="64"/>
      <c r="IL24" s="67"/>
      <c r="IM24" s="64"/>
      <c r="IO24" s="67"/>
      <c r="IP24" s="64"/>
      <c r="IR24" s="67"/>
      <c r="IS24" s="64"/>
      <c r="IU24" s="67"/>
      <c r="IV24" s="64"/>
      <c r="IX24" s="67"/>
      <c r="IY24" s="64"/>
      <c r="JA24" s="67"/>
      <c r="JB24" s="64"/>
      <c r="JD24" s="67"/>
      <c r="JE24" s="64"/>
      <c r="JG24" s="67"/>
      <c r="JH24" s="64"/>
      <c r="JJ24" s="67"/>
      <c r="JK24" s="64"/>
      <c r="JM24" s="67"/>
      <c r="JN24" s="64"/>
      <c r="JP24" s="67"/>
      <c r="JQ24" s="64"/>
      <c r="JS24" s="67"/>
      <c r="JT24" s="64"/>
      <c r="JV24" s="67"/>
      <c r="JW24" s="64"/>
      <c r="JY24" s="67"/>
      <c r="JZ24" s="64"/>
      <c r="KB24" s="67"/>
      <c r="KC24" s="64"/>
      <c r="KE24" s="67"/>
      <c r="KF24" s="64"/>
      <c r="KH24" s="67"/>
      <c r="KI24" s="64"/>
      <c r="KK24" s="67"/>
      <c r="KL24" s="64"/>
      <c r="KN24" s="67"/>
    </row>
    <row r="25" spans="1:300" x14ac:dyDescent="0.2">
      <c r="A25" s="64"/>
      <c r="C25" s="67"/>
      <c r="D25" s="64"/>
      <c r="F25" s="67"/>
      <c r="G25" s="64"/>
      <c r="I25" s="67"/>
      <c r="J25" s="64"/>
      <c r="L25" s="67"/>
      <c r="M25" s="64"/>
      <c r="O25" s="67"/>
      <c r="P25" s="64"/>
      <c r="R25" s="67"/>
      <c r="S25" s="64"/>
      <c r="U25" s="67"/>
      <c r="V25" s="64"/>
      <c r="X25" s="67"/>
      <c r="Y25" s="64"/>
      <c r="AA25" s="67"/>
      <c r="AB25" s="64"/>
      <c r="AD25" s="67"/>
      <c r="AE25" s="64"/>
      <c r="AG25" s="67"/>
      <c r="AH25" s="64"/>
      <c r="AJ25" s="67"/>
      <c r="AK25" s="64"/>
      <c r="AM25" s="67"/>
      <c r="AN25" s="64"/>
      <c r="AP25" s="67"/>
      <c r="AQ25" s="64"/>
      <c r="AS25" s="67"/>
      <c r="AT25" s="64"/>
      <c r="AV25" s="67"/>
      <c r="AW25" s="64"/>
      <c r="AY25" s="67"/>
      <c r="AZ25" s="64"/>
      <c r="BB25" s="67"/>
      <c r="BC25" s="64"/>
      <c r="BE25" s="67"/>
      <c r="BF25" s="64"/>
      <c r="BH25" s="67"/>
      <c r="BI25" s="64"/>
      <c r="BK25" s="67"/>
      <c r="BL25" s="64"/>
      <c r="BN25" s="67"/>
      <c r="BO25" s="64"/>
      <c r="BQ25" s="67"/>
      <c r="BR25" s="64"/>
      <c r="BT25" s="67"/>
      <c r="BU25" s="64"/>
      <c r="BW25" s="67"/>
      <c r="BX25" s="64"/>
      <c r="BZ25" s="67"/>
      <c r="CA25" s="64"/>
      <c r="CC25" s="67"/>
      <c r="CD25" s="64"/>
      <c r="CF25" s="67"/>
      <c r="CG25" s="64"/>
      <c r="CI25" s="67"/>
      <c r="CJ25" s="64"/>
      <c r="CL25" s="67"/>
      <c r="CM25" s="64"/>
      <c r="CO25" s="67"/>
      <c r="CP25" s="64"/>
      <c r="CR25" s="67"/>
      <c r="CS25" s="64"/>
      <c r="CU25" s="67"/>
      <c r="CV25" s="64"/>
      <c r="CX25" s="67"/>
      <c r="CY25" s="64"/>
      <c r="DA25" s="67"/>
      <c r="DB25" s="64"/>
      <c r="DD25" s="67"/>
      <c r="DE25" s="64"/>
      <c r="DG25" s="67"/>
      <c r="DH25" s="64"/>
      <c r="DJ25" s="67"/>
      <c r="DK25" s="64"/>
      <c r="DM25" s="67"/>
      <c r="DN25" s="64"/>
      <c r="DP25" s="67"/>
      <c r="DQ25" s="64"/>
      <c r="DS25" s="67"/>
      <c r="DT25" s="64"/>
      <c r="DV25" s="67"/>
      <c r="DW25" s="64"/>
      <c r="DY25" s="67"/>
      <c r="DZ25" s="64"/>
      <c r="EB25" s="67"/>
      <c r="EC25" s="64"/>
      <c r="EE25" s="67"/>
      <c r="EF25" s="64"/>
      <c r="EH25" s="67"/>
      <c r="EI25" s="64"/>
      <c r="EK25" s="67"/>
      <c r="EL25" s="64"/>
      <c r="EN25" s="67"/>
      <c r="EO25" s="64"/>
      <c r="EQ25" s="67"/>
      <c r="ER25" s="64"/>
      <c r="ET25" s="67"/>
      <c r="EU25" s="64"/>
      <c r="EW25" s="67"/>
      <c r="EX25" s="64"/>
      <c r="EZ25" s="67"/>
      <c r="FA25" s="64"/>
      <c r="FC25" s="67"/>
      <c r="FD25" s="64"/>
      <c r="FF25" s="67"/>
      <c r="FG25" s="64"/>
      <c r="FI25" s="67"/>
      <c r="FJ25" s="64"/>
      <c r="FL25" s="67"/>
      <c r="FM25" s="64"/>
      <c r="FO25" s="67"/>
      <c r="FP25" s="64"/>
      <c r="FR25" s="67"/>
      <c r="FS25" s="64"/>
      <c r="FU25" s="67"/>
      <c r="FV25" s="64"/>
      <c r="FX25" s="67"/>
      <c r="FY25" s="64"/>
      <c r="GA25" s="67"/>
      <c r="GB25" s="64"/>
      <c r="GD25" s="67"/>
      <c r="GE25" s="64"/>
      <c r="GG25" s="67"/>
      <c r="GH25" s="64"/>
      <c r="GJ25" s="67"/>
      <c r="GK25" s="64"/>
      <c r="GM25" s="67"/>
      <c r="GN25" s="64"/>
      <c r="GP25" s="67"/>
      <c r="GQ25" s="64"/>
      <c r="GS25" s="67"/>
      <c r="GT25" s="64"/>
      <c r="GV25" s="67"/>
      <c r="GW25" s="64"/>
      <c r="GY25" s="67"/>
      <c r="GZ25" s="64"/>
      <c r="HB25" s="67"/>
      <c r="HC25" s="64"/>
      <c r="HE25" s="67"/>
      <c r="HF25" s="64"/>
      <c r="HH25" s="67"/>
      <c r="HI25" s="64"/>
      <c r="HK25" s="67"/>
      <c r="HL25" s="64"/>
      <c r="HN25" s="67"/>
      <c r="HO25" s="64"/>
      <c r="HQ25" s="67"/>
      <c r="HR25" s="64"/>
      <c r="HT25" s="67"/>
      <c r="HU25" s="64"/>
      <c r="HW25" s="67"/>
      <c r="HX25" s="64"/>
      <c r="HZ25" s="67"/>
      <c r="IA25" s="64"/>
      <c r="IC25" s="67"/>
      <c r="ID25" s="64"/>
      <c r="IF25" s="67"/>
      <c r="IG25" s="64"/>
      <c r="II25" s="67"/>
      <c r="IJ25" s="64"/>
      <c r="IL25" s="67"/>
      <c r="IM25" s="64"/>
      <c r="IO25" s="67"/>
      <c r="IP25" s="64"/>
      <c r="IR25" s="67"/>
      <c r="IS25" s="64"/>
      <c r="IU25" s="67"/>
      <c r="IV25" s="64"/>
      <c r="IX25" s="67"/>
      <c r="IY25" s="64"/>
      <c r="JA25" s="67"/>
      <c r="JB25" s="64"/>
      <c r="JD25" s="67"/>
      <c r="JE25" s="64"/>
      <c r="JG25" s="67"/>
      <c r="JH25" s="64"/>
      <c r="JJ25" s="67"/>
      <c r="JK25" s="64"/>
      <c r="JM25" s="67"/>
      <c r="JN25" s="64"/>
      <c r="JP25" s="67"/>
      <c r="JQ25" s="64"/>
      <c r="JS25" s="67"/>
      <c r="JT25" s="64"/>
      <c r="JV25" s="67"/>
      <c r="JW25" s="64"/>
      <c r="JY25" s="67"/>
      <c r="JZ25" s="64"/>
      <c r="KB25" s="67"/>
      <c r="KC25" s="64"/>
      <c r="KE25" s="67"/>
      <c r="KF25" s="64"/>
      <c r="KH25" s="67"/>
      <c r="KI25" s="64"/>
      <c r="KK25" s="67"/>
      <c r="KL25" s="64"/>
      <c r="KN25" s="67"/>
    </row>
    <row r="26" spans="1:300" x14ac:dyDescent="0.2">
      <c r="A26" s="64"/>
      <c r="C26" s="67"/>
      <c r="D26" s="64"/>
      <c r="F26" s="67"/>
      <c r="G26" s="64"/>
      <c r="I26" s="67"/>
      <c r="J26" s="64"/>
      <c r="L26" s="67"/>
      <c r="M26" s="64"/>
      <c r="O26" s="67"/>
      <c r="P26" s="64"/>
      <c r="R26" s="67"/>
      <c r="S26" s="64"/>
      <c r="U26" s="67"/>
      <c r="V26" s="64"/>
      <c r="X26" s="67"/>
      <c r="Y26" s="64"/>
      <c r="AA26" s="67"/>
      <c r="AB26" s="64"/>
      <c r="AD26" s="67"/>
      <c r="AE26" s="64"/>
      <c r="AG26" s="67"/>
      <c r="AH26" s="64"/>
      <c r="AJ26" s="67"/>
      <c r="AK26" s="64"/>
      <c r="AM26" s="67"/>
      <c r="AN26" s="64"/>
      <c r="AP26" s="67"/>
      <c r="AQ26" s="64"/>
      <c r="AS26" s="67"/>
      <c r="AT26" s="64"/>
      <c r="AV26" s="67"/>
      <c r="AW26" s="64"/>
      <c r="AY26" s="67"/>
      <c r="AZ26" s="64"/>
      <c r="BB26" s="67"/>
      <c r="BC26" s="64"/>
      <c r="BE26" s="67"/>
      <c r="BF26" s="64"/>
      <c r="BH26" s="67"/>
      <c r="BI26" s="64"/>
      <c r="BK26" s="67"/>
      <c r="BL26" s="64"/>
      <c r="BN26" s="67"/>
      <c r="BO26" s="64"/>
      <c r="BQ26" s="67"/>
      <c r="BR26" s="64"/>
      <c r="BT26" s="67"/>
      <c r="BU26" s="64"/>
      <c r="BW26" s="67"/>
      <c r="BX26" s="64"/>
      <c r="BZ26" s="67"/>
      <c r="CA26" s="64"/>
      <c r="CC26" s="67"/>
      <c r="CD26" s="64"/>
      <c r="CF26" s="67"/>
      <c r="CG26" s="64"/>
      <c r="CI26" s="67"/>
      <c r="CJ26" s="64"/>
      <c r="CL26" s="67"/>
      <c r="CM26" s="64"/>
      <c r="CO26" s="67"/>
      <c r="CP26" s="64"/>
      <c r="CR26" s="67"/>
      <c r="CS26" s="64"/>
      <c r="CU26" s="67"/>
      <c r="CV26" s="64"/>
      <c r="CX26" s="67"/>
      <c r="CY26" s="64"/>
      <c r="DA26" s="67"/>
      <c r="DB26" s="64"/>
      <c r="DD26" s="67"/>
      <c r="DE26" s="64"/>
      <c r="DG26" s="67"/>
      <c r="DH26" s="64"/>
      <c r="DJ26" s="67"/>
      <c r="DK26" s="64"/>
      <c r="DM26" s="67"/>
      <c r="DN26" s="64"/>
      <c r="DP26" s="67"/>
      <c r="DQ26" s="64"/>
      <c r="DS26" s="67"/>
      <c r="DT26" s="64"/>
      <c r="DV26" s="67"/>
      <c r="DW26" s="64"/>
      <c r="DY26" s="67"/>
      <c r="DZ26" s="64"/>
      <c r="EB26" s="67"/>
      <c r="EC26" s="64"/>
      <c r="EE26" s="67"/>
      <c r="EF26" s="64"/>
      <c r="EH26" s="67"/>
      <c r="EI26" s="64"/>
      <c r="EK26" s="67"/>
      <c r="EL26" s="64"/>
      <c r="EN26" s="67"/>
      <c r="EO26" s="64"/>
      <c r="EQ26" s="67"/>
      <c r="ER26" s="64"/>
      <c r="ET26" s="67"/>
      <c r="EU26" s="64"/>
      <c r="EW26" s="67"/>
      <c r="EX26" s="64"/>
      <c r="EZ26" s="67"/>
      <c r="FA26" s="64"/>
      <c r="FC26" s="67"/>
      <c r="FD26" s="64"/>
      <c r="FF26" s="67"/>
      <c r="FG26" s="64"/>
      <c r="FI26" s="67"/>
      <c r="FJ26" s="64"/>
      <c r="FL26" s="67"/>
      <c r="FM26" s="64"/>
      <c r="FO26" s="67"/>
      <c r="FP26" s="64"/>
      <c r="FR26" s="67"/>
      <c r="FS26" s="64"/>
      <c r="FU26" s="67"/>
      <c r="FV26" s="64"/>
      <c r="FX26" s="67"/>
      <c r="FY26" s="64"/>
      <c r="GA26" s="67"/>
      <c r="GB26" s="64"/>
      <c r="GD26" s="67"/>
      <c r="GE26" s="64"/>
      <c r="GG26" s="67"/>
      <c r="GH26" s="64"/>
      <c r="GJ26" s="67"/>
      <c r="GK26" s="64"/>
      <c r="GM26" s="67"/>
      <c r="GN26" s="64"/>
      <c r="GP26" s="67"/>
      <c r="GQ26" s="64"/>
      <c r="GS26" s="67"/>
      <c r="GT26" s="64"/>
      <c r="GV26" s="67"/>
      <c r="GW26" s="64"/>
      <c r="GY26" s="67"/>
      <c r="GZ26" s="64"/>
      <c r="HB26" s="67"/>
      <c r="HC26" s="64"/>
      <c r="HE26" s="67"/>
      <c r="HF26" s="64"/>
      <c r="HH26" s="67"/>
      <c r="HI26" s="64"/>
      <c r="HK26" s="67"/>
      <c r="HL26" s="64"/>
      <c r="HN26" s="67"/>
      <c r="HO26" s="64"/>
      <c r="HQ26" s="67"/>
      <c r="HR26" s="64"/>
      <c r="HT26" s="67"/>
      <c r="HU26" s="64"/>
      <c r="HW26" s="67"/>
      <c r="HX26" s="64"/>
      <c r="HZ26" s="67"/>
      <c r="IA26" s="64"/>
      <c r="IC26" s="67"/>
      <c r="ID26" s="64"/>
      <c r="IF26" s="67"/>
      <c r="IG26" s="64"/>
      <c r="II26" s="67"/>
      <c r="IJ26" s="64"/>
      <c r="IL26" s="67"/>
      <c r="IM26" s="64"/>
      <c r="IO26" s="67"/>
      <c r="IP26" s="64"/>
      <c r="IR26" s="67"/>
      <c r="IS26" s="64"/>
      <c r="IU26" s="67"/>
      <c r="IV26" s="64"/>
      <c r="IX26" s="67"/>
      <c r="IY26" s="64"/>
      <c r="JA26" s="67"/>
      <c r="JB26" s="64"/>
      <c r="JD26" s="67"/>
      <c r="JE26" s="64"/>
      <c r="JG26" s="67"/>
      <c r="JH26" s="64"/>
      <c r="JJ26" s="67"/>
      <c r="JK26" s="64"/>
      <c r="JM26" s="67"/>
      <c r="JN26" s="64"/>
      <c r="JP26" s="67"/>
      <c r="JQ26" s="64"/>
      <c r="JS26" s="67"/>
      <c r="JT26" s="64"/>
      <c r="JV26" s="67"/>
      <c r="JW26" s="64"/>
      <c r="JY26" s="67"/>
      <c r="JZ26" s="64"/>
      <c r="KB26" s="67"/>
      <c r="KC26" s="64"/>
      <c r="KE26" s="67"/>
      <c r="KF26" s="64"/>
      <c r="KH26" s="67"/>
      <c r="KI26" s="64"/>
      <c r="KK26" s="67"/>
      <c r="KL26" s="64"/>
      <c r="KN26" s="67"/>
    </row>
    <row r="27" spans="1:300" x14ac:dyDescent="0.2">
      <c r="A27" s="64"/>
      <c r="C27" s="67"/>
      <c r="D27" s="64"/>
      <c r="F27" s="67"/>
      <c r="G27" s="64"/>
      <c r="I27" s="67"/>
      <c r="J27" s="64"/>
      <c r="L27" s="67"/>
      <c r="M27" s="64"/>
      <c r="O27" s="67"/>
      <c r="P27" s="64"/>
      <c r="R27" s="67"/>
      <c r="S27" s="64"/>
      <c r="U27" s="67"/>
      <c r="V27" s="64"/>
      <c r="X27" s="67"/>
      <c r="Y27" s="64"/>
      <c r="AA27" s="67"/>
      <c r="AB27" s="64"/>
      <c r="AD27" s="67"/>
      <c r="AE27" s="64"/>
      <c r="AG27" s="67"/>
      <c r="AH27" s="64"/>
      <c r="AJ27" s="67"/>
      <c r="AK27" s="64"/>
      <c r="AM27" s="67"/>
      <c r="AN27" s="64"/>
      <c r="AP27" s="67"/>
      <c r="AQ27" s="64"/>
      <c r="AS27" s="67"/>
      <c r="AT27" s="64"/>
      <c r="AV27" s="67"/>
      <c r="AW27" s="64"/>
      <c r="AY27" s="67"/>
      <c r="AZ27" s="64"/>
      <c r="BB27" s="67"/>
      <c r="BC27" s="64"/>
      <c r="BE27" s="67"/>
      <c r="BF27" s="64"/>
      <c r="BH27" s="67"/>
      <c r="BI27" s="64"/>
      <c r="BK27" s="67"/>
      <c r="BL27" s="64"/>
      <c r="BN27" s="67"/>
      <c r="BO27" s="64"/>
      <c r="BQ27" s="67"/>
      <c r="BR27" s="64"/>
      <c r="BT27" s="67"/>
      <c r="BU27" s="64"/>
      <c r="BW27" s="67"/>
      <c r="BX27" s="64"/>
      <c r="BZ27" s="67"/>
      <c r="CA27" s="64"/>
      <c r="CC27" s="67"/>
      <c r="CD27" s="64"/>
      <c r="CF27" s="67"/>
      <c r="CG27" s="64"/>
      <c r="CI27" s="67"/>
      <c r="CJ27" s="64"/>
      <c r="CL27" s="67"/>
      <c r="CM27" s="64"/>
      <c r="CO27" s="67"/>
      <c r="CP27" s="64"/>
      <c r="CR27" s="67"/>
      <c r="CS27" s="64"/>
      <c r="CU27" s="67"/>
      <c r="CV27" s="64"/>
      <c r="CX27" s="67"/>
      <c r="CY27" s="64"/>
      <c r="DA27" s="67"/>
      <c r="DB27" s="64"/>
      <c r="DD27" s="67"/>
      <c r="DE27" s="64"/>
      <c r="DG27" s="67"/>
      <c r="DH27" s="64"/>
      <c r="DJ27" s="67"/>
      <c r="DK27" s="64"/>
      <c r="DM27" s="67"/>
      <c r="DN27" s="64"/>
      <c r="DP27" s="67"/>
      <c r="DQ27" s="64"/>
      <c r="DS27" s="67"/>
      <c r="DT27" s="64"/>
      <c r="DV27" s="67"/>
      <c r="DW27" s="64"/>
      <c r="DY27" s="67"/>
      <c r="DZ27" s="64"/>
      <c r="EB27" s="67"/>
      <c r="EC27" s="64"/>
      <c r="EE27" s="67"/>
      <c r="EF27" s="64"/>
      <c r="EH27" s="67"/>
      <c r="EI27" s="64"/>
      <c r="EK27" s="67"/>
      <c r="EL27" s="64"/>
      <c r="EN27" s="67"/>
      <c r="EO27" s="64"/>
      <c r="EQ27" s="67"/>
      <c r="ER27" s="64"/>
      <c r="ET27" s="67"/>
      <c r="EU27" s="64"/>
      <c r="EW27" s="67"/>
      <c r="EX27" s="64"/>
      <c r="EZ27" s="67"/>
      <c r="FA27" s="64"/>
      <c r="FC27" s="67"/>
      <c r="FD27" s="64"/>
      <c r="FF27" s="67"/>
      <c r="FG27" s="64"/>
      <c r="FI27" s="67"/>
      <c r="FJ27" s="64"/>
      <c r="FL27" s="67"/>
      <c r="FM27" s="64"/>
      <c r="FO27" s="67"/>
      <c r="FP27" s="64"/>
      <c r="FR27" s="67"/>
      <c r="FS27" s="64"/>
      <c r="FU27" s="67"/>
      <c r="FV27" s="64"/>
      <c r="FX27" s="67"/>
      <c r="FY27" s="64"/>
      <c r="GA27" s="67"/>
      <c r="GB27" s="64"/>
      <c r="GD27" s="67"/>
      <c r="GE27" s="64"/>
      <c r="GG27" s="67"/>
      <c r="GH27" s="64"/>
      <c r="GJ27" s="67"/>
      <c r="GK27" s="64"/>
      <c r="GM27" s="67"/>
      <c r="GN27" s="64"/>
      <c r="GP27" s="67"/>
      <c r="GQ27" s="64"/>
      <c r="GS27" s="67"/>
      <c r="GT27" s="64"/>
      <c r="GV27" s="67"/>
      <c r="GW27" s="64"/>
      <c r="GY27" s="67"/>
      <c r="GZ27" s="64"/>
      <c r="HB27" s="67"/>
      <c r="HC27" s="64"/>
      <c r="HE27" s="67"/>
      <c r="HF27" s="64"/>
      <c r="HH27" s="67"/>
      <c r="HI27" s="64"/>
      <c r="HK27" s="67"/>
      <c r="HL27" s="64"/>
      <c r="HN27" s="67"/>
      <c r="HO27" s="64"/>
      <c r="HQ27" s="67"/>
      <c r="HR27" s="64"/>
      <c r="HT27" s="67"/>
      <c r="HU27" s="64"/>
      <c r="HW27" s="67"/>
      <c r="HX27" s="64"/>
      <c r="HZ27" s="67"/>
      <c r="IA27" s="64"/>
      <c r="IC27" s="67"/>
      <c r="ID27" s="64"/>
      <c r="IF27" s="67"/>
      <c r="IG27" s="64"/>
      <c r="II27" s="67"/>
      <c r="IJ27" s="64"/>
      <c r="IL27" s="67"/>
      <c r="IM27" s="64"/>
      <c r="IO27" s="67"/>
      <c r="IP27" s="64"/>
      <c r="IR27" s="67"/>
      <c r="IS27" s="64"/>
      <c r="IU27" s="67"/>
      <c r="IV27" s="64"/>
      <c r="IX27" s="67"/>
      <c r="IY27" s="64"/>
      <c r="JA27" s="67"/>
      <c r="JB27" s="64"/>
      <c r="JD27" s="67"/>
      <c r="JE27" s="64"/>
      <c r="JG27" s="67"/>
      <c r="JH27" s="64"/>
      <c r="JJ27" s="67"/>
      <c r="JK27" s="64"/>
      <c r="JM27" s="67"/>
      <c r="JN27" s="64"/>
      <c r="JP27" s="67"/>
      <c r="JQ27" s="64"/>
      <c r="JS27" s="67"/>
      <c r="JT27" s="64"/>
      <c r="JV27" s="67"/>
      <c r="JW27" s="64"/>
      <c r="JY27" s="67"/>
      <c r="JZ27" s="64"/>
      <c r="KB27" s="67"/>
      <c r="KC27" s="64"/>
      <c r="KE27" s="67"/>
      <c r="KF27" s="64"/>
      <c r="KH27" s="67"/>
      <c r="KI27" s="64"/>
      <c r="KK27" s="67"/>
      <c r="KL27" s="64"/>
      <c r="KN27" s="67"/>
    </row>
    <row r="28" spans="1:300" x14ac:dyDescent="0.2">
      <c r="A28" s="64"/>
      <c r="C28" s="67"/>
      <c r="D28" s="64"/>
      <c r="F28" s="67"/>
      <c r="G28" s="64"/>
      <c r="I28" s="67"/>
      <c r="J28" s="64"/>
      <c r="L28" s="67"/>
      <c r="M28" s="64"/>
      <c r="O28" s="67"/>
      <c r="P28" s="64"/>
      <c r="R28" s="67"/>
      <c r="S28" s="64"/>
      <c r="U28" s="67"/>
      <c r="V28" s="64"/>
      <c r="X28" s="67"/>
      <c r="Y28" s="64"/>
      <c r="AA28" s="67"/>
      <c r="AB28" s="64"/>
      <c r="AD28" s="67"/>
      <c r="AE28" s="64"/>
      <c r="AG28" s="67"/>
      <c r="AH28" s="64"/>
      <c r="AJ28" s="67"/>
      <c r="AK28" s="64"/>
      <c r="AM28" s="67"/>
      <c r="AN28" s="64"/>
      <c r="AP28" s="67"/>
      <c r="AQ28" s="64"/>
      <c r="AS28" s="67"/>
      <c r="AT28" s="64"/>
      <c r="AV28" s="67"/>
      <c r="AW28" s="64"/>
      <c r="AY28" s="67"/>
      <c r="AZ28" s="64"/>
      <c r="BB28" s="67"/>
      <c r="BC28" s="64"/>
      <c r="BE28" s="67"/>
      <c r="BF28" s="64"/>
      <c r="BH28" s="67"/>
      <c r="BI28" s="64"/>
      <c r="BK28" s="67"/>
      <c r="BL28" s="64"/>
      <c r="BN28" s="67"/>
      <c r="BO28" s="64"/>
      <c r="BQ28" s="67"/>
      <c r="BR28" s="64"/>
      <c r="BT28" s="67"/>
      <c r="BU28" s="64"/>
      <c r="BW28" s="67"/>
      <c r="BX28" s="64"/>
      <c r="BZ28" s="67"/>
      <c r="CA28" s="64"/>
      <c r="CC28" s="67"/>
      <c r="CD28" s="64"/>
      <c r="CF28" s="67"/>
      <c r="CG28" s="64"/>
      <c r="CI28" s="67"/>
      <c r="CJ28" s="64"/>
      <c r="CL28" s="67"/>
      <c r="CM28" s="64"/>
      <c r="CO28" s="67"/>
      <c r="CP28" s="64"/>
      <c r="CR28" s="67"/>
      <c r="CS28" s="64"/>
      <c r="CU28" s="67"/>
      <c r="CV28" s="64"/>
      <c r="CX28" s="67"/>
      <c r="CY28" s="64"/>
      <c r="DA28" s="67"/>
      <c r="DB28" s="64"/>
      <c r="DD28" s="67"/>
      <c r="DE28" s="64"/>
      <c r="DG28" s="67"/>
      <c r="DH28" s="64"/>
      <c r="DJ28" s="67"/>
      <c r="DK28" s="64"/>
      <c r="DM28" s="67"/>
      <c r="DN28" s="64"/>
      <c r="DP28" s="67"/>
      <c r="DQ28" s="64"/>
      <c r="DS28" s="67"/>
      <c r="DT28" s="64"/>
      <c r="DV28" s="67"/>
      <c r="DW28" s="64"/>
      <c r="DY28" s="67"/>
      <c r="DZ28" s="64"/>
      <c r="EB28" s="67"/>
      <c r="EC28" s="64"/>
      <c r="EE28" s="67"/>
      <c r="EF28" s="64"/>
      <c r="EH28" s="67"/>
      <c r="EI28" s="64"/>
      <c r="EK28" s="67"/>
      <c r="EL28" s="64"/>
      <c r="EN28" s="67"/>
      <c r="EO28" s="64"/>
      <c r="EQ28" s="67"/>
      <c r="ER28" s="64"/>
      <c r="ET28" s="67"/>
      <c r="EU28" s="64"/>
      <c r="EW28" s="67"/>
      <c r="EX28" s="64"/>
      <c r="EZ28" s="67"/>
      <c r="FA28" s="64"/>
      <c r="FC28" s="67"/>
      <c r="FD28" s="64"/>
      <c r="FF28" s="67"/>
      <c r="FG28" s="64"/>
      <c r="FI28" s="67"/>
      <c r="FJ28" s="64"/>
      <c r="FL28" s="67"/>
      <c r="FM28" s="64"/>
      <c r="FO28" s="67"/>
      <c r="FP28" s="64"/>
      <c r="FR28" s="67"/>
      <c r="FS28" s="64"/>
      <c r="FU28" s="67"/>
      <c r="FV28" s="64"/>
      <c r="FX28" s="67"/>
      <c r="FY28" s="64"/>
      <c r="GA28" s="67"/>
      <c r="GB28" s="64"/>
      <c r="GD28" s="67"/>
      <c r="GE28" s="64"/>
      <c r="GG28" s="67"/>
      <c r="GH28" s="64"/>
      <c r="GJ28" s="67"/>
      <c r="GK28" s="64"/>
      <c r="GM28" s="67"/>
      <c r="GN28" s="64"/>
      <c r="GP28" s="67"/>
      <c r="GQ28" s="64"/>
      <c r="GS28" s="67"/>
      <c r="GT28" s="64"/>
      <c r="GV28" s="67"/>
      <c r="GW28" s="64"/>
      <c r="GY28" s="67"/>
      <c r="GZ28" s="64"/>
      <c r="HB28" s="67"/>
      <c r="HC28" s="64"/>
      <c r="HE28" s="67"/>
      <c r="HF28" s="64"/>
      <c r="HH28" s="67"/>
      <c r="HI28" s="64"/>
      <c r="HK28" s="67"/>
      <c r="HL28" s="64"/>
      <c r="HN28" s="67"/>
      <c r="HO28" s="64"/>
      <c r="HQ28" s="67"/>
      <c r="HR28" s="64"/>
      <c r="HT28" s="67"/>
      <c r="HU28" s="64"/>
      <c r="HW28" s="67"/>
      <c r="HX28" s="64"/>
      <c r="HZ28" s="67"/>
      <c r="IA28" s="64"/>
      <c r="IC28" s="67"/>
      <c r="ID28" s="64"/>
      <c r="IF28" s="67"/>
      <c r="IG28" s="64"/>
      <c r="II28" s="67"/>
      <c r="IJ28" s="64"/>
      <c r="IL28" s="67"/>
      <c r="IM28" s="64"/>
      <c r="IO28" s="67"/>
      <c r="IP28" s="64"/>
      <c r="IR28" s="67"/>
      <c r="IS28" s="64"/>
      <c r="IU28" s="67"/>
      <c r="IV28" s="64"/>
      <c r="IX28" s="67"/>
      <c r="IY28" s="64"/>
      <c r="JA28" s="67"/>
      <c r="JB28" s="64"/>
      <c r="JD28" s="67"/>
      <c r="JE28" s="64"/>
      <c r="JG28" s="67"/>
      <c r="JH28" s="64"/>
      <c r="JJ28" s="67"/>
      <c r="JK28" s="64"/>
      <c r="JM28" s="67"/>
      <c r="JN28" s="64"/>
      <c r="JP28" s="67"/>
      <c r="JQ28" s="64"/>
      <c r="JS28" s="67"/>
      <c r="JT28" s="64"/>
      <c r="JV28" s="67"/>
      <c r="JW28" s="64"/>
      <c r="JY28" s="67"/>
      <c r="JZ28" s="64"/>
      <c r="KB28" s="67"/>
      <c r="KC28" s="64"/>
      <c r="KE28" s="67"/>
      <c r="KF28" s="64"/>
      <c r="KH28" s="67"/>
      <c r="KI28" s="64"/>
      <c r="KK28" s="67"/>
      <c r="KL28" s="64"/>
      <c r="KN28" s="67"/>
    </row>
    <row r="29" spans="1:300" x14ac:dyDescent="0.2">
      <c r="A29" s="64"/>
      <c r="C29" s="67"/>
      <c r="D29" s="64"/>
      <c r="F29" s="67"/>
      <c r="G29" s="64"/>
      <c r="I29" s="67"/>
      <c r="J29" s="64"/>
      <c r="L29" s="67"/>
      <c r="M29" s="64"/>
      <c r="O29" s="67"/>
      <c r="P29" s="64"/>
      <c r="R29" s="67"/>
      <c r="S29" s="64"/>
      <c r="U29" s="67"/>
      <c r="V29" s="64"/>
      <c r="X29" s="67"/>
      <c r="Y29" s="64"/>
      <c r="AA29" s="67"/>
      <c r="AB29" s="64"/>
      <c r="AD29" s="67"/>
      <c r="AE29" s="64"/>
      <c r="AG29" s="67"/>
      <c r="AH29" s="64"/>
      <c r="AJ29" s="67"/>
      <c r="AK29" s="64"/>
      <c r="AM29" s="67"/>
      <c r="AN29" s="64"/>
      <c r="AP29" s="67"/>
      <c r="AQ29" s="64"/>
      <c r="AS29" s="67"/>
      <c r="AT29" s="64"/>
      <c r="AV29" s="67"/>
      <c r="AW29" s="64"/>
      <c r="AY29" s="67"/>
      <c r="AZ29" s="64"/>
      <c r="BB29" s="67"/>
      <c r="BC29" s="64"/>
      <c r="BE29" s="67"/>
      <c r="BF29" s="64"/>
      <c r="BH29" s="67"/>
      <c r="BI29" s="64"/>
      <c r="BK29" s="67"/>
      <c r="BL29" s="64"/>
      <c r="BN29" s="67"/>
      <c r="BO29" s="64"/>
      <c r="BQ29" s="67"/>
      <c r="BR29" s="64"/>
      <c r="BT29" s="67"/>
      <c r="BU29" s="64"/>
      <c r="BW29" s="67"/>
      <c r="BX29" s="64"/>
      <c r="BZ29" s="67"/>
      <c r="CA29" s="64"/>
      <c r="CC29" s="67"/>
      <c r="CD29" s="64"/>
      <c r="CF29" s="67"/>
      <c r="CG29" s="64"/>
      <c r="CI29" s="67"/>
      <c r="CJ29" s="64"/>
      <c r="CL29" s="67"/>
      <c r="CM29" s="64"/>
      <c r="CO29" s="67"/>
      <c r="CP29" s="64"/>
      <c r="CR29" s="67"/>
      <c r="CS29" s="64"/>
      <c r="CU29" s="67"/>
      <c r="CV29" s="64"/>
      <c r="CX29" s="67"/>
      <c r="CY29" s="64"/>
      <c r="DA29" s="67"/>
      <c r="DB29" s="64"/>
      <c r="DD29" s="67"/>
      <c r="DE29" s="64"/>
      <c r="DG29" s="67"/>
      <c r="DH29" s="64"/>
      <c r="DJ29" s="67"/>
      <c r="DK29" s="64"/>
      <c r="DM29" s="67"/>
      <c r="DN29" s="64"/>
      <c r="DP29" s="67"/>
      <c r="DQ29" s="64"/>
      <c r="DS29" s="67"/>
      <c r="DT29" s="64"/>
      <c r="DV29" s="67"/>
      <c r="DW29" s="64"/>
      <c r="DY29" s="67"/>
      <c r="DZ29" s="64"/>
      <c r="EB29" s="67"/>
      <c r="EC29" s="64"/>
      <c r="EE29" s="67"/>
      <c r="EF29" s="64"/>
      <c r="EH29" s="67"/>
      <c r="EI29" s="64"/>
      <c r="EK29" s="67"/>
      <c r="EL29" s="64"/>
      <c r="EN29" s="67"/>
      <c r="EO29" s="64"/>
      <c r="EQ29" s="67"/>
      <c r="ER29" s="64"/>
      <c r="ET29" s="67"/>
      <c r="EU29" s="64"/>
      <c r="EW29" s="67"/>
      <c r="EX29" s="64"/>
      <c r="EZ29" s="67"/>
      <c r="FA29" s="64"/>
      <c r="FC29" s="67"/>
      <c r="FD29" s="64"/>
      <c r="FF29" s="67"/>
      <c r="FG29" s="64"/>
      <c r="FI29" s="67"/>
      <c r="FJ29" s="64"/>
      <c r="FL29" s="67"/>
      <c r="FM29" s="64"/>
      <c r="FO29" s="67"/>
      <c r="FP29" s="64"/>
      <c r="FR29" s="67"/>
      <c r="FS29" s="64"/>
      <c r="FU29" s="67"/>
      <c r="FV29" s="64"/>
      <c r="FX29" s="67"/>
      <c r="FY29" s="64"/>
      <c r="GA29" s="67"/>
      <c r="GB29" s="64"/>
      <c r="GD29" s="67"/>
      <c r="GE29" s="64"/>
      <c r="GG29" s="67"/>
      <c r="GH29" s="64"/>
      <c r="GJ29" s="67"/>
      <c r="GK29" s="64"/>
      <c r="GM29" s="67"/>
      <c r="GN29" s="64"/>
      <c r="GP29" s="67"/>
      <c r="GQ29" s="64"/>
      <c r="GS29" s="67"/>
      <c r="GT29" s="64"/>
      <c r="GV29" s="67"/>
      <c r="GW29" s="64"/>
      <c r="GY29" s="67"/>
      <c r="GZ29" s="64"/>
      <c r="HB29" s="67"/>
      <c r="HC29" s="64"/>
      <c r="HE29" s="67"/>
      <c r="HF29" s="64"/>
      <c r="HH29" s="67"/>
      <c r="HI29" s="64"/>
      <c r="HK29" s="67"/>
      <c r="HL29" s="64"/>
      <c r="HN29" s="67"/>
      <c r="HO29" s="64"/>
      <c r="HQ29" s="67"/>
      <c r="HR29" s="64"/>
      <c r="HT29" s="67"/>
      <c r="HU29" s="64"/>
      <c r="HW29" s="67"/>
      <c r="HX29" s="64"/>
      <c r="HZ29" s="67"/>
      <c r="IA29" s="64"/>
      <c r="IC29" s="67"/>
      <c r="ID29" s="64"/>
      <c r="IF29" s="67"/>
      <c r="IG29" s="64"/>
      <c r="II29" s="67"/>
      <c r="IJ29" s="64"/>
      <c r="IL29" s="67"/>
      <c r="IM29" s="64"/>
      <c r="IO29" s="67"/>
      <c r="IP29" s="64"/>
      <c r="IR29" s="67"/>
      <c r="IS29" s="64"/>
      <c r="IU29" s="67"/>
      <c r="IV29" s="64"/>
      <c r="IX29" s="67"/>
      <c r="IY29" s="64"/>
      <c r="JA29" s="67"/>
      <c r="JB29" s="64"/>
      <c r="JD29" s="67"/>
      <c r="JE29" s="64"/>
      <c r="JG29" s="67"/>
      <c r="JH29" s="64"/>
      <c r="JJ29" s="67"/>
      <c r="JK29" s="64"/>
      <c r="JM29" s="67"/>
      <c r="JN29" s="64"/>
      <c r="JP29" s="67"/>
      <c r="JQ29" s="64"/>
      <c r="JS29" s="67"/>
      <c r="JT29" s="64"/>
      <c r="JV29" s="67"/>
      <c r="JW29" s="64"/>
      <c r="JY29" s="67"/>
      <c r="JZ29" s="64"/>
      <c r="KB29" s="67"/>
      <c r="KC29" s="64"/>
      <c r="KE29" s="67"/>
      <c r="KF29" s="64"/>
      <c r="KH29" s="67"/>
      <c r="KI29" s="64"/>
      <c r="KK29" s="67"/>
      <c r="KL29" s="64"/>
      <c r="KN29" s="67"/>
    </row>
    <row r="30" spans="1:300" x14ac:dyDescent="0.2">
      <c r="A30" s="68"/>
      <c r="B30" s="119"/>
      <c r="C30" s="69"/>
      <c r="D30" s="68"/>
      <c r="E30" s="119"/>
      <c r="F30" s="69"/>
      <c r="G30" s="68"/>
      <c r="H30" s="119"/>
      <c r="I30" s="69"/>
      <c r="J30" s="68"/>
      <c r="K30" s="119"/>
      <c r="L30" s="69"/>
      <c r="M30" s="68"/>
      <c r="N30" s="119"/>
      <c r="O30" s="69"/>
      <c r="P30" s="68"/>
      <c r="Q30" s="119"/>
      <c r="R30" s="69"/>
      <c r="S30" s="68"/>
      <c r="T30" s="119"/>
      <c r="U30" s="69"/>
      <c r="V30" s="68"/>
      <c r="W30" s="119"/>
      <c r="X30" s="69"/>
      <c r="Y30" s="68"/>
      <c r="Z30" s="119"/>
      <c r="AA30" s="69"/>
      <c r="AB30" s="68"/>
      <c r="AC30" s="119"/>
      <c r="AD30" s="69"/>
      <c r="AE30" s="68"/>
      <c r="AF30" s="119"/>
      <c r="AG30" s="69"/>
      <c r="AH30" s="68"/>
      <c r="AI30" s="119"/>
      <c r="AJ30" s="69"/>
      <c r="AK30" s="68"/>
      <c r="AL30" s="119"/>
      <c r="AM30" s="69"/>
      <c r="AN30" s="68"/>
      <c r="AO30" s="119"/>
      <c r="AP30" s="69"/>
      <c r="AQ30" s="68"/>
      <c r="AR30" s="119"/>
      <c r="AS30" s="69"/>
      <c r="AT30" s="68"/>
      <c r="AU30" s="119"/>
      <c r="AV30" s="69"/>
      <c r="AW30" s="68"/>
      <c r="AX30" s="119"/>
      <c r="AY30" s="69"/>
      <c r="AZ30" s="68"/>
      <c r="BA30" s="119"/>
      <c r="BB30" s="69"/>
      <c r="BC30" s="68"/>
      <c r="BD30" s="119"/>
      <c r="BE30" s="69"/>
      <c r="BF30" s="68"/>
      <c r="BG30" s="119"/>
      <c r="BH30" s="69"/>
      <c r="BI30" s="68"/>
      <c r="BJ30" s="119"/>
      <c r="BK30" s="69"/>
      <c r="BL30" s="68"/>
      <c r="BM30" s="119"/>
      <c r="BN30" s="69"/>
      <c r="BO30" s="68"/>
      <c r="BP30" s="119"/>
      <c r="BQ30" s="69"/>
      <c r="BR30" s="68"/>
      <c r="BS30" s="119"/>
      <c r="BT30" s="69"/>
      <c r="BU30" s="68"/>
      <c r="BV30" s="119"/>
      <c r="BW30" s="69"/>
      <c r="BX30" s="68"/>
      <c r="BY30" s="119"/>
      <c r="BZ30" s="69"/>
      <c r="CA30" s="68"/>
      <c r="CB30" s="119"/>
      <c r="CC30" s="69"/>
      <c r="CD30" s="68"/>
      <c r="CE30" s="119"/>
      <c r="CF30" s="69"/>
      <c r="CG30" s="68"/>
      <c r="CH30" s="119"/>
      <c r="CI30" s="69"/>
      <c r="CJ30" s="68"/>
      <c r="CK30" s="119"/>
      <c r="CL30" s="69"/>
      <c r="CM30" s="68"/>
      <c r="CN30" s="119"/>
      <c r="CO30" s="69"/>
      <c r="CP30" s="68"/>
      <c r="CQ30" s="119"/>
      <c r="CR30" s="69"/>
      <c r="CS30" s="68"/>
      <c r="CT30" s="119"/>
      <c r="CU30" s="69"/>
      <c r="CV30" s="68"/>
      <c r="CW30" s="119"/>
      <c r="CX30" s="69"/>
      <c r="CY30" s="68"/>
      <c r="CZ30" s="119"/>
      <c r="DA30" s="69"/>
      <c r="DB30" s="68"/>
      <c r="DC30" s="119"/>
      <c r="DD30" s="69"/>
      <c r="DE30" s="68"/>
      <c r="DF30" s="119"/>
      <c r="DG30" s="69"/>
      <c r="DH30" s="68"/>
      <c r="DI30" s="119"/>
      <c r="DJ30" s="69"/>
      <c r="DK30" s="68"/>
      <c r="DL30" s="119"/>
      <c r="DM30" s="69"/>
      <c r="DN30" s="68"/>
      <c r="DO30" s="119"/>
      <c r="DP30" s="69"/>
      <c r="DQ30" s="68"/>
      <c r="DR30" s="119"/>
      <c r="DS30" s="69"/>
      <c r="DT30" s="68"/>
      <c r="DU30" s="119"/>
      <c r="DV30" s="69"/>
      <c r="DW30" s="68"/>
      <c r="DX30" s="119"/>
      <c r="DY30" s="69"/>
      <c r="DZ30" s="68"/>
      <c r="EA30" s="119"/>
      <c r="EB30" s="69"/>
      <c r="EC30" s="68"/>
      <c r="ED30" s="119"/>
      <c r="EE30" s="69"/>
      <c r="EF30" s="68"/>
      <c r="EG30" s="119"/>
      <c r="EH30" s="69"/>
      <c r="EI30" s="68"/>
      <c r="EJ30" s="119"/>
      <c r="EK30" s="69"/>
      <c r="EL30" s="68"/>
      <c r="EM30" s="119"/>
      <c r="EN30" s="69"/>
      <c r="EO30" s="68"/>
      <c r="EP30" s="119"/>
      <c r="EQ30" s="69"/>
      <c r="ER30" s="68"/>
      <c r="ES30" s="119"/>
      <c r="ET30" s="69"/>
      <c r="EU30" s="68"/>
      <c r="EV30" s="119"/>
      <c r="EW30" s="69"/>
      <c r="EX30" s="68"/>
      <c r="EY30" s="119"/>
      <c r="EZ30" s="69"/>
      <c r="FA30" s="68"/>
      <c r="FB30" s="119"/>
      <c r="FC30" s="69"/>
      <c r="FD30" s="68"/>
      <c r="FE30" s="119"/>
      <c r="FF30" s="69"/>
      <c r="FG30" s="68"/>
      <c r="FH30" s="119"/>
      <c r="FI30" s="69"/>
      <c r="FJ30" s="68"/>
      <c r="FK30" s="119"/>
      <c r="FL30" s="69"/>
      <c r="FM30" s="68"/>
      <c r="FN30" s="119"/>
      <c r="FO30" s="69"/>
      <c r="FP30" s="68"/>
      <c r="FQ30" s="119"/>
      <c r="FR30" s="69"/>
      <c r="FS30" s="68"/>
      <c r="FT30" s="119"/>
      <c r="FU30" s="69"/>
      <c r="FV30" s="68"/>
      <c r="FW30" s="119"/>
      <c r="FX30" s="69"/>
      <c r="FY30" s="68"/>
      <c r="FZ30" s="119"/>
      <c r="GA30" s="69"/>
      <c r="GB30" s="68"/>
      <c r="GC30" s="119"/>
      <c r="GD30" s="69"/>
      <c r="GE30" s="68"/>
      <c r="GF30" s="119"/>
      <c r="GG30" s="69"/>
      <c r="GH30" s="68"/>
      <c r="GI30" s="119"/>
      <c r="GJ30" s="69"/>
      <c r="GK30" s="68"/>
      <c r="GL30" s="119"/>
      <c r="GM30" s="69"/>
      <c r="GN30" s="68"/>
      <c r="GO30" s="119"/>
      <c r="GP30" s="69"/>
      <c r="GQ30" s="68"/>
      <c r="GR30" s="119"/>
      <c r="GS30" s="69"/>
      <c r="GT30" s="68"/>
      <c r="GU30" s="119"/>
      <c r="GV30" s="69"/>
      <c r="GW30" s="68"/>
      <c r="GX30" s="119"/>
      <c r="GY30" s="69"/>
      <c r="GZ30" s="68"/>
      <c r="HA30" s="119"/>
      <c r="HB30" s="69"/>
      <c r="HC30" s="68"/>
      <c r="HD30" s="119"/>
      <c r="HE30" s="69"/>
      <c r="HF30" s="68"/>
      <c r="HG30" s="119"/>
      <c r="HH30" s="69"/>
      <c r="HI30" s="68"/>
      <c r="HJ30" s="119"/>
      <c r="HK30" s="69"/>
      <c r="HL30" s="68"/>
      <c r="HM30" s="119"/>
      <c r="HN30" s="69"/>
      <c r="HO30" s="68"/>
      <c r="HP30" s="119"/>
      <c r="HQ30" s="69"/>
      <c r="HR30" s="68"/>
      <c r="HS30" s="119"/>
      <c r="HT30" s="69"/>
      <c r="HU30" s="68"/>
      <c r="HV30" s="119"/>
      <c r="HW30" s="69"/>
      <c r="HX30" s="68"/>
      <c r="HY30" s="119"/>
      <c r="HZ30" s="69"/>
      <c r="IA30" s="68"/>
      <c r="IB30" s="119"/>
      <c r="IC30" s="69"/>
      <c r="ID30" s="68"/>
      <c r="IE30" s="119"/>
      <c r="IF30" s="69"/>
      <c r="IG30" s="68"/>
      <c r="IH30" s="119"/>
      <c r="II30" s="69"/>
      <c r="IJ30" s="68"/>
      <c r="IK30" s="119"/>
      <c r="IL30" s="69"/>
      <c r="IM30" s="68"/>
      <c r="IN30" s="119"/>
      <c r="IO30" s="69"/>
      <c r="IP30" s="68"/>
      <c r="IQ30" s="119"/>
      <c r="IR30" s="69"/>
      <c r="IS30" s="68"/>
      <c r="IT30" s="119"/>
      <c r="IU30" s="69"/>
      <c r="IV30" s="68"/>
      <c r="IW30" s="119"/>
      <c r="IX30" s="69"/>
      <c r="IY30" s="68"/>
      <c r="IZ30" s="119"/>
      <c r="JA30" s="69"/>
      <c r="JB30" s="68"/>
      <c r="JC30" s="119"/>
      <c r="JD30" s="69"/>
      <c r="JE30" s="68"/>
      <c r="JF30" s="119"/>
      <c r="JG30" s="69"/>
      <c r="JH30" s="68"/>
      <c r="JI30" s="119"/>
      <c r="JJ30" s="69"/>
      <c r="JK30" s="68"/>
      <c r="JL30" s="119"/>
      <c r="JM30" s="69"/>
      <c r="JN30" s="68"/>
      <c r="JO30" s="119"/>
      <c r="JP30" s="69"/>
      <c r="JQ30" s="68"/>
      <c r="JR30" s="119"/>
      <c r="JS30" s="69"/>
      <c r="JT30" s="68"/>
      <c r="JU30" s="119"/>
      <c r="JV30" s="69"/>
      <c r="JW30" s="68"/>
      <c r="JX30" s="119"/>
      <c r="JY30" s="69"/>
      <c r="JZ30" s="68"/>
      <c r="KA30" s="119"/>
      <c r="KB30" s="69"/>
      <c r="KC30" s="68"/>
      <c r="KD30" s="119"/>
      <c r="KE30" s="69"/>
      <c r="KF30" s="68"/>
      <c r="KG30" s="119"/>
      <c r="KH30" s="69"/>
      <c r="KI30" s="68"/>
      <c r="KJ30" s="119"/>
      <c r="KK30" s="69"/>
      <c r="KL30" s="68"/>
      <c r="KM30" s="119"/>
      <c r="KN30" s="69"/>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theme="9"/>
  </sheetPr>
  <dimension ref="A1:AI83"/>
  <sheetViews>
    <sheetView showGridLines="0" workbookViewId="0">
      <selection activeCell="D3" sqref="D3"/>
    </sheetView>
  </sheetViews>
  <sheetFormatPr defaultRowHeight="12.75" x14ac:dyDescent="0.2"/>
  <cols>
    <col min="1" max="1" width="34.85546875" customWidth="1"/>
    <col min="2" max="2" width="21.85546875" customWidth="1"/>
    <col min="3" max="29" width="10.5703125" customWidth="1"/>
    <col min="30" max="30" width="24.5703125" bestFit="1" customWidth="1"/>
    <col min="31" max="31" width="44.28515625" bestFit="1" customWidth="1"/>
    <col min="32" max="32" width="48.28515625" customWidth="1"/>
    <col min="33" max="33" width="48.140625" customWidth="1"/>
  </cols>
  <sheetData>
    <row r="1" spans="1:35" x14ac:dyDescent="0.2">
      <c r="B1" s="341" t="s">
        <v>2155</v>
      </c>
      <c r="C1" s="342"/>
      <c r="D1" s="342"/>
      <c r="E1" s="342"/>
      <c r="F1" s="342"/>
      <c r="G1" s="342"/>
      <c r="H1" s="342"/>
      <c r="I1" s="342"/>
      <c r="J1" s="342" t="s">
        <v>2156</v>
      </c>
      <c r="K1" s="342"/>
      <c r="L1" s="342"/>
      <c r="M1" s="342"/>
      <c r="N1" s="342"/>
      <c r="O1" s="342"/>
      <c r="P1" s="342"/>
      <c r="Q1" s="342"/>
      <c r="R1" s="342"/>
      <c r="S1" s="342"/>
      <c r="AB1" s="341" t="s">
        <v>2157</v>
      </c>
      <c r="AC1" t="s">
        <v>2158</v>
      </c>
    </row>
    <row r="2" spans="1:35" x14ac:dyDescent="0.2">
      <c r="A2" s="347" t="s">
        <v>2159</v>
      </c>
      <c r="B2" t="s">
        <v>2160</v>
      </c>
      <c r="C2" s="49" t="s">
        <v>5316</v>
      </c>
      <c r="D2" s="49" t="s">
        <v>2591</v>
      </c>
      <c r="E2" s="49" t="s">
        <v>2161</v>
      </c>
      <c r="F2" s="49" t="s">
        <v>2162</v>
      </c>
      <c r="G2" s="49" t="s">
        <v>2163</v>
      </c>
      <c r="H2" s="49" t="s">
        <v>2164</v>
      </c>
      <c r="I2" s="49" t="s">
        <v>2165</v>
      </c>
      <c r="J2" s="49" t="s">
        <v>2166</v>
      </c>
      <c r="K2" s="49" t="s">
        <v>2167</v>
      </c>
      <c r="L2" s="49" t="s">
        <v>2168</v>
      </c>
      <c r="M2" s="49" t="s">
        <v>2169</v>
      </c>
      <c r="N2" s="49" t="s">
        <v>2170</v>
      </c>
      <c r="O2" s="49" t="s">
        <v>2171</v>
      </c>
      <c r="P2" s="49" t="s">
        <v>2172</v>
      </c>
      <c r="Q2" s="49" t="s">
        <v>2173</v>
      </c>
      <c r="R2" s="49" t="s">
        <v>2174</v>
      </c>
      <c r="S2" s="49" t="s">
        <v>2175</v>
      </c>
      <c r="T2" s="49" t="s">
        <v>2176</v>
      </c>
      <c r="U2" s="49" t="s">
        <v>2177</v>
      </c>
      <c r="V2" s="49" t="s">
        <v>2178</v>
      </c>
      <c r="W2" s="49" t="s">
        <v>2179</v>
      </c>
      <c r="X2" s="49" t="s">
        <v>2180</v>
      </c>
      <c r="Y2" s="49" t="s">
        <v>2181</v>
      </c>
      <c r="Z2" s="49" t="s">
        <v>2182</v>
      </c>
      <c r="AA2" s="49" t="s">
        <v>2183</v>
      </c>
      <c r="AB2" s="49" t="s">
        <v>2184</v>
      </c>
      <c r="AC2" s="49" t="s">
        <v>2185</v>
      </c>
      <c r="AD2" s="49" t="s">
        <v>2186</v>
      </c>
      <c r="AE2" s="49" t="s">
        <v>2187</v>
      </c>
      <c r="AG2" s="17" t="s">
        <v>2188</v>
      </c>
      <c r="AH2" s="17" t="s">
        <v>2189</v>
      </c>
      <c r="AI2" s="17" t="s">
        <v>2190</v>
      </c>
    </row>
    <row r="3" spans="1:35" x14ac:dyDescent="0.2">
      <c r="A3" s="348" t="s">
        <v>2191</v>
      </c>
      <c r="B3" s="344" t="s">
        <v>2192</v>
      </c>
      <c r="C3" s="344" t="s">
        <v>2193</v>
      </c>
      <c r="D3" s="344" t="s">
        <v>2193</v>
      </c>
      <c r="E3" s="344" t="s">
        <v>2193</v>
      </c>
      <c r="F3" s="344" t="s">
        <v>2193</v>
      </c>
      <c r="G3" s="344" t="s">
        <v>2193</v>
      </c>
      <c r="H3" s="344" t="s">
        <v>2193</v>
      </c>
      <c r="I3" s="344" t="s">
        <v>2193</v>
      </c>
      <c r="J3" s="344" t="s">
        <v>2193</v>
      </c>
      <c r="K3" s="344" t="s">
        <v>2193</v>
      </c>
      <c r="L3" s="344" t="s">
        <v>2193</v>
      </c>
      <c r="M3" s="344" t="s">
        <v>2193</v>
      </c>
      <c r="N3" s="344" t="s">
        <v>2193</v>
      </c>
      <c r="O3" s="344" t="s">
        <v>2193</v>
      </c>
      <c r="P3" s="344" t="s">
        <v>2193</v>
      </c>
      <c r="Q3" s="344" t="s">
        <v>2193</v>
      </c>
      <c r="R3" s="344" t="s">
        <v>2193</v>
      </c>
      <c r="S3" s="344" t="s">
        <v>2193</v>
      </c>
      <c r="T3" s="344" t="s">
        <v>2193</v>
      </c>
      <c r="U3" s="344" t="s">
        <v>2193</v>
      </c>
      <c r="V3" s="344" t="s">
        <v>2193</v>
      </c>
      <c r="W3" s="344" t="s">
        <v>2193</v>
      </c>
      <c r="X3" s="344" t="s">
        <v>2193</v>
      </c>
      <c r="Y3" s="344" t="s">
        <v>2193</v>
      </c>
      <c r="Z3" s="344" t="s">
        <v>2193</v>
      </c>
      <c r="AA3" s="344" t="s">
        <v>2193</v>
      </c>
      <c r="AB3" s="344" t="s">
        <v>2193</v>
      </c>
      <c r="AC3" s="344" t="s">
        <v>2193</v>
      </c>
      <c r="AD3" s="344" t="s">
        <v>2193</v>
      </c>
      <c r="AE3" s="344" t="s">
        <v>2193</v>
      </c>
      <c r="AG3" s="343" t="s">
        <v>2194</v>
      </c>
      <c r="AH3" s="343" t="s">
        <v>2195</v>
      </c>
      <c r="AI3" s="17"/>
    </row>
    <row r="4" spans="1:35" x14ac:dyDescent="0.2">
      <c r="A4" s="348" t="s">
        <v>2196</v>
      </c>
      <c r="B4" s="344" t="s">
        <v>2192</v>
      </c>
      <c r="C4" s="344" t="s">
        <v>2197</v>
      </c>
      <c r="D4" s="344" t="s">
        <v>2197</v>
      </c>
      <c r="E4" s="344" t="s">
        <v>2197</v>
      </c>
      <c r="F4" s="344" t="s">
        <v>2197</v>
      </c>
      <c r="G4" s="344" t="s">
        <v>2197</v>
      </c>
      <c r="H4" s="344" t="s">
        <v>2197</v>
      </c>
      <c r="I4" s="344" t="s">
        <v>2197</v>
      </c>
      <c r="J4" s="344" t="s">
        <v>2197</v>
      </c>
      <c r="K4" s="344" t="s">
        <v>2197</v>
      </c>
      <c r="L4" s="344" t="s">
        <v>2197</v>
      </c>
      <c r="M4" s="344" t="s">
        <v>2197</v>
      </c>
      <c r="N4" s="344" t="s">
        <v>2197</v>
      </c>
      <c r="O4" s="344" t="s">
        <v>2197</v>
      </c>
      <c r="P4" s="344" t="s">
        <v>2197</v>
      </c>
      <c r="Q4" s="344" t="s">
        <v>2197</v>
      </c>
      <c r="R4" s="344" t="s">
        <v>2197</v>
      </c>
      <c r="S4" s="344" t="s">
        <v>2197</v>
      </c>
      <c r="T4" s="344" t="s">
        <v>2197</v>
      </c>
      <c r="U4" s="344" t="s">
        <v>2197</v>
      </c>
      <c r="V4" s="344" t="s">
        <v>2197</v>
      </c>
      <c r="W4" s="344" t="s">
        <v>2197</v>
      </c>
      <c r="X4" s="344" t="s">
        <v>2197</v>
      </c>
      <c r="Y4" s="344" t="s">
        <v>2197</v>
      </c>
      <c r="Z4" s="344" t="s">
        <v>2197</v>
      </c>
      <c r="AA4" s="344" t="s">
        <v>2197</v>
      </c>
      <c r="AB4" s="344" t="s">
        <v>2197</v>
      </c>
      <c r="AC4" s="344" t="s">
        <v>2197</v>
      </c>
      <c r="AD4" s="344" t="s">
        <v>2197</v>
      </c>
      <c r="AE4" s="344" t="s">
        <v>2197</v>
      </c>
      <c r="AG4" s="343" t="s">
        <v>2198</v>
      </c>
      <c r="AH4" s="343" t="s">
        <v>2199</v>
      </c>
      <c r="AI4" s="17"/>
    </row>
    <row r="5" spans="1:35" x14ac:dyDescent="0.2">
      <c r="A5" s="348" t="s">
        <v>2200</v>
      </c>
      <c r="B5" s="344" t="s">
        <v>2192</v>
      </c>
      <c r="C5" s="344" t="s">
        <v>2201</v>
      </c>
      <c r="D5" s="344" t="s">
        <v>2201</v>
      </c>
      <c r="E5" s="344" t="s">
        <v>2201</v>
      </c>
      <c r="F5" s="344" t="s">
        <v>2201</v>
      </c>
      <c r="G5" s="344" t="s">
        <v>2201</v>
      </c>
      <c r="H5" s="344" t="s">
        <v>2201</v>
      </c>
      <c r="I5" s="344" t="s">
        <v>2201</v>
      </c>
      <c r="J5" s="344" t="s">
        <v>2201</v>
      </c>
      <c r="K5" s="344" t="s">
        <v>2201</v>
      </c>
      <c r="L5" s="344" t="s">
        <v>2201</v>
      </c>
      <c r="M5" s="344" t="s">
        <v>2201</v>
      </c>
      <c r="N5" s="344" t="s">
        <v>2201</v>
      </c>
      <c r="O5" s="344" t="s">
        <v>2201</v>
      </c>
      <c r="P5" s="344" t="s">
        <v>2201</v>
      </c>
      <c r="Q5" s="344" t="s">
        <v>2201</v>
      </c>
      <c r="R5" s="344" t="s">
        <v>2201</v>
      </c>
      <c r="S5" s="344" t="s">
        <v>2201</v>
      </c>
      <c r="T5" s="344" t="s">
        <v>2201</v>
      </c>
      <c r="U5" s="344" t="s">
        <v>2201</v>
      </c>
      <c r="V5" s="344" t="s">
        <v>2201</v>
      </c>
      <c r="W5" s="344" t="s">
        <v>2201</v>
      </c>
      <c r="X5" s="344" t="s">
        <v>2201</v>
      </c>
      <c r="Y5" s="344" t="s">
        <v>2201</v>
      </c>
      <c r="Z5" s="344" t="s">
        <v>2201</v>
      </c>
      <c r="AA5" s="344" t="s">
        <v>2201</v>
      </c>
      <c r="AB5" s="344" t="s">
        <v>2201</v>
      </c>
      <c r="AC5" s="344" t="s">
        <v>2201</v>
      </c>
      <c r="AD5" s="344" t="s">
        <v>2201</v>
      </c>
      <c r="AE5" s="344" t="s">
        <v>2201</v>
      </c>
      <c r="AG5" s="17" t="s">
        <v>2202</v>
      </c>
      <c r="AH5" s="17" t="s">
        <v>2203</v>
      </c>
      <c r="AI5" s="17" t="s">
        <v>2204</v>
      </c>
    </row>
    <row r="6" spans="1:35" x14ac:dyDescent="0.2">
      <c r="A6" s="348" t="s">
        <v>2205</v>
      </c>
      <c r="B6" s="344" t="s">
        <v>2192</v>
      </c>
      <c r="C6" s="344" t="s">
        <v>2206</v>
      </c>
      <c r="D6" s="344" t="s">
        <v>2206</v>
      </c>
      <c r="E6" s="344" t="s">
        <v>2206</v>
      </c>
      <c r="F6" s="344" t="s">
        <v>2206</v>
      </c>
      <c r="G6" s="344" t="s">
        <v>2206</v>
      </c>
      <c r="H6" s="344" t="s">
        <v>2206</v>
      </c>
      <c r="I6" s="344" t="s">
        <v>2206</v>
      </c>
      <c r="J6" s="344" t="s">
        <v>2206</v>
      </c>
      <c r="K6" s="344" t="s">
        <v>2206</v>
      </c>
      <c r="L6" s="344" t="s">
        <v>2206</v>
      </c>
      <c r="M6" s="344" t="s">
        <v>2206</v>
      </c>
      <c r="N6" s="344" t="s">
        <v>2206</v>
      </c>
      <c r="O6" s="344" t="s">
        <v>2206</v>
      </c>
      <c r="P6" s="344" t="s">
        <v>2206</v>
      </c>
      <c r="Q6" s="344" t="s">
        <v>2206</v>
      </c>
      <c r="R6" s="344" t="s">
        <v>2206</v>
      </c>
      <c r="S6" s="344" t="s">
        <v>2206</v>
      </c>
      <c r="T6" s="344" t="s">
        <v>2206</v>
      </c>
      <c r="U6" s="344" t="s">
        <v>2206</v>
      </c>
      <c r="V6" s="344" t="s">
        <v>2206</v>
      </c>
      <c r="W6" s="344" t="s">
        <v>2206</v>
      </c>
      <c r="X6" s="344" t="s">
        <v>2206</v>
      </c>
      <c r="Y6" s="344" t="s">
        <v>2206</v>
      </c>
      <c r="Z6" s="344" t="s">
        <v>2206</v>
      </c>
      <c r="AA6" s="344" t="s">
        <v>2206</v>
      </c>
      <c r="AB6" s="344" t="s">
        <v>2206</v>
      </c>
      <c r="AC6" s="344" t="s">
        <v>2206</v>
      </c>
      <c r="AD6" s="344" t="s">
        <v>2206</v>
      </c>
      <c r="AE6" s="344" t="s">
        <v>2206</v>
      </c>
    </row>
    <row r="7" spans="1:35" x14ac:dyDescent="0.2">
      <c r="A7" s="348" t="s">
        <v>2207</v>
      </c>
      <c r="B7" s="344" t="s">
        <v>2192</v>
      </c>
      <c r="C7" s="344" t="s">
        <v>2208</v>
      </c>
      <c r="D7" s="344" t="s">
        <v>2208</v>
      </c>
      <c r="E7" s="344" t="s">
        <v>2208</v>
      </c>
      <c r="F7" s="344" t="s">
        <v>2208</v>
      </c>
      <c r="G7" s="344" t="s">
        <v>2208</v>
      </c>
      <c r="H7" s="344" t="s">
        <v>2208</v>
      </c>
      <c r="I7" s="344" t="s">
        <v>2208</v>
      </c>
      <c r="J7" s="344" t="s">
        <v>2208</v>
      </c>
      <c r="K7" s="344" t="s">
        <v>2208</v>
      </c>
      <c r="L7" s="344" t="s">
        <v>2208</v>
      </c>
      <c r="M7" s="344" t="s">
        <v>2208</v>
      </c>
      <c r="N7" s="344" t="s">
        <v>2208</v>
      </c>
      <c r="O7" s="344" t="s">
        <v>2208</v>
      </c>
      <c r="P7" s="344" t="s">
        <v>2208</v>
      </c>
      <c r="Q7" s="344" t="s">
        <v>2208</v>
      </c>
      <c r="R7" s="344" t="s">
        <v>2208</v>
      </c>
      <c r="S7" s="344" t="s">
        <v>2208</v>
      </c>
      <c r="T7" s="344" t="s">
        <v>2208</v>
      </c>
      <c r="U7" s="344" t="s">
        <v>2208</v>
      </c>
      <c r="V7" s="344" t="s">
        <v>2208</v>
      </c>
      <c r="W7" s="344" t="s">
        <v>2208</v>
      </c>
      <c r="X7" s="344" t="s">
        <v>2208</v>
      </c>
      <c r="Y7" s="344" t="s">
        <v>2208</v>
      </c>
      <c r="Z7" s="344" t="s">
        <v>2208</v>
      </c>
      <c r="AA7" s="344" t="s">
        <v>2208</v>
      </c>
      <c r="AB7" s="344" t="s">
        <v>2208</v>
      </c>
      <c r="AC7" s="344" t="s">
        <v>2208</v>
      </c>
      <c r="AD7" s="344" t="s">
        <v>2208</v>
      </c>
      <c r="AE7" s="344" t="s">
        <v>2208</v>
      </c>
      <c r="AG7" s="665" t="s">
        <v>2209</v>
      </c>
      <c r="AH7" s="665"/>
      <c r="AI7" s="665"/>
    </row>
    <row r="8" spans="1:35" x14ac:dyDescent="0.2">
      <c r="A8" s="348" t="s">
        <v>2210</v>
      </c>
      <c r="B8" s="344" t="s">
        <v>2192</v>
      </c>
      <c r="C8" s="344" t="s">
        <v>2211</v>
      </c>
      <c r="D8" s="344" t="s">
        <v>2211</v>
      </c>
      <c r="E8" s="344" t="s">
        <v>2211</v>
      </c>
      <c r="F8" s="344" t="s">
        <v>2211</v>
      </c>
      <c r="G8" s="344" t="s">
        <v>2211</v>
      </c>
      <c r="H8" s="344" t="s">
        <v>2211</v>
      </c>
      <c r="I8" s="344" t="s">
        <v>2211</v>
      </c>
      <c r="J8" s="344" t="s">
        <v>2211</v>
      </c>
      <c r="K8" s="344" t="s">
        <v>2211</v>
      </c>
      <c r="L8" s="344" t="s">
        <v>2211</v>
      </c>
      <c r="M8" s="344" t="s">
        <v>2211</v>
      </c>
      <c r="N8" s="344" t="s">
        <v>2211</v>
      </c>
      <c r="O8" s="344" t="s">
        <v>2211</v>
      </c>
      <c r="P8" s="344" t="s">
        <v>2211</v>
      </c>
      <c r="Q8" s="344" t="s">
        <v>2211</v>
      </c>
      <c r="R8" s="344" t="s">
        <v>2211</v>
      </c>
      <c r="S8" s="344" t="s">
        <v>2211</v>
      </c>
      <c r="T8" s="344" t="s">
        <v>2211</v>
      </c>
      <c r="U8" s="344" t="s">
        <v>2211</v>
      </c>
      <c r="V8" s="344" t="s">
        <v>2211</v>
      </c>
      <c r="W8" s="344" t="s">
        <v>2211</v>
      </c>
      <c r="X8" s="344" t="s">
        <v>2211</v>
      </c>
      <c r="Y8" s="344" t="s">
        <v>2211</v>
      </c>
      <c r="Z8" s="344" t="s">
        <v>2211</v>
      </c>
      <c r="AA8" s="344" t="s">
        <v>2211</v>
      </c>
      <c r="AB8" s="344" t="s">
        <v>2211</v>
      </c>
      <c r="AC8" s="344" t="s">
        <v>2211</v>
      </c>
      <c r="AD8" s="344" t="s">
        <v>2211</v>
      </c>
      <c r="AE8" s="344" t="s">
        <v>2211</v>
      </c>
      <c r="AG8" s="665"/>
      <c r="AH8" s="665"/>
      <c r="AI8" s="665"/>
    </row>
    <row r="9" spans="1:35" x14ac:dyDescent="0.2">
      <c r="A9" s="348" t="s">
        <v>2212</v>
      </c>
      <c r="B9" s="344" t="s">
        <v>2192</v>
      </c>
      <c r="C9" s="344" t="s">
        <v>2213</v>
      </c>
      <c r="D9" s="344" t="s">
        <v>2213</v>
      </c>
      <c r="E9" s="344" t="s">
        <v>2213</v>
      </c>
      <c r="F9" s="344" t="s">
        <v>2213</v>
      </c>
      <c r="G9" s="344" t="s">
        <v>2213</v>
      </c>
      <c r="H9" s="344" t="s">
        <v>2213</v>
      </c>
      <c r="I9" s="344" t="s">
        <v>2213</v>
      </c>
      <c r="J9" s="344" t="s">
        <v>2213</v>
      </c>
      <c r="K9" s="344" t="s">
        <v>2213</v>
      </c>
      <c r="L9" s="344" t="s">
        <v>2213</v>
      </c>
      <c r="M9" s="344" t="s">
        <v>2213</v>
      </c>
      <c r="N9" s="344" t="s">
        <v>2213</v>
      </c>
      <c r="O9" s="344" t="s">
        <v>2213</v>
      </c>
      <c r="P9" s="344" t="s">
        <v>2213</v>
      </c>
      <c r="Q9" s="344" t="s">
        <v>2213</v>
      </c>
      <c r="R9" s="344" t="s">
        <v>2213</v>
      </c>
      <c r="S9" s="344" t="s">
        <v>2213</v>
      </c>
      <c r="T9" s="344" t="s">
        <v>2213</v>
      </c>
      <c r="U9" s="344" t="s">
        <v>2213</v>
      </c>
      <c r="V9" s="344" t="s">
        <v>2213</v>
      </c>
      <c r="W9" s="344" t="s">
        <v>2213</v>
      </c>
      <c r="X9" s="344" t="s">
        <v>2213</v>
      </c>
      <c r="Y9" s="344" t="s">
        <v>2213</v>
      </c>
      <c r="Z9" s="344" t="s">
        <v>2213</v>
      </c>
      <c r="AA9" s="344" t="s">
        <v>2213</v>
      </c>
      <c r="AB9" s="344" t="s">
        <v>2213</v>
      </c>
      <c r="AC9" s="344" t="s">
        <v>2213</v>
      </c>
      <c r="AD9" s="344" t="s">
        <v>2213</v>
      </c>
      <c r="AE9" s="344" t="s">
        <v>2213</v>
      </c>
      <c r="AG9" s="665"/>
      <c r="AH9" s="665"/>
      <c r="AI9" s="665"/>
    </row>
    <row r="10" spans="1:35" x14ac:dyDescent="0.2">
      <c r="A10" s="348" t="s">
        <v>2214</v>
      </c>
      <c r="B10" s="344" t="s">
        <v>2192</v>
      </c>
      <c r="C10" s="344" t="s">
        <v>2215</v>
      </c>
      <c r="D10" s="344" t="s">
        <v>2215</v>
      </c>
      <c r="E10" s="344" t="s">
        <v>2215</v>
      </c>
      <c r="F10" s="344" t="s">
        <v>2215</v>
      </c>
      <c r="G10" s="344" t="s">
        <v>2215</v>
      </c>
      <c r="H10" s="344" t="s">
        <v>2215</v>
      </c>
      <c r="I10" s="344" t="s">
        <v>2215</v>
      </c>
      <c r="J10" s="344" t="s">
        <v>2215</v>
      </c>
      <c r="K10" s="344" t="s">
        <v>2215</v>
      </c>
      <c r="L10" s="344" t="s">
        <v>2215</v>
      </c>
      <c r="M10" s="344" t="s">
        <v>2215</v>
      </c>
      <c r="N10" s="344" t="s">
        <v>2215</v>
      </c>
      <c r="O10" s="344" t="s">
        <v>2215</v>
      </c>
      <c r="P10" s="344" t="s">
        <v>2215</v>
      </c>
      <c r="Q10" s="344" t="s">
        <v>2215</v>
      </c>
      <c r="R10" s="344" t="s">
        <v>2215</v>
      </c>
      <c r="S10" s="344" t="s">
        <v>2215</v>
      </c>
      <c r="T10" s="344" t="s">
        <v>2215</v>
      </c>
      <c r="U10" s="344" t="s">
        <v>2215</v>
      </c>
      <c r="V10" s="344" t="s">
        <v>2215</v>
      </c>
      <c r="W10" s="344" t="s">
        <v>2215</v>
      </c>
      <c r="X10" s="344" t="s">
        <v>2215</v>
      </c>
      <c r="Y10" s="344" t="s">
        <v>2215</v>
      </c>
      <c r="Z10" s="344" t="s">
        <v>2215</v>
      </c>
      <c r="AA10" s="344" t="s">
        <v>2215</v>
      </c>
      <c r="AB10" s="344" t="s">
        <v>2215</v>
      </c>
      <c r="AC10" s="344" t="s">
        <v>2215</v>
      </c>
      <c r="AD10" s="344" t="s">
        <v>2215</v>
      </c>
      <c r="AE10" s="344" t="s">
        <v>2215</v>
      </c>
      <c r="AG10" s="665"/>
      <c r="AH10" s="665"/>
      <c r="AI10" s="665"/>
    </row>
    <row r="11" spans="1:35" x14ac:dyDescent="0.2">
      <c r="A11" s="348" t="s">
        <v>2216</v>
      </c>
      <c r="B11" s="344" t="s">
        <v>2192</v>
      </c>
      <c r="C11" s="344" t="s">
        <v>2217</v>
      </c>
      <c r="D11" s="344" t="s">
        <v>2217</v>
      </c>
      <c r="E11" s="344" t="s">
        <v>2217</v>
      </c>
      <c r="F11" s="344" t="s">
        <v>2217</v>
      </c>
      <c r="G11" s="344" t="s">
        <v>2217</v>
      </c>
      <c r="H11" s="344" t="s">
        <v>2217</v>
      </c>
      <c r="I11" s="344" t="s">
        <v>2217</v>
      </c>
      <c r="J11" s="344" t="s">
        <v>2217</v>
      </c>
      <c r="K11" s="344" t="s">
        <v>2217</v>
      </c>
      <c r="L11" s="344" t="s">
        <v>2217</v>
      </c>
      <c r="M11" s="344" t="s">
        <v>2217</v>
      </c>
      <c r="N11" s="344" t="s">
        <v>2217</v>
      </c>
      <c r="O11" s="344" t="s">
        <v>2217</v>
      </c>
      <c r="P11" s="344" t="s">
        <v>2217</v>
      </c>
      <c r="Q11" s="344" t="s">
        <v>2217</v>
      </c>
      <c r="R11" s="344" t="s">
        <v>2217</v>
      </c>
      <c r="S11" s="344" t="s">
        <v>2217</v>
      </c>
      <c r="T11" s="344" t="s">
        <v>2217</v>
      </c>
      <c r="U11" s="344" t="s">
        <v>2217</v>
      </c>
      <c r="V11" s="344" t="s">
        <v>2217</v>
      </c>
      <c r="W11" s="344" t="s">
        <v>2217</v>
      </c>
      <c r="X11" s="344" t="s">
        <v>2217</v>
      </c>
      <c r="Y11" s="344" t="s">
        <v>2217</v>
      </c>
      <c r="Z11" s="344" t="s">
        <v>2217</v>
      </c>
      <c r="AA11" s="344" t="s">
        <v>2217</v>
      </c>
      <c r="AB11" s="344" t="s">
        <v>2217</v>
      </c>
      <c r="AC11" s="344" t="s">
        <v>2217</v>
      </c>
      <c r="AD11" s="344" t="s">
        <v>2217</v>
      </c>
      <c r="AE11" s="344" t="s">
        <v>2217</v>
      </c>
    </row>
    <row r="12" spans="1:35" x14ac:dyDescent="0.2">
      <c r="A12" s="348" t="s">
        <v>2218</v>
      </c>
      <c r="B12" s="344" t="s">
        <v>2192</v>
      </c>
      <c r="C12" s="344" t="s">
        <v>2219</v>
      </c>
      <c r="D12" s="344" t="s">
        <v>2219</v>
      </c>
      <c r="E12" s="344" t="s">
        <v>2219</v>
      </c>
      <c r="F12" s="344" t="s">
        <v>2219</v>
      </c>
      <c r="G12" s="344" t="s">
        <v>2219</v>
      </c>
      <c r="H12" s="344" t="s">
        <v>2219</v>
      </c>
      <c r="I12" s="344" t="s">
        <v>2219</v>
      </c>
      <c r="J12" s="344" t="s">
        <v>2219</v>
      </c>
      <c r="K12" s="344" t="s">
        <v>2219</v>
      </c>
      <c r="L12" s="344" t="s">
        <v>2219</v>
      </c>
      <c r="M12" s="344" t="s">
        <v>2219</v>
      </c>
      <c r="N12" s="344" t="s">
        <v>2219</v>
      </c>
      <c r="O12" s="344" t="s">
        <v>2219</v>
      </c>
      <c r="P12" s="344" t="s">
        <v>2219</v>
      </c>
      <c r="Q12" s="344" t="s">
        <v>2219</v>
      </c>
      <c r="R12" s="344" t="s">
        <v>2219</v>
      </c>
      <c r="S12" s="344" t="s">
        <v>2219</v>
      </c>
      <c r="T12" s="344" t="s">
        <v>2219</v>
      </c>
      <c r="U12" s="344" t="s">
        <v>2219</v>
      </c>
      <c r="V12" s="344" t="s">
        <v>2219</v>
      </c>
      <c r="W12" s="344" t="s">
        <v>2219</v>
      </c>
      <c r="X12" s="344" t="s">
        <v>2219</v>
      </c>
      <c r="Y12" s="344" t="s">
        <v>2219</v>
      </c>
      <c r="Z12" s="344" t="s">
        <v>2219</v>
      </c>
      <c r="AA12" s="344" t="s">
        <v>2219</v>
      </c>
      <c r="AB12" s="344" t="s">
        <v>2219</v>
      </c>
      <c r="AC12" s="344" t="s">
        <v>2219</v>
      </c>
      <c r="AD12" s="344" t="s">
        <v>2219</v>
      </c>
      <c r="AE12" s="344" t="s">
        <v>2219</v>
      </c>
    </row>
    <row r="13" spans="1:35" x14ac:dyDescent="0.2">
      <c r="A13" s="348" t="s">
        <v>2220</v>
      </c>
      <c r="B13" s="344" t="s">
        <v>2192</v>
      </c>
      <c r="C13" s="344" t="s">
        <v>5286</v>
      </c>
      <c r="D13" s="344" t="s">
        <v>5286</v>
      </c>
      <c r="E13" s="344" t="s">
        <v>5286</v>
      </c>
      <c r="F13" s="344" t="s">
        <v>5286</v>
      </c>
      <c r="G13" s="344" t="s">
        <v>5286</v>
      </c>
      <c r="H13" s="344" t="s">
        <v>5286</v>
      </c>
      <c r="I13" s="344" t="s">
        <v>5286</v>
      </c>
      <c r="J13" s="344" t="s">
        <v>5286</v>
      </c>
      <c r="K13" s="344" t="s">
        <v>5286</v>
      </c>
      <c r="L13" s="344" t="s">
        <v>5286</v>
      </c>
      <c r="M13" s="344" t="s">
        <v>5286</v>
      </c>
      <c r="N13" s="344" t="s">
        <v>5286</v>
      </c>
      <c r="O13" s="344" t="s">
        <v>5286</v>
      </c>
      <c r="P13" s="344" t="s">
        <v>5286</v>
      </c>
      <c r="Q13" s="344" t="s">
        <v>5286</v>
      </c>
      <c r="R13" s="344" t="s">
        <v>5286</v>
      </c>
      <c r="S13" s="344" t="s">
        <v>5286</v>
      </c>
      <c r="T13" s="344" t="s">
        <v>5286</v>
      </c>
      <c r="U13" s="344" t="s">
        <v>5286</v>
      </c>
      <c r="V13" s="344" t="s">
        <v>5286</v>
      </c>
      <c r="W13" s="344" t="s">
        <v>5286</v>
      </c>
      <c r="X13" s="344" t="s">
        <v>5286</v>
      </c>
      <c r="Y13" s="344" t="s">
        <v>5286</v>
      </c>
      <c r="Z13" s="344" t="s">
        <v>5286</v>
      </c>
      <c r="AA13" s="344" t="s">
        <v>5286</v>
      </c>
      <c r="AB13" s="344" t="s">
        <v>5286</v>
      </c>
      <c r="AC13" s="344" t="s">
        <v>5286</v>
      </c>
      <c r="AD13" s="344" t="s">
        <v>5286</v>
      </c>
      <c r="AE13" s="344" t="s">
        <v>5286</v>
      </c>
    </row>
    <row r="14" spans="1:35" x14ac:dyDescent="0.2">
      <c r="A14" s="348" t="s">
        <v>2221</v>
      </c>
      <c r="B14" s="344" t="s">
        <v>2192</v>
      </c>
      <c r="C14" s="344" t="s">
        <v>2222</v>
      </c>
      <c r="D14" s="344" t="s">
        <v>2222</v>
      </c>
      <c r="E14" s="344" t="s">
        <v>2222</v>
      </c>
      <c r="F14" s="344" t="s">
        <v>2222</v>
      </c>
      <c r="G14" s="344" t="s">
        <v>2222</v>
      </c>
      <c r="H14" s="344" t="s">
        <v>2222</v>
      </c>
      <c r="I14" s="344" t="s">
        <v>2222</v>
      </c>
      <c r="J14" s="344" t="s">
        <v>2222</v>
      </c>
      <c r="K14" s="344" t="s">
        <v>2222</v>
      </c>
      <c r="L14" s="344" t="s">
        <v>2222</v>
      </c>
      <c r="M14" s="344" t="s">
        <v>2222</v>
      </c>
      <c r="N14" s="344" t="s">
        <v>2222</v>
      </c>
      <c r="O14" s="344" t="s">
        <v>2222</v>
      </c>
      <c r="P14" s="344" t="s">
        <v>2222</v>
      </c>
      <c r="Q14" s="344" t="s">
        <v>2222</v>
      </c>
      <c r="R14" s="344" t="s">
        <v>2222</v>
      </c>
      <c r="S14" s="344" t="s">
        <v>2222</v>
      </c>
      <c r="T14" s="344" t="s">
        <v>2222</v>
      </c>
      <c r="U14" s="344" t="s">
        <v>2222</v>
      </c>
      <c r="V14" s="344" t="s">
        <v>2222</v>
      </c>
      <c r="W14" s="344" t="s">
        <v>2222</v>
      </c>
      <c r="X14" s="344" t="s">
        <v>2222</v>
      </c>
      <c r="Y14" s="344" t="s">
        <v>2222</v>
      </c>
      <c r="Z14" s="344" t="s">
        <v>2222</v>
      </c>
      <c r="AA14" s="344" t="s">
        <v>2222</v>
      </c>
      <c r="AB14" s="344" t="s">
        <v>2222</v>
      </c>
      <c r="AC14" s="344" t="s">
        <v>2222</v>
      </c>
      <c r="AD14" s="344" t="s">
        <v>2222</v>
      </c>
      <c r="AE14" s="344" t="s">
        <v>2222</v>
      </c>
    </row>
    <row r="15" spans="1:35" x14ac:dyDescent="0.2">
      <c r="A15" s="348" t="s">
        <v>2223</v>
      </c>
      <c r="B15" s="344" t="s">
        <v>2192</v>
      </c>
      <c r="C15" s="344" t="s">
        <v>2224</v>
      </c>
      <c r="D15" s="344" t="s">
        <v>2224</v>
      </c>
      <c r="E15" s="344" t="s">
        <v>2224</v>
      </c>
      <c r="F15" s="344" t="s">
        <v>2224</v>
      </c>
      <c r="G15" s="344" t="s">
        <v>2224</v>
      </c>
      <c r="H15" s="344" t="s">
        <v>2224</v>
      </c>
      <c r="I15" s="344" t="s">
        <v>2224</v>
      </c>
      <c r="J15" s="344" t="s">
        <v>2224</v>
      </c>
      <c r="K15" s="344" t="s">
        <v>2224</v>
      </c>
      <c r="L15" s="344" t="s">
        <v>2224</v>
      </c>
      <c r="M15" s="344" t="s">
        <v>2224</v>
      </c>
      <c r="N15" s="344" t="s">
        <v>2224</v>
      </c>
      <c r="O15" s="344" t="s">
        <v>2224</v>
      </c>
      <c r="P15" s="344" t="s">
        <v>2224</v>
      </c>
      <c r="Q15" s="344" t="s">
        <v>2224</v>
      </c>
      <c r="R15" s="344" t="s">
        <v>2224</v>
      </c>
      <c r="S15" s="344" t="s">
        <v>2224</v>
      </c>
      <c r="T15" s="344" t="s">
        <v>2224</v>
      </c>
      <c r="U15" s="344" t="s">
        <v>2224</v>
      </c>
      <c r="V15" s="344" t="s">
        <v>2224</v>
      </c>
      <c r="W15" s="344" t="s">
        <v>2224</v>
      </c>
      <c r="X15" s="344" t="s">
        <v>2224</v>
      </c>
      <c r="Y15" s="344" t="s">
        <v>2224</v>
      </c>
      <c r="Z15" s="344" t="s">
        <v>2224</v>
      </c>
      <c r="AA15" s="344" t="s">
        <v>2224</v>
      </c>
      <c r="AB15" s="344" t="s">
        <v>2224</v>
      </c>
      <c r="AC15" s="344" t="s">
        <v>2224</v>
      </c>
      <c r="AD15" s="344" t="s">
        <v>2224</v>
      </c>
      <c r="AE15" s="344" t="s">
        <v>2224</v>
      </c>
    </row>
    <row r="16" spans="1:35" x14ac:dyDescent="0.2">
      <c r="A16" s="348" t="s">
        <v>2225</v>
      </c>
      <c r="B16" s="344" t="s">
        <v>2192</v>
      </c>
      <c r="C16" s="344" t="s">
        <v>2226</v>
      </c>
      <c r="D16" s="344" t="s">
        <v>2226</v>
      </c>
      <c r="E16" s="344" t="s">
        <v>2226</v>
      </c>
      <c r="F16" s="344" t="s">
        <v>2226</v>
      </c>
      <c r="G16" s="344" t="s">
        <v>2226</v>
      </c>
      <c r="H16" s="344" t="s">
        <v>2226</v>
      </c>
      <c r="I16" s="344" t="s">
        <v>2226</v>
      </c>
      <c r="J16" s="344" t="s">
        <v>2226</v>
      </c>
      <c r="K16" s="344" t="s">
        <v>2226</v>
      </c>
      <c r="L16" s="344" t="s">
        <v>2226</v>
      </c>
      <c r="M16" s="344" t="s">
        <v>2226</v>
      </c>
      <c r="N16" s="344" t="s">
        <v>2226</v>
      </c>
      <c r="O16" s="344" t="s">
        <v>2226</v>
      </c>
      <c r="P16" s="344" t="s">
        <v>2226</v>
      </c>
      <c r="Q16" s="344" t="s">
        <v>2226</v>
      </c>
      <c r="R16" s="344" t="s">
        <v>2226</v>
      </c>
      <c r="S16" s="344" t="s">
        <v>2226</v>
      </c>
      <c r="T16" s="344" t="s">
        <v>2226</v>
      </c>
      <c r="U16" s="344" t="s">
        <v>2226</v>
      </c>
      <c r="V16" s="344" t="s">
        <v>2226</v>
      </c>
      <c r="W16" s="344" t="s">
        <v>2226</v>
      </c>
      <c r="X16" s="344" t="s">
        <v>2226</v>
      </c>
      <c r="Y16" s="344" t="s">
        <v>2226</v>
      </c>
      <c r="Z16" s="344" t="s">
        <v>2226</v>
      </c>
      <c r="AA16" s="344" t="s">
        <v>2226</v>
      </c>
      <c r="AB16" s="344" t="s">
        <v>2226</v>
      </c>
      <c r="AC16" s="344" t="s">
        <v>2226</v>
      </c>
      <c r="AD16" s="344" t="s">
        <v>2226</v>
      </c>
      <c r="AE16" s="344" t="s">
        <v>2226</v>
      </c>
    </row>
    <row r="17" spans="1:32" x14ac:dyDescent="0.2">
      <c r="A17" s="348" t="s">
        <v>2227</v>
      </c>
      <c r="B17" s="344" t="s">
        <v>2192</v>
      </c>
      <c r="C17" s="344" t="s">
        <v>2228</v>
      </c>
      <c r="D17" s="344" t="s">
        <v>2228</v>
      </c>
      <c r="E17" s="344" t="s">
        <v>2228</v>
      </c>
      <c r="F17" s="344" t="s">
        <v>2228</v>
      </c>
      <c r="G17" s="344" t="s">
        <v>2228</v>
      </c>
      <c r="H17" s="344" t="s">
        <v>2228</v>
      </c>
      <c r="I17" s="344" t="s">
        <v>2228</v>
      </c>
      <c r="J17" s="344" t="s">
        <v>2228</v>
      </c>
      <c r="K17" s="344" t="s">
        <v>2228</v>
      </c>
      <c r="L17" s="344" t="s">
        <v>2228</v>
      </c>
      <c r="M17" s="344" t="s">
        <v>2228</v>
      </c>
      <c r="N17" s="344" t="s">
        <v>2228</v>
      </c>
      <c r="O17" s="344" t="s">
        <v>2228</v>
      </c>
      <c r="P17" s="344" t="s">
        <v>2228</v>
      </c>
      <c r="Q17" s="344" t="s">
        <v>2228</v>
      </c>
      <c r="R17" s="344" t="s">
        <v>2228</v>
      </c>
      <c r="S17" s="344" t="s">
        <v>2228</v>
      </c>
      <c r="T17" s="344" t="s">
        <v>2228</v>
      </c>
      <c r="U17" s="344" t="s">
        <v>2229</v>
      </c>
      <c r="V17" s="344" t="s">
        <v>2229</v>
      </c>
      <c r="W17" s="344" t="s">
        <v>2229</v>
      </c>
      <c r="X17" s="344" t="s">
        <v>2229</v>
      </c>
      <c r="Y17" s="344" t="s">
        <v>2229</v>
      </c>
      <c r="Z17" s="344" t="s">
        <v>2229</v>
      </c>
      <c r="AA17" s="344" t="s">
        <v>2229</v>
      </c>
      <c r="AB17" s="344" t="s">
        <v>2229</v>
      </c>
      <c r="AC17" s="344" t="s">
        <v>2229</v>
      </c>
      <c r="AD17" s="344" t="s">
        <v>2229</v>
      </c>
      <c r="AE17" s="344" t="s">
        <v>2229</v>
      </c>
    </row>
    <row r="18" spans="1:32" x14ac:dyDescent="0.2">
      <c r="A18" s="348" t="s">
        <v>2230</v>
      </c>
      <c r="B18" s="344" t="s">
        <v>2231</v>
      </c>
      <c r="C18" s="344" t="s">
        <v>2232</v>
      </c>
      <c r="D18" s="344" t="s">
        <v>2232</v>
      </c>
      <c r="E18" s="344" t="s">
        <v>2232</v>
      </c>
      <c r="F18" s="344" t="s">
        <v>2232</v>
      </c>
      <c r="G18" s="344" t="s">
        <v>2232</v>
      </c>
      <c r="H18" s="344" t="s">
        <v>2232</v>
      </c>
      <c r="I18" s="344" t="s">
        <v>2232</v>
      </c>
      <c r="J18" s="344" t="s">
        <v>2232</v>
      </c>
      <c r="K18" s="344" t="s">
        <v>2232</v>
      </c>
      <c r="L18" s="344" t="s">
        <v>2232</v>
      </c>
      <c r="M18" s="344" t="s">
        <v>2232</v>
      </c>
      <c r="N18" s="344" t="s">
        <v>2232</v>
      </c>
      <c r="O18" s="344" t="s">
        <v>2232</v>
      </c>
      <c r="P18" s="344" t="s">
        <v>2232</v>
      </c>
      <c r="Q18" s="344" t="s">
        <v>2232</v>
      </c>
      <c r="R18" s="344" t="s">
        <v>2232</v>
      </c>
      <c r="S18" s="344" t="s">
        <v>2232</v>
      </c>
      <c r="T18" s="344" t="s">
        <v>2232</v>
      </c>
      <c r="U18" s="344" t="s">
        <v>2232</v>
      </c>
      <c r="V18" s="344" t="s">
        <v>2232</v>
      </c>
      <c r="W18" s="344" t="s">
        <v>2232</v>
      </c>
      <c r="X18" s="344" t="s">
        <v>2232</v>
      </c>
      <c r="Y18" s="344" t="s">
        <v>2232</v>
      </c>
      <c r="Z18" s="344" t="s">
        <v>2232</v>
      </c>
      <c r="AA18" s="344" t="s">
        <v>2232</v>
      </c>
      <c r="AB18" s="344" t="s">
        <v>2232</v>
      </c>
      <c r="AC18" s="344" t="s">
        <v>2232</v>
      </c>
      <c r="AD18" s="344" t="s">
        <v>2232</v>
      </c>
      <c r="AE18" s="344" t="s">
        <v>2232</v>
      </c>
      <c r="AF18" s="49"/>
    </row>
    <row r="19" spans="1:32" x14ac:dyDescent="0.2">
      <c r="A19" s="349" t="s">
        <v>2233</v>
      </c>
      <c r="B19" s="344" t="s">
        <v>2234</v>
      </c>
      <c r="C19" s="344" t="s">
        <v>2235</v>
      </c>
      <c r="D19" s="344" t="s">
        <v>2235</v>
      </c>
      <c r="E19" s="344" t="s">
        <v>2235</v>
      </c>
      <c r="F19" s="344" t="s">
        <v>2235</v>
      </c>
      <c r="G19" s="344" t="s">
        <v>2235</v>
      </c>
      <c r="H19" s="344" t="s">
        <v>2235</v>
      </c>
      <c r="I19" s="344" t="s">
        <v>2235</v>
      </c>
      <c r="J19" s="344" t="s">
        <v>2235</v>
      </c>
      <c r="K19" s="344" t="s">
        <v>2235</v>
      </c>
      <c r="L19" s="344" t="s">
        <v>2235</v>
      </c>
      <c r="M19" s="344" t="s">
        <v>2235</v>
      </c>
      <c r="N19" s="344" t="s">
        <v>2235</v>
      </c>
      <c r="O19" s="344" t="s">
        <v>2235</v>
      </c>
      <c r="P19" s="344" t="s">
        <v>2235</v>
      </c>
      <c r="Q19" s="344" t="s">
        <v>2235</v>
      </c>
      <c r="R19" s="344" t="s">
        <v>2235</v>
      </c>
      <c r="S19" s="344" t="s">
        <v>2235</v>
      </c>
      <c r="T19" s="344" t="s">
        <v>2235</v>
      </c>
      <c r="U19" s="344" t="s">
        <v>2235</v>
      </c>
      <c r="V19" s="344" t="s">
        <v>2235</v>
      </c>
      <c r="W19" s="344" t="s">
        <v>2235</v>
      </c>
      <c r="X19" s="344" t="s">
        <v>2235</v>
      </c>
      <c r="Y19" s="344" t="s">
        <v>2236</v>
      </c>
      <c r="Z19" s="344" t="s">
        <v>2236</v>
      </c>
      <c r="AA19" s="344" t="s">
        <v>2236</v>
      </c>
      <c r="AB19" s="344" t="s">
        <v>2236</v>
      </c>
      <c r="AC19" s="344" t="s">
        <v>2236</v>
      </c>
      <c r="AD19" s="344" t="s">
        <v>2236</v>
      </c>
      <c r="AE19" s="344" t="s">
        <v>2236</v>
      </c>
      <c r="AF19" s="49"/>
    </row>
    <row r="20" spans="1:32" x14ac:dyDescent="0.2">
      <c r="A20" s="349" t="s">
        <v>2237</v>
      </c>
      <c r="B20" s="344" t="s">
        <v>2234</v>
      </c>
      <c r="C20" s="344" t="s">
        <v>2238</v>
      </c>
      <c r="D20" s="344" t="s">
        <v>2238</v>
      </c>
      <c r="E20" s="344" t="s">
        <v>2238</v>
      </c>
      <c r="F20" s="344" t="s">
        <v>2238</v>
      </c>
      <c r="G20" s="344" t="s">
        <v>2238</v>
      </c>
      <c r="H20" s="344" t="s">
        <v>2238</v>
      </c>
      <c r="I20" s="344" t="s">
        <v>2238</v>
      </c>
      <c r="J20" s="344" t="s">
        <v>2238</v>
      </c>
      <c r="K20" s="344" t="s">
        <v>2238</v>
      </c>
      <c r="L20" s="344" t="s">
        <v>2238</v>
      </c>
      <c r="M20" s="344" t="s">
        <v>2238</v>
      </c>
      <c r="N20" s="344" t="s">
        <v>2238</v>
      </c>
      <c r="O20" s="344" t="s">
        <v>2238</v>
      </c>
      <c r="P20" s="344" t="s">
        <v>2238</v>
      </c>
      <c r="Q20" s="344" t="s">
        <v>2238</v>
      </c>
      <c r="R20" s="344" t="s">
        <v>2238</v>
      </c>
      <c r="S20" s="344" t="s">
        <v>2238</v>
      </c>
      <c r="T20" s="344" t="s">
        <v>2238</v>
      </c>
      <c r="U20" s="344" t="s">
        <v>2238</v>
      </c>
      <c r="V20" s="344" t="s">
        <v>2238</v>
      </c>
      <c r="W20" s="344" t="s">
        <v>2238</v>
      </c>
      <c r="X20" s="344" t="s">
        <v>2238</v>
      </c>
      <c r="Y20" s="344" t="s">
        <v>2239</v>
      </c>
      <c r="Z20" s="344" t="s">
        <v>2239</v>
      </c>
      <c r="AA20" s="344" t="s">
        <v>2239</v>
      </c>
      <c r="AB20" s="344" t="s">
        <v>2239</v>
      </c>
      <c r="AC20" s="344" t="s">
        <v>2239</v>
      </c>
      <c r="AD20" s="344" t="s">
        <v>2239</v>
      </c>
      <c r="AE20" s="344" t="s">
        <v>2239</v>
      </c>
      <c r="AF20" s="49"/>
    </row>
    <row r="21" spans="1:32" x14ac:dyDescent="0.2">
      <c r="A21" s="349" t="s">
        <v>2240</v>
      </c>
      <c r="B21" s="344" t="s">
        <v>2241</v>
      </c>
      <c r="C21" s="344" t="s">
        <v>2242</v>
      </c>
      <c r="D21" s="344" t="s">
        <v>2242</v>
      </c>
      <c r="E21" s="344" t="s">
        <v>2242</v>
      </c>
      <c r="F21" s="344" t="s">
        <v>2242</v>
      </c>
      <c r="G21" s="344" t="s">
        <v>2242</v>
      </c>
      <c r="H21" s="344" t="s">
        <v>2242</v>
      </c>
      <c r="I21" s="344" t="s">
        <v>2242</v>
      </c>
      <c r="J21" s="344" t="s">
        <v>2242</v>
      </c>
      <c r="K21" s="344" t="s">
        <v>2242</v>
      </c>
      <c r="L21" s="344" t="s">
        <v>2242</v>
      </c>
      <c r="M21" s="344" t="s">
        <v>2242</v>
      </c>
      <c r="N21" s="344" t="s">
        <v>2242</v>
      </c>
      <c r="O21" s="344" t="s">
        <v>2242</v>
      </c>
      <c r="P21" s="344" t="s">
        <v>2242</v>
      </c>
      <c r="Q21" s="344" t="s">
        <v>2242</v>
      </c>
      <c r="R21" s="344" t="s">
        <v>2242</v>
      </c>
      <c r="S21" s="344" t="s">
        <v>2242</v>
      </c>
      <c r="T21" s="344" t="s">
        <v>2242</v>
      </c>
      <c r="U21" s="344" t="s">
        <v>2242</v>
      </c>
      <c r="V21" s="344" t="s">
        <v>2242</v>
      </c>
      <c r="W21" s="344" t="s">
        <v>2242</v>
      </c>
      <c r="X21" s="344" t="s">
        <v>2242</v>
      </c>
      <c r="Y21" s="344" t="s">
        <v>2242</v>
      </c>
      <c r="Z21" s="344" t="s">
        <v>2242</v>
      </c>
      <c r="AA21" s="344" t="s">
        <v>2242</v>
      </c>
      <c r="AB21" s="344" t="s">
        <v>2242</v>
      </c>
      <c r="AC21" s="344" t="s">
        <v>2242</v>
      </c>
      <c r="AD21" s="344" t="s">
        <v>2242</v>
      </c>
      <c r="AE21" s="344" t="s">
        <v>2242</v>
      </c>
      <c r="AF21" s="49"/>
    </row>
    <row r="22" spans="1:32" x14ac:dyDescent="0.2">
      <c r="A22" s="348" t="s">
        <v>2243</v>
      </c>
      <c r="B22" s="344" t="s">
        <v>483</v>
      </c>
      <c r="C22" s="79" t="s">
        <v>2244</v>
      </c>
      <c r="D22" s="79" t="s">
        <v>2244</v>
      </c>
      <c r="E22" s="79" t="s">
        <v>2244</v>
      </c>
      <c r="F22" s="79" t="s">
        <v>2244</v>
      </c>
      <c r="G22" s="79" t="s">
        <v>2244</v>
      </c>
      <c r="H22" s="79" t="s">
        <v>2244</v>
      </c>
      <c r="I22" s="79" t="s">
        <v>2244</v>
      </c>
      <c r="J22" s="79" t="s">
        <v>2244</v>
      </c>
      <c r="K22" s="79" t="s">
        <v>2244</v>
      </c>
      <c r="L22" s="79" t="s">
        <v>2244</v>
      </c>
      <c r="M22" s="79" t="s">
        <v>2244</v>
      </c>
      <c r="N22" s="79" t="s">
        <v>2244</v>
      </c>
      <c r="O22" s="79" t="s">
        <v>2244</v>
      </c>
      <c r="P22" s="79" t="s">
        <v>2244</v>
      </c>
      <c r="Q22" s="79" t="s">
        <v>2244</v>
      </c>
      <c r="R22" s="79" t="s">
        <v>2244</v>
      </c>
      <c r="S22" s="79" t="s">
        <v>2244</v>
      </c>
      <c r="T22" s="79" t="s">
        <v>2244</v>
      </c>
      <c r="U22" s="79" t="s">
        <v>2244</v>
      </c>
      <c r="V22" s="79" t="s">
        <v>2244</v>
      </c>
      <c r="W22" s="79" t="s">
        <v>2244</v>
      </c>
      <c r="X22" s="79" t="s">
        <v>2244</v>
      </c>
      <c r="Y22" s="79" t="s">
        <v>2244</v>
      </c>
      <c r="Z22" s="79" t="s">
        <v>2244</v>
      </c>
      <c r="AA22" s="79" t="s">
        <v>2244</v>
      </c>
      <c r="AB22" s="79" t="s">
        <v>2244</v>
      </c>
      <c r="AC22" s="79" t="s">
        <v>2244</v>
      </c>
      <c r="AD22" s="79" t="s">
        <v>2244</v>
      </c>
      <c r="AE22" s="79" t="s">
        <v>2244</v>
      </c>
      <c r="AF22" s="49"/>
    </row>
    <row r="23" spans="1:32" x14ac:dyDescent="0.2">
      <c r="A23" s="348" t="s">
        <v>2245</v>
      </c>
      <c r="B23" s="344" t="s">
        <v>483</v>
      </c>
      <c r="C23" s="79" t="s">
        <v>2246</v>
      </c>
      <c r="D23" s="79" t="s">
        <v>2246</v>
      </c>
      <c r="E23" s="79" t="s">
        <v>2246</v>
      </c>
      <c r="F23" s="79" t="s">
        <v>2246</v>
      </c>
      <c r="G23" s="79" t="s">
        <v>2246</v>
      </c>
      <c r="H23" s="79" t="s">
        <v>2246</v>
      </c>
      <c r="I23" s="79" t="s">
        <v>2246</v>
      </c>
      <c r="J23" s="79" t="s">
        <v>2246</v>
      </c>
      <c r="K23" s="79" t="s">
        <v>2246</v>
      </c>
      <c r="L23" s="79" t="s">
        <v>2246</v>
      </c>
      <c r="M23" s="79" t="s">
        <v>2246</v>
      </c>
      <c r="N23" s="79" t="s">
        <v>2246</v>
      </c>
      <c r="O23" s="79" t="s">
        <v>2246</v>
      </c>
      <c r="P23" s="79" t="s">
        <v>2246</v>
      </c>
      <c r="Q23" s="79" t="s">
        <v>2246</v>
      </c>
      <c r="R23" s="79" t="s">
        <v>2246</v>
      </c>
      <c r="S23" s="79" t="s">
        <v>2246</v>
      </c>
      <c r="T23" s="79" t="s">
        <v>2246</v>
      </c>
      <c r="U23" s="79" t="s">
        <v>2246</v>
      </c>
      <c r="V23" s="79" t="s">
        <v>2246</v>
      </c>
      <c r="W23" s="79" t="s">
        <v>2246</v>
      </c>
      <c r="X23" s="79" t="s">
        <v>2246</v>
      </c>
      <c r="Y23" s="79" t="s">
        <v>2246</v>
      </c>
      <c r="Z23" s="79" t="s">
        <v>2246</v>
      </c>
      <c r="AA23" s="79" t="s">
        <v>2246</v>
      </c>
      <c r="AB23" s="79" t="s">
        <v>2246</v>
      </c>
      <c r="AC23" s="79" t="s">
        <v>2246</v>
      </c>
      <c r="AD23" s="79" t="s">
        <v>2246</v>
      </c>
      <c r="AE23" s="79" t="s">
        <v>2246</v>
      </c>
      <c r="AF23" s="49"/>
    </row>
    <row r="24" spans="1:32" x14ac:dyDescent="0.2">
      <c r="A24" s="348" t="s">
        <v>2247</v>
      </c>
      <c r="B24" s="344" t="s">
        <v>592</v>
      </c>
      <c r="C24" s="344" t="s">
        <v>2248</v>
      </c>
      <c r="D24" s="344" t="s">
        <v>2248</v>
      </c>
      <c r="E24" s="344" t="s">
        <v>2248</v>
      </c>
      <c r="F24" s="344" t="s">
        <v>2248</v>
      </c>
      <c r="G24" s="344" t="s">
        <v>2248</v>
      </c>
      <c r="H24" s="344" t="s">
        <v>2248</v>
      </c>
      <c r="I24" s="344" t="s">
        <v>2248</v>
      </c>
      <c r="J24" s="344" t="s">
        <v>2248</v>
      </c>
      <c r="K24" s="344" t="s">
        <v>2248</v>
      </c>
      <c r="L24" s="344" t="s">
        <v>2248</v>
      </c>
      <c r="M24" s="344" t="s">
        <v>2248</v>
      </c>
      <c r="N24" s="344" t="s">
        <v>2248</v>
      </c>
      <c r="O24" s="344" t="s">
        <v>2248</v>
      </c>
      <c r="P24" s="344" t="s">
        <v>2248</v>
      </c>
      <c r="Q24" s="344" t="s">
        <v>2248</v>
      </c>
      <c r="R24" s="344" t="s">
        <v>2248</v>
      </c>
      <c r="S24" s="344" t="s">
        <v>2248</v>
      </c>
      <c r="T24" s="344" t="s">
        <v>2248</v>
      </c>
      <c r="U24" s="344" t="s">
        <v>2248</v>
      </c>
      <c r="V24" s="344" t="s">
        <v>2248</v>
      </c>
      <c r="W24" s="79" t="s">
        <v>2249</v>
      </c>
      <c r="X24" s="79" t="s">
        <v>2249</v>
      </c>
      <c r="Y24" s="79" t="s">
        <v>2249</v>
      </c>
      <c r="Z24" s="79" t="s">
        <v>2249</v>
      </c>
      <c r="AA24" s="79" t="s">
        <v>2249</v>
      </c>
      <c r="AB24" s="79" t="s">
        <v>2249</v>
      </c>
      <c r="AC24" s="79" t="s">
        <v>2249</v>
      </c>
      <c r="AD24" s="79" t="s">
        <v>2249</v>
      </c>
      <c r="AE24" s="79" t="s">
        <v>2249</v>
      </c>
    </row>
    <row r="25" spans="1:32" x14ac:dyDescent="0.2">
      <c r="A25" s="349" t="s">
        <v>2250</v>
      </c>
      <c r="B25" s="344" t="s">
        <v>2251</v>
      </c>
      <c r="C25" s="344" t="s">
        <v>2252</v>
      </c>
      <c r="D25" s="344" t="s">
        <v>2252</v>
      </c>
      <c r="E25" s="344" t="s">
        <v>2252</v>
      </c>
      <c r="F25" s="344" t="s">
        <v>2252</v>
      </c>
      <c r="G25" s="344" t="s">
        <v>2252</v>
      </c>
      <c r="H25" s="344" t="s">
        <v>2252</v>
      </c>
      <c r="I25" s="344" t="s">
        <v>2252</v>
      </c>
      <c r="J25" s="344" t="s">
        <v>2252</v>
      </c>
      <c r="K25" s="344" t="s">
        <v>2252</v>
      </c>
      <c r="L25" s="344" t="s">
        <v>2252</v>
      </c>
      <c r="M25" s="344" t="s">
        <v>2252</v>
      </c>
      <c r="N25" s="344" t="s">
        <v>2252</v>
      </c>
      <c r="O25" s="344" t="s">
        <v>2252</v>
      </c>
      <c r="P25" s="344" t="s">
        <v>2252</v>
      </c>
      <c r="Q25" s="344" t="s">
        <v>2252</v>
      </c>
      <c r="R25" s="344" t="s">
        <v>2252</v>
      </c>
      <c r="S25" s="344" t="s">
        <v>2252</v>
      </c>
      <c r="T25" s="344" t="s">
        <v>2252</v>
      </c>
      <c r="U25" s="344" t="s">
        <v>2252</v>
      </c>
      <c r="V25" s="344" t="s">
        <v>2252</v>
      </c>
      <c r="W25" s="344" t="s">
        <v>2252</v>
      </c>
      <c r="X25" s="344" t="s">
        <v>2252</v>
      </c>
      <c r="Y25" s="344" t="s">
        <v>2252</v>
      </c>
      <c r="Z25" s="344" t="s">
        <v>2252</v>
      </c>
      <c r="AA25" s="344" t="s">
        <v>2252</v>
      </c>
      <c r="AB25" s="344" t="s">
        <v>2252</v>
      </c>
      <c r="AC25" s="344" t="s">
        <v>2252</v>
      </c>
      <c r="AD25" s="344" t="s">
        <v>2252</v>
      </c>
      <c r="AE25" s="344" t="s">
        <v>2252</v>
      </c>
    </row>
    <row r="26" spans="1:32" x14ac:dyDescent="0.2">
      <c r="A26" s="349" t="s">
        <v>2253</v>
      </c>
      <c r="B26" s="344" t="s">
        <v>2251</v>
      </c>
      <c r="C26" s="344" t="s">
        <v>2254</v>
      </c>
      <c r="D26" s="344" t="s">
        <v>2254</v>
      </c>
      <c r="E26" s="344" t="s">
        <v>2254</v>
      </c>
      <c r="F26" s="344" t="s">
        <v>2254</v>
      </c>
      <c r="G26" s="344" t="s">
        <v>2254</v>
      </c>
      <c r="H26" s="344" t="s">
        <v>2254</v>
      </c>
      <c r="I26" s="344" t="s">
        <v>2254</v>
      </c>
      <c r="J26" s="344" t="s">
        <v>2254</v>
      </c>
      <c r="K26" s="344" t="s">
        <v>2254</v>
      </c>
      <c r="L26" s="344" t="s">
        <v>2254</v>
      </c>
      <c r="M26" s="344" t="s">
        <v>2254</v>
      </c>
      <c r="N26" s="344" t="s">
        <v>2254</v>
      </c>
      <c r="O26" s="344" t="s">
        <v>2254</v>
      </c>
      <c r="P26" s="344" t="s">
        <v>2254</v>
      </c>
      <c r="Q26" s="344" t="s">
        <v>2254</v>
      </c>
      <c r="R26" s="344" t="s">
        <v>2254</v>
      </c>
      <c r="S26" s="344" t="s">
        <v>2254</v>
      </c>
      <c r="T26" s="344" t="s">
        <v>2254</v>
      </c>
      <c r="U26" s="344" t="s">
        <v>2254</v>
      </c>
      <c r="V26" s="344" t="s">
        <v>2254</v>
      </c>
      <c r="W26" s="344" t="s">
        <v>2254</v>
      </c>
      <c r="X26" s="344" t="s">
        <v>2254</v>
      </c>
      <c r="Y26" s="344" t="s">
        <v>2254</v>
      </c>
      <c r="Z26" s="344" t="s">
        <v>2254</v>
      </c>
      <c r="AA26" s="344" t="s">
        <v>2254</v>
      </c>
      <c r="AB26" s="344" t="s">
        <v>2254</v>
      </c>
      <c r="AC26" s="344" t="s">
        <v>2254</v>
      </c>
      <c r="AD26" s="344" t="s">
        <v>2254</v>
      </c>
      <c r="AE26" s="344" t="s">
        <v>2254</v>
      </c>
    </row>
    <row r="27" spans="1:32" x14ac:dyDescent="0.2">
      <c r="A27" s="349" t="s">
        <v>2255</v>
      </c>
      <c r="B27" s="344" t="s">
        <v>2251</v>
      </c>
      <c r="C27" s="344" t="s">
        <v>2256</v>
      </c>
      <c r="D27" s="344" t="s">
        <v>2256</v>
      </c>
      <c r="E27" s="344" t="s">
        <v>2256</v>
      </c>
      <c r="F27" s="344" t="s">
        <v>2256</v>
      </c>
      <c r="G27" s="344" t="s">
        <v>2256</v>
      </c>
      <c r="H27" s="344" t="s">
        <v>2256</v>
      </c>
      <c r="I27" s="344" t="s">
        <v>2256</v>
      </c>
      <c r="J27" s="344" t="s">
        <v>2256</v>
      </c>
      <c r="K27" s="344" t="s">
        <v>2256</v>
      </c>
      <c r="L27" s="344" t="s">
        <v>2256</v>
      </c>
      <c r="M27" s="344" t="s">
        <v>2256</v>
      </c>
      <c r="N27" s="344" t="s">
        <v>2256</v>
      </c>
      <c r="O27" s="344" t="s">
        <v>2256</v>
      </c>
      <c r="P27" s="344" t="s">
        <v>2256</v>
      </c>
      <c r="Q27" s="344" t="s">
        <v>2256</v>
      </c>
      <c r="R27" s="344" t="s">
        <v>2256</v>
      </c>
      <c r="S27" s="344" t="s">
        <v>2256</v>
      </c>
      <c r="T27" s="344" t="s">
        <v>2256</v>
      </c>
      <c r="U27" s="344" t="s">
        <v>2256</v>
      </c>
      <c r="V27" s="344" t="s">
        <v>2256</v>
      </c>
      <c r="W27" s="344" t="s">
        <v>2256</v>
      </c>
      <c r="X27" s="344" t="s">
        <v>2256</v>
      </c>
      <c r="Y27" s="344" t="s">
        <v>2256</v>
      </c>
      <c r="Z27" s="344" t="s">
        <v>2256</v>
      </c>
      <c r="AA27" s="344" t="s">
        <v>2256</v>
      </c>
      <c r="AB27" s="344" t="s">
        <v>2256</v>
      </c>
      <c r="AC27" s="344" t="s">
        <v>2256</v>
      </c>
      <c r="AD27" s="344" t="s">
        <v>2256</v>
      </c>
      <c r="AE27" s="344" t="s">
        <v>2256</v>
      </c>
    </row>
    <row r="28" spans="1:32" x14ac:dyDescent="0.2">
      <c r="A28" s="349" t="s">
        <v>2257</v>
      </c>
      <c r="B28" s="344" t="s">
        <v>2251</v>
      </c>
      <c r="C28" s="344" t="s">
        <v>2258</v>
      </c>
      <c r="D28" s="344" t="s">
        <v>2258</v>
      </c>
      <c r="E28" s="344" t="s">
        <v>2258</v>
      </c>
      <c r="F28" s="344" t="s">
        <v>2258</v>
      </c>
      <c r="G28" s="344" t="s">
        <v>2258</v>
      </c>
      <c r="H28" s="344" t="s">
        <v>2258</v>
      </c>
      <c r="I28" s="344" t="s">
        <v>2258</v>
      </c>
      <c r="J28" s="344" t="s">
        <v>2258</v>
      </c>
      <c r="K28" s="344" t="s">
        <v>2258</v>
      </c>
      <c r="L28" s="344" t="s">
        <v>2258</v>
      </c>
      <c r="M28" s="344" t="s">
        <v>2258</v>
      </c>
      <c r="N28" s="344" t="s">
        <v>2258</v>
      </c>
      <c r="O28" s="344" t="s">
        <v>2258</v>
      </c>
      <c r="P28" s="344" t="s">
        <v>2258</v>
      </c>
      <c r="Q28" s="344" t="s">
        <v>2258</v>
      </c>
      <c r="R28" s="344" t="s">
        <v>2258</v>
      </c>
      <c r="S28" s="344" t="s">
        <v>2258</v>
      </c>
      <c r="T28" s="344" t="s">
        <v>2258</v>
      </c>
      <c r="U28" s="344" t="s">
        <v>2258</v>
      </c>
      <c r="V28" s="344" t="s">
        <v>2258</v>
      </c>
      <c r="W28" s="344" t="s">
        <v>2258</v>
      </c>
      <c r="X28" s="344" t="s">
        <v>2258</v>
      </c>
      <c r="Y28" s="344" t="s">
        <v>2258</v>
      </c>
      <c r="Z28" s="344" t="s">
        <v>2258</v>
      </c>
      <c r="AA28" s="344" t="s">
        <v>2258</v>
      </c>
      <c r="AB28" s="344" t="s">
        <v>2258</v>
      </c>
      <c r="AC28" s="344" t="s">
        <v>2258</v>
      </c>
      <c r="AD28" s="344" t="s">
        <v>2258</v>
      </c>
      <c r="AE28" s="344" t="s">
        <v>2258</v>
      </c>
    </row>
    <row r="29" spans="1:32" x14ac:dyDescent="0.2">
      <c r="A29" s="349" t="s">
        <v>2259</v>
      </c>
      <c r="B29" s="344" t="s">
        <v>2251</v>
      </c>
      <c r="C29" s="344" t="s">
        <v>2260</v>
      </c>
      <c r="D29" s="344" t="s">
        <v>2260</v>
      </c>
      <c r="E29" s="344" t="s">
        <v>2260</v>
      </c>
      <c r="F29" s="344" t="s">
        <v>2260</v>
      </c>
      <c r="G29" s="344" t="s">
        <v>2260</v>
      </c>
      <c r="H29" s="344" t="s">
        <v>2260</v>
      </c>
      <c r="I29" s="344" t="s">
        <v>2260</v>
      </c>
      <c r="J29" s="344" t="s">
        <v>2260</v>
      </c>
      <c r="K29" s="344" t="s">
        <v>2260</v>
      </c>
      <c r="L29" s="344" t="s">
        <v>2260</v>
      </c>
      <c r="M29" s="344" t="s">
        <v>2260</v>
      </c>
      <c r="N29" s="344"/>
      <c r="O29" s="344"/>
      <c r="P29" s="344"/>
      <c r="Q29" s="344"/>
      <c r="R29" s="344"/>
      <c r="S29" s="344"/>
      <c r="T29" s="344"/>
      <c r="U29" s="344"/>
      <c r="V29" s="344"/>
      <c r="W29" s="79"/>
      <c r="X29" s="79"/>
      <c r="Y29" s="79"/>
      <c r="Z29" s="79"/>
      <c r="AA29" s="79"/>
      <c r="AB29" s="79"/>
      <c r="AC29" s="79"/>
      <c r="AD29" s="79"/>
      <c r="AE29" s="79"/>
    </row>
    <row r="30" spans="1:32" x14ac:dyDescent="0.2">
      <c r="A30" s="349" t="s">
        <v>2261</v>
      </c>
      <c r="B30" s="344" t="s">
        <v>2251</v>
      </c>
      <c r="C30" s="344" t="s">
        <v>2262</v>
      </c>
      <c r="D30" s="344" t="s">
        <v>2262</v>
      </c>
      <c r="E30" s="344" t="s">
        <v>2262</v>
      </c>
      <c r="F30" s="344" t="s">
        <v>2262</v>
      </c>
      <c r="G30" s="344" t="s">
        <v>2262</v>
      </c>
      <c r="H30" s="344" t="s">
        <v>2262</v>
      </c>
      <c r="I30" s="344" t="s">
        <v>2262</v>
      </c>
      <c r="J30" s="344" t="s">
        <v>2262</v>
      </c>
      <c r="K30" s="344" t="s">
        <v>2262</v>
      </c>
      <c r="L30" s="344" t="s">
        <v>2262</v>
      </c>
      <c r="M30" s="344" t="s">
        <v>2262</v>
      </c>
      <c r="N30" s="344"/>
      <c r="O30" s="344"/>
      <c r="P30" s="344"/>
      <c r="Q30" s="344"/>
      <c r="R30" s="344"/>
      <c r="S30" s="344"/>
      <c r="T30" s="344"/>
      <c r="U30" s="344"/>
      <c r="V30" s="344"/>
      <c r="W30" s="79"/>
      <c r="X30" s="79"/>
      <c r="Y30" s="79"/>
      <c r="Z30" s="79"/>
      <c r="AA30" s="79"/>
      <c r="AB30" s="79"/>
      <c r="AC30" s="79"/>
      <c r="AD30" s="79"/>
      <c r="AE30" s="79"/>
    </row>
    <row r="31" spans="1:32" x14ac:dyDescent="0.2">
      <c r="A31" s="349" t="s">
        <v>2263</v>
      </c>
      <c r="B31" s="344" t="s">
        <v>2264</v>
      </c>
      <c r="C31" s="344" t="s">
        <v>2265</v>
      </c>
      <c r="D31" s="344" t="s">
        <v>2265</v>
      </c>
      <c r="E31" s="344" t="s">
        <v>2265</v>
      </c>
      <c r="F31" s="344" t="s">
        <v>2265</v>
      </c>
      <c r="G31" s="344" t="s">
        <v>2265</v>
      </c>
      <c r="H31" s="344" t="s">
        <v>2265</v>
      </c>
      <c r="I31" s="344" t="s">
        <v>2265</v>
      </c>
      <c r="J31" s="344" t="s">
        <v>2265</v>
      </c>
      <c r="K31" s="344" t="s">
        <v>2265</v>
      </c>
      <c r="L31" s="344" t="s">
        <v>2265</v>
      </c>
      <c r="M31" s="344" t="s">
        <v>2265</v>
      </c>
      <c r="N31" s="344" t="s">
        <v>2265</v>
      </c>
      <c r="O31" s="344" t="s">
        <v>2265</v>
      </c>
      <c r="P31" s="344" t="s">
        <v>2265</v>
      </c>
      <c r="Q31" s="344" t="s">
        <v>2265</v>
      </c>
      <c r="R31" s="344" t="s">
        <v>2265</v>
      </c>
      <c r="S31" s="344" t="s">
        <v>2265</v>
      </c>
      <c r="T31" s="344" t="s">
        <v>2265</v>
      </c>
      <c r="U31" s="344" t="s">
        <v>2265</v>
      </c>
      <c r="V31" s="344" t="s">
        <v>2265</v>
      </c>
      <c r="W31" s="344" t="s">
        <v>2265</v>
      </c>
      <c r="X31" s="344" t="s">
        <v>2265</v>
      </c>
      <c r="Y31" s="344" t="s">
        <v>2265</v>
      </c>
      <c r="Z31" s="344" t="s">
        <v>2265</v>
      </c>
      <c r="AA31" s="344" t="s">
        <v>2265</v>
      </c>
      <c r="AB31" s="344" t="s">
        <v>2265</v>
      </c>
      <c r="AC31" s="344" t="s">
        <v>2265</v>
      </c>
      <c r="AD31" s="344" t="s">
        <v>2265</v>
      </c>
      <c r="AE31" s="344" t="s">
        <v>2265</v>
      </c>
    </row>
    <row r="32" spans="1:32" x14ac:dyDescent="0.2">
      <c r="A32" s="348" t="s">
        <v>2220</v>
      </c>
      <c r="B32" s="344" t="s">
        <v>2192</v>
      </c>
      <c r="C32" s="344" t="s">
        <v>5287</v>
      </c>
      <c r="D32" s="344" t="s">
        <v>5287</v>
      </c>
      <c r="E32" s="344" t="s">
        <v>5287</v>
      </c>
      <c r="F32" s="344" t="s">
        <v>5287</v>
      </c>
      <c r="G32" s="344" t="s">
        <v>5287</v>
      </c>
      <c r="H32" s="344" t="s">
        <v>5287</v>
      </c>
      <c r="I32" s="344" t="s">
        <v>5287</v>
      </c>
      <c r="J32" s="344" t="s">
        <v>5287</v>
      </c>
      <c r="K32" s="344" t="s">
        <v>5287</v>
      </c>
      <c r="L32" s="344" t="s">
        <v>5287</v>
      </c>
      <c r="M32" s="344" t="s">
        <v>5287</v>
      </c>
      <c r="N32" s="344" t="s">
        <v>5287</v>
      </c>
      <c r="O32" s="344" t="s">
        <v>5287</v>
      </c>
      <c r="P32" s="344" t="s">
        <v>5287</v>
      </c>
      <c r="Q32" s="344" t="s">
        <v>5287</v>
      </c>
      <c r="R32" s="344" t="s">
        <v>5287</v>
      </c>
      <c r="S32" s="344" t="s">
        <v>5287</v>
      </c>
      <c r="T32" s="344" t="s">
        <v>5287</v>
      </c>
      <c r="U32" s="344" t="s">
        <v>5287</v>
      </c>
      <c r="V32" s="344" t="s">
        <v>5287</v>
      </c>
      <c r="W32" s="344" t="s">
        <v>5287</v>
      </c>
      <c r="X32" s="344" t="s">
        <v>5287</v>
      </c>
      <c r="Y32" s="344" t="s">
        <v>5287</v>
      </c>
      <c r="Z32" s="344" t="s">
        <v>5287</v>
      </c>
      <c r="AA32" s="344" t="s">
        <v>5287</v>
      </c>
      <c r="AB32" s="344" t="s">
        <v>5287</v>
      </c>
      <c r="AC32" s="344" t="s">
        <v>5287</v>
      </c>
      <c r="AD32" s="344" t="s">
        <v>5287</v>
      </c>
      <c r="AE32" s="344" t="s">
        <v>5287</v>
      </c>
    </row>
    <row r="33" spans="1:31" x14ac:dyDescent="0.2">
      <c r="A33" s="348" t="s">
        <v>2220</v>
      </c>
      <c r="B33" s="344" t="s">
        <v>2192</v>
      </c>
      <c r="C33" s="344" t="s">
        <v>5288</v>
      </c>
      <c r="D33" s="344" t="s">
        <v>5288</v>
      </c>
      <c r="E33" s="344" t="s">
        <v>5288</v>
      </c>
      <c r="F33" s="344" t="s">
        <v>5288</v>
      </c>
      <c r="G33" s="344" t="s">
        <v>5288</v>
      </c>
      <c r="H33" s="344" t="s">
        <v>5288</v>
      </c>
      <c r="I33" s="344" t="s">
        <v>5288</v>
      </c>
      <c r="J33" s="344" t="s">
        <v>5288</v>
      </c>
      <c r="K33" s="344" t="s">
        <v>5288</v>
      </c>
      <c r="L33" s="344" t="s">
        <v>5288</v>
      </c>
      <c r="M33" s="344" t="s">
        <v>5288</v>
      </c>
      <c r="N33" s="344" t="s">
        <v>5288</v>
      </c>
      <c r="O33" s="344" t="s">
        <v>5288</v>
      </c>
      <c r="P33" s="344" t="s">
        <v>5288</v>
      </c>
      <c r="Q33" s="344" t="s">
        <v>5288</v>
      </c>
      <c r="R33" s="344" t="s">
        <v>5288</v>
      </c>
      <c r="S33" s="344" t="s">
        <v>5288</v>
      </c>
      <c r="T33" s="344" t="s">
        <v>5288</v>
      </c>
      <c r="U33" s="344" t="s">
        <v>5288</v>
      </c>
      <c r="V33" s="344" t="s">
        <v>5288</v>
      </c>
      <c r="W33" s="344" t="s">
        <v>5288</v>
      </c>
      <c r="X33" s="344" t="s">
        <v>5288</v>
      </c>
      <c r="Y33" s="344" t="s">
        <v>5288</v>
      </c>
      <c r="Z33" s="344" t="s">
        <v>5288</v>
      </c>
      <c r="AA33" s="344" t="s">
        <v>5288</v>
      </c>
      <c r="AB33" s="344" t="s">
        <v>5288</v>
      </c>
      <c r="AC33" s="344" t="s">
        <v>5288</v>
      </c>
      <c r="AD33" s="344" t="s">
        <v>5288</v>
      </c>
      <c r="AE33" s="344" t="s">
        <v>5288</v>
      </c>
    </row>
    <row r="34" spans="1:31" x14ac:dyDescent="0.2">
      <c r="A34" s="348" t="s">
        <v>2220</v>
      </c>
      <c r="B34" s="344" t="s">
        <v>2192</v>
      </c>
      <c r="C34" s="344" t="s">
        <v>5289</v>
      </c>
      <c r="D34" s="344" t="s">
        <v>5289</v>
      </c>
      <c r="E34" s="344" t="s">
        <v>5289</v>
      </c>
      <c r="F34" s="344" t="s">
        <v>5289</v>
      </c>
      <c r="G34" s="344" t="s">
        <v>5289</v>
      </c>
      <c r="H34" s="344" t="s">
        <v>5289</v>
      </c>
      <c r="I34" s="344" t="s">
        <v>5289</v>
      </c>
      <c r="J34" s="344" t="s">
        <v>5289</v>
      </c>
      <c r="K34" s="344" t="s">
        <v>5289</v>
      </c>
      <c r="L34" s="344" t="s">
        <v>5289</v>
      </c>
      <c r="M34" s="344" t="s">
        <v>5289</v>
      </c>
      <c r="N34" s="344" t="s">
        <v>5289</v>
      </c>
      <c r="O34" s="344" t="s">
        <v>5289</v>
      </c>
      <c r="P34" s="344" t="s">
        <v>5289</v>
      </c>
      <c r="Q34" s="344" t="s">
        <v>5289</v>
      </c>
      <c r="R34" s="344" t="s">
        <v>5289</v>
      </c>
      <c r="S34" s="344" t="s">
        <v>5289</v>
      </c>
      <c r="T34" s="344" t="s">
        <v>5289</v>
      </c>
      <c r="U34" s="344" t="s">
        <v>5289</v>
      </c>
      <c r="V34" s="344" t="s">
        <v>5289</v>
      </c>
      <c r="W34" s="344" t="s">
        <v>5289</v>
      </c>
      <c r="X34" s="344" t="s">
        <v>5289</v>
      </c>
      <c r="Y34" s="344" t="s">
        <v>5289</v>
      </c>
      <c r="Z34" s="344" t="s">
        <v>5289</v>
      </c>
      <c r="AA34" s="344" t="s">
        <v>5289</v>
      </c>
      <c r="AB34" s="344" t="s">
        <v>5289</v>
      </c>
      <c r="AC34" s="344" t="s">
        <v>5289</v>
      </c>
      <c r="AD34" s="344" t="s">
        <v>5289</v>
      </c>
      <c r="AE34" s="344" t="s">
        <v>5289</v>
      </c>
    </row>
    <row r="35" spans="1:31" x14ac:dyDescent="0.2">
      <c r="A35" s="348" t="s">
        <v>2220</v>
      </c>
      <c r="B35" s="344" t="s">
        <v>2192</v>
      </c>
      <c r="C35" s="344" t="s">
        <v>5290</v>
      </c>
      <c r="D35" s="344" t="s">
        <v>5290</v>
      </c>
      <c r="E35" s="344" t="s">
        <v>5290</v>
      </c>
      <c r="F35" s="344" t="s">
        <v>5290</v>
      </c>
      <c r="G35" s="344" t="s">
        <v>5290</v>
      </c>
      <c r="H35" s="344" t="s">
        <v>5290</v>
      </c>
      <c r="I35" s="344" t="s">
        <v>5290</v>
      </c>
      <c r="J35" s="344" t="s">
        <v>5290</v>
      </c>
      <c r="K35" s="344" t="s">
        <v>5290</v>
      </c>
      <c r="L35" s="344" t="s">
        <v>5290</v>
      </c>
      <c r="M35" s="344" t="s">
        <v>5290</v>
      </c>
      <c r="N35" s="344" t="s">
        <v>5290</v>
      </c>
      <c r="O35" s="344" t="s">
        <v>5290</v>
      </c>
      <c r="P35" s="344" t="s">
        <v>5290</v>
      </c>
      <c r="Q35" s="344" t="s">
        <v>5290</v>
      </c>
      <c r="R35" s="344" t="s">
        <v>5290</v>
      </c>
      <c r="S35" s="344" t="s">
        <v>5290</v>
      </c>
      <c r="T35" s="344" t="s">
        <v>5290</v>
      </c>
      <c r="U35" s="344" t="s">
        <v>5290</v>
      </c>
      <c r="V35" s="344" t="s">
        <v>5290</v>
      </c>
      <c r="W35" s="344" t="s">
        <v>5290</v>
      </c>
      <c r="X35" s="344" t="s">
        <v>5290</v>
      </c>
      <c r="Y35" s="344" t="s">
        <v>5290</v>
      </c>
      <c r="Z35" s="344" t="s">
        <v>5290</v>
      </c>
      <c r="AA35" s="344" t="s">
        <v>5290</v>
      </c>
      <c r="AB35" s="344" t="s">
        <v>5290</v>
      </c>
      <c r="AC35" s="344" t="s">
        <v>5290</v>
      </c>
      <c r="AD35" s="344" t="s">
        <v>5290</v>
      </c>
      <c r="AE35" s="344" t="s">
        <v>5290</v>
      </c>
    </row>
    <row r="36" spans="1:31" x14ac:dyDescent="0.2">
      <c r="A36" s="348" t="s">
        <v>2220</v>
      </c>
      <c r="B36" s="344" t="s">
        <v>2192</v>
      </c>
      <c r="C36" s="344" t="s">
        <v>5291</v>
      </c>
      <c r="D36" s="344" t="s">
        <v>5291</v>
      </c>
      <c r="E36" s="344" t="s">
        <v>5291</v>
      </c>
      <c r="F36" s="344" t="s">
        <v>5291</v>
      </c>
      <c r="G36" s="344" t="s">
        <v>5291</v>
      </c>
      <c r="H36" s="344" t="s">
        <v>5291</v>
      </c>
      <c r="I36" s="344" t="s">
        <v>5291</v>
      </c>
      <c r="J36" s="344" t="s">
        <v>5291</v>
      </c>
      <c r="K36" s="344" t="s">
        <v>5291</v>
      </c>
      <c r="L36" s="344" t="s">
        <v>5291</v>
      </c>
      <c r="M36" s="344" t="s">
        <v>5291</v>
      </c>
      <c r="N36" s="344" t="s">
        <v>5291</v>
      </c>
      <c r="O36" s="344" t="s">
        <v>5291</v>
      </c>
      <c r="P36" s="344" t="s">
        <v>5291</v>
      </c>
      <c r="Q36" s="344" t="s">
        <v>5291</v>
      </c>
      <c r="R36" s="344" t="s">
        <v>5291</v>
      </c>
      <c r="S36" s="344" t="s">
        <v>5291</v>
      </c>
      <c r="T36" s="344" t="s">
        <v>5291</v>
      </c>
      <c r="U36" s="344" t="s">
        <v>5291</v>
      </c>
      <c r="V36" s="344" t="s">
        <v>5291</v>
      </c>
      <c r="W36" s="344" t="s">
        <v>5291</v>
      </c>
      <c r="X36" s="344" t="s">
        <v>5291</v>
      </c>
      <c r="Y36" s="344" t="s">
        <v>5291</v>
      </c>
      <c r="Z36" s="344" t="s">
        <v>5291</v>
      </c>
      <c r="AA36" s="344" t="s">
        <v>5291</v>
      </c>
      <c r="AB36" s="344" t="s">
        <v>5291</v>
      </c>
      <c r="AC36" s="344" t="s">
        <v>5291</v>
      </c>
      <c r="AD36" s="344" t="s">
        <v>5291</v>
      </c>
      <c r="AE36" s="344" t="s">
        <v>5291</v>
      </c>
    </row>
    <row r="37" spans="1:31" x14ac:dyDescent="0.2">
      <c r="A37" s="348" t="s">
        <v>2220</v>
      </c>
      <c r="B37" s="344" t="s">
        <v>2192</v>
      </c>
      <c r="C37" s="344" t="s">
        <v>5292</v>
      </c>
      <c r="D37" s="344" t="s">
        <v>5292</v>
      </c>
      <c r="E37" s="344" t="s">
        <v>5292</v>
      </c>
      <c r="F37" s="344" t="s">
        <v>5292</v>
      </c>
      <c r="G37" s="344" t="s">
        <v>5292</v>
      </c>
      <c r="H37" s="344" t="s">
        <v>5292</v>
      </c>
      <c r="I37" s="344" t="s">
        <v>5292</v>
      </c>
      <c r="J37" s="344" t="s">
        <v>5292</v>
      </c>
      <c r="K37" s="344" t="s">
        <v>5292</v>
      </c>
      <c r="L37" s="344" t="s">
        <v>5292</v>
      </c>
      <c r="M37" s="344" t="s">
        <v>5292</v>
      </c>
      <c r="N37" s="344" t="s">
        <v>5292</v>
      </c>
      <c r="O37" s="344" t="s">
        <v>5292</v>
      </c>
      <c r="P37" s="344" t="s">
        <v>5292</v>
      </c>
      <c r="Q37" s="344" t="s">
        <v>5292</v>
      </c>
      <c r="R37" s="344" t="s">
        <v>5292</v>
      </c>
      <c r="S37" s="344" t="s">
        <v>5292</v>
      </c>
      <c r="T37" s="344" t="s">
        <v>5292</v>
      </c>
      <c r="U37" s="344" t="s">
        <v>5292</v>
      </c>
      <c r="V37" s="344" t="s">
        <v>5292</v>
      </c>
      <c r="W37" s="344" t="s">
        <v>5292</v>
      </c>
      <c r="X37" s="344" t="s">
        <v>5292</v>
      </c>
      <c r="Y37" s="344" t="s">
        <v>5292</v>
      </c>
      <c r="Z37" s="344" t="s">
        <v>5292</v>
      </c>
      <c r="AA37" s="344" t="s">
        <v>5292</v>
      </c>
      <c r="AB37" s="344" t="s">
        <v>5292</v>
      </c>
      <c r="AC37" s="344" t="s">
        <v>5292</v>
      </c>
      <c r="AD37" s="344" t="s">
        <v>5292</v>
      </c>
      <c r="AE37" s="344" t="s">
        <v>5292</v>
      </c>
    </row>
    <row r="38" spans="1:31" x14ac:dyDescent="0.2">
      <c r="A38" s="348" t="s">
        <v>2220</v>
      </c>
      <c r="B38" s="344" t="s">
        <v>2192</v>
      </c>
      <c r="C38" s="344" t="s">
        <v>5293</v>
      </c>
      <c r="D38" s="344" t="s">
        <v>5293</v>
      </c>
      <c r="E38" s="344" t="s">
        <v>5293</v>
      </c>
      <c r="F38" s="344" t="s">
        <v>5293</v>
      </c>
      <c r="G38" s="344" t="s">
        <v>5293</v>
      </c>
      <c r="H38" s="344" t="s">
        <v>5293</v>
      </c>
      <c r="I38" s="344" t="s">
        <v>5293</v>
      </c>
      <c r="J38" s="344" t="s">
        <v>5293</v>
      </c>
      <c r="K38" s="344" t="s">
        <v>5293</v>
      </c>
      <c r="L38" s="344" t="s">
        <v>5293</v>
      </c>
      <c r="M38" s="344" t="s">
        <v>5293</v>
      </c>
      <c r="N38" s="344" t="s">
        <v>5293</v>
      </c>
      <c r="O38" s="344" t="s">
        <v>5293</v>
      </c>
      <c r="P38" s="344" t="s">
        <v>5293</v>
      </c>
      <c r="Q38" s="344" t="s">
        <v>5293</v>
      </c>
      <c r="R38" s="344" t="s">
        <v>5293</v>
      </c>
      <c r="S38" s="344" t="s">
        <v>5293</v>
      </c>
      <c r="T38" s="344" t="s">
        <v>5293</v>
      </c>
      <c r="U38" s="344" t="s">
        <v>5293</v>
      </c>
      <c r="V38" s="344" t="s">
        <v>5293</v>
      </c>
      <c r="W38" s="344" t="s">
        <v>5293</v>
      </c>
      <c r="X38" s="344" t="s">
        <v>5293</v>
      </c>
      <c r="Y38" s="344" t="s">
        <v>5293</v>
      </c>
      <c r="Z38" s="344" t="s">
        <v>5293</v>
      </c>
      <c r="AA38" s="344" t="s">
        <v>5293</v>
      </c>
      <c r="AB38" s="344" t="s">
        <v>5293</v>
      </c>
      <c r="AC38" s="344" t="s">
        <v>5293</v>
      </c>
      <c r="AD38" s="344" t="s">
        <v>5293</v>
      </c>
      <c r="AE38" s="344" t="s">
        <v>5293</v>
      </c>
    </row>
    <row r="39" spans="1:31" x14ac:dyDescent="0.2">
      <c r="A39" s="348" t="s">
        <v>2220</v>
      </c>
      <c r="B39" s="344" t="s">
        <v>2192</v>
      </c>
      <c r="C39" s="344" t="s">
        <v>5294</v>
      </c>
      <c r="D39" s="344" t="s">
        <v>5294</v>
      </c>
      <c r="E39" s="344" t="s">
        <v>5294</v>
      </c>
      <c r="F39" s="344" t="s">
        <v>5294</v>
      </c>
      <c r="G39" s="344" t="s">
        <v>5294</v>
      </c>
      <c r="H39" s="344" t="s">
        <v>5294</v>
      </c>
      <c r="I39" s="344" t="s">
        <v>5294</v>
      </c>
      <c r="J39" s="344" t="s">
        <v>5294</v>
      </c>
      <c r="K39" s="344" t="s">
        <v>5294</v>
      </c>
      <c r="L39" s="344" t="s">
        <v>5294</v>
      </c>
      <c r="M39" s="344" t="s">
        <v>5294</v>
      </c>
      <c r="N39" s="344" t="s">
        <v>5294</v>
      </c>
      <c r="O39" s="344" t="s">
        <v>5294</v>
      </c>
      <c r="P39" s="344" t="s">
        <v>5294</v>
      </c>
      <c r="Q39" s="344" t="s">
        <v>5294</v>
      </c>
      <c r="R39" s="344" t="s">
        <v>5294</v>
      </c>
      <c r="S39" s="344" t="s">
        <v>5294</v>
      </c>
      <c r="T39" s="344" t="s">
        <v>5294</v>
      </c>
      <c r="U39" s="344" t="s">
        <v>5294</v>
      </c>
      <c r="V39" s="344" t="s">
        <v>5294</v>
      </c>
      <c r="W39" s="344" t="s">
        <v>5294</v>
      </c>
      <c r="X39" s="344" t="s">
        <v>5294</v>
      </c>
      <c r="Y39" s="344" t="s">
        <v>5294</v>
      </c>
      <c r="Z39" s="344" t="s">
        <v>5294</v>
      </c>
      <c r="AA39" s="344" t="s">
        <v>5294</v>
      </c>
      <c r="AB39" s="344" t="s">
        <v>5294</v>
      </c>
      <c r="AC39" s="344" t="s">
        <v>5294</v>
      </c>
      <c r="AD39" s="344" t="s">
        <v>5294</v>
      </c>
      <c r="AE39" s="344" t="s">
        <v>5294</v>
      </c>
    </row>
    <row r="40" spans="1:31" x14ac:dyDescent="0.2">
      <c r="A40" s="348" t="s">
        <v>2220</v>
      </c>
      <c r="B40" s="344" t="s">
        <v>2192</v>
      </c>
      <c r="C40" s="344" t="s">
        <v>5295</v>
      </c>
      <c r="D40" s="344" t="s">
        <v>5295</v>
      </c>
      <c r="E40" s="344" t="s">
        <v>5295</v>
      </c>
      <c r="F40" s="344" t="s">
        <v>5295</v>
      </c>
      <c r="G40" s="344" t="s">
        <v>5295</v>
      </c>
      <c r="H40" s="344" t="s">
        <v>5295</v>
      </c>
      <c r="I40" s="344" t="s">
        <v>5295</v>
      </c>
      <c r="J40" s="344" t="s">
        <v>5295</v>
      </c>
      <c r="K40" s="344" t="s">
        <v>5295</v>
      </c>
      <c r="L40" s="344" t="s">
        <v>5295</v>
      </c>
      <c r="M40" s="344" t="s">
        <v>5295</v>
      </c>
      <c r="N40" s="344" t="s">
        <v>5295</v>
      </c>
      <c r="O40" s="344" t="s">
        <v>5295</v>
      </c>
      <c r="P40" s="344" t="s">
        <v>5295</v>
      </c>
      <c r="Q40" s="344" t="s">
        <v>5295</v>
      </c>
      <c r="R40" s="344" t="s">
        <v>5295</v>
      </c>
      <c r="S40" s="344" t="s">
        <v>5295</v>
      </c>
      <c r="T40" s="344" t="s">
        <v>5295</v>
      </c>
      <c r="U40" s="344" t="s">
        <v>5295</v>
      </c>
      <c r="V40" s="344" t="s">
        <v>5295</v>
      </c>
      <c r="W40" s="344" t="s">
        <v>5295</v>
      </c>
      <c r="X40" s="344" t="s">
        <v>5295</v>
      </c>
      <c r="Y40" s="344" t="s">
        <v>5295</v>
      </c>
      <c r="Z40" s="344" t="s">
        <v>5295</v>
      </c>
      <c r="AA40" s="344" t="s">
        <v>5295</v>
      </c>
      <c r="AB40" s="344" t="s">
        <v>5295</v>
      </c>
      <c r="AC40" s="344" t="s">
        <v>5295</v>
      </c>
      <c r="AD40" s="344" t="s">
        <v>5295</v>
      </c>
      <c r="AE40" s="344" t="s">
        <v>5295</v>
      </c>
    </row>
    <row r="41" spans="1:31" x14ac:dyDescent="0.2">
      <c r="A41" s="348" t="s">
        <v>2220</v>
      </c>
      <c r="B41" s="344" t="s">
        <v>2192</v>
      </c>
      <c r="C41" s="344" t="s">
        <v>5296</v>
      </c>
      <c r="D41" s="344" t="s">
        <v>5296</v>
      </c>
      <c r="E41" s="344" t="s">
        <v>5296</v>
      </c>
      <c r="F41" s="344" t="s">
        <v>5296</v>
      </c>
      <c r="G41" s="344" t="s">
        <v>5296</v>
      </c>
      <c r="H41" s="344" t="s">
        <v>5296</v>
      </c>
      <c r="I41" s="344" t="s">
        <v>5296</v>
      </c>
      <c r="J41" s="344" t="s">
        <v>5296</v>
      </c>
      <c r="K41" s="344" t="s">
        <v>5296</v>
      </c>
      <c r="L41" s="344" t="s">
        <v>5296</v>
      </c>
      <c r="M41" s="344" t="s">
        <v>5296</v>
      </c>
      <c r="N41" s="344" t="s">
        <v>5296</v>
      </c>
      <c r="O41" s="344" t="s">
        <v>5296</v>
      </c>
      <c r="P41" s="344" t="s">
        <v>5296</v>
      </c>
      <c r="Q41" s="344" t="s">
        <v>5296</v>
      </c>
      <c r="R41" s="344" t="s">
        <v>5296</v>
      </c>
      <c r="S41" s="344" t="s">
        <v>5296</v>
      </c>
      <c r="T41" s="344" t="s">
        <v>5296</v>
      </c>
      <c r="U41" s="344" t="s">
        <v>5296</v>
      </c>
      <c r="V41" s="344" t="s">
        <v>5296</v>
      </c>
      <c r="W41" s="344" t="s">
        <v>5296</v>
      </c>
      <c r="X41" s="344" t="s">
        <v>5296</v>
      </c>
      <c r="Y41" s="344" t="s">
        <v>5296</v>
      </c>
      <c r="Z41" s="344" t="s">
        <v>5296</v>
      </c>
      <c r="AA41" s="344" t="s">
        <v>5296</v>
      </c>
      <c r="AB41" s="344" t="s">
        <v>5296</v>
      </c>
      <c r="AC41" s="344" t="s">
        <v>5296</v>
      </c>
      <c r="AD41" s="344" t="s">
        <v>5296</v>
      </c>
      <c r="AE41" s="344" t="s">
        <v>5296</v>
      </c>
    </row>
    <row r="42" spans="1:31" x14ac:dyDescent="0.2">
      <c r="A42" s="348" t="s">
        <v>2220</v>
      </c>
      <c r="B42" s="344" t="s">
        <v>2192</v>
      </c>
      <c r="C42" s="344" t="s">
        <v>5297</v>
      </c>
      <c r="D42" s="344" t="s">
        <v>5297</v>
      </c>
      <c r="E42" s="344" t="s">
        <v>5297</v>
      </c>
      <c r="F42" s="344" t="s">
        <v>5297</v>
      </c>
      <c r="G42" s="344" t="s">
        <v>5297</v>
      </c>
      <c r="H42" s="344" t="s">
        <v>5297</v>
      </c>
      <c r="I42" s="344" t="s">
        <v>5297</v>
      </c>
      <c r="J42" s="344" t="s">
        <v>5297</v>
      </c>
      <c r="K42" s="344" t="s">
        <v>5297</v>
      </c>
      <c r="L42" s="344" t="s">
        <v>5297</v>
      </c>
      <c r="M42" s="344" t="s">
        <v>5297</v>
      </c>
      <c r="N42" s="344" t="s">
        <v>5297</v>
      </c>
      <c r="O42" s="344" t="s">
        <v>5297</v>
      </c>
      <c r="P42" s="344" t="s">
        <v>5297</v>
      </c>
      <c r="Q42" s="344" t="s">
        <v>5297</v>
      </c>
      <c r="R42" s="344" t="s">
        <v>5297</v>
      </c>
      <c r="S42" s="344" t="s">
        <v>5297</v>
      </c>
      <c r="T42" s="344" t="s">
        <v>5297</v>
      </c>
      <c r="U42" s="344" t="s">
        <v>5297</v>
      </c>
      <c r="V42" s="344" t="s">
        <v>5297</v>
      </c>
      <c r="W42" s="344" t="s">
        <v>5297</v>
      </c>
      <c r="X42" s="344" t="s">
        <v>5297</v>
      </c>
      <c r="Y42" s="344" t="s">
        <v>5297</v>
      </c>
      <c r="Z42" s="344" t="s">
        <v>5297</v>
      </c>
      <c r="AA42" s="344" t="s">
        <v>5297</v>
      </c>
      <c r="AB42" s="344" t="s">
        <v>5297</v>
      </c>
      <c r="AC42" s="344" t="s">
        <v>5297</v>
      </c>
      <c r="AD42" s="344" t="s">
        <v>5297</v>
      </c>
      <c r="AE42" s="344" t="s">
        <v>5297</v>
      </c>
    </row>
    <row r="43" spans="1:31" x14ac:dyDescent="0.2">
      <c r="A43" s="348" t="s">
        <v>2220</v>
      </c>
      <c r="B43" s="344" t="s">
        <v>2192</v>
      </c>
      <c r="C43" s="344" t="s">
        <v>5298</v>
      </c>
      <c r="D43" s="344" t="s">
        <v>5298</v>
      </c>
      <c r="E43" s="344" t="s">
        <v>5298</v>
      </c>
      <c r="F43" s="344" t="s">
        <v>5298</v>
      </c>
      <c r="G43" s="344" t="s">
        <v>5298</v>
      </c>
      <c r="H43" s="344" t="s">
        <v>5298</v>
      </c>
      <c r="I43" s="344" t="s">
        <v>5298</v>
      </c>
      <c r="J43" s="344" t="s">
        <v>5298</v>
      </c>
      <c r="K43" s="344" t="s">
        <v>5298</v>
      </c>
      <c r="L43" s="344" t="s">
        <v>5298</v>
      </c>
      <c r="M43" s="344" t="s">
        <v>5298</v>
      </c>
      <c r="N43" s="344" t="s">
        <v>5298</v>
      </c>
      <c r="O43" s="344" t="s">
        <v>5298</v>
      </c>
      <c r="P43" s="344" t="s">
        <v>5298</v>
      </c>
      <c r="Q43" s="344" t="s">
        <v>5298</v>
      </c>
      <c r="R43" s="344" t="s">
        <v>5298</v>
      </c>
      <c r="S43" s="344" t="s">
        <v>5298</v>
      </c>
      <c r="T43" s="344" t="s">
        <v>5298</v>
      </c>
      <c r="U43" s="344" t="s">
        <v>5298</v>
      </c>
      <c r="V43" s="344" t="s">
        <v>5298</v>
      </c>
      <c r="W43" s="344" t="s">
        <v>5298</v>
      </c>
      <c r="X43" s="344" t="s">
        <v>5298</v>
      </c>
      <c r="Y43" s="344" t="s">
        <v>5298</v>
      </c>
      <c r="Z43" s="344" t="s">
        <v>5298</v>
      </c>
      <c r="AA43" s="344" t="s">
        <v>5298</v>
      </c>
      <c r="AB43" s="344" t="s">
        <v>5298</v>
      </c>
      <c r="AC43" s="344" t="s">
        <v>5298</v>
      </c>
      <c r="AD43" s="344" t="s">
        <v>5298</v>
      </c>
      <c r="AE43" s="344" t="s">
        <v>5298</v>
      </c>
    </row>
    <row r="44" spans="1:31" x14ac:dyDescent="0.2">
      <c r="A44" s="348" t="s">
        <v>2220</v>
      </c>
      <c r="B44" s="344" t="s">
        <v>2192</v>
      </c>
      <c r="C44" s="344" t="s">
        <v>5299</v>
      </c>
      <c r="D44" s="344" t="s">
        <v>5299</v>
      </c>
      <c r="E44" s="344" t="s">
        <v>5299</v>
      </c>
      <c r="F44" s="344" t="s">
        <v>5299</v>
      </c>
      <c r="G44" s="344" t="s">
        <v>5299</v>
      </c>
      <c r="H44" s="344" t="s">
        <v>5299</v>
      </c>
      <c r="I44" s="344" t="s">
        <v>5299</v>
      </c>
      <c r="J44" s="344" t="s">
        <v>5299</v>
      </c>
      <c r="K44" s="344" t="s">
        <v>5299</v>
      </c>
      <c r="L44" s="344" t="s">
        <v>5299</v>
      </c>
      <c r="M44" s="344" t="s">
        <v>5299</v>
      </c>
      <c r="N44" s="344" t="s">
        <v>5299</v>
      </c>
      <c r="O44" s="344" t="s">
        <v>5299</v>
      </c>
      <c r="P44" s="344" t="s">
        <v>5299</v>
      </c>
      <c r="Q44" s="344" t="s">
        <v>5299</v>
      </c>
      <c r="R44" s="344" t="s">
        <v>5299</v>
      </c>
      <c r="S44" s="344" t="s">
        <v>5299</v>
      </c>
      <c r="T44" s="344" t="s">
        <v>5299</v>
      </c>
      <c r="U44" s="344" t="s">
        <v>5299</v>
      </c>
      <c r="V44" s="344" t="s">
        <v>5299</v>
      </c>
      <c r="W44" s="344" t="s">
        <v>5299</v>
      </c>
      <c r="X44" s="344" t="s">
        <v>5299</v>
      </c>
      <c r="Y44" s="344" t="s">
        <v>5299</v>
      </c>
      <c r="Z44" s="344" t="s">
        <v>5299</v>
      </c>
      <c r="AA44" s="344" t="s">
        <v>5299</v>
      </c>
      <c r="AB44" s="344" t="s">
        <v>5299</v>
      </c>
      <c r="AC44" s="344" t="s">
        <v>5299</v>
      </c>
      <c r="AD44" s="344" t="s">
        <v>5299</v>
      </c>
      <c r="AE44" s="344" t="s">
        <v>5299</v>
      </c>
    </row>
    <row r="45" spans="1:31" x14ac:dyDescent="0.2">
      <c r="A45" s="348" t="s">
        <v>2220</v>
      </c>
      <c r="B45" s="344" t="s">
        <v>2192</v>
      </c>
      <c r="C45" s="344" t="s">
        <v>5300</v>
      </c>
      <c r="D45" s="344" t="s">
        <v>5300</v>
      </c>
      <c r="E45" s="344" t="s">
        <v>5300</v>
      </c>
      <c r="F45" s="344" t="s">
        <v>5300</v>
      </c>
      <c r="G45" s="344" t="s">
        <v>5300</v>
      </c>
      <c r="H45" s="344" t="s">
        <v>5300</v>
      </c>
      <c r="I45" s="344" t="s">
        <v>5300</v>
      </c>
      <c r="J45" s="344" t="s">
        <v>5300</v>
      </c>
      <c r="K45" s="344" t="s">
        <v>5300</v>
      </c>
      <c r="L45" s="344" t="s">
        <v>5300</v>
      </c>
      <c r="M45" s="344" t="s">
        <v>5300</v>
      </c>
      <c r="N45" s="344" t="s">
        <v>5300</v>
      </c>
      <c r="O45" s="344" t="s">
        <v>5300</v>
      </c>
      <c r="P45" s="344" t="s">
        <v>5300</v>
      </c>
      <c r="Q45" s="344" t="s">
        <v>5300</v>
      </c>
      <c r="R45" s="344" t="s">
        <v>5300</v>
      </c>
      <c r="S45" s="344" t="s">
        <v>5300</v>
      </c>
      <c r="T45" s="344" t="s">
        <v>5300</v>
      </c>
      <c r="U45" s="344" t="s">
        <v>5300</v>
      </c>
      <c r="V45" s="344" t="s">
        <v>5300</v>
      </c>
      <c r="W45" s="344" t="s">
        <v>5300</v>
      </c>
      <c r="X45" s="344" t="s">
        <v>5300</v>
      </c>
      <c r="Y45" s="344" t="s">
        <v>5300</v>
      </c>
      <c r="Z45" s="344" t="s">
        <v>5300</v>
      </c>
      <c r="AA45" s="344" t="s">
        <v>5300</v>
      </c>
      <c r="AB45" s="344" t="s">
        <v>5300</v>
      </c>
      <c r="AC45" s="344" t="s">
        <v>5300</v>
      </c>
      <c r="AD45" s="344" t="s">
        <v>5300</v>
      </c>
      <c r="AE45" s="344" t="s">
        <v>5300</v>
      </c>
    </row>
    <row r="46" spans="1:31" x14ac:dyDescent="0.2">
      <c r="A46" s="348" t="s">
        <v>2220</v>
      </c>
      <c r="B46" s="344" t="s">
        <v>2192</v>
      </c>
      <c r="C46" s="344" t="s">
        <v>5301</v>
      </c>
      <c r="D46" s="344" t="s">
        <v>5301</v>
      </c>
      <c r="E46" s="344" t="s">
        <v>5301</v>
      </c>
      <c r="F46" s="344" t="s">
        <v>5301</v>
      </c>
      <c r="G46" s="344" t="s">
        <v>5301</v>
      </c>
      <c r="H46" s="344" t="s">
        <v>5301</v>
      </c>
      <c r="I46" s="344" t="s">
        <v>5301</v>
      </c>
      <c r="J46" s="344" t="s">
        <v>5301</v>
      </c>
      <c r="K46" s="344" t="s">
        <v>5301</v>
      </c>
      <c r="L46" s="344" t="s">
        <v>5301</v>
      </c>
      <c r="M46" s="344" t="s">
        <v>5301</v>
      </c>
      <c r="N46" s="344" t="s">
        <v>5301</v>
      </c>
      <c r="O46" s="344" t="s">
        <v>5301</v>
      </c>
      <c r="P46" s="344" t="s">
        <v>5301</v>
      </c>
      <c r="Q46" s="344" t="s">
        <v>5301</v>
      </c>
      <c r="R46" s="344" t="s">
        <v>5301</v>
      </c>
      <c r="S46" s="344" t="s">
        <v>5301</v>
      </c>
      <c r="T46" s="344" t="s">
        <v>5301</v>
      </c>
      <c r="U46" s="344" t="s">
        <v>5301</v>
      </c>
      <c r="V46" s="344" t="s">
        <v>5301</v>
      </c>
      <c r="W46" s="344" t="s">
        <v>5301</v>
      </c>
      <c r="X46" s="344" t="s">
        <v>5301</v>
      </c>
      <c r="Y46" s="344" t="s">
        <v>5301</v>
      </c>
      <c r="Z46" s="344" t="s">
        <v>5301</v>
      </c>
      <c r="AA46" s="344" t="s">
        <v>5301</v>
      </c>
      <c r="AB46" s="344" t="s">
        <v>5301</v>
      </c>
      <c r="AC46" s="344" t="s">
        <v>5301</v>
      </c>
      <c r="AD46" s="344" t="s">
        <v>5301</v>
      </c>
      <c r="AE46" s="344" t="s">
        <v>5301</v>
      </c>
    </row>
    <row r="47" spans="1:31" x14ac:dyDescent="0.2">
      <c r="A47" s="348" t="s">
        <v>2220</v>
      </c>
      <c r="B47" s="344" t="s">
        <v>2192</v>
      </c>
      <c r="C47" s="344" t="s">
        <v>5302</v>
      </c>
      <c r="D47" s="344" t="s">
        <v>5302</v>
      </c>
      <c r="E47" s="344" t="s">
        <v>5302</v>
      </c>
      <c r="F47" s="344" t="s">
        <v>5302</v>
      </c>
      <c r="G47" s="344" t="s">
        <v>5302</v>
      </c>
      <c r="H47" s="344" t="s">
        <v>5302</v>
      </c>
      <c r="I47" s="344" t="s">
        <v>5302</v>
      </c>
      <c r="J47" s="344" t="s">
        <v>5302</v>
      </c>
      <c r="K47" s="344" t="s">
        <v>5302</v>
      </c>
      <c r="L47" s="344" t="s">
        <v>5302</v>
      </c>
      <c r="M47" s="344" t="s">
        <v>5302</v>
      </c>
      <c r="N47" s="344" t="s">
        <v>5302</v>
      </c>
      <c r="O47" s="344" t="s">
        <v>5302</v>
      </c>
      <c r="P47" s="344" t="s">
        <v>5302</v>
      </c>
      <c r="Q47" s="344" t="s">
        <v>5302</v>
      </c>
      <c r="R47" s="344" t="s">
        <v>5302</v>
      </c>
      <c r="S47" s="344" t="s">
        <v>5302</v>
      </c>
      <c r="T47" s="344" t="s">
        <v>5302</v>
      </c>
      <c r="U47" s="344" t="s">
        <v>5302</v>
      </c>
      <c r="V47" s="344" t="s">
        <v>5302</v>
      </c>
      <c r="W47" s="344" t="s">
        <v>5302</v>
      </c>
      <c r="X47" s="344" t="s">
        <v>5302</v>
      </c>
      <c r="Y47" s="344" t="s">
        <v>5302</v>
      </c>
      <c r="Z47" s="344" t="s">
        <v>5302</v>
      </c>
      <c r="AA47" s="344" t="s">
        <v>5302</v>
      </c>
      <c r="AB47" s="344" t="s">
        <v>5302</v>
      </c>
      <c r="AC47" s="344" t="s">
        <v>5302</v>
      </c>
      <c r="AD47" s="344" t="s">
        <v>5302</v>
      </c>
      <c r="AE47" s="344" t="s">
        <v>5302</v>
      </c>
    </row>
    <row r="48" spans="1:31" x14ac:dyDescent="0.2">
      <c r="A48" s="348" t="s">
        <v>2220</v>
      </c>
      <c r="B48" s="344" t="s">
        <v>2192</v>
      </c>
      <c r="C48" s="344" t="s">
        <v>5303</v>
      </c>
      <c r="D48" s="344" t="s">
        <v>5303</v>
      </c>
      <c r="E48" s="344" t="s">
        <v>5303</v>
      </c>
      <c r="F48" s="344" t="s">
        <v>5303</v>
      </c>
      <c r="G48" s="344" t="s">
        <v>5303</v>
      </c>
      <c r="H48" s="344" t="s">
        <v>5303</v>
      </c>
      <c r="I48" s="344" t="s">
        <v>5303</v>
      </c>
      <c r="J48" s="344" t="s">
        <v>5303</v>
      </c>
      <c r="K48" s="344" t="s">
        <v>5303</v>
      </c>
      <c r="L48" s="344" t="s">
        <v>5303</v>
      </c>
      <c r="M48" s="344" t="s">
        <v>5303</v>
      </c>
      <c r="N48" s="344" t="s">
        <v>5303</v>
      </c>
      <c r="O48" s="344" t="s">
        <v>5303</v>
      </c>
      <c r="P48" s="344" t="s">
        <v>5303</v>
      </c>
      <c r="Q48" s="344" t="s">
        <v>5303</v>
      </c>
      <c r="R48" s="344" t="s">
        <v>5303</v>
      </c>
      <c r="S48" s="344" t="s">
        <v>5303</v>
      </c>
      <c r="T48" s="344" t="s">
        <v>5303</v>
      </c>
      <c r="U48" s="344" t="s">
        <v>5303</v>
      </c>
      <c r="V48" s="344" t="s">
        <v>5303</v>
      </c>
      <c r="W48" s="344" t="s">
        <v>5303</v>
      </c>
      <c r="X48" s="344" t="s">
        <v>5303</v>
      </c>
      <c r="Y48" s="344" t="s">
        <v>5303</v>
      </c>
      <c r="Z48" s="344" t="s">
        <v>5303</v>
      </c>
      <c r="AA48" s="344" t="s">
        <v>5303</v>
      </c>
      <c r="AB48" s="344" t="s">
        <v>5303</v>
      </c>
      <c r="AC48" s="344" t="s">
        <v>5303</v>
      </c>
      <c r="AD48" s="344" t="s">
        <v>5303</v>
      </c>
      <c r="AE48" s="344" t="s">
        <v>5303</v>
      </c>
    </row>
    <row r="49" spans="1:31" x14ac:dyDescent="0.2">
      <c r="A49" s="348" t="s">
        <v>2220</v>
      </c>
      <c r="B49" s="344" t="s">
        <v>2192</v>
      </c>
      <c r="C49" s="344" t="s">
        <v>5304</v>
      </c>
      <c r="D49" s="344" t="s">
        <v>5304</v>
      </c>
      <c r="E49" s="344" t="s">
        <v>5304</v>
      </c>
      <c r="F49" s="344" t="s">
        <v>5304</v>
      </c>
      <c r="G49" s="344" t="s">
        <v>5304</v>
      </c>
      <c r="H49" s="344" t="s">
        <v>5304</v>
      </c>
      <c r="I49" s="344" t="s">
        <v>5304</v>
      </c>
      <c r="J49" s="344" t="s">
        <v>5304</v>
      </c>
      <c r="K49" s="344" t="s">
        <v>5304</v>
      </c>
      <c r="L49" s="344" t="s">
        <v>5304</v>
      </c>
      <c r="M49" s="344" t="s">
        <v>5304</v>
      </c>
      <c r="N49" s="344" t="s">
        <v>5304</v>
      </c>
      <c r="O49" s="344" t="s">
        <v>5304</v>
      </c>
      <c r="P49" s="344" t="s">
        <v>5304</v>
      </c>
      <c r="Q49" s="344" t="s">
        <v>5304</v>
      </c>
      <c r="R49" s="344" t="s">
        <v>5304</v>
      </c>
      <c r="S49" s="344" t="s">
        <v>5304</v>
      </c>
      <c r="T49" s="344" t="s">
        <v>5304</v>
      </c>
      <c r="U49" s="344" t="s">
        <v>5304</v>
      </c>
      <c r="V49" s="344" t="s">
        <v>5304</v>
      </c>
      <c r="W49" s="344" t="s">
        <v>5304</v>
      </c>
      <c r="X49" s="344" t="s">
        <v>5304</v>
      </c>
      <c r="Y49" s="344" t="s">
        <v>5304</v>
      </c>
      <c r="Z49" s="344" t="s">
        <v>5304</v>
      </c>
      <c r="AA49" s="344" t="s">
        <v>5304</v>
      </c>
      <c r="AB49" s="344" t="s">
        <v>5304</v>
      </c>
      <c r="AC49" s="344" t="s">
        <v>5304</v>
      </c>
      <c r="AD49" s="344" t="s">
        <v>5304</v>
      </c>
      <c r="AE49" s="344" t="s">
        <v>5304</v>
      </c>
    </row>
    <row r="50" spans="1:31" x14ac:dyDescent="0.2">
      <c r="A50" s="348" t="s">
        <v>2220</v>
      </c>
      <c r="B50" s="344" t="s">
        <v>2192</v>
      </c>
      <c r="C50" s="344" t="s">
        <v>5305</v>
      </c>
      <c r="D50" s="344" t="s">
        <v>5305</v>
      </c>
      <c r="E50" s="344" t="s">
        <v>5305</v>
      </c>
      <c r="F50" s="344" t="s">
        <v>5305</v>
      </c>
      <c r="G50" s="344" t="s">
        <v>5305</v>
      </c>
      <c r="H50" s="344" t="s">
        <v>5305</v>
      </c>
      <c r="I50" s="344" t="s">
        <v>5305</v>
      </c>
      <c r="J50" s="344" t="s">
        <v>5305</v>
      </c>
      <c r="K50" s="344" t="s">
        <v>5305</v>
      </c>
      <c r="L50" s="344" t="s">
        <v>5305</v>
      </c>
      <c r="M50" s="344" t="s">
        <v>5305</v>
      </c>
      <c r="N50" s="344" t="s">
        <v>5305</v>
      </c>
      <c r="O50" s="344" t="s">
        <v>5305</v>
      </c>
      <c r="P50" s="344" t="s">
        <v>5305</v>
      </c>
      <c r="Q50" s="344" t="s">
        <v>5305</v>
      </c>
      <c r="R50" s="344" t="s">
        <v>5305</v>
      </c>
      <c r="S50" s="344" t="s">
        <v>5305</v>
      </c>
      <c r="T50" s="344" t="s">
        <v>5305</v>
      </c>
      <c r="U50" s="344" t="s">
        <v>5305</v>
      </c>
      <c r="V50" s="344" t="s">
        <v>5305</v>
      </c>
      <c r="W50" s="344" t="s">
        <v>5305</v>
      </c>
      <c r="X50" s="344" t="s">
        <v>5305</v>
      </c>
      <c r="Y50" s="344" t="s">
        <v>5305</v>
      </c>
      <c r="Z50" s="344" t="s">
        <v>5305</v>
      </c>
      <c r="AA50" s="344" t="s">
        <v>5305</v>
      </c>
      <c r="AB50" s="344" t="s">
        <v>5305</v>
      </c>
      <c r="AC50" s="344" t="s">
        <v>5305</v>
      </c>
      <c r="AD50" s="344" t="s">
        <v>5305</v>
      </c>
      <c r="AE50" s="344" t="s">
        <v>5305</v>
      </c>
    </row>
    <row r="51" spans="1:31" x14ac:dyDescent="0.2">
      <c r="A51" s="348" t="s">
        <v>2220</v>
      </c>
      <c r="B51" s="344" t="s">
        <v>2192</v>
      </c>
      <c r="C51" s="344" t="s">
        <v>5306</v>
      </c>
      <c r="D51" s="344" t="s">
        <v>5306</v>
      </c>
      <c r="E51" s="344" t="s">
        <v>5306</v>
      </c>
      <c r="F51" s="344" t="s">
        <v>5306</v>
      </c>
      <c r="G51" s="344" t="s">
        <v>5306</v>
      </c>
      <c r="H51" s="344" t="s">
        <v>5306</v>
      </c>
      <c r="I51" s="344" t="s">
        <v>5306</v>
      </c>
      <c r="J51" s="344" t="s">
        <v>5306</v>
      </c>
      <c r="K51" s="344" t="s">
        <v>5306</v>
      </c>
      <c r="L51" s="344" t="s">
        <v>5306</v>
      </c>
      <c r="M51" s="344" t="s">
        <v>5306</v>
      </c>
      <c r="N51" s="344" t="s">
        <v>5306</v>
      </c>
      <c r="O51" s="344" t="s">
        <v>5306</v>
      </c>
      <c r="P51" s="344" t="s">
        <v>5306</v>
      </c>
      <c r="Q51" s="344" t="s">
        <v>5306</v>
      </c>
      <c r="R51" s="344" t="s">
        <v>5306</v>
      </c>
      <c r="S51" s="344" t="s">
        <v>5306</v>
      </c>
      <c r="T51" s="344" t="s">
        <v>5306</v>
      </c>
      <c r="U51" s="344" t="s">
        <v>5306</v>
      </c>
      <c r="V51" s="344" t="s">
        <v>5306</v>
      </c>
      <c r="W51" s="344" t="s">
        <v>5306</v>
      </c>
      <c r="X51" s="344" t="s">
        <v>5306</v>
      </c>
      <c r="Y51" s="344" t="s">
        <v>5306</v>
      </c>
      <c r="Z51" s="344" t="s">
        <v>5306</v>
      </c>
      <c r="AA51" s="344" t="s">
        <v>5306</v>
      </c>
      <c r="AB51" s="344" t="s">
        <v>5306</v>
      </c>
      <c r="AC51" s="344" t="s">
        <v>5306</v>
      </c>
      <c r="AD51" s="344" t="s">
        <v>5306</v>
      </c>
      <c r="AE51" s="344" t="s">
        <v>5306</v>
      </c>
    </row>
    <row r="52" spans="1:31" x14ac:dyDescent="0.2">
      <c r="A52" s="348" t="s">
        <v>2220</v>
      </c>
      <c r="B52" s="344" t="s">
        <v>2192</v>
      </c>
      <c r="C52" s="344" t="s">
        <v>5307</v>
      </c>
      <c r="D52" s="344" t="s">
        <v>5307</v>
      </c>
      <c r="E52" s="344" t="s">
        <v>5307</v>
      </c>
      <c r="F52" s="344" t="s">
        <v>5307</v>
      </c>
      <c r="G52" s="344" t="s">
        <v>5307</v>
      </c>
      <c r="H52" s="344" t="s">
        <v>5307</v>
      </c>
      <c r="I52" s="344" t="s">
        <v>5307</v>
      </c>
      <c r="J52" s="344" t="s">
        <v>5307</v>
      </c>
      <c r="K52" s="344" t="s">
        <v>5307</v>
      </c>
      <c r="L52" s="344" t="s">
        <v>5307</v>
      </c>
      <c r="M52" s="344" t="s">
        <v>5307</v>
      </c>
      <c r="N52" s="344" t="s">
        <v>5307</v>
      </c>
      <c r="O52" s="344" t="s">
        <v>5307</v>
      </c>
      <c r="P52" s="344" t="s">
        <v>5307</v>
      </c>
      <c r="Q52" s="344" t="s">
        <v>5307</v>
      </c>
      <c r="R52" s="344" t="s">
        <v>5307</v>
      </c>
      <c r="S52" s="344" t="s">
        <v>5307</v>
      </c>
      <c r="T52" s="344" t="s">
        <v>5307</v>
      </c>
      <c r="U52" s="344" t="s">
        <v>5307</v>
      </c>
      <c r="V52" s="344" t="s">
        <v>5307</v>
      </c>
      <c r="W52" s="344" t="s">
        <v>5307</v>
      </c>
      <c r="X52" s="344" t="s">
        <v>5307</v>
      </c>
      <c r="Y52" s="344" t="s">
        <v>5307</v>
      </c>
      <c r="Z52" s="344" t="s">
        <v>5307</v>
      </c>
      <c r="AA52" s="344" t="s">
        <v>5307</v>
      </c>
      <c r="AB52" s="344" t="s">
        <v>5307</v>
      </c>
      <c r="AC52" s="344" t="s">
        <v>5307</v>
      </c>
      <c r="AD52" s="344" t="s">
        <v>5307</v>
      </c>
      <c r="AE52" s="344" t="s">
        <v>5307</v>
      </c>
    </row>
    <row r="53" spans="1:31" x14ac:dyDescent="0.2">
      <c r="A53" s="348" t="s">
        <v>2220</v>
      </c>
      <c r="B53" s="344" t="s">
        <v>2192</v>
      </c>
      <c r="C53" s="344" t="s">
        <v>5308</v>
      </c>
      <c r="D53" s="344" t="s">
        <v>5308</v>
      </c>
      <c r="E53" s="344" t="s">
        <v>5308</v>
      </c>
      <c r="F53" s="344" t="s">
        <v>5308</v>
      </c>
      <c r="G53" s="344" t="s">
        <v>5308</v>
      </c>
      <c r="H53" s="344" t="s">
        <v>5308</v>
      </c>
      <c r="I53" s="344" t="s">
        <v>5308</v>
      </c>
      <c r="J53" s="344" t="s">
        <v>5308</v>
      </c>
      <c r="K53" s="344" t="s">
        <v>5308</v>
      </c>
      <c r="L53" s="344" t="s">
        <v>5308</v>
      </c>
      <c r="M53" s="344" t="s">
        <v>5308</v>
      </c>
      <c r="N53" s="344" t="s">
        <v>5308</v>
      </c>
      <c r="O53" s="344" t="s">
        <v>5308</v>
      </c>
      <c r="P53" s="344" t="s">
        <v>5308</v>
      </c>
      <c r="Q53" s="344" t="s">
        <v>5308</v>
      </c>
      <c r="R53" s="344" t="s">
        <v>5308</v>
      </c>
      <c r="S53" s="344" t="s">
        <v>5308</v>
      </c>
      <c r="T53" s="344" t="s">
        <v>5308</v>
      </c>
      <c r="U53" s="344" t="s">
        <v>5308</v>
      </c>
      <c r="V53" s="344" t="s">
        <v>5308</v>
      </c>
      <c r="W53" s="344" t="s">
        <v>5308</v>
      </c>
      <c r="X53" s="344" t="s">
        <v>5308</v>
      </c>
      <c r="Y53" s="344" t="s">
        <v>5308</v>
      </c>
      <c r="Z53" s="344" t="s">
        <v>5308</v>
      </c>
      <c r="AA53" s="344" t="s">
        <v>5308</v>
      </c>
      <c r="AB53" s="344" t="s">
        <v>5308</v>
      </c>
      <c r="AC53" s="344" t="s">
        <v>5308</v>
      </c>
      <c r="AD53" s="344" t="s">
        <v>5308</v>
      </c>
      <c r="AE53" s="344" t="s">
        <v>5308</v>
      </c>
    </row>
    <row r="54" spans="1:31" x14ac:dyDescent="0.2">
      <c r="A54" s="348" t="s">
        <v>2220</v>
      </c>
      <c r="B54" s="344" t="s">
        <v>2192</v>
      </c>
      <c r="C54" s="344" t="s">
        <v>5309</v>
      </c>
      <c r="D54" s="344" t="s">
        <v>5309</v>
      </c>
      <c r="E54" s="344" t="s">
        <v>5309</v>
      </c>
      <c r="F54" s="344" t="s">
        <v>5309</v>
      </c>
      <c r="G54" s="344" t="s">
        <v>5309</v>
      </c>
      <c r="H54" s="344" t="s">
        <v>5309</v>
      </c>
      <c r="I54" s="344" t="s">
        <v>5309</v>
      </c>
      <c r="J54" s="344" t="s">
        <v>5309</v>
      </c>
      <c r="K54" s="344" t="s">
        <v>5309</v>
      </c>
      <c r="L54" s="344" t="s">
        <v>5309</v>
      </c>
      <c r="M54" s="344" t="s">
        <v>5309</v>
      </c>
      <c r="N54" s="344" t="s">
        <v>5309</v>
      </c>
      <c r="O54" s="344" t="s">
        <v>5309</v>
      </c>
      <c r="P54" s="344" t="s">
        <v>5309</v>
      </c>
      <c r="Q54" s="344" t="s">
        <v>5309</v>
      </c>
      <c r="R54" s="344" t="s">
        <v>5309</v>
      </c>
      <c r="S54" s="344" t="s">
        <v>5309</v>
      </c>
      <c r="T54" s="344" t="s">
        <v>5309</v>
      </c>
      <c r="U54" s="344" t="s">
        <v>5309</v>
      </c>
      <c r="V54" s="344" t="s">
        <v>5309</v>
      </c>
      <c r="W54" s="344" t="s">
        <v>5309</v>
      </c>
      <c r="X54" s="344" t="s">
        <v>5309</v>
      </c>
      <c r="Y54" s="344" t="s">
        <v>5309</v>
      </c>
      <c r="Z54" s="344" t="s">
        <v>5309</v>
      </c>
      <c r="AA54" s="344" t="s">
        <v>5309</v>
      </c>
      <c r="AB54" s="344" t="s">
        <v>5309</v>
      </c>
      <c r="AC54" s="344" t="s">
        <v>5309</v>
      </c>
      <c r="AD54" s="344" t="s">
        <v>5309</v>
      </c>
      <c r="AE54" s="344" t="s">
        <v>5309</v>
      </c>
    </row>
    <row r="55" spans="1:31" x14ac:dyDescent="0.2">
      <c r="A55" s="348" t="s">
        <v>2220</v>
      </c>
      <c r="B55" s="344" t="s">
        <v>2192</v>
      </c>
      <c r="C55" s="344" t="s">
        <v>5310</v>
      </c>
      <c r="D55" s="344" t="s">
        <v>5310</v>
      </c>
      <c r="E55" s="344" t="s">
        <v>5310</v>
      </c>
      <c r="F55" s="344" t="s">
        <v>5310</v>
      </c>
      <c r="G55" s="344" t="s">
        <v>5310</v>
      </c>
      <c r="H55" s="344" t="s">
        <v>5310</v>
      </c>
      <c r="I55" s="344" t="s">
        <v>5310</v>
      </c>
      <c r="J55" s="344" t="s">
        <v>5310</v>
      </c>
      <c r="K55" s="344" t="s">
        <v>5310</v>
      </c>
      <c r="L55" s="344" t="s">
        <v>5310</v>
      </c>
      <c r="M55" s="344" t="s">
        <v>5310</v>
      </c>
      <c r="N55" s="344" t="s">
        <v>5310</v>
      </c>
      <c r="O55" s="344" t="s">
        <v>5310</v>
      </c>
      <c r="P55" s="344" t="s">
        <v>5310</v>
      </c>
      <c r="Q55" s="344" t="s">
        <v>5310</v>
      </c>
      <c r="R55" s="344" t="s">
        <v>5310</v>
      </c>
      <c r="S55" s="344" t="s">
        <v>5310</v>
      </c>
      <c r="T55" s="344" t="s">
        <v>5310</v>
      </c>
      <c r="U55" s="344" t="s">
        <v>5310</v>
      </c>
      <c r="V55" s="344" t="s">
        <v>5310</v>
      </c>
      <c r="W55" s="344" t="s">
        <v>5310</v>
      </c>
      <c r="X55" s="344" t="s">
        <v>5310</v>
      </c>
      <c r="Y55" s="344" t="s">
        <v>5310</v>
      </c>
      <c r="Z55" s="344" t="s">
        <v>5310</v>
      </c>
      <c r="AA55" s="344" t="s">
        <v>5310</v>
      </c>
      <c r="AB55" s="344" t="s">
        <v>5310</v>
      </c>
      <c r="AC55" s="344" t="s">
        <v>5310</v>
      </c>
      <c r="AD55" s="344" t="s">
        <v>5310</v>
      </c>
      <c r="AE55" s="344" t="s">
        <v>5310</v>
      </c>
    </row>
    <row r="56" spans="1:31" x14ac:dyDescent="0.2">
      <c r="A56" s="348" t="s">
        <v>2220</v>
      </c>
      <c r="B56" s="344" t="s">
        <v>2192</v>
      </c>
      <c r="C56" s="344" t="s">
        <v>5311</v>
      </c>
      <c r="D56" s="344" t="s">
        <v>5311</v>
      </c>
      <c r="E56" s="344" t="s">
        <v>5311</v>
      </c>
      <c r="F56" s="344" t="s">
        <v>5311</v>
      </c>
      <c r="G56" s="344" t="s">
        <v>5311</v>
      </c>
      <c r="H56" s="344" t="s">
        <v>5311</v>
      </c>
      <c r="I56" s="344" t="s">
        <v>5311</v>
      </c>
      <c r="J56" s="344" t="s">
        <v>5311</v>
      </c>
      <c r="K56" s="344" t="s">
        <v>5311</v>
      </c>
      <c r="L56" s="344" t="s">
        <v>5311</v>
      </c>
      <c r="M56" s="344" t="s">
        <v>5311</v>
      </c>
      <c r="N56" s="344" t="s">
        <v>5311</v>
      </c>
      <c r="O56" s="344" t="s">
        <v>5311</v>
      </c>
      <c r="P56" s="344" t="s">
        <v>5311</v>
      </c>
      <c r="Q56" s="344" t="s">
        <v>5311</v>
      </c>
      <c r="R56" s="344" t="s">
        <v>5311</v>
      </c>
      <c r="S56" s="344" t="s">
        <v>5311</v>
      </c>
      <c r="T56" s="344" t="s">
        <v>5311</v>
      </c>
      <c r="U56" s="344" t="s">
        <v>5311</v>
      </c>
      <c r="V56" s="344" t="s">
        <v>5311</v>
      </c>
      <c r="W56" s="344" t="s">
        <v>5311</v>
      </c>
      <c r="X56" s="344" t="s">
        <v>5311</v>
      </c>
      <c r="Y56" s="344" t="s">
        <v>5311</v>
      </c>
      <c r="Z56" s="344" t="s">
        <v>5311</v>
      </c>
      <c r="AA56" s="344" t="s">
        <v>5311</v>
      </c>
      <c r="AB56" s="344" t="s">
        <v>5311</v>
      </c>
      <c r="AC56" s="344" t="s">
        <v>5311</v>
      </c>
      <c r="AD56" s="344" t="s">
        <v>5311</v>
      </c>
      <c r="AE56" s="344" t="s">
        <v>5311</v>
      </c>
    </row>
    <row r="57" spans="1:31" x14ac:dyDescent="0.2">
      <c r="A57" s="348" t="s">
        <v>2220</v>
      </c>
      <c r="B57" s="344" t="s">
        <v>2192</v>
      </c>
      <c r="C57" s="344" t="s">
        <v>5312</v>
      </c>
      <c r="D57" s="344" t="s">
        <v>5312</v>
      </c>
      <c r="E57" s="344" t="s">
        <v>5312</v>
      </c>
      <c r="F57" s="344" t="s">
        <v>5312</v>
      </c>
      <c r="G57" s="344" t="s">
        <v>5312</v>
      </c>
      <c r="H57" s="344" t="s">
        <v>5312</v>
      </c>
      <c r="I57" s="344" t="s">
        <v>5312</v>
      </c>
      <c r="J57" s="344" t="s">
        <v>5312</v>
      </c>
      <c r="K57" s="344" t="s">
        <v>5312</v>
      </c>
      <c r="L57" s="344" t="s">
        <v>5312</v>
      </c>
      <c r="M57" s="344" t="s">
        <v>5312</v>
      </c>
      <c r="N57" s="344" t="s">
        <v>5312</v>
      </c>
      <c r="O57" s="344" t="s">
        <v>5312</v>
      </c>
      <c r="P57" s="344" t="s">
        <v>5312</v>
      </c>
      <c r="Q57" s="344" t="s">
        <v>5312</v>
      </c>
      <c r="R57" s="344" t="s">
        <v>5312</v>
      </c>
      <c r="S57" s="344" t="s">
        <v>5312</v>
      </c>
      <c r="T57" s="344" t="s">
        <v>5312</v>
      </c>
      <c r="U57" s="344" t="s">
        <v>5312</v>
      </c>
      <c r="V57" s="344" t="s">
        <v>5312</v>
      </c>
      <c r="W57" s="344" t="s">
        <v>5312</v>
      </c>
      <c r="X57" s="344" t="s">
        <v>5312</v>
      </c>
      <c r="Y57" s="344" t="s">
        <v>5312</v>
      </c>
      <c r="Z57" s="344" t="s">
        <v>5312</v>
      </c>
      <c r="AA57" s="344" t="s">
        <v>5312</v>
      </c>
      <c r="AB57" s="344" t="s">
        <v>5312</v>
      </c>
      <c r="AC57" s="344" t="s">
        <v>5312</v>
      </c>
      <c r="AD57" s="344" t="s">
        <v>5312</v>
      </c>
      <c r="AE57" s="344" t="s">
        <v>5312</v>
      </c>
    </row>
    <row r="58" spans="1:31" x14ac:dyDescent="0.2">
      <c r="A58" s="348" t="s">
        <v>2220</v>
      </c>
      <c r="B58" s="344" t="s">
        <v>2192</v>
      </c>
      <c r="C58" s="344" t="s">
        <v>5313</v>
      </c>
      <c r="D58" s="344" t="s">
        <v>5313</v>
      </c>
      <c r="E58" s="344" t="s">
        <v>5313</v>
      </c>
      <c r="F58" s="344" t="s">
        <v>5313</v>
      </c>
      <c r="G58" s="344" t="s">
        <v>5313</v>
      </c>
      <c r="H58" s="344" t="s">
        <v>5313</v>
      </c>
      <c r="I58" s="344" t="s">
        <v>5313</v>
      </c>
      <c r="J58" s="344" t="s">
        <v>5313</v>
      </c>
      <c r="K58" s="344" t="s">
        <v>5313</v>
      </c>
      <c r="L58" s="344" t="s">
        <v>5313</v>
      </c>
      <c r="M58" s="344" t="s">
        <v>5313</v>
      </c>
      <c r="N58" s="344" t="s">
        <v>5313</v>
      </c>
      <c r="O58" s="344" t="s">
        <v>5313</v>
      </c>
      <c r="P58" s="344" t="s">
        <v>5313</v>
      </c>
      <c r="Q58" s="344" t="s">
        <v>5313</v>
      </c>
      <c r="R58" s="344" t="s">
        <v>5313</v>
      </c>
      <c r="S58" s="344" t="s">
        <v>5313</v>
      </c>
      <c r="T58" s="344" t="s">
        <v>5313</v>
      </c>
      <c r="U58" s="344" t="s">
        <v>5313</v>
      </c>
      <c r="V58" s="344" t="s">
        <v>5313</v>
      </c>
      <c r="W58" s="344" t="s">
        <v>5313</v>
      </c>
      <c r="X58" s="344" t="s">
        <v>5313</v>
      </c>
      <c r="Y58" s="344" t="s">
        <v>5313</v>
      </c>
      <c r="Z58" s="344" t="s">
        <v>5313</v>
      </c>
      <c r="AA58" s="344" t="s">
        <v>5313</v>
      </c>
      <c r="AB58" s="344" t="s">
        <v>5313</v>
      </c>
      <c r="AC58" s="344" t="s">
        <v>5313</v>
      </c>
      <c r="AD58" s="344" t="s">
        <v>5313</v>
      </c>
      <c r="AE58" s="344" t="s">
        <v>5313</v>
      </c>
    </row>
    <row r="59" spans="1:31" x14ac:dyDescent="0.2">
      <c r="A59" s="348" t="s">
        <v>2220</v>
      </c>
      <c r="B59" s="344" t="s">
        <v>2192</v>
      </c>
      <c r="C59" s="344" t="s">
        <v>5314</v>
      </c>
      <c r="D59" s="344" t="s">
        <v>5314</v>
      </c>
      <c r="E59" s="344" t="s">
        <v>5314</v>
      </c>
      <c r="F59" s="344" t="s">
        <v>5314</v>
      </c>
      <c r="G59" s="344" t="s">
        <v>5314</v>
      </c>
      <c r="H59" s="344" t="s">
        <v>5314</v>
      </c>
      <c r="I59" s="344" t="s">
        <v>5314</v>
      </c>
      <c r="J59" s="344" t="s">
        <v>5314</v>
      </c>
      <c r="K59" s="344" t="s">
        <v>5314</v>
      </c>
      <c r="L59" s="344" t="s">
        <v>5314</v>
      </c>
      <c r="M59" s="344" t="s">
        <v>5314</v>
      </c>
      <c r="N59" s="344" t="s">
        <v>5314</v>
      </c>
      <c r="O59" s="344" t="s">
        <v>5314</v>
      </c>
      <c r="P59" s="344" t="s">
        <v>5314</v>
      </c>
      <c r="Q59" s="344" t="s">
        <v>5314</v>
      </c>
      <c r="R59" s="344" t="s">
        <v>5314</v>
      </c>
      <c r="S59" s="344" t="s">
        <v>5314</v>
      </c>
      <c r="T59" s="344" t="s">
        <v>5314</v>
      </c>
      <c r="U59" s="344" t="s">
        <v>5314</v>
      </c>
      <c r="V59" s="344" t="s">
        <v>5314</v>
      </c>
      <c r="W59" s="344" t="s">
        <v>5314</v>
      </c>
      <c r="X59" s="344" t="s">
        <v>5314</v>
      </c>
      <c r="Y59" s="344" t="s">
        <v>5314</v>
      </c>
      <c r="Z59" s="344" t="s">
        <v>5314</v>
      </c>
      <c r="AA59" s="344" t="s">
        <v>5314</v>
      </c>
      <c r="AB59" s="344" t="s">
        <v>5314</v>
      </c>
      <c r="AC59" s="344" t="s">
        <v>5314</v>
      </c>
      <c r="AD59" s="344" t="s">
        <v>5314</v>
      </c>
      <c r="AE59" s="344" t="s">
        <v>5314</v>
      </c>
    </row>
    <row r="60" spans="1:31" x14ac:dyDescent="0.2">
      <c r="A60" s="348" t="s">
        <v>2220</v>
      </c>
      <c r="B60" s="344" t="s">
        <v>2192</v>
      </c>
      <c r="C60" s="344" t="s">
        <v>5315</v>
      </c>
      <c r="D60" s="344" t="s">
        <v>5315</v>
      </c>
      <c r="E60" s="344" t="s">
        <v>5315</v>
      </c>
      <c r="F60" s="344" t="s">
        <v>5315</v>
      </c>
      <c r="G60" s="344" t="s">
        <v>5315</v>
      </c>
      <c r="H60" s="344" t="s">
        <v>5315</v>
      </c>
      <c r="I60" s="344" t="s">
        <v>5315</v>
      </c>
      <c r="J60" s="344" t="s">
        <v>5315</v>
      </c>
      <c r="K60" s="344" t="s">
        <v>5315</v>
      </c>
      <c r="L60" s="344" t="s">
        <v>5315</v>
      </c>
      <c r="M60" s="344" t="s">
        <v>5315</v>
      </c>
      <c r="N60" s="344" t="s">
        <v>5315</v>
      </c>
      <c r="O60" s="344" t="s">
        <v>5315</v>
      </c>
      <c r="P60" s="344" t="s">
        <v>5315</v>
      </c>
      <c r="Q60" s="344" t="s">
        <v>5315</v>
      </c>
      <c r="R60" s="344" t="s">
        <v>5315</v>
      </c>
      <c r="S60" s="344" t="s">
        <v>5315</v>
      </c>
      <c r="T60" s="344" t="s">
        <v>5315</v>
      </c>
      <c r="U60" s="344" t="s">
        <v>5315</v>
      </c>
      <c r="V60" s="344" t="s">
        <v>5315</v>
      </c>
      <c r="W60" s="344" t="s">
        <v>5315</v>
      </c>
      <c r="X60" s="344" t="s">
        <v>5315</v>
      </c>
      <c r="Y60" s="344" t="s">
        <v>5315</v>
      </c>
      <c r="Z60" s="344" t="s">
        <v>5315</v>
      </c>
      <c r="AA60" s="344" t="s">
        <v>5315</v>
      </c>
      <c r="AB60" s="344" t="s">
        <v>5315</v>
      </c>
      <c r="AC60" s="344" t="s">
        <v>5315</v>
      </c>
      <c r="AD60" s="344" t="s">
        <v>5315</v>
      </c>
      <c r="AE60" s="344" t="s">
        <v>5315</v>
      </c>
    </row>
    <row r="61" spans="1:31" x14ac:dyDescent="0.2">
      <c r="A61" s="348"/>
      <c r="B61" s="344"/>
      <c r="C61" s="344"/>
      <c r="D61" s="344"/>
      <c r="E61" s="344"/>
      <c r="F61" s="344"/>
      <c r="G61" s="344"/>
      <c r="H61" s="344"/>
      <c r="I61" s="344"/>
      <c r="J61" s="344"/>
      <c r="K61" s="344"/>
      <c r="L61" s="344"/>
      <c r="M61" s="344"/>
      <c r="N61" s="344"/>
      <c r="O61" s="344"/>
      <c r="P61" s="344"/>
      <c r="Q61" s="344"/>
      <c r="R61" s="344"/>
      <c r="S61" s="344"/>
      <c r="T61" s="344"/>
      <c r="U61" s="344"/>
      <c r="V61" s="344"/>
      <c r="W61" s="344"/>
      <c r="X61" s="344"/>
      <c r="Y61" s="344"/>
      <c r="Z61" s="344"/>
      <c r="AA61" s="344"/>
      <c r="AB61" s="344"/>
      <c r="AC61" s="344"/>
      <c r="AD61" s="344"/>
    </row>
    <row r="62" spans="1:31" x14ac:dyDescent="0.2">
      <c r="A62" s="348"/>
      <c r="B62" s="344"/>
      <c r="C62" s="344"/>
      <c r="D62" s="344"/>
      <c r="E62" s="344"/>
      <c r="F62" s="344"/>
      <c r="G62" s="344"/>
      <c r="H62" s="344"/>
      <c r="I62" s="344"/>
      <c r="J62" s="344"/>
      <c r="K62" s="344"/>
      <c r="L62" s="344"/>
      <c r="M62" s="344"/>
      <c r="N62" s="344"/>
      <c r="O62" s="344"/>
      <c r="P62" s="344"/>
      <c r="Q62" s="344"/>
      <c r="R62" s="344"/>
      <c r="S62" s="344"/>
      <c r="T62" s="344"/>
      <c r="U62" s="344"/>
      <c r="V62" s="344"/>
      <c r="W62" s="344"/>
      <c r="X62" s="344"/>
      <c r="Y62" s="344"/>
      <c r="Z62" s="344"/>
      <c r="AA62" s="344"/>
      <c r="AB62" s="344"/>
      <c r="AC62" s="344"/>
      <c r="AD62" s="344"/>
    </row>
    <row r="63" spans="1:31" x14ac:dyDescent="0.2">
      <c r="A63" s="348"/>
      <c r="B63" s="344"/>
      <c r="C63" s="344"/>
      <c r="D63" s="344"/>
      <c r="E63" s="344"/>
      <c r="F63" s="344"/>
      <c r="G63" s="344"/>
      <c r="H63" s="344"/>
      <c r="I63" s="344"/>
      <c r="J63" s="344"/>
      <c r="K63" s="344"/>
      <c r="L63" s="344"/>
      <c r="M63" s="344"/>
      <c r="N63" s="344"/>
      <c r="O63" s="344"/>
      <c r="P63" s="344"/>
      <c r="Q63" s="344"/>
      <c r="R63" s="344"/>
      <c r="S63" s="344"/>
      <c r="T63" s="344"/>
      <c r="U63" s="344"/>
      <c r="V63" s="344"/>
      <c r="W63" s="344"/>
      <c r="X63" s="344"/>
      <c r="Y63" s="344"/>
      <c r="Z63" s="344"/>
      <c r="AA63" s="344"/>
      <c r="AB63" s="344"/>
      <c r="AC63" s="344"/>
      <c r="AD63" s="344"/>
    </row>
    <row r="64" spans="1:31" x14ac:dyDescent="0.2">
      <c r="A64" s="348"/>
      <c r="B64" s="344"/>
      <c r="C64" s="344"/>
      <c r="D64" s="344"/>
      <c r="E64" s="344"/>
      <c r="F64" s="344"/>
      <c r="G64" s="344"/>
      <c r="H64" s="344"/>
      <c r="I64" s="344"/>
      <c r="J64" s="344"/>
      <c r="K64" s="344"/>
      <c r="L64" s="344"/>
      <c r="M64" s="344"/>
      <c r="N64" s="344"/>
      <c r="O64" s="344"/>
      <c r="P64" s="344"/>
      <c r="Q64" s="344"/>
      <c r="R64" s="344"/>
      <c r="S64" s="344"/>
      <c r="T64" s="344"/>
      <c r="U64" s="344"/>
      <c r="V64" s="344"/>
      <c r="W64" s="344"/>
      <c r="X64" s="344"/>
      <c r="Y64" s="344"/>
      <c r="Z64" s="344"/>
      <c r="AA64" s="344"/>
      <c r="AB64" s="344"/>
      <c r="AC64" s="344"/>
      <c r="AD64" s="344"/>
    </row>
    <row r="65" spans="1:30" x14ac:dyDescent="0.2">
      <c r="A65" s="348"/>
      <c r="B65" s="344"/>
      <c r="C65" s="344"/>
      <c r="D65" s="344"/>
      <c r="E65" s="344"/>
      <c r="F65" s="344"/>
      <c r="G65" s="344"/>
      <c r="H65" s="344"/>
      <c r="I65" s="344"/>
      <c r="J65" s="344"/>
      <c r="K65" s="344"/>
      <c r="L65" s="344"/>
      <c r="M65" s="344"/>
      <c r="N65" s="344"/>
      <c r="O65" s="344"/>
      <c r="P65" s="344"/>
      <c r="Q65" s="344"/>
      <c r="R65" s="344"/>
      <c r="S65" s="344"/>
      <c r="T65" s="344"/>
      <c r="U65" s="344"/>
      <c r="V65" s="344"/>
      <c r="W65" s="344"/>
      <c r="X65" s="344"/>
      <c r="Y65" s="344"/>
      <c r="Z65" s="344"/>
      <c r="AA65" s="344"/>
      <c r="AB65" s="344"/>
      <c r="AC65" s="344"/>
      <c r="AD65" s="344"/>
    </row>
    <row r="66" spans="1:30" x14ac:dyDescent="0.2">
      <c r="A66" s="348"/>
      <c r="B66" s="344"/>
      <c r="C66" s="344"/>
      <c r="D66" s="344"/>
      <c r="E66" s="344"/>
      <c r="F66" s="344"/>
      <c r="G66" s="344"/>
      <c r="H66" s="344"/>
      <c r="I66" s="344"/>
      <c r="J66" s="344"/>
      <c r="K66" s="344"/>
      <c r="L66" s="344"/>
      <c r="M66" s="344"/>
      <c r="N66" s="344"/>
      <c r="O66" s="344"/>
      <c r="P66" s="344"/>
      <c r="Q66" s="344"/>
      <c r="R66" s="344"/>
      <c r="S66" s="344"/>
      <c r="T66" s="344"/>
      <c r="U66" s="344"/>
      <c r="V66" s="344"/>
      <c r="W66" s="344"/>
      <c r="X66" s="344"/>
      <c r="Y66" s="344"/>
      <c r="Z66" s="344"/>
      <c r="AA66" s="344"/>
      <c r="AB66" s="344"/>
      <c r="AC66" s="344"/>
      <c r="AD66" s="344"/>
    </row>
    <row r="67" spans="1:30" x14ac:dyDescent="0.2">
      <c r="A67" s="348"/>
      <c r="B67" s="344"/>
      <c r="C67" s="344"/>
      <c r="D67" s="344"/>
      <c r="E67" s="344"/>
      <c r="F67" s="344"/>
      <c r="G67" s="344"/>
      <c r="H67" s="344"/>
      <c r="I67" s="344"/>
      <c r="J67" s="344"/>
      <c r="K67" s="344"/>
      <c r="L67" s="344"/>
      <c r="M67" s="344"/>
      <c r="N67" s="344"/>
      <c r="O67" s="344"/>
      <c r="P67" s="344"/>
      <c r="Q67" s="344"/>
      <c r="R67" s="344"/>
      <c r="S67" s="344"/>
      <c r="T67" s="344"/>
      <c r="U67" s="344"/>
      <c r="V67" s="344"/>
      <c r="W67" s="344"/>
      <c r="X67" s="344"/>
      <c r="Y67" s="344"/>
      <c r="Z67" s="344"/>
      <c r="AA67" s="344"/>
      <c r="AB67" s="344"/>
      <c r="AC67" s="344"/>
      <c r="AD67" s="344"/>
    </row>
    <row r="68" spans="1:30" x14ac:dyDescent="0.2">
      <c r="A68" s="348"/>
      <c r="B68" s="344"/>
      <c r="C68" s="344"/>
      <c r="D68" s="344"/>
      <c r="E68" s="344"/>
      <c r="F68" s="344"/>
      <c r="G68" s="344"/>
      <c r="H68" s="344"/>
      <c r="I68" s="344"/>
      <c r="J68" s="344"/>
      <c r="K68" s="344"/>
      <c r="L68" s="344"/>
      <c r="M68" s="344"/>
      <c r="N68" s="344"/>
      <c r="O68" s="344"/>
      <c r="P68" s="344"/>
      <c r="Q68" s="344"/>
      <c r="R68" s="344"/>
      <c r="S68" s="344"/>
      <c r="T68" s="344"/>
      <c r="U68" s="344"/>
      <c r="V68" s="344"/>
      <c r="W68" s="344"/>
      <c r="X68" s="344"/>
      <c r="Y68" s="344"/>
      <c r="Z68" s="344"/>
      <c r="AA68" s="344"/>
      <c r="AB68" s="344"/>
      <c r="AC68" s="344"/>
      <c r="AD68" s="344"/>
    </row>
    <row r="69" spans="1:30" x14ac:dyDescent="0.2">
      <c r="A69" s="348"/>
      <c r="B69" s="344"/>
      <c r="C69" s="344"/>
      <c r="D69" s="344"/>
      <c r="E69" s="344"/>
      <c r="F69" s="344"/>
      <c r="G69" s="344"/>
      <c r="H69" s="344"/>
      <c r="I69" s="344"/>
      <c r="J69" s="344"/>
      <c r="K69" s="344"/>
      <c r="L69" s="344"/>
      <c r="M69" s="344"/>
      <c r="N69" s="344"/>
      <c r="O69" s="344"/>
      <c r="P69" s="344"/>
      <c r="Q69" s="344"/>
      <c r="R69" s="344"/>
      <c r="S69" s="344"/>
      <c r="T69" s="344"/>
      <c r="U69" s="344"/>
      <c r="V69" s="344"/>
      <c r="W69" s="344"/>
      <c r="X69" s="344"/>
      <c r="Y69" s="344"/>
      <c r="Z69" s="344"/>
      <c r="AA69" s="344"/>
      <c r="AB69" s="344"/>
      <c r="AC69" s="344"/>
      <c r="AD69" s="344"/>
    </row>
    <row r="70" spans="1:30" x14ac:dyDescent="0.2">
      <c r="A70" s="348"/>
      <c r="B70" s="344"/>
      <c r="C70" s="344"/>
      <c r="D70" s="344"/>
      <c r="E70" s="344"/>
      <c r="F70" s="344"/>
      <c r="G70" s="344"/>
      <c r="H70" s="344"/>
      <c r="I70" s="344"/>
      <c r="J70" s="344"/>
      <c r="K70" s="344"/>
      <c r="L70" s="344"/>
      <c r="M70" s="344"/>
      <c r="N70" s="344"/>
      <c r="O70" s="344"/>
      <c r="P70" s="344"/>
      <c r="Q70" s="344"/>
      <c r="R70" s="344"/>
      <c r="S70" s="344"/>
      <c r="T70" s="344"/>
      <c r="U70" s="344"/>
      <c r="V70" s="344"/>
      <c r="W70" s="344"/>
      <c r="X70" s="344"/>
      <c r="Y70" s="344"/>
      <c r="Z70" s="344"/>
      <c r="AA70" s="344"/>
      <c r="AB70" s="344"/>
      <c r="AC70" s="344"/>
      <c r="AD70" s="344"/>
    </row>
    <row r="71" spans="1:30" x14ac:dyDescent="0.2">
      <c r="A71" s="348"/>
      <c r="B71" s="344"/>
      <c r="C71" s="344"/>
      <c r="D71" s="344"/>
      <c r="E71" s="344"/>
      <c r="F71" s="344"/>
      <c r="G71" s="344"/>
      <c r="H71" s="344"/>
      <c r="I71" s="344"/>
      <c r="J71" s="344"/>
      <c r="K71" s="344"/>
      <c r="L71" s="344"/>
      <c r="M71" s="344"/>
      <c r="N71" s="344"/>
      <c r="O71" s="344"/>
      <c r="P71" s="344"/>
      <c r="Q71" s="344"/>
      <c r="R71" s="344"/>
      <c r="S71" s="344"/>
      <c r="T71" s="344"/>
      <c r="U71" s="344"/>
      <c r="V71" s="344"/>
      <c r="W71" s="344"/>
      <c r="X71" s="344"/>
      <c r="Y71" s="344"/>
      <c r="Z71" s="344"/>
      <c r="AA71" s="344"/>
      <c r="AB71" s="344"/>
      <c r="AC71" s="344"/>
      <c r="AD71" s="344"/>
    </row>
    <row r="72" spans="1:30" x14ac:dyDescent="0.2">
      <c r="A72" s="348"/>
      <c r="B72" s="344"/>
      <c r="C72" s="344"/>
      <c r="D72" s="344"/>
      <c r="E72" s="344"/>
      <c r="F72" s="344"/>
      <c r="G72" s="344"/>
      <c r="H72" s="344"/>
      <c r="I72" s="344"/>
      <c r="J72" s="344"/>
      <c r="K72" s="344"/>
      <c r="L72" s="344"/>
      <c r="M72" s="344"/>
      <c r="N72" s="344"/>
      <c r="O72" s="344"/>
      <c r="P72" s="344"/>
      <c r="Q72" s="344"/>
      <c r="R72" s="344"/>
      <c r="S72" s="344"/>
      <c r="T72" s="344"/>
      <c r="U72" s="344"/>
      <c r="V72" s="344"/>
      <c r="W72" s="344"/>
      <c r="X72" s="344"/>
      <c r="Y72" s="344"/>
      <c r="Z72" s="344"/>
      <c r="AA72" s="344"/>
      <c r="AB72" s="344"/>
      <c r="AC72" s="344"/>
      <c r="AD72" s="344"/>
    </row>
    <row r="73" spans="1:30" x14ac:dyDescent="0.2">
      <c r="A73" s="348"/>
      <c r="B73" s="344"/>
      <c r="C73" s="344"/>
      <c r="D73" s="344"/>
      <c r="E73" s="344"/>
      <c r="F73" s="344"/>
      <c r="G73" s="344"/>
      <c r="H73" s="344"/>
      <c r="I73" s="344"/>
      <c r="J73" s="344"/>
      <c r="K73" s="344"/>
      <c r="L73" s="344"/>
      <c r="M73" s="344"/>
      <c r="N73" s="344"/>
      <c r="O73" s="344"/>
      <c r="P73" s="344"/>
      <c r="Q73" s="344"/>
      <c r="R73" s="344"/>
      <c r="S73" s="344"/>
      <c r="T73" s="344"/>
      <c r="U73" s="344"/>
      <c r="V73" s="344"/>
      <c r="W73" s="344"/>
      <c r="X73" s="344"/>
      <c r="Y73" s="344"/>
      <c r="Z73" s="344"/>
      <c r="AA73" s="344"/>
      <c r="AB73" s="344"/>
      <c r="AC73" s="344"/>
      <c r="AD73" s="344"/>
    </row>
    <row r="74" spans="1:30" x14ac:dyDescent="0.2">
      <c r="A74" s="348"/>
      <c r="B74" s="344"/>
      <c r="C74" s="344"/>
      <c r="D74" s="344"/>
      <c r="E74" s="344"/>
      <c r="F74" s="344"/>
      <c r="G74" s="344"/>
      <c r="H74" s="344"/>
      <c r="I74" s="344"/>
      <c r="J74" s="344"/>
      <c r="K74" s="344"/>
      <c r="L74" s="344"/>
      <c r="M74" s="344"/>
      <c r="N74" s="344"/>
      <c r="O74" s="344"/>
      <c r="P74" s="344"/>
      <c r="Q74" s="344"/>
      <c r="R74" s="344"/>
      <c r="S74" s="344"/>
      <c r="T74" s="344"/>
      <c r="U74" s="344"/>
      <c r="V74" s="344"/>
      <c r="W74" s="344"/>
      <c r="X74" s="344"/>
      <c r="Y74" s="344"/>
      <c r="Z74" s="344"/>
      <c r="AA74" s="344"/>
      <c r="AB74" s="344"/>
      <c r="AC74" s="344"/>
      <c r="AD74" s="344"/>
    </row>
    <row r="75" spans="1:30" x14ac:dyDescent="0.2">
      <c r="A75" s="348"/>
      <c r="B75" s="344"/>
      <c r="C75" s="344"/>
      <c r="D75" s="344"/>
      <c r="E75" s="344"/>
      <c r="F75" s="344"/>
      <c r="G75" s="344"/>
      <c r="H75" s="344"/>
      <c r="I75" s="344"/>
      <c r="J75" s="344"/>
      <c r="K75" s="344"/>
      <c r="L75" s="344"/>
      <c r="M75" s="344"/>
      <c r="N75" s="344"/>
      <c r="O75" s="344"/>
      <c r="P75" s="344"/>
      <c r="Q75" s="344"/>
      <c r="R75" s="344"/>
      <c r="S75" s="344"/>
      <c r="T75" s="344"/>
      <c r="U75" s="344"/>
      <c r="V75" s="344"/>
      <c r="W75" s="344"/>
      <c r="X75" s="344"/>
      <c r="Y75" s="344"/>
      <c r="Z75" s="344"/>
      <c r="AA75" s="344"/>
      <c r="AB75" s="344"/>
      <c r="AC75" s="344"/>
      <c r="AD75" s="344"/>
    </row>
    <row r="76" spans="1:30" x14ac:dyDescent="0.2">
      <c r="A76" s="348"/>
      <c r="B76" s="344"/>
      <c r="C76" s="344"/>
      <c r="D76" s="344"/>
      <c r="E76" s="344"/>
      <c r="F76" s="344"/>
      <c r="G76" s="344"/>
      <c r="H76" s="344"/>
      <c r="I76" s="344"/>
      <c r="J76" s="344"/>
      <c r="K76" s="344"/>
      <c r="L76" s="344"/>
      <c r="M76" s="344"/>
      <c r="N76" s="344"/>
      <c r="O76" s="344"/>
      <c r="P76" s="344"/>
      <c r="Q76" s="344"/>
      <c r="R76" s="344"/>
      <c r="S76" s="344"/>
      <c r="T76" s="344"/>
      <c r="U76" s="344"/>
      <c r="V76" s="344"/>
      <c r="W76" s="344"/>
      <c r="X76" s="344"/>
      <c r="Y76" s="344"/>
      <c r="Z76" s="344"/>
      <c r="AA76" s="344"/>
      <c r="AB76" s="344"/>
      <c r="AC76" s="344"/>
      <c r="AD76" s="344"/>
    </row>
    <row r="77" spans="1:30" x14ac:dyDescent="0.2">
      <c r="A77" s="348"/>
      <c r="B77" s="344"/>
      <c r="C77" s="344"/>
      <c r="D77" s="344"/>
      <c r="E77" s="344"/>
      <c r="F77" s="344"/>
      <c r="G77" s="344"/>
      <c r="H77" s="344"/>
      <c r="I77" s="344"/>
      <c r="J77" s="344"/>
      <c r="K77" s="344"/>
      <c r="L77" s="344"/>
      <c r="M77" s="344"/>
      <c r="N77" s="344"/>
      <c r="O77" s="344"/>
      <c r="P77" s="344"/>
      <c r="Q77" s="344"/>
      <c r="R77" s="344"/>
      <c r="S77" s="344"/>
      <c r="T77" s="344"/>
      <c r="U77" s="344"/>
      <c r="V77" s="344"/>
      <c r="W77" s="344"/>
      <c r="X77" s="344"/>
      <c r="Y77" s="344"/>
      <c r="Z77" s="344"/>
      <c r="AA77" s="344"/>
      <c r="AB77" s="344"/>
      <c r="AC77" s="344"/>
      <c r="AD77" s="344"/>
    </row>
    <row r="78" spans="1:30" x14ac:dyDescent="0.2">
      <c r="A78" s="348"/>
      <c r="B78" s="344"/>
      <c r="C78" s="344"/>
      <c r="D78" s="344"/>
      <c r="E78" s="344"/>
      <c r="F78" s="344"/>
      <c r="G78" s="344"/>
      <c r="H78" s="344"/>
      <c r="I78" s="344"/>
      <c r="J78" s="344"/>
      <c r="K78" s="344"/>
      <c r="L78" s="344"/>
      <c r="M78" s="344"/>
      <c r="N78" s="344"/>
      <c r="O78" s="344"/>
      <c r="P78" s="344"/>
      <c r="Q78" s="344"/>
      <c r="R78" s="344"/>
      <c r="S78" s="344"/>
      <c r="T78" s="344"/>
      <c r="U78" s="344"/>
      <c r="V78" s="344"/>
      <c r="W78" s="344"/>
      <c r="X78" s="344"/>
      <c r="Y78" s="344"/>
      <c r="Z78" s="344"/>
      <c r="AA78" s="344"/>
      <c r="AB78" s="344"/>
      <c r="AC78" s="344"/>
      <c r="AD78" s="344"/>
    </row>
    <row r="79" spans="1:30" x14ac:dyDescent="0.2">
      <c r="A79" s="348"/>
      <c r="B79" s="344"/>
      <c r="C79" s="344"/>
      <c r="D79" s="344"/>
      <c r="E79" s="344"/>
      <c r="F79" s="344"/>
      <c r="G79" s="344"/>
      <c r="H79" s="344"/>
      <c r="I79" s="344"/>
      <c r="J79" s="344"/>
      <c r="K79" s="344"/>
      <c r="L79" s="344"/>
      <c r="M79" s="344"/>
      <c r="N79" s="344"/>
      <c r="O79" s="344"/>
      <c r="P79" s="344"/>
      <c r="Q79" s="344"/>
      <c r="R79" s="344"/>
      <c r="S79" s="344"/>
      <c r="T79" s="344"/>
      <c r="U79" s="344"/>
      <c r="V79" s="344"/>
      <c r="W79" s="344"/>
      <c r="X79" s="344"/>
      <c r="Y79" s="344"/>
      <c r="Z79" s="344"/>
      <c r="AA79" s="344"/>
      <c r="AB79" s="344"/>
      <c r="AC79" s="344"/>
      <c r="AD79" s="344"/>
    </row>
    <row r="80" spans="1:30" x14ac:dyDescent="0.2">
      <c r="A80" s="348"/>
      <c r="B80" s="344"/>
      <c r="C80" s="344"/>
      <c r="D80" s="344"/>
      <c r="E80" s="344"/>
      <c r="F80" s="344"/>
      <c r="G80" s="344"/>
      <c r="H80" s="344"/>
      <c r="I80" s="344"/>
      <c r="J80" s="344"/>
      <c r="K80" s="344"/>
      <c r="L80" s="344"/>
      <c r="M80" s="344"/>
      <c r="N80" s="344"/>
      <c r="O80" s="344"/>
      <c r="P80" s="344"/>
      <c r="Q80" s="344"/>
      <c r="R80" s="344"/>
      <c r="S80" s="344"/>
      <c r="T80" s="344"/>
      <c r="U80" s="344"/>
      <c r="V80" s="344"/>
      <c r="W80" s="344"/>
      <c r="X80" s="344"/>
      <c r="Y80" s="344"/>
      <c r="Z80" s="344"/>
      <c r="AA80" s="344"/>
      <c r="AB80" s="344"/>
      <c r="AC80" s="344"/>
      <c r="AD80" s="344"/>
    </row>
    <row r="81" spans="1:30" x14ac:dyDescent="0.2">
      <c r="A81" s="348"/>
      <c r="B81" s="344"/>
      <c r="C81" s="344"/>
      <c r="D81" s="344"/>
      <c r="E81" s="344"/>
      <c r="F81" s="344"/>
      <c r="G81" s="344"/>
      <c r="H81" s="344"/>
      <c r="I81" s="344"/>
      <c r="J81" s="344"/>
      <c r="K81" s="344"/>
      <c r="L81" s="344"/>
      <c r="M81" s="344"/>
      <c r="N81" s="344"/>
      <c r="O81" s="344"/>
      <c r="P81" s="344"/>
      <c r="Q81" s="344"/>
      <c r="R81" s="344"/>
      <c r="S81" s="344"/>
      <c r="T81" s="344"/>
      <c r="U81" s="344"/>
      <c r="V81" s="344"/>
      <c r="W81" s="344"/>
      <c r="X81" s="344"/>
      <c r="Y81" s="344"/>
      <c r="Z81" s="344"/>
      <c r="AA81" s="344"/>
      <c r="AB81" s="344"/>
      <c r="AC81" s="344"/>
      <c r="AD81" s="344"/>
    </row>
    <row r="82" spans="1:30" x14ac:dyDescent="0.2">
      <c r="A82" s="348"/>
      <c r="B82" s="344"/>
      <c r="C82" s="344"/>
      <c r="D82" s="344"/>
      <c r="E82" s="344"/>
      <c r="F82" s="344"/>
      <c r="G82" s="344"/>
      <c r="H82" s="344"/>
      <c r="I82" s="344"/>
      <c r="J82" s="344"/>
      <c r="K82" s="344"/>
      <c r="L82" s="344"/>
      <c r="M82" s="344"/>
      <c r="N82" s="344"/>
      <c r="O82" s="344"/>
      <c r="P82" s="344"/>
      <c r="Q82" s="344"/>
      <c r="R82" s="344"/>
      <c r="S82" s="344"/>
      <c r="T82" s="344"/>
      <c r="U82" s="344"/>
      <c r="V82" s="344"/>
      <c r="W82" s="344"/>
      <c r="X82" s="344"/>
      <c r="Y82" s="344"/>
      <c r="Z82" s="344"/>
      <c r="AA82" s="344"/>
      <c r="AB82" s="344"/>
      <c r="AC82" s="344"/>
      <c r="AD82" s="344"/>
    </row>
    <row r="83" spans="1:30" x14ac:dyDescent="0.2">
      <c r="A83" s="348"/>
      <c r="B83" s="344"/>
      <c r="C83" s="344"/>
      <c r="D83" s="344"/>
      <c r="E83" s="344"/>
      <c r="F83" s="344"/>
      <c r="G83" s="344"/>
      <c r="H83" s="344"/>
      <c r="I83" s="344"/>
      <c r="J83" s="344"/>
      <c r="K83" s="344"/>
      <c r="L83" s="344"/>
      <c r="M83" s="344"/>
      <c r="N83" s="344"/>
      <c r="O83" s="344"/>
      <c r="P83" s="344"/>
      <c r="Q83" s="344"/>
      <c r="R83" s="344"/>
      <c r="S83" s="344"/>
      <c r="T83" s="344"/>
      <c r="U83" s="344"/>
      <c r="V83" s="344"/>
      <c r="W83" s="344"/>
      <c r="X83" s="344"/>
      <c r="Y83" s="344"/>
      <c r="Z83" s="344"/>
      <c r="AA83" s="344"/>
      <c r="AB83" s="344"/>
      <c r="AC83" s="344"/>
      <c r="AD83" s="344"/>
    </row>
  </sheetData>
  <mergeCells count="1">
    <mergeCell ref="AG7:AI10"/>
  </mergeCells>
  <phoneticPr fontId="3"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SetDocumentProperties">
                <anchor moveWithCells="1">
                  <from>
                    <xdr:col>0</xdr:col>
                    <xdr:colOff>485775</xdr:colOff>
                    <xdr:row>0</xdr:row>
                    <xdr:rowOff>0</xdr:rowOff>
                  </from>
                  <to>
                    <xdr:col>0</xdr:col>
                    <xdr:colOff>2200275</xdr:colOff>
                    <xdr:row>1</xdr:row>
                    <xdr:rowOff>123825</xdr:rowOff>
                  </to>
                </anchor>
              </controlPr>
            </control>
          </mc:Choice>
        </mc:AlternateContent>
      </controls>
    </mc:Choice>
  </mc:AlternateContent>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100"/>
  <sheetViews>
    <sheetView showGridLines="0" workbookViewId="0">
      <pane xSplit="2" ySplit="2" topLeftCell="C56" activePane="bottomRight" state="frozen"/>
      <selection pane="topRight" activeCell="C1" sqref="C1"/>
      <selection pane="bottomLeft" activeCell="A3" sqref="A3"/>
      <selection pane="bottomRight" activeCell="C58" sqref="C58"/>
    </sheetView>
  </sheetViews>
  <sheetFormatPr defaultRowHeight="12.75" x14ac:dyDescent="0.2"/>
  <cols>
    <col min="2" max="2" width="11" style="16" customWidth="1"/>
    <col min="3" max="3" width="76.140625" customWidth="1"/>
    <col min="4" max="5" width="20.7109375" style="16" customWidth="1"/>
    <col min="6" max="6" width="20.7109375" style="16" hidden="1" customWidth="1"/>
    <col min="8" max="8" width="14.5703125" bestFit="1" customWidth="1"/>
  </cols>
  <sheetData>
    <row r="1" spans="2:9" ht="13.5" thickBot="1" x14ac:dyDescent="0.25"/>
    <row r="2" spans="2:9" ht="13.5" thickBot="1" x14ac:dyDescent="0.25">
      <c r="B2" s="354" t="s">
        <v>2203</v>
      </c>
      <c r="C2" s="354" t="s">
        <v>2266</v>
      </c>
      <c r="D2" s="354" t="s">
        <v>2267</v>
      </c>
      <c r="E2" s="354" t="s">
        <v>2268</v>
      </c>
      <c r="F2" s="58" t="s">
        <v>2269</v>
      </c>
      <c r="H2" s="345" t="s">
        <v>2270</v>
      </c>
      <c r="I2" s="353" t="str" cm="1">
        <f t="array" ref="I2">(LOOKUP(2,1/(B:B&lt;&gt;""),B:B))</f>
        <v>5.0.4</v>
      </c>
    </row>
    <row r="3" spans="2:9" x14ac:dyDescent="0.2">
      <c r="B3" s="59" t="s">
        <v>2271</v>
      </c>
      <c r="C3" s="60" t="s">
        <v>2272</v>
      </c>
      <c r="D3" s="61">
        <v>41386</v>
      </c>
      <c r="E3" s="62" t="s">
        <v>2273</v>
      </c>
      <c r="F3" s="62" t="s">
        <v>2274</v>
      </c>
    </row>
    <row r="4" spans="2:9" x14ac:dyDescent="0.2">
      <c r="B4" s="687">
        <v>1.1000000000000001</v>
      </c>
      <c r="C4" s="56" t="s">
        <v>2275</v>
      </c>
      <c r="D4" s="681">
        <v>41396</v>
      </c>
      <c r="E4" s="622" t="s">
        <v>2273</v>
      </c>
      <c r="F4" s="622" t="s">
        <v>2274</v>
      </c>
    </row>
    <row r="5" spans="2:9" ht="38.25" x14ac:dyDescent="0.2">
      <c r="B5" s="685"/>
      <c r="C5" s="57" t="s">
        <v>2276</v>
      </c>
      <c r="D5" s="685"/>
      <c r="E5" s="623"/>
      <c r="F5" s="685"/>
    </row>
    <row r="6" spans="2:9" x14ac:dyDescent="0.2">
      <c r="B6" s="683"/>
      <c r="C6" s="56" t="s">
        <v>2277</v>
      </c>
      <c r="D6" s="683"/>
      <c r="E6" s="624"/>
      <c r="F6" s="683"/>
    </row>
    <row r="7" spans="2:9" x14ac:dyDescent="0.2">
      <c r="B7" s="678">
        <v>1.2</v>
      </c>
      <c r="C7" s="686" t="s">
        <v>2278</v>
      </c>
      <c r="D7" s="668">
        <v>41449</v>
      </c>
      <c r="E7" s="678" t="s">
        <v>2273</v>
      </c>
      <c r="F7" s="678" t="s">
        <v>2274</v>
      </c>
    </row>
    <row r="8" spans="2:9" x14ac:dyDescent="0.2">
      <c r="B8" s="680"/>
      <c r="C8" s="686"/>
      <c r="D8" s="680"/>
      <c r="E8" s="680"/>
      <c r="F8" s="680"/>
    </row>
    <row r="9" spans="2:9" ht="38.25" x14ac:dyDescent="0.2">
      <c r="B9" s="671">
        <v>2</v>
      </c>
      <c r="C9" s="57" t="s">
        <v>2279</v>
      </c>
      <c r="D9" s="674">
        <v>41668</v>
      </c>
      <c r="E9" s="675" t="s">
        <v>2273</v>
      </c>
      <c r="F9" s="675" t="s">
        <v>2280</v>
      </c>
    </row>
    <row r="10" spans="2:9" ht="38.25" x14ac:dyDescent="0.2">
      <c r="B10" s="672"/>
      <c r="C10" s="57" t="s">
        <v>2281</v>
      </c>
      <c r="D10" s="674"/>
      <c r="E10" s="675"/>
      <c r="F10" s="675"/>
    </row>
    <row r="11" spans="2:9" x14ac:dyDescent="0.2">
      <c r="B11" s="672"/>
      <c r="C11" s="57" t="s">
        <v>2282</v>
      </c>
      <c r="D11" s="674"/>
      <c r="E11" s="675"/>
      <c r="F11" s="675"/>
    </row>
    <row r="12" spans="2:9" ht="38.25" x14ac:dyDescent="0.2">
      <c r="B12" s="672"/>
      <c r="C12" s="57" t="s">
        <v>2283</v>
      </c>
      <c r="D12" s="674"/>
      <c r="E12" s="675"/>
      <c r="F12" s="675"/>
    </row>
    <row r="13" spans="2:9" ht="25.5" x14ac:dyDescent="0.2">
      <c r="B13" s="672"/>
      <c r="C13" s="57" t="s">
        <v>2284</v>
      </c>
      <c r="D13" s="674"/>
      <c r="E13" s="675"/>
      <c r="F13" s="675"/>
    </row>
    <row r="14" spans="2:9" x14ac:dyDescent="0.2">
      <c r="B14" s="673"/>
      <c r="C14" s="57" t="s">
        <v>2285</v>
      </c>
      <c r="D14" s="674"/>
      <c r="E14" s="675"/>
      <c r="F14" s="675"/>
    </row>
    <row r="15" spans="2:9" ht="25.5" x14ac:dyDescent="0.2">
      <c r="B15" s="676">
        <v>2.1</v>
      </c>
      <c r="C15" s="122" t="s">
        <v>2286</v>
      </c>
      <c r="D15" s="668">
        <v>41716</v>
      </c>
      <c r="E15" s="670" t="s">
        <v>2273</v>
      </c>
      <c r="F15" s="670" t="s">
        <v>2280</v>
      </c>
    </row>
    <row r="16" spans="2:9" ht="38.25" x14ac:dyDescent="0.2">
      <c r="B16" s="676"/>
      <c r="C16" s="122" t="s">
        <v>2287</v>
      </c>
      <c r="D16" s="669"/>
      <c r="E16" s="670"/>
      <c r="F16" s="670"/>
    </row>
    <row r="17" spans="2:6" ht="51" x14ac:dyDescent="0.2">
      <c r="B17" s="102">
        <v>2.2000000000000002</v>
      </c>
      <c r="C17" s="121" t="s">
        <v>2288</v>
      </c>
      <c r="D17" s="101">
        <v>41725</v>
      </c>
      <c r="E17" s="114" t="s">
        <v>2273</v>
      </c>
      <c r="F17" s="114" t="s">
        <v>2280</v>
      </c>
    </row>
    <row r="18" spans="2:6" ht="127.5" x14ac:dyDescent="0.2">
      <c r="B18" s="676">
        <v>2.2999999999999998</v>
      </c>
      <c r="C18" s="122" t="s">
        <v>2289</v>
      </c>
      <c r="D18" s="668">
        <v>41893</v>
      </c>
      <c r="E18" s="678" t="s">
        <v>2273</v>
      </c>
      <c r="F18" s="28"/>
    </row>
    <row r="19" spans="2:6" x14ac:dyDescent="0.2">
      <c r="B19" s="676"/>
      <c r="C19" s="60" t="s">
        <v>2290</v>
      </c>
      <c r="D19" s="677"/>
      <c r="E19" s="679"/>
      <c r="F19" s="28"/>
    </row>
    <row r="20" spans="2:6" ht="51" x14ac:dyDescent="0.2">
      <c r="B20" s="676"/>
      <c r="C20" s="122" t="s">
        <v>2291</v>
      </c>
      <c r="D20" s="677"/>
      <c r="E20" s="679"/>
      <c r="F20" s="28"/>
    </row>
    <row r="21" spans="2:6" ht="38.25" x14ac:dyDescent="0.2">
      <c r="B21" s="676"/>
      <c r="C21" s="122" t="s">
        <v>2292</v>
      </c>
      <c r="D21" s="677"/>
      <c r="E21" s="679"/>
      <c r="F21" s="28"/>
    </row>
    <row r="22" spans="2:6" ht="25.5" x14ac:dyDescent="0.2">
      <c r="B22" s="676"/>
      <c r="C22" s="122" t="s">
        <v>2293</v>
      </c>
      <c r="D22" s="669"/>
      <c r="E22" s="680"/>
      <c r="F22" s="28"/>
    </row>
    <row r="23" spans="2:6" x14ac:dyDescent="0.2">
      <c r="B23" s="606">
        <v>2.4</v>
      </c>
      <c r="C23" s="120" t="s">
        <v>2294</v>
      </c>
      <c r="D23" s="681">
        <v>41921</v>
      </c>
      <c r="E23" s="622" t="s">
        <v>2273</v>
      </c>
    </row>
    <row r="24" spans="2:6" ht="25.5" x14ac:dyDescent="0.2">
      <c r="B24" s="606"/>
      <c r="C24" s="121" t="s">
        <v>2295</v>
      </c>
      <c r="D24" s="682"/>
      <c r="E24" s="683"/>
    </row>
    <row r="25" spans="2:6" ht="38.25" x14ac:dyDescent="0.2">
      <c r="B25" s="676">
        <v>2.5</v>
      </c>
      <c r="C25" s="122" t="s">
        <v>2296</v>
      </c>
      <c r="D25" s="668">
        <v>42187</v>
      </c>
      <c r="E25" s="678" t="s">
        <v>2273</v>
      </c>
    </row>
    <row r="26" spans="2:6" x14ac:dyDescent="0.2">
      <c r="B26" s="676"/>
      <c r="C26" s="122" t="s">
        <v>2297</v>
      </c>
      <c r="D26" s="677"/>
      <c r="E26" s="679"/>
    </row>
    <row r="27" spans="2:6" x14ac:dyDescent="0.2">
      <c r="B27" s="676"/>
      <c r="C27" s="122" t="s">
        <v>2298</v>
      </c>
      <c r="D27" s="677"/>
      <c r="E27" s="679"/>
    </row>
    <row r="28" spans="2:6" x14ac:dyDescent="0.2">
      <c r="B28" s="676"/>
      <c r="C28" s="122" t="s">
        <v>2299</v>
      </c>
      <c r="D28" s="677"/>
      <c r="E28" s="679"/>
    </row>
    <row r="29" spans="2:6" x14ac:dyDescent="0.2">
      <c r="B29" s="676"/>
      <c r="C29" s="122" t="s">
        <v>2300</v>
      </c>
      <c r="D29" s="669"/>
      <c r="E29" s="680"/>
    </row>
    <row r="30" spans="2:6" x14ac:dyDescent="0.2">
      <c r="B30" s="130" t="s">
        <v>2301</v>
      </c>
      <c r="C30" s="121" t="s">
        <v>2302</v>
      </c>
      <c r="D30" s="131">
        <v>42229</v>
      </c>
      <c r="E30" s="130" t="s">
        <v>2273</v>
      </c>
    </row>
    <row r="31" spans="2:6" ht="51" x14ac:dyDescent="0.2">
      <c r="B31" s="136" t="s">
        <v>2303</v>
      </c>
      <c r="C31" s="122" t="s">
        <v>2304</v>
      </c>
      <c r="D31" s="134">
        <v>42635</v>
      </c>
      <c r="E31" s="132" t="s">
        <v>2273</v>
      </c>
    </row>
    <row r="32" spans="2:6" x14ac:dyDescent="0.2">
      <c r="B32" s="606" t="s">
        <v>2305</v>
      </c>
      <c r="C32" s="121" t="s">
        <v>2306</v>
      </c>
      <c r="D32" s="684">
        <v>42979</v>
      </c>
      <c r="E32" s="675" t="s">
        <v>2273</v>
      </c>
    </row>
    <row r="33" spans="2:5" x14ac:dyDescent="0.2">
      <c r="B33" s="606"/>
      <c r="C33" s="121" t="s">
        <v>2307</v>
      </c>
      <c r="D33" s="606"/>
      <c r="E33" s="606"/>
    </row>
    <row r="34" spans="2:5" x14ac:dyDescent="0.2">
      <c r="B34" s="606"/>
      <c r="C34" s="121" t="s">
        <v>2308</v>
      </c>
      <c r="D34" s="606"/>
      <c r="E34" s="606"/>
    </row>
    <row r="35" spans="2:5" ht="25.5" x14ac:dyDescent="0.2">
      <c r="B35" s="666" t="s">
        <v>2309</v>
      </c>
      <c r="C35" s="122" t="s">
        <v>2310</v>
      </c>
      <c r="D35" s="668">
        <v>42999</v>
      </c>
      <c r="E35" s="666" t="s">
        <v>2273</v>
      </c>
    </row>
    <row r="36" spans="2:5" ht="25.5" x14ac:dyDescent="0.2">
      <c r="B36" s="667"/>
      <c r="C36" s="122" t="s">
        <v>2311</v>
      </c>
      <c r="D36" s="669"/>
      <c r="E36" s="667"/>
    </row>
    <row r="37" spans="2:5" ht="25.5" x14ac:dyDescent="0.2">
      <c r="B37" s="102" t="s">
        <v>2312</v>
      </c>
      <c r="C37" s="121" t="s">
        <v>2313</v>
      </c>
      <c r="D37" s="101">
        <v>43013</v>
      </c>
      <c r="E37" s="102" t="s">
        <v>2273</v>
      </c>
    </row>
    <row r="38" spans="2:5" ht="25.5" x14ac:dyDescent="0.2">
      <c r="B38" s="145" t="s">
        <v>2314</v>
      </c>
      <c r="C38" s="122" t="s">
        <v>2315</v>
      </c>
      <c r="D38" s="61">
        <v>43132</v>
      </c>
      <c r="E38" s="62" t="s">
        <v>2273</v>
      </c>
    </row>
    <row r="39" spans="2:5" x14ac:dyDescent="0.2">
      <c r="B39" s="102" t="s">
        <v>2316</v>
      </c>
      <c r="C39" s="121" t="s">
        <v>2317</v>
      </c>
      <c r="D39" s="101">
        <v>43181</v>
      </c>
      <c r="E39" s="102" t="s">
        <v>2273</v>
      </c>
    </row>
    <row r="40" spans="2:5" ht="38.25" x14ac:dyDescent="0.2">
      <c r="B40" s="132" t="s">
        <v>2318</v>
      </c>
      <c r="C40" s="330" t="s">
        <v>2319</v>
      </c>
      <c r="D40" s="134">
        <v>43252</v>
      </c>
      <c r="E40" s="132" t="s">
        <v>2320</v>
      </c>
    </row>
    <row r="41" spans="2:5" ht="25.5" x14ac:dyDescent="0.2">
      <c r="B41" s="102" t="s">
        <v>2187</v>
      </c>
      <c r="C41" s="121" t="s">
        <v>2321</v>
      </c>
      <c r="D41" s="101">
        <v>43306</v>
      </c>
      <c r="E41" s="102" t="s">
        <v>2273</v>
      </c>
    </row>
    <row r="42" spans="2:5" ht="63.75" x14ac:dyDescent="0.2">
      <c r="B42" s="132" t="s">
        <v>2186</v>
      </c>
      <c r="C42" s="330" t="s">
        <v>2322</v>
      </c>
      <c r="D42" s="134">
        <v>43321</v>
      </c>
      <c r="E42" s="132" t="s">
        <v>2273</v>
      </c>
    </row>
    <row r="43" spans="2:5" ht="25.5" x14ac:dyDescent="0.2">
      <c r="B43" s="114" t="s">
        <v>2185</v>
      </c>
      <c r="C43" s="121" t="s">
        <v>2323</v>
      </c>
      <c r="D43" s="101">
        <v>43326</v>
      </c>
      <c r="E43" s="102" t="s">
        <v>2273</v>
      </c>
    </row>
    <row r="44" spans="2:5" ht="76.5" x14ac:dyDescent="0.2">
      <c r="B44" s="132" t="s">
        <v>2184</v>
      </c>
      <c r="C44" s="330" t="s">
        <v>2324</v>
      </c>
      <c r="D44" s="134">
        <v>43405</v>
      </c>
      <c r="E44" s="132" t="s">
        <v>2273</v>
      </c>
    </row>
    <row r="45" spans="2:5" ht="38.25" x14ac:dyDescent="0.2">
      <c r="B45" s="114" t="s">
        <v>2183</v>
      </c>
      <c r="C45" s="339" t="s">
        <v>2325</v>
      </c>
      <c r="D45" s="101">
        <v>43502</v>
      </c>
      <c r="E45" s="102" t="s">
        <v>2273</v>
      </c>
    </row>
    <row r="46" spans="2:5" ht="25.5" x14ac:dyDescent="0.2">
      <c r="B46" s="132" t="s">
        <v>2182</v>
      </c>
      <c r="C46" s="330" t="s">
        <v>2326</v>
      </c>
      <c r="D46" s="134">
        <v>43507</v>
      </c>
      <c r="E46" s="132" t="s">
        <v>2273</v>
      </c>
    </row>
    <row r="47" spans="2:5" x14ac:dyDescent="0.2">
      <c r="B47" s="114" t="s">
        <v>2181</v>
      </c>
      <c r="C47" s="339" t="s">
        <v>2327</v>
      </c>
      <c r="D47" s="101">
        <v>43524</v>
      </c>
      <c r="E47" s="102" t="s">
        <v>2273</v>
      </c>
    </row>
    <row r="48" spans="2:5" ht="38.25" x14ac:dyDescent="0.2">
      <c r="B48" s="132" t="s">
        <v>2180</v>
      </c>
      <c r="C48" s="330" t="s">
        <v>2328</v>
      </c>
      <c r="D48" s="134">
        <v>43531</v>
      </c>
      <c r="E48" s="132" t="s">
        <v>2273</v>
      </c>
    </row>
    <row r="49" spans="2:5" x14ac:dyDescent="0.2">
      <c r="B49" s="114" t="s">
        <v>2179</v>
      </c>
      <c r="C49" s="339" t="s">
        <v>2329</v>
      </c>
      <c r="D49" s="101">
        <v>43888</v>
      </c>
      <c r="E49" s="114" t="s">
        <v>2330</v>
      </c>
    </row>
    <row r="50" spans="2:5" ht="102" x14ac:dyDescent="0.2">
      <c r="B50" s="132" t="s">
        <v>2178</v>
      </c>
      <c r="C50" s="330" t="s">
        <v>2331</v>
      </c>
      <c r="D50" s="134">
        <v>44074</v>
      </c>
      <c r="E50" s="132" t="s">
        <v>2332</v>
      </c>
    </row>
    <row r="51" spans="2:5" ht="51" x14ac:dyDescent="0.2">
      <c r="B51" s="114" t="s">
        <v>2177</v>
      </c>
      <c r="C51" s="339" t="s">
        <v>2333</v>
      </c>
      <c r="D51" s="101">
        <v>44091</v>
      </c>
      <c r="E51" s="114" t="s">
        <v>2332</v>
      </c>
    </row>
    <row r="52" spans="2:5" ht="51" x14ac:dyDescent="0.2">
      <c r="B52" s="132" t="s">
        <v>2176</v>
      </c>
      <c r="C52" s="330" t="s">
        <v>2334</v>
      </c>
      <c r="D52" s="134">
        <v>44148</v>
      </c>
      <c r="E52" s="132" t="s">
        <v>2332</v>
      </c>
    </row>
    <row r="53" spans="2:5" ht="51" x14ac:dyDescent="0.2">
      <c r="B53" s="114" t="s">
        <v>2175</v>
      </c>
      <c r="C53" s="339" t="s">
        <v>2335</v>
      </c>
      <c r="D53" s="101">
        <v>44189</v>
      </c>
      <c r="E53" s="114" t="s">
        <v>2332</v>
      </c>
    </row>
    <row r="54" spans="2:5" ht="89.25" x14ac:dyDescent="0.2">
      <c r="B54" s="132" t="s">
        <v>2174</v>
      </c>
      <c r="C54" s="330" t="s">
        <v>2336</v>
      </c>
      <c r="D54" s="134">
        <v>44244</v>
      </c>
      <c r="E54" s="132" t="s">
        <v>2332</v>
      </c>
    </row>
    <row r="55" spans="2:5" ht="127.5" x14ac:dyDescent="0.2">
      <c r="B55" s="114" t="s">
        <v>2173</v>
      </c>
      <c r="C55" s="339" t="s">
        <v>2337</v>
      </c>
      <c r="D55" s="101">
        <v>44291</v>
      </c>
      <c r="E55" s="114" t="s">
        <v>2332</v>
      </c>
    </row>
    <row r="56" spans="2:5" ht="25.5" x14ac:dyDescent="0.2">
      <c r="B56" s="132" t="s">
        <v>2172</v>
      </c>
      <c r="C56" s="330" t="s">
        <v>2338</v>
      </c>
      <c r="D56" s="134">
        <v>44298</v>
      </c>
      <c r="E56" s="132" t="s">
        <v>2332</v>
      </c>
    </row>
    <row r="57" spans="2:5" ht="25.5" x14ac:dyDescent="0.2">
      <c r="B57" s="114" t="s">
        <v>2171</v>
      </c>
      <c r="C57" s="339" t="s">
        <v>2339</v>
      </c>
      <c r="D57" s="101">
        <v>44337</v>
      </c>
      <c r="E57" s="114" t="s">
        <v>2332</v>
      </c>
    </row>
    <row r="58" spans="2:5" ht="51" x14ac:dyDescent="0.2">
      <c r="B58" s="132" t="s">
        <v>2170</v>
      </c>
      <c r="C58" s="330" t="s">
        <v>2340</v>
      </c>
      <c r="D58" s="134">
        <v>44643</v>
      </c>
      <c r="E58" s="132" t="s">
        <v>2332</v>
      </c>
    </row>
    <row r="59" spans="2:5" ht="306" x14ac:dyDescent="0.2">
      <c r="B59" s="114" t="s">
        <v>2163</v>
      </c>
      <c r="C59" s="339" t="s">
        <v>2341</v>
      </c>
      <c r="D59" s="101">
        <v>45205</v>
      </c>
      <c r="E59" s="114" t="s">
        <v>2332</v>
      </c>
    </row>
    <row r="60" spans="2:5" ht="38.25" x14ac:dyDescent="0.2">
      <c r="B60" s="132" t="s">
        <v>2162</v>
      </c>
      <c r="C60" s="330" t="s">
        <v>2342</v>
      </c>
      <c r="D60" s="134">
        <v>45244</v>
      </c>
      <c r="E60" s="132" t="s">
        <v>2332</v>
      </c>
    </row>
    <row r="61" spans="2:5" x14ac:dyDescent="0.2">
      <c r="B61" s="114" t="s">
        <v>2161</v>
      </c>
      <c r="C61" s="339" t="s">
        <v>2343</v>
      </c>
      <c r="D61" s="101">
        <v>45259</v>
      </c>
      <c r="E61" s="114" t="s">
        <v>2332</v>
      </c>
    </row>
    <row r="62" spans="2:5" ht="25.5" x14ac:dyDescent="0.2">
      <c r="B62" s="132" t="s">
        <v>2591</v>
      </c>
      <c r="C62" s="330" t="s">
        <v>2592</v>
      </c>
      <c r="D62" s="134">
        <v>45264</v>
      </c>
      <c r="E62" s="132" t="s">
        <v>2332</v>
      </c>
    </row>
    <row r="63" spans="2:5" ht="25.5" x14ac:dyDescent="0.2">
      <c r="B63" s="114" t="s">
        <v>5316</v>
      </c>
      <c r="C63" s="330" t="s">
        <v>5317</v>
      </c>
      <c r="D63" s="101">
        <v>45281</v>
      </c>
      <c r="E63" s="114" t="s">
        <v>2330</v>
      </c>
    </row>
    <row r="64" spans="2:5" x14ac:dyDescent="0.2">
      <c r="B64" s="132"/>
      <c r="C64" s="330"/>
      <c r="D64" s="134"/>
      <c r="E64" s="132"/>
    </row>
    <row r="65" spans="2:5" x14ac:dyDescent="0.2">
      <c r="B65" s="114"/>
      <c r="C65" s="339"/>
      <c r="D65" s="101"/>
      <c r="E65" s="114"/>
    </row>
    <row r="66" spans="2:5" x14ac:dyDescent="0.2">
      <c r="B66" s="132"/>
      <c r="C66" s="330"/>
      <c r="D66" s="134"/>
      <c r="E66" s="132"/>
    </row>
    <row r="67" spans="2:5" x14ac:dyDescent="0.2">
      <c r="B67" s="114"/>
      <c r="C67" s="339"/>
      <c r="D67" s="101"/>
      <c r="E67" s="114"/>
    </row>
    <row r="68" spans="2:5" x14ac:dyDescent="0.2">
      <c r="B68" s="132"/>
      <c r="C68" s="330"/>
      <c r="D68" s="134"/>
      <c r="E68" s="132"/>
    </row>
    <row r="69" spans="2:5" x14ac:dyDescent="0.2">
      <c r="B69" s="114"/>
      <c r="C69" s="339"/>
      <c r="D69" s="101"/>
      <c r="E69" s="114"/>
    </row>
    <row r="70" spans="2:5" x14ac:dyDescent="0.2">
      <c r="B70" s="132"/>
      <c r="C70" s="330"/>
      <c r="D70" s="134"/>
      <c r="E70" s="132"/>
    </row>
    <row r="71" spans="2:5" x14ac:dyDescent="0.2">
      <c r="B71" s="114"/>
      <c r="C71" s="339"/>
      <c r="D71" s="101"/>
      <c r="E71" s="114"/>
    </row>
    <row r="72" spans="2:5" x14ac:dyDescent="0.2">
      <c r="B72" s="132"/>
      <c r="C72" s="330"/>
      <c r="D72" s="134"/>
      <c r="E72" s="132"/>
    </row>
    <row r="73" spans="2:5" x14ac:dyDescent="0.2">
      <c r="B73" s="114"/>
      <c r="C73" s="339"/>
      <c r="D73" s="101"/>
      <c r="E73" s="114"/>
    </row>
    <row r="74" spans="2:5" x14ac:dyDescent="0.2">
      <c r="B74" s="132"/>
      <c r="C74" s="330"/>
      <c r="D74" s="134"/>
      <c r="E74" s="132"/>
    </row>
    <row r="75" spans="2:5" x14ac:dyDescent="0.2">
      <c r="B75" s="114"/>
      <c r="C75" s="339"/>
      <c r="D75" s="101"/>
      <c r="E75" s="114"/>
    </row>
    <row r="76" spans="2:5" x14ac:dyDescent="0.2">
      <c r="B76" s="132"/>
      <c r="C76" s="330"/>
      <c r="D76" s="134"/>
      <c r="E76" s="132"/>
    </row>
    <row r="77" spans="2:5" x14ac:dyDescent="0.2">
      <c r="B77" s="114"/>
      <c r="C77" s="339"/>
      <c r="D77" s="101"/>
      <c r="E77" s="114"/>
    </row>
    <row r="78" spans="2:5" x14ac:dyDescent="0.2">
      <c r="B78" s="132"/>
      <c r="C78" s="330"/>
      <c r="D78" s="134"/>
      <c r="E78" s="132"/>
    </row>
    <row r="79" spans="2:5" x14ac:dyDescent="0.2">
      <c r="B79" s="114"/>
      <c r="C79" s="339"/>
      <c r="D79" s="101"/>
      <c r="E79" s="114"/>
    </row>
    <row r="80" spans="2:5" x14ac:dyDescent="0.2">
      <c r="B80" s="132"/>
      <c r="C80" s="330"/>
      <c r="D80" s="134"/>
      <c r="E80" s="132"/>
    </row>
    <row r="81" spans="2:5" x14ac:dyDescent="0.2">
      <c r="B81" s="114"/>
      <c r="C81" s="339"/>
      <c r="D81" s="101"/>
      <c r="E81" s="114"/>
    </row>
    <row r="82" spans="2:5" x14ac:dyDescent="0.2">
      <c r="B82" s="132"/>
      <c r="C82" s="330"/>
      <c r="D82" s="134"/>
      <c r="E82" s="132"/>
    </row>
    <row r="83" spans="2:5" x14ac:dyDescent="0.2">
      <c r="B83" s="114"/>
      <c r="C83" s="339"/>
      <c r="D83" s="101"/>
      <c r="E83" s="114"/>
    </row>
    <row r="84" spans="2:5" x14ac:dyDescent="0.2">
      <c r="B84" s="132"/>
      <c r="C84" s="330"/>
      <c r="D84" s="134"/>
      <c r="E84" s="132"/>
    </row>
    <row r="85" spans="2:5" x14ac:dyDescent="0.2">
      <c r="B85" s="114"/>
      <c r="C85" s="339"/>
      <c r="D85" s="101"/>
      <c r="E85" s="114"/>
    </row>
    <row r="86" spans="2:5" x14ac:dyDescent="0.2">
      <c r="B86" s="132"/>
      <c r="C86" s="330"/>
      <c r="D86" s="134"/>
      <c r="E86" s="132"/>
    </row>
    <row r="87" spans="2:5" x14ac:dyDescent="0.2">
      <c r="B87" s="114"/>
      <c r="C87" s="339"/>
      <c r="D87" s="101"/>
      <c r="E87" s="114"/>
    </row>
    <row r="88" spans="2:5" x14ac:dyDescent="0.2">
      <c r="B88" s="132"/>
      <c r="C88" s="330"/>
      <c r="D88" s="134"/>
      <c r="E88" s="132"/>
    </row>
    <row r="89" spans="2:5" x14ac:dyDescent="0.2">
      <c r="B89" s="114"/>
      <c r="C89" s="339"/>
      <c r="D89" s="101"/>
      <c r="E89" s="114"/>
    </row>
    <row r="90" spans="2:5" x14ac:dyDescent="0.2">
      <c r="B90" s="132"/>
      <c r="C90" s="330"/>
      <c r="D90" s="134"/>
      <c r="E90" s="132"/>
    </row>
    <row r="91" spans="2:5" x14ac:dyDescent="0.2">
      <c r="B91" s="114"/>
      <c r="C91" s="339"/>
      <c r="D91" s="101"/>
      <c r="E91" s="114"/>
    </row>
    <row r="92" spans="2:5" x14ac:dyDescent="0.2">
      <c r="B92" s="132"/>
      <c r="C92" s="330"/>
      <c r="D92" s="134"/>
      <c r="E92" s="132"/>
    </row>
    <row r="93" spans="2:5" x14ac:dyDescent="0.2">
      <c r="B93" s="114"/>
      <c r="C93" s="339"/>
      <c r="D93" s="101"/>
      <c r="E93" s="114"/>
    </row>
    <row r="94" spans="2:5" x14ac:dyDescent="0.2">
      <c r="B94" s="132"/>
      <c r="C94" s="330"/>
      <c r="D94" s="134"/>
      <c r="E94" s="132"/>
    </row>
    <row r="95" spans="2:5" x14ac:dyDescent="0.2">
      <c r="B95" s="114"/>
      <c r="C95" s="339"/>
      <c r="D95" s="101"/>
      <c r="E95" s="114"/>
    </row>
    <row r="96" spans="2:5" x14ac:dyDescent="0.2">
      <c r="B96" s="132"/>
      <c r="C96" s="330"/>
      <c r="D96" s="134"/>
      <c r="E96" s="132"/>
    </row>
    <row r="97" spans="2:5" x14ac:dyDescent="0.2">
      <c r="B97" s="114"/>
      <c r="C97" s="339"/>
      <c r="D97" s="101"/>
      <c r="E97" s="114"/>
    </row>
    <row r="98" spans="2:5" x14ac:dyDescent="0.2">
      <c r="B98" s="132"/>
      <c r="C98" s="330"/>
      <c r="D98" s="134"/>
      <c r="E98" s="132"/>
    </row>
    <row r="99" spans="2:5" x14ac:dyDescent="0.2">
      <c r="B99" s="114"/>
      <c r="C99" s="339"/>
      <c r="D99" s="101"/>
      <c r="E99" s="114"/>
    </row>
    <row r="100" spans="2:5" x14ac:dyDescent="0.2">
      <c r="B100" s="132"/>
      <c r="C100" s="330"/>
      <c r="D100" s="134"/>
      <c r="E100" s="132"/>
    </row>
  </sheetData>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12"/>
  <sheetViews>
    <sheetView workbookViewId="0">
      <selection activeCell="G2" sqref="G2"/>
    </sheetView>
  </sheetViews>
  <sheetFormatPr defaultRowHeight="12.75" x14ac:dyDescent="0.2"/>
  <cols>
    <col min="1" max="1" width="13.7109375" style="372" customWidth="1"/>
    <col min="2" max="2" width="12.5703125" style="372" customWidth="1"/>
    <col min="3" max="3" width="15.85546875" style="372" bestFit="1" customWidth="1"/>
    <col min="4" max="4" width="11" style="372" customWidth="1"/>
    <col min="5" max="16384" width="9.140625" style="371"/>
  </cols>
  <sheetData>
    <row r="1" spans="1:7" x14ac:dyDescent="0.2">
      <c r="A1" s="375" t="s">
        <v>2344</v>
      </c>
      <c r="B1" s="375" t="s">
        <v>2345</v>
      </c>
      <c r="C1" s="375" t="s">
        <v>2346</v>
      </c>
      <c r="D1" s="375" t="s">
        <v>2347</v>
      </c>
      <c r="G1" s="374" t="s">
        <v>2348</v>
      </c>
    </row>
    <row r="2" spans="1:7" x14ac:dyDescent="0.2">
      <c r="D2" s="373"/>
      <c r="G2" s="371" cm="1">
        <f t="array" ref="G2">SUMPRODUCT(MAX((A:A&lt;&gt;"")*ROW(A:A)))</f>
        <v>1</v>
      </c>
    </row>
    <row r="3" spans="1:7" x14ac:dyDescent="0.2">
      <c r="D3" s="373"/>
    </row>
    <row r="4" spans="1:7" x14ac:dyDescent="0.2">
      <c r="D4" s="373"/>
    </row>
    <row r="5" spans="1:7" x14ac:dyDescent="0.2">
      <c r="D5" s="373"/>
    </row>
    <row r="6" spans="1:7" x14ac:dyDescent="0.2">
      <c r="D6" s="373"/>
    </row>
    <row r="7" spans="1:7" x14ac:dyDescent="0.2">
      <c r="D7" s="373"/>
    </row>
    <row r="8" spans="1:7" x14ac:dyDescent="0.2">
      <c r="D8" s="373"/>
    </row>
    <row r="9" spans="1:7" x14ac:dyDescent="0.2">
      <c r="D9" s="373"/>
    </row>
    <row r="10" spans="1:7" x14ac:dyDescent="0.2">
      <c r="D10" s="373"/>
    </row>
    <row r="11" spans="1:7" x14ac:dyDescent="0.2">
      <c r="D11" s="373"/>
    </row>
    <row r="12" spans="1:7" x14ac:dyDescent="0.2">
      <c r="D12" s="373"/>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bestFit="1" customWidth="1"/>
    <col min="2" max="2" width="11.28515625" bestFit="1" customWidth="1"/>
    <col min="3" max="3" width="7.42578125" bestFit="1" customWidth="1"/>
    <col min="4" max="4" width="19.140625" bestFit="1" customWidth="1"/>
    <col min="5" max="5" width="12.28515625" bestFit="1" customWidth="1"/>
    <col min="6" max="6" width="21.7109375" bestFit="1" customWidth="1"/>
    <col min="7" max="7" width="11.42578125" bestFit="1" customWidth="1"/>
    <col min="8" max="8" width="18" bestFit="1" customWidth="1"/>
    <col min="9" max="9" width="15.85546875" bestFit="1" customWidth="1"/>
    <col min="10" max="10" width="16" bestFit="1" customWidth="1"/>
    <col min="11" max="11" width="8.5703125" bestFit="1" customWidth="1"/>
    <col min="12" max="12" width="11.140625" bestFit="1" customWidth="1"/>
    <col min="13" max="16" width="9.140625" customWidth="1"/>
    <col min="17" max="17" width="10.7109375" customWidth="1"/>
    <col min="18" max="18" width="9.140625" customWidth="1"/>
    <col min="19" max="19" width="14.42578125" bestFit="1" customWidth="1"/>
    <col min="20" max="23" width="9.140625" customWidth="1"/>
  </cols>
  <sheetData>
    <row r="1" spans="1:20" x14ac:dyDescent="0.2">
      <c r="A1" s="688" t="s">
        <v>2349</v>
      </c>
      <c r="B1" s="688"/>
      <c r="C1" s="688"/>
      <c r="D1" s="688"/>
      <c r="E1" s="688"/>
      <c r="F1" s="688"/>
      <c r="G1" s="688"/>
      <c r="H1" s="688"/>
      <c r="I1" s="688"/>
      <c r="J1" s="688"/>
      <c r="K1" s="689"/>
      <c r="L1" s="394"/>
    </row>
    <row r="2" spans="1:20" x14ac:dyDescent="0.2">
      <c r="A2" s="370" t="s">
        <v>2350</v>
      </c>
      <c r="B2" s="370" t="s">
        <v>2351</v>
      </c>
      <c r="C2" s="370" t="s">
        <v>2103</v>
      </c>
      <c r="D2" s="365" t="s">
        <v>2352</v>
      </c>
      <c r="E2" s="365" t="s">
        <v>2353</v>
      </c>
      <c r="F2" s="365" t="s">
        <v>2354</v>
      </c>
      <c r="G2" s="365" t="s">
        <v>2355</v>
      </c>
      <c r="H2" s="365" t="s">
        <v>2356</v>
      </c>
      <c r="I2" s="365" t="s">
        <v>2357</v>
      </c>
      <c r="J2" s="365" t="s">
        <v>2358</v>
      </c>
      <c r="K2" s="365" t="s">
        <v>2359</v>
      </c>
      <c r="L2" s="365" t="s">
        <v>2360</v>
      </c>
      <c r="M2" s="365" t="s">
        <v>2361</v>
      </c>
      <c r="N2" s="365" t="s">
        <v>2362</v>
      </c>
      <c r="O2" s="365" t="s">
        <v>2363</v>
      </c>
      <c r="P2" s="365" t="s">
        <v>2364</v>
      </c>
      <c r="Q2" s="370" t="s">
        <v>2365</v>
      </c>
      <c r="R2" s="370" t="s">
        <v>2366</v>
      </c>
      <c r="S2" s="370" t="s">
        <v>2367</v>
      </c>
      <c r="T2" s="370" t="s">
        <v>2200</v>
      </c>
    </row>
    <row r="3" spans="1:20" x14ac:dyDescent="0.2">
      <c r="A3" s="366"/>
      <c r="B3" s="366"/>
      <c r="C3" s="366" t="str">
        <f>IF(ISBLANK(ID_pole),"",ID_pole)</f>
        <v/>
      </c>
      <c r="D3" s="17"/>
      <c r="E3" s="17"/>
      <c r="F3" s="17"/>
      <c r="G3" s="17"/>
      <c r="H3" s="17"/>
      <c r="I3" s="17"/>
      <c r="J3" s="17"/>
      <c r="K3" s="17"/>
      <c r="L3" s="17"/>
      <c r="M3" s="17"/>
      <c r="N3" s="17"/>
      <c r="O3" s="17"/>
      <c r="P3" s="17"/>
      <c r="Q3" s="393"/>
      <c r="R3" s="366"/>
      <c r="S3" s="366"/>
      <c r="T3" s="366"/>
    </row>
    <row r="5" spans="1:20" x14ac:dyDescent="0.2">
      <c r="D5" s="49" t="s">
        <v>2368</v>
      </c>
      <c r="Q5" s="49" t="s">
        <v>2369</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20"/>
  <sheetViews>
    <sheetView workbookViewId="0">
      <selection activeCell="A3" sqref="A3"/>
    </sheetView>
  </sheetViews>
  <sheetFormatPr defaultRowHeight="12.75" x14ac:dyDescent="0.2"/>
  <cols>
    <col min="1" max="1" width="10" bestFit="1" customWidth="1"/>
    <col min="2" max="2" width="7.4257812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688" t="s">
        <v>2370</v>
      </c>
      <c r="B1" s="688"/>
      <c r="C1" s="688"/>
      <c r="D1" s="688"/>
      <c r="E1" s="688"/>
      <c r="F1" s="688"/>
      <c r="G1" s="688"/>
      <c r="H1" s="688"/>
      <c r="I1" s="688"/>
      <c r="J1" s="688"/>
      <c r="K1" s="688"/>
      <c r="L1" s="688"/>
      <c r="M1" s="688"/>
      <c r="N1" s="688"/>
      <c r="O1" s="688"/>
      <c r="P1" s="688"/>
      <c r="Q1" s="688"/>
      <c r="R1" s="688"/>
      <c r="S1" s="688"/>
      <c r="T1" s="688"/>
      <c r="U1" s="688"/>
      <c r="V1" s="688"/>
      <c r="W1" s="688"/>
    </row>
    <row r="2" spans="1:25" x14ac:dyDescent="0.2">
      <c r="A2" s="370" t="s">
        <v>2103</v>
      </c>
      <c r="B2" s="370" t="s">
        <v>2371</v>
      </c>
      <c r="C2" s="385" t="s">
        <v>2372</v>
      </c>
      <c r="D2" s="365" t="s">
        <v>2373</v>
      </c>
      <c r="E2" s="365" t="s">
        <v>2374</v>
      </c>
      <c r="F2" s="365" t="s">
        <v>2375</v>
      </c>
      <c r="G2" s="365" t="s">
        <v>2376</v>
      </c>
      <c r="H2" s="365" t="s">
        <v>2377</v>
      </c>
      <c r="I2" s="365" t="s">
        <v>2378</v>
      </c>
      <c r="J2" s="365" t="s">
        <v>2379</v>
      </c>
      <c r="K2" s="365" t="s">
        <v>2380</v>
      </c>
      <c r="L2" s="365" t="s">
        <v>2381</v>
      </c>
      <c r="M2" s="370" t="s">
        <v>2382</v>
      </c>
      <c r="N2" s="385" t="s">
        <v>2383</v>
      </c>
      <c r="O2" s="368" t="s">
        <v>2384</v>
      </c>
      <c r="P2" s="365" t="s">
        <v>2385</v>
      </c>
      <c r="Q2" s="368" t="s">
        <v>2386</v>
      </c>
      <c r="R2" s="365" t="s">
        <v>2387</v>
      </c>
      <c r="S2" s="365" t="s">
        <v>2388</v>
      </c>
      <c r="T2" s="365" t="s">
        <v>2389</v>
      </c>
      <c r="U2" s="365" t="s">
        <v>2390</v>
      </c>
      <c r="V2" s="365" t="s">
        <v>2391</v>
      </c>
      <c r="W2" s="365" t="s">
        <v>2392</v>
      </c>
    </row>
    <row r="3" spans="1:25" x14ac:dyDescent="0.2">
      <c r="A3" s="17"/>
      <c r="B3" s="17"/>
      <c r="C3" s="17"/>
      <c r="D3" s="17"/>
      <c r="E3" s="17"/>
      <c r="F3" s="17"/>
      <c r="G3" s="17"/>
      <c r="H3" s="17"/>
      <c r="I3" s="17"/>
      <c r="J3" s="17"/>
      <c r="K3" s="17"/>
      <c r="L3" s="17"/>
      <c r="M3" s="17"/>
      <c r="N3" s="17"/>
      <c r="O3" s="384"/>
      <c r="P3" s="384"/>
      <c r="Q3" s="384"/>
      <c r="R3" s="384"/>
      <c r="S3" s="384"/>
      <c r="T3" s="384"/>
      <c r="U3" s="384"/>
      <c r="V3" s="384"/>
      <c r="W3" s="384"/>
      <c r="Y3" s="349" t="s">
        <v>2393</v>
      </c>
    </row>
    <row r="4" spans="1:25" x14ac:dyDescent="0.2">
      <c r="A4" s="17"/>
      <c r="B4" s="17"/>
      <c r="C4" s="17"/>
      <c r="D4" s="17"/>
      <c r="E4" s="17"/>
      <c r="F4" s="17"/>
      <c r="G4" s="17"/>
      <c r="H4" s="17"/>
      <c r="I4" s="17"/>
      <c r="J4" s="17"/>
      <c r="K4" s="17"/>
      <c r="L4" s="17"/>
      <c r="M4" s="17"/>
      <c r="N4" s="17"/>
      <c r="O4" s="384"/>
      <c r="P4" s="384"/>
      <c r="Q4" s="384"/>
      <c r="R4" s="384"/>
      <c r="S4" s="384"/>
      <c r="T4" s="384"/>
      <c r="U4" s="384"/>
      <c r="V4" s="384"/>
      <c r="W4" s="384"/>
    </row>
    <row r="5" spans="1:25" x14ac:dyDescent="0.2">
      <c r="A5" s="17"/>
      <c r="B5" s="17"/>
      <c r="C5" s="17"/>
      <c r="D5" s="17"/>
      <c r="E5" s="17"/>
      <c r="F5" s="17"/>
      <c r="G5" s="17"/>
      <c r="H5" s="17"/>
      <c r="I5" s="17"/>
      <c r="J5" s="17"/>
      <c r="K5" s="17"/>
      <c r="L5" s="17"/>
      <c r="M5" s="17"/>
      <c r="N5" s="17"/>
      <c r="O5" s="384"/>
      <c r="P5" s="384"/>
      <c r="Q5" s="384"/>
      <c r="R5" s="384"/>
      <c r="S5" s="384"/>
      <c r="T5" s="384"/>
      <c r="U5" s="384"/>
      <c r="V5" s="384"/>
      <c r="W5" s="384"/>
    </row>
    <row r="6" spans="1:25" x14ac:dyDescent="0.2">
      <c r="A6" s="17"/>
      <c r="B6" s="17"/>
      <c r="C6" s="17"/>
      <c r="D6" s="17"/>
      <c r="E6" s="17"/>
      <c r="F6" s="17"/>
      <c r="G6" s="17"/>
      <c r="H6" s="17"/>
      <c r="I6" s="17"/>
      <c r="J6" s="17"/>
      <c r="K6" s="17"/>
      <c r="L6" s="17"/>
      <c r="M6" s="17"/>
      <c r="N6" s="17"/>
      <c r="O6" s="384"/>
      <c r="P6" s="384"/>
      <c r="Q6" s="384"/>
      <c r="R6" s="384"/>
      <c r="S6" s="384"/>
      <c r="T6" s="384"/>
      <c r="U6" s="384"/>
      <c r="V6" s="384"/>
      <c r="W6" s="384"/>
    </row>
    <row r="7" spans="1:25" x14ac:dyDescent="0.2">
      <c r="A7" s="17"/>
      <c r="B7" s="17"/>
      <c r="C7" s="17"/>
      <c r="D7" s="17"/>
      <c r="E7" s="17"/>
      <c r="F7" s="17"/>
      <c r="G7" s="17"/>
      <c r="H7" s="17"/>
      <c r="I7" s="17"/>
      <c r="J7" s="17"/>
      <c r="K7" s="17"/>
      <c r="L7" s="17"/>
      <c r="M7" s="17"/>
      <c r="N7" s="17"/>
      <c r="O7" s="384"/>
      <c r="P7" s="384"/>
      <c r="Q7" s="384"/>
      <c r="R7" s="384"/>
      <c r="S7" s="384"/>
      <c r="T7" s="384"/>
      <c r="U7" s="384"/>
      <c r="V7" s="384"/>
      <c r="W7" s="384"/>
    </row>
    <row r="8" spans="1:25" x14ac:dyDescent="0.2">
      <c r="A8" s="17"/>
      <c r="B8" s="17"/>
      <c r="C8" s="17"/>
      <c r="D8" s="17"/>
      <c r="E8" s="17"/>
      <c r="F8" s="17"/>
      <c r="G8" s="17"/>
      <c r="H8" s="17"/>
      <c r="I8" s="17"/>
      <c r="J8" s="17"/>
      <c r="K8" s="17"/>
      <c r="L8" s="17"/>
      <c r="M8" s="17"/>
      <c r="N8" s="17"/>
      <c r="O8" s="384"/>
      <c r="P8" s="384"/>
      <c r="Q8" s="384"/>
      <c r="R8" s="384"/>
      <c r="S8" s="384"/>
      <c r="T8" s="384"/>
      <c r="U8" s="384"/>
      <c r="V8" s="384"/>
      <c r="W8" s="384"/>
    </row>
    <row r="9" spans="1:25" x14ac:dyDescent="0.2">
      <c r="A9" s="17"/>
      <c r="B9" s="17"/>
      <c r="C9" s="17"/>
      <c r="D9" s="17"/>
      <c r="E9" s="17"/>
      <c r="F9" s="17"/>
      <c r="G9" s="17"/>
      <c r="H9" s="17"/>
      <c r="I9" s="17"/>
      <c r="J9" s="17"/>
      <c r="K9" s="17"/>
      <c r="L9" s="17"/>
      <c r="M9" s="17"/>
      <c r="N9" s="17"/>
      <c r="O9" s="384"/>
      <c r="P9" s="384"/>
      <c r="Q9" s="384"/>
      <c r="R9" s="384"/>
      <c r="S9" s="384"/>
      <c r="T9" s="384"/>
      <c r="U9" s="384"/>
      <c r="V9" s="384"/>
      <c r="W9" s="384"/>
    </row>
    <row r="10" spans="1:25" x14ac:dyDescent="0.2">
      <c r="A10" s="17"/>
      <c r="B10" s="17"/>
      <c r="C10" s="17"/>
      <c r="D10" s="17"/>
      <c r="E10" s="17"/>
      <c r="F10" s="17"/>
      <c r="G10" s="17"/>
      <c r="H10" s="17"/>
      <c r="I10" s="17"/>
      <c r="J10" s="17"/>
      <c r="K10" s="17"/>
      <c r="L10" s="17"/>
      <c r="M10" s="17"/>
      <c r="N10" s="17"/>
      <c r="O10" s="384"/>
      <c r="P10" s="384"/>
      <c r="Q10" s="384"/>
      <c r="R10" s="384"/>
      <c r="S10" s="384"/>
      <c r="T10" s="384"/>
      <c r="U10" s="384"/>
      <c r="V10" s="384"/>
      <c r="W10" s="384"/>
    </row>
    <row r="11" spans="1:25" x14ac:dyDescent="0.2">
      <c r="A11" s="17"/>
      <c r="B11" s="17"/>
      <c r="C11" s="17"/>
      <c r="D11" s="17"/>
      <c r="E11" s="17"/>
      <c r="F11" s="17"/>
      <c r="G11" s="17"/>
      <c r="H11" s="17"/>
      <c r="I11" s="17"/>
      <c r="J11" s="17"/>
      <c r="K11" s="17"/>
      <c r="L11" s="17"/>
      <c r="M11" s="17"/>
      <c r="N11" s="17"/>
      <c r="O11" s="384"/>
      <c r="P11" s="384"/>
      <c r="Q11" s="384"/>
      <c r="R11" s="384"/>
      <c r="S11" s="384"/>
      <c r="T11" s="384"/>
      <c r="U11" s="384"/>
      <c r="V11" s="384"/>
      <c r="W11" s="384"/>
    </row>
    <row r="12" spans="1:25" x14ac:dyDescent="0.2">
      <c r="A12" s="17"/>
      <c r="B12" s="17"/>
      <c r="C12" s="17"/>
      <c r="D12" s="17"/>
      <c r="E12" s="17"/>
      <c r="F12" s="17"/>
      <c r="G12" s="17"/>
      <c r="H12" s="17"/>
      <c r="I12" s="17"/>
      <c r="J12" s="17"/>
      <c r="K12" s="17"/>
      <c r="L12" s="17"/>
      <c r="M12" s="17"/>
      <c r="N12" s="17"/>
      <c r="O12" s="384"/>
      <c r="P12" s="384"/>
      <c r="Q12" s="384"/>
      <c r="R12" s="384"/>
      <c r="S12" s="384"/>
      <c r="T12" s="384"/>
      <c r="U12" s="384"/>
      <c r="V12" s="384"/>
      <c r="W12" s="384"/>
    </row>
    <row r="13" spans="1:25" x14ac:dyDescent="0.2">
      <c r="A13" s="17"/>
      <c r="B13" s="17"/>
      <c r="C13" s="17"/>
      <c r="D13" s="17"/>
      <c r="E13" s="17"/>
      <c r="F13" s="17"/>
      <c r="G13" s="17"/>
      <c r="H13" s="17"/>
      <c r="I13" s="17"/>
      <c r="J13" s="17"/>
      <c r="K13" s="17"/>
      <c r="L13" s="17"/>
      <c r="M13" s="17"/>
      <c r="N13" s="17"/>
      <c r="O13" s="384"/>
      <c r="P13" s="384"/>
      <c r="Q13" s="384"/>
      <c r="R13" s="384"/>
      <c r="S13" s="384"/>
      <c r="T13" s="384"/>
      <c r="U13" s="384"/>
      <c r="V13" s="384"/>
      <c r="W13" s="384"/>
    </row>
    <row r="14" spans="1:25" x14ac:dyDescent="0.2">
      <c r="A14" s="17"/>
      <c r="B14" s="17"/>
      <c r="C14" s="17"/>
      <c r="D14" s="17"/>
      <c r="E14" s="17"/>
      <c r="F14" s="17"/>
      <c r="G14" s="17"/>
      <c r="H14" s="17"/>
      <c r="I14" s="17"/>
      <c r="J14" s="17"/>
      <c r="K14" s="17"/>
      <c r="L14" s="17"/>
      <c r="M14" s="17"/>
      <c r="N14" s="17"/>
      <c r="O14" s="384"/>
      <c r="P14" s="384"/>
      <c r="Q14" s="384"/>
      <c r="R14" s="384"/>
      <c r="S14" s="384"/>
      <c r="T14" s="384"/>
      <c r="U14" s="384"/>
      <c r="V14" s="384"/>
      <c r="W14" s="384"/>
    </row>
    <row r="15" spans="1:25" x14ac:dyDescent="0.2">
      <c r="A15" s="17"/>
      <c r="B15" s="17"/>
      <c r="C15" s="17"/>
      <c r="D15" s="17"/>
      <c r="E15" s="17"/>
      <c r="F15" s="17"/>
      <c r="G15" s="17"/>
      <c r="H15" s="17"/>
      <c r="I15" s="17"/>
      <c r="J15" s="17"/>
      <c r="K15" s="17"/>
      <c r="L15" s="17"/>
      <c r="M15" s="17"/>
      <c r="N15" s="17"/>
      <c r="O15" s="384"/>
      <c r="P15" s="384"/>
      <c r="Q15" s="384"/>
      <c r="R15" s="384"/>
      <c r="S15" s="384"/>
      <c r="T15" s="384"/>
      <c r="U15" s="384"/>
      <c r="V15" s="384"/>
      <c r="W15" s="384"/>
    </row>
    <row r="16" spans="1:25" x14ac:dyDescent="0.2">
      <c r="A16" s="17"/>
      <c r="B16" s="17"/>
      <c r="C16" s="17"/>
      <c r="D16" s="17"/>
      <c r="E16" s="17"/>
      <c r="F16" s="17"/>
      <c r="G16" s="17"/>
      <c r="H16" s="17"/>
      <c r="I16" s="17"/>
      <c r="J16" s="17"/>
      <c r="K16" s="17"/>
      <c r="L16" s="17"/>
      <c r="M16" s="17"/>
      <c r="N16" s="17"/>
      <c r="O16" s="384"/>
      <c r="P16" s="384"/>
      <c r="Q16" s="384"/>
      <c r="R16" s="384"/>
      <c r="S16" s="384"/>
      <c r="T16" s="384"/>
      <c r="U16" s="384"/>
      <c r="V16" s="384"/>
      <c r="W16" s="384"/>
    </row>
    <row r="17" spans="1:23" x14ac:dyDescent="0.2">
      <c r="A17" s="17"/>
      <c r="B17" s="17"/>
      <c r="C17" s="17"/>
      <c r="D17" s="17"/>
      <c r="E17" s="17"/>
      <c r="F17" s="17"/>
      <c r="G17" s="17"/>
      <c r="H17" s="17"/>
      <c r="I17" s="17"/>
      <c r="J17" s="17"/>
      <c r="K17" s="17"/>
      <c r="L17" s="17"/>
      <c r="M17" s="17"/>
      <c r="N17" s="17"/>
      <c r="O17" s="384"/>
      <c r="P17" s="384"/>
      <c r="Q17" s="384"/>
      <c r="R17" s="384"/>
      <c r="S17" s="384"/>
      <c r="T17" s="384"/>
      <c r="U17" s="384"/>
      <c r="V17" s="384"/>
      <c r="W17" s="384"/>
    </row>
    <row r="18" spans="1:23" x14ac:dyDescent="0.2">
      <c r="A18" s="17"/>
      <c r="B18" s="17"/>
      <c r="C18" s="17"/>
      <c r="D18" s="17"/>
      <c r="E18" s="17"/>
      <c r="F18" s="17"/>
      <c r="G18" s="17"/>
      <c r="H18" s="17"/>
      <c r="I18" s="17"/>
      <c r="J18" s="17"/>
      <c r="K18" s="17"/>
      <c r="L18" s="17"/>
      <c r="M18" s="17"/>
      <c r="N18" s="17"/>
      <c r="O18" s="384"/>
      <c r="P18" s="384"/>
      <c r="Q18" s="384"/>
      <c r="R18" s="384"/>
      <c r="S18" s="384"/>
      <c r="T18" s="384"/>
      <c r="U18" s="384"/>
      <c r="V18" s="384"/>
      <c r="W18" s="384"/>
    </row>
    <row r="19" spans="1:23" x14ac:dyDescent="0.2">
      <c r="A19" s="17"/>
      <c r="B19" s="17"/>
      <c r="C19" s="17"/>
      <c r="D19" s="17"/>
      <c r="E19" s="17"/>
      <c r="F19" s="17"/>
      <c r="G19" s="17"/>
      <c r="H19" s="17"/>
      <c r="I19" s="17"/>
      <c r="J19" s="17"/>
      <c r="K19" s="17"/>
      <c r="L19" s="17"/>
      <c r="M19" s="17"/>
      <c r="N19" s="17"/>
      <c r="O19" s="384"/>
      <c r="P19" s="384"/>
      <c r="Q19" s="384"/>
      <c r="R19" s="384"/>
      <c r="S19" s="384"/>
      <c r="T19" s="384"/>
      <c r="U19" s="384"/>
      <c r="V19" s="384"/>
      <c r="W19" s="384"/>
    </row>
    <row r="20" spans="1:23" x14ac:dyDescent="0.2">
      <c r="A20" s="17"/>
      <c r="B20" s="17"/>
      <c r="C20" s="17"/>
      <c r="D20" s="17"/>
      <c r="E20" s="17"/>
      <c r="F20" s="17"/>
      <c r="G20" s="17"/>
      <c r="H20" s="17"/>
      <c r="I20" s="17"/>
      <c r="J20" s="17"/>
      <c r="K20" s="17"/>
      <c r="L20" s="17"/>
      <c r="M20" s="17"/>
      <c r="N20" s="17"/>
      <c r="O20" s="384"/>
      <c r="P20" s="384"/>
      <c r="Q20" s="384"/>
      <c r="R20" s="384"/>
      <c r="S20" s="384"/>
      <c r="T20" s="384"/>
      <c r="U20" s="384"/>
      <c r="V20" s="384"/>
      <c r="W20" s="384"/>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bestFit="1" customWidth="1"/>
    <col min="2" max="2" width="7.4257812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bestFit="1" customWidth="1"/>
    <col min="14" max="14" width="12.42578125" bestFit="1" customWidth="1"/>
    <col min="15" max="15" width="9.42578125" bestFit="1" customWidth="1"/>
    <col min="16" max="16" width="11.28515625" bestFit="1" customWidth="1"/>
    <col min="17" max="17" width="13.140625" bestFit="1" customWidth="1"/>
    <col min="18" max="18" width="13.425781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690" t="s">
        <v>2394</v>
      </c>
      <c r="B1" s="690"/>
      <c r="C1" s="690"/>
      <c r="D1" s="690"/>
      <c r="E1" s="690"/>
      <c r="F1" s="690"/>
      <c r="G1" s="690"/>
      <c r="H1" s="690"/>
      <c r="I1" s="690"/>
      <c r="J1" s="690"/>
      <c r="K1" s="690"/>
      <c r="L1" s="690"/>
      <c r="M1" s="690"/>
      <c r="N1" s="690"/>
      <c r="O1" s="690"/>
      <c r="P1" s="690"/>
      <c r="Q1" s="690"/>
      <c r="R1" s="690"/>
      <c r="S1" s="690"/>
      <c r="T1" s="690"/>
      <c r="U1" s="690"/>
      <c r="V1" s="690"/>
      <c r="W1" s="690"/>
    </row>
    <row r="2" spans="1:25" x14ac:dyDescent="0.2">
      <c r="A2" s="370" t="s">
        <v>2103</v>
      </c>
      <c r="B2" s="370" t="s">
        <v>2371</v>
      </c>
      <c r="C2" s="385" t="s">
        <v>2372</v>
      </c>
      <c r="D2" s="365" t="s">
        <v>2373</v>
      </c>
      <c r="E2" s="365" t="s">
        <v>2374</v>
      </c>
      <c r="F2" s="365" t="s">
        <v>2375</v>
      </c>
      <c r="G2" s="365" t="s">
        <v>2376</v>
      </c>
      <c r="H2" s="365" t="s">
        <v>2377</v>
      </c>
      <c r="I2" s="365" t="s">
        <v>2378</v>
      </c>
      <c r="J2" s="365" t="s">
        <v>2379</v>
      </c>
      <c r="K2" s="365" t="s">
        <v>2380</v>
      </c>
      <c r="L2" s="365" t="s">
        <v>2381</v>
      </c>
      <c r="M2" s="370" t="s">
        <v>2382</v>
      </c>
      <c r="N2" s="385" t="s">
        <v>2383</v>
      </c>
      <c r="O2" s="368" t="s">
        <v>2384</v>
      </c>
      <c r="P2" s="365" t="s">
        <v>2387</v>
      </c>
      <c r="Q2" s="365" t="s">
        <v>2385</v>
      </c>
      <c r="R2" s="368" t="s">
        <v>2386</v>
      </c>
      <c r="S2" s="365" t="s">
        <v>2388</v>
      </c>
      <c r="T2" s="365" t="s">
        <v>2389</v>
      </c>
      <c r="U2" s="365" t="s">
        <v>2390</v>
      </c>
      <c r="V2" s="365" t="s">
        <v>2391</v>
      </c>
      <c r="W2" s="365" t="s">
        <v>2392</v>
      </c>
    </row>
    <row r="3" spans="1:25" x14ac:dyDescent="0.2">
      <c r="A3" s="17"/>
      <c r="B3" s="17"/>
      <c r="C3" s="17"/>
      <c r="D3" s="17"/>
      <c r="E3" s="17"/>
      <c r="F3" s="17"/>
      <c r="G3" s="17"/>
      <c r="H3" s="17"/>
      <c r="I3" s="17"/>
      <c r="J3" s="17"/>
      <c r="K3" s="17"/>
      <c r="L3" s="383"/>
      <c r="M3" s="17"/>
      <c r="N3" s="17"/>
      <c r="O3" s="383"/>
      <c r="P3" s="17"/>
      <c r="Q3" s="17"/>
      <c r="R3" s="384"/>
      <c r="S3" s="384"/>
      <c r="T3" s="384"/>
      <c r="U3" s="384"/>
      <c r="V3" s="384"/>
      <c r="W3" s="384"/>
      <c r="Y3" s="381" t="s">
        <v>2395</v>
      </c>
    </row>
    <row r="4" spans="1:25" x14ac:dyDescent="0.2">
      <c r="A4" s="17"/>
      <c r="B4" s="17"/>
      <c r="C4" s="17"/>
      <c r="D4" s="17"/>
      <c r="E4" s="17"/>
      <c r="F4" s="17"/>
      <c r="G4" s="17"/>
      <c r="H4" s="17"/>
      <c r="I4" s="17"/>
      <c r="J4" s="17"/>
      <c r="K4" s="17"/>
      <c r="L4" s="383"/>
      <c r="M4" s="17"/>
      <c r="N4" s="17"/>
      <c r="O4" s="383"/>
      <c r="P4" s="17"/>
      <c r="Q4" s="17"/>
      <c r="R4" s="384"/>
      <c r="S4" s="384"/>
      <c r="T4" s="384"/>
      <c r="U4" s="384"/>
      <c r="V4" s="384"/>
      <c r="W4" s="384"/>
      <c r="Y4" s="349" t="s">
        <v>2393</v>
      </c>
    </row>
    <row r="5" spans="1:25" x14ac:dyDescent="0.2">
      <c r="A5" s="17"/>
      <c r="B5" s="17"/>
      <c r="C5" s="17"/>
      <c r="D5" s="17"/>
      <c r="E5" s="17"/>
      <c r="F5" s="17"/>
      <c r="G5" s="17"/>
      <c r="H5" s="17"/>
      <c r="I5" s="17"/>
      <c r="J5" s="17"/>
      <c r="K5" s="17"/>
      <c r="L5" s="383"/>
      <c r="M5" s="17"/>
      <c r="N5" s="17"/>
      <c r="O5" s="383"/>
      <c r="P5" s="17"/>
      <c r="Q5" s="17"/>
      <c r="R5" s="384"/>
      <c r="S5" s="384"/>
      <c r="T5" s="384"/>
      <c r="U5" s="384"/>
      <c r="V5" s="384"/>
      <c r="W5" s="384"/>
    </row>
    <row r="6" spans="1:25" x14ac:dyDescent="0.2">
      <c r="A6" s="17"/>
      <c r="B6" s="17"/>
      <c r="C6" s="17"/>
      <c r="D6" s="17"/>
      <c r="E6" s="17"/>
      <c r="F6" s="17"/>
      <c r="G6" s="17"/>
      <c r="H6" s="17"/>
      <c r="I6" s="17"/>
      <c r="J6" s="17"/>
      <c r="K6" s="17"/>
      <c r="L6" s="383"/>
      <c r="M6" s="17"/>
      <c r="N6" s="17"/>
      <c r="O6" s="383"/>
      <c r="P6" s="17"/>
      <c r="Q6" s="17"/>
      <c r="R6" s="384"/>
      <c r="S6" s="384"/>
      <c r="T6" s="384"/>
      <c r="U6" s="384"/>
      <c r="V6" s="384"/>
      <c r="W6" s="384"/>
      <c r="Y6" s="367" t="s">
        <v>2396</v>
      </c>
    </row>
    <row r="7" spans="1:25" x14ac:dyDescent="0.2">
      <c r="A7" s="17"/>
      <c r="B7" s="17"/>
      <c r="C7" s="17"/>
      <c r="D7" s="17"/>
      <c r="E7" s="17"/>
      <c r="F7" s="17"/>
      <c r="G7" s="17"/>
      <c r="H7" s="17"/>
      <c r="I7" s="17"/>
      <c r="J7" s="17"/>
      <c r="K7" s="17"/>
      <c r="L7" s="383"/>
      <c r="M7" s="17"/>
      <c r="N7" s="17"/>
      <c r="O7" s="383"/>
      <c r="P7" s="17"/>
      <c r="Q7" s="17"/>
      <c r="R7" s="384"/>
      <c r="S7" s="384"/>
      <c r="T7" s="384"/>
      <c r="U7" s="384"/>
      <c r="V7" s="384"/>
      <c r="W7" s="384"/>
    </row>
    <row r="8" spans="1:25" x14ac:dyDescent="0.2">
      <c r="A8" s="17"/>
      <c r="B8" s="17"/>
      <c r="C8" s="17"/>
      <c r="D8" s="17"/>
      <c r="E8" s="17"/>
      <c r="F8" s="17"/>
      <c r="G8" s="17"/>
      <c r="H8" s="17"/>
      <c r="I8" s="17"/>
      <c r="J8" s="17"/>
      <c r="K8" s="17"/>
      <c r="L8" s="383"/>
      <c r="M8" s="17"/>
      <c r="N8" s="17"/>
      <c r="O8" s="383"/>
      <c r="P8" s="17"/>
      <c r="Q8" s="17"/>
      <c r="R8" s="384"/>
      <c r="S8" s="384"/>
      <c r="T8" s="384"/>
      <c r="U8" s="384"/>
      <c r="V8" s="384"/>
      <c r="W8" s="384"/>
      <c r="Y8" s="383" t="s">
        <v>2397</v>
      </c>
    </row>
    <row r="9" spans="1:25" x14ac:dyDescent="0.2">
      <c r="A9" s="17"/>
      <c r="B9" s="17"/>
      <c r="C9" s="17"/>
      <c r="D9" s="17"/>
      <c r="E9" s="17"/>
      <c r="F9" s="17"/>
      <c r="G9" s="17"/>
      <c r="H9" s="17"/>
      <c r="I9" s="17"/>
      <c r="J9" s="17"/>
      <c r="K9" s="17"/>
      <c r="L9" s="383"/>
      <c r="M9" s="17"/>
      <c r="N9" s="17"/>
      <c r="O9" s="383"/>
      <c r="P9" s="17"/>
      <c r="Q9" s="17"/>
      <c r="R9" s="384"/>
      <c r="S9" s="384"/>
      <c r="T9" s="384"/>
      <c r="U9" s="384"/>
      <c r="V9" s="384"/>
      <c r="W9" s="384"/>
    </row>
    <row r="10" spans="1:25" x14ac:dyDescent="0.2">
      <c r="A10" s="17"/>
      <c r="B10" s="17"/>
      <c r="C10" s="17"/>
      <c r="D10" s="17"/>
      <c r="E10" s="17"/>
      <c r="F10" s="17"/>
      <c r="G10" s="17"/>
      <c r="H10" s="17"/>
      <c r="I10" s="17"/>
      <c r="J10" s="17"/>
      <c r="K10" s="17"/>
      <c r="L10" s="383"/>
      <c r="M10" s="17"/>
      <c r="N10" s="17"/>
      <c r="O10" s="383"/>
      <c r="P10" s="17"/>
      <c r="Q10" s="17"/>
      <c r="R10" s="384"/>
      <c r="S10" s="384"/>
      <c r="T10" s="384"/>
      <c r="U10" s="384"/>
      <c r="V10" s="384"/>
      <c r="W10" s="384"/>
    </row>
    <row r="11" spans="1:25" x14ac:dyDescent="0.2">
      <c r="A11" s="17"/>
      <c r="B11" s="17"/>
      <c r="C11" s="17"/>
      <c r="D11" s="17"/>
      <c r="E11" s="17"/>
      <c r="F11" s="17"/>
      <c r="G11" s="17"/>
      <c r="H11" s="17"/>
      <c r="I11" s="17"/>
      <c r="J11" s="17"/>
      <c r="K11" s="17"/>
      <c r="L11" s="383"/>
      <c r="M11" s="17"/>
      <c r="N11" s="17"/>
      <c r="O11" s="383"/>
      <c r="P11" s="17"/>
      <c r="Q11" s="17"/>
      <c r="R11" s="384"/>
      <c r="S11" s="384"/>
      <c r="T11" s="384"/>
      <c r="U11" s="384"/>
      <c r="V11" s="384"/>
      <c r="W11" s="384"/>
    </row>
    <row r="12" spans="1:25" x14ac:dyDescent="0.2">
      <c r="A12" s="17"/>
      <c r="B12" s="17"/>
      <c r="C12" s="17"/>
      <c r="D12" s="17"/>
      <c r="E12" s="17"/>
      <c r="F12" s="17"/>
      <c r="G12" s="17"/>
      <c r="H12" s="17"/>
      <c r="I12" s="17"/>
      <c r="J12" s="17"/>
      <c r="K12" s="17"/>
      <c r="L12" s="383"/>
      <c r="M12" s="17"/>
      <c r="N12" s="17"/>
      <c r="O12" s="383"/>
      <c r="P12" s="17"/>
      <c r="Q12" s="17"/>
      <c r="R12" s="384"/>
      <c r="S12" s="384"/>
      <c r="T12" s="384"/>
      <c r="U12" s="384"/>
      <c r="V12" s="384"/>
      <c r="W12" s="384"/>
    </row>
    <row r="13" spans="1:25" x14ac:dyDescent="0.2">
      <c r="A13" s="17"/>
      <c r="B13" s="17"/>
      <c r="C13" s="17"/>
      <c r="D13" s="17"/>
      <c r="E13" s="17"/>
      <c r="F13" s="17"/>
      <c r="G13" s="17"/>
      <c r="H13" s="17"/>
      <c r="I13" s="17"/>
      <c r="J13" s="17"/>
      <c r="K13" s="17"/>
      <c r="L13" s="383"/>
      <c r="M13" s="17"/>
      <c r="N13" s="17"/>
      <c r="O13" s="383"/>
      <c r="P13" s="17"/>
      <c r="Q13" s="17"/>
      <c r="R13" s="384"/>
      <c r="S13" s="384"/>
      <c r="T13" s="384"/>
      <c r="U13" s="384"/>
      <c r="V13" s="384"/>
      <c r="W13" s="384"/>
    </row>
    <row r="14" spans="1:25" x14ac:dyDescent="0.2">
      <c r="A14" s="17"/>
      <c r="B14" s="17"/>
      <c r="C14" s="17"/>
      <c r="D14" s="17"/>
      <c r="E14" s="17"/>
      <c r="F14" s="17"/>
      <c r="G14" s="17"/>
      <c r="H14" s="17"/>
      <c r="I14" s="17"/>
      <c r="J14" s="17"/>
      <c r="K14" s="17"/>
      <c r="L14" s="383"/>
      <c r="M14" s="17"/>
      <c r="N14" s="17"/>
      <c r="O14" s="383"/>
      <c r="P14" s="17"/>
      <c r="Q14" s="17"/>
      <c r="R14" s="384"/>
      <c r="S14" s="384"/>
      <c r="T14" s="384"/>
      <c r="U14" s="384"/>
      <c r="V14" s="384"/>
      <c r="W14" s="384"/>
    </row>
    <row r="15" spans="1:25" x14ac:dyDescent="0.2">
      <c r="A15" s="17"/>
      <c r="B15" s="17"/>
      <c r="C15" s="17"/>
      <c r="D15" s="17"/>
      <c r="E15" s="17"/>
      <c r="F15" s="17"/>
      <c r="G15" s="17"/>
      <c r="H15" s="17"/>
      <c r="I15" s="17"/>
      <c r="J15" s="17"/>
      <c r="K15" s="17"/>
      <c r="L15" s="383"/>
      <c r="M15" s="17"/>
      <c r="N15" s="17"/>
      <c r="O15" s="383"/>
      <c r="P15" s="17"/>
      <c r="Q15" s="17"/>
      <c r="R15" s="384"/>
      <c r="S15" s="384"/>
      <c r="T15" s="384"/>
      <c r="U15" s="384"/>
      <c r="V15" s="384"/>
      <c r="W15" s="384"/>
    </row>
    <row r="16" spans="1:25" x14ac:dyDescent="0.2">
      <c r="A16" s="17"/>
      <c r="B16" s="17"/>
      <c r="C16" s="17"/>
      <c r="D16" s="17"/>
      <c r="E16" s="17"/>
      <c r="F16" s="17"/>
      <c r="G16" s="17"/>
      <c r="H16" s="17"/>
      <c r="I16" s="17"/>
      <c r="J16" s="17"/>
      <c r="K16" s="17"/>
      <c r="L16" s="383"/>
      <c r="M16" s="17"/>
      <c r="N16" s="17"/>
      <c r="O16" s="383"/>
      <c r="P16" s="17"/>
      <c r="Q16" s="17"/>
      <c r="R16" s="384"/>
      <c r="S16" s="384"/>
      <c r="T16" s="384"/>
      <c r="U16" s="384"/>
      <c r="V16" s="384"/>
      <c r="W16" s="384"/>
    </row>
    <row r="17" spans="1:23" x14ac:dyDescent="0.2">
      <c r="A17" s="17"/>
      <c r="B17" s="17"/>
      <c r="C17" s="17"/>
      <c r="D17" s="17"/>
      <c r="E17" s="17"/>
      <c r="F17" s="17"/>
      <c r="G17" s="17"/>
      <c r="H17" s="17"/>
      <c r="I17" s="17"/>
      <c r="J17" s="17"/>
      <c r="K17" s="17"/>
      <c r="L17" s="383"/>
      <c r="M17" s="17"/>
      <c r="N17" s="17"/>
      <c r="O17" s="383"/>
      <c r="P17" s="17"/>
      <c r="Q17" s="17"/>
      <c r="R17" s="384"/>
      <c r="S17" s="384"/>
      <c r="T17" s="384"/>
      <c r="U17" s="384"/>
      <c r="V17" s="384"/>
      <c r="W17" s="384"/>
    </row>
    <row r="18" spans="1:23" x14ac:dyDescent="0.2">
      <c r="A18" s="17"/>
      <c r="B18" s="17"/>
      <c r="C18" s="17"/>
      <c r="D18" s="17"/>
      <c r="E18" s="17"/>
      <c r="F18" s="17"/>
      <c r="G18" s="17"/>
      <c r="H18" s="17"/>
      <c r="I18" s="17"/>
      <c r="J18" s="17"/>
      <c r="K18" s="17"/>
      <c r="L18" s="383"/>
      <c r="M18" s="17"/>
      <c r="N18" s="17"/>
      <c r="O18" s="383"/>
      <c r="P18" s="17"/>
      <c r="Q18" s="17"/>
      <c r="R18" s="384"/>
      <c r="S18" s="384"/>
      <c r="T18" s="384"/>
      <c r="U18" s="384"/>
      <c r="V18" s="384"/>
      <c r="W18" s="384"/>
    </row>
    <row r="19" spans="1:23" x14ac:dyDescent="0.2">
      <c r="A19" s="17"/>
      <c r="B19" s="17"/>
      <c r="C19" s="17"/>
      <c r="D19" s="17"/>
      <c r="E19" s="17"/>
      <c r="F19" s="17"/>
      <c r="G19" s="17"/>
      <c r="H19" s="17"/>
      <c r="I19" s="17"/>
      <c r="J19" s="17"/>
      <c r="K19" s="17"/>
      <c r="L19" s="383"/>
      <c r="M19" s="17"/>
      <c r="N19" s="17"/>
      <c r="O19" s="383"/>
      <c r="P19" s="17"/>
      <c r="Q19" s="17"/>
      <c r="R19" s="384"/>
      <c r="S19" s="384"/>
      <c r="T19" s="384"/>
      <c r="U19" s="384"/>
      <c r="V19" s="384"/>
      <c r="W19" s="384"/>
    </row>
    <row r="20" spans="1:23" x14ac:dyDescent="0.2">
      <c r="A20" s="17"/>
      <c r="B20" s="17"/>
      <c r="C20" s="17"/>
      <c r="D20" s="17"/>
      <c r="E20" s="17"/>
      <c r="F20" s="17"/>
      <c r="G20" s="17"/>
      <c r="H20" s="17"/>
      <c r="I20" s="17"/>
      <c r="J20" s="17"/>
      <c r="K20" s="17"/>
      <c r="L20" s="383"/>
      <c r="M20" s="17"/>
      <c r="N20" s="17"/>
      <c r="O20" s="383"/>
      <c r="P20" s="17"/>
      <c r="Q20" s="17"/>
      <c r="R20" s="384"/>
      <c r="S20" s="384"/>
      <c r="T20" s="384"/>
      <c r="U20" s="384"/>
      <c r="V20" s="384"/>
      <c r="W20" s="384"/>
    </row>
    <row r="21" spans="1:23" x14ac:dyDescent="0.2">
      <c r="A21" s="17"/>
      <c r="B21" s="17"/>
      <c r="C21" s="17"/>
      <c r="D21" s="17"/>
      <c r="E21" s="17"/>
      <c r="F21" s="17"/>
      <c r="G21" s="17"/>
      <c r="H21" s="17"/>
      <c r="I21" s="17"/>
      <c r="J21" s="17"/>
      <c r="K21" s="17"/>
      <c r="L21" s="383"/>
      <c r="M21" s="17"/>
      <c r="N21" s="17"/>
      <c r="O21" s="383"/>
      <c r="P21" s="17"/>
      <c r="Q21" s="17"/>
      <c r="R21" s="384"/>
      <c r="S21" s="384"/>
      <c r="T21" s="384"/>
      <c r="U21" s="384"/>
      <c r="V21" s="384"/>
      <c r="W21" s="384"/>
    </row>
    <row r="22" spans="1:23" x14ac:dyDescent="0.2">
      <c r="A22" s="17"/>
      <c r="B22" s="17"/>
      <c r="C22" s="17"/>
      <c r="D22" s="17"/>
      <c r="E22" s="17"/>
      <c r="F22" s="17"/>
      <c r="G22" s="17"/>
      <c r="H22" s="17"/>
      <c r="I22" s="17"/>
      <c r="J22" s="17"/>
      <c r="K22" s="17"/>
      <c r="L22" s="383"/>
      <c r="M22" s="17"/>
      <c r="N22" s="17"/>
      <c r="O22" s="383"/>
      <c r="P22" s="17"/>
      <c r="Q22" s="17"/>
      <c r="R22" s="384"/>
      <c r="S22" s="384"/>
      <c r="T22" s="384"/>
      <c r="U22" s="384"/>
      <c r="V22" s="384"/>
      <c r="W22" s="384"/>
    </row>
    <row r="23" spans="1:23" x14ac:dyDescent="0.2">
      <c r="A23" s="17"/>
      <c r="B23" s="17"/>
      <c r="C23" s="17"/>
      <c r="D23" s="17"/>
      <c r="E23" s="17"/>
      <c r="F23" s="17"/>
      <c r="G23" s="17"/>
      <c r="H23" s="17"/>
      <c r="I23" s="17"/>
      <c r="J23" s="17"/>
      <c r="K23" s="17"/>
      <c r="L23" s="383"/>
      <c r="M23" s="17"/>
      <c r="N23" s="17"/>
      <c r="O23" s="383"/>
      <c r="P23" s="17"/>
      <c r="Q23" s="17"/>
      <c r="R23" s="384"/>
      <c r="S23" s="384"/>
      <c r="T23" s="384"/>
      <c r="U23" s="384"/>
      <c r="V23" s="384"/>
      <c r="W23" s="384"/>
    </row>
    <row r="24" spans="1:23" x14ac:dyDescent="0.2">
      <c r="A24" s="17"/>
      <c r="B24" s="17"/>
      <c r="C24" s="17"/>
      <c r="D24" s="17"/>
      <c r="E24" s="17"/>
      <c r="F24" s="17"/>
      <c r="G24" s="17"/>
      <c r="H24" s="17"/>
      <c r="I24" s="17"/>
      <c r="J24" s="17"/>
      <c r="K24" s="17"/>
      <c r="L24" s="383"/>
      <c r="M24" s="17"/>
      <c r="N24" s="17"/>
      <c r="O24" s="383"/>
      <c r="P24" s="17"/>
      <c r="Q24" s="17"/>
      <c r="R24" s="384"/>
      <c r="S24" s="384"/>
      <c r="T24" s="384"/>
      <c r="U24" s="384"/>
      <c r="V24" s="384"/>
      <c r="W24" s="384"/>
    </row>
    <row r="25" spans="1:23" x14ac:dyDescent="0.2">
      <c r="A25" s="17"/>
      <c r="B25" s="17"/>
      <c r="C25" s="17"/>
      <c r="D25" s="17"/>
      <c r="E25" s="17"/>
      <c r="F25" s="17"/>
      <c r="G25" s="17"/>
      <c r="H25" s="17"/>
      <c r="I25" s="17"/>
      <c r="J25" s="17"/>
      <c r="K25" s="17"/>
      <c r="L25" s="383"/>
      <c r="M25" s="17"/>
      <c r="N25" s="17"/>
      <c r="O25" s="383"/>
      <c r="P25" s="17"/>
      <c r="Q25" s="17"/>
      <c r="R25" s="384"/>
      <c r="S25" s="384"/>
      <c r="T25" s="384"/>
      <c r="U25" s="384"/>
      <c r="V25" s="384"/>
      <c r="W25" s="384"/>
    </row>
    <row r="26" spans="1:23" x14ac:dyDescent="0.2">
      <c r="A26" s="17"/>
      <c r="B26" s="17"/>
      <c r="C26" s="17"/>
      <c r="D26" s="17"/>
      <c r="E26" s="17"/>
      <c r="F26" s="17"/>
      <c r="G26" s="17"/>
      <c r="H26" s="17"/>
      <c r="I26" s="17"/>
      <c r="J26" s="17"/>
      <c r="K26" s="17"/>
      <c r="L26" s="383"/>
      <c r="M26" s="17"/>
      <c r="N26" s="17"/>
      <c r="O26" s="383"/>
      <c r="P26" s="17"/>
      <c r="Q26" s="17"/>
      <c r="R26" s="384"/>
      <c r="S26" s="384"/>
      <c r="T26" s="384"/>
      <c r="U26" s="384"/>
      <c r="V26" s="384"/>
      <c r="W26" s="384"/>
    </row>
    <row r="27" spans="1:23" x14ac:dyDescent="0.2">
      <c r="A27" s="17"/>
      <c r="B27" s="17"/>
      <c r="C27" s="17"/>
      <c r="D27" s="17"/>
      <c r="E27" s="17"/>
      <c r="F27" s="17"/>
      <c r="G27" s="17"/>
      <c r="H27" s="17"/>
      <c r="I27" s="17"/>
      <c r="J27" s="17"/>
      <c r="K27" s="17"/>
      <c r="L27" s="383"/>
      <c r="M27" s="17"/>
      <c r="N27" s="17"/>
      <c r="O27" s="383"/>
      <c r="P27" s="17"/>
      <c r="Q27" s="17"/>
      <c r="R27" s="384"/>
      <c r="S27" s="384"/>
      <c r="T27" s="384"/>
      <c r="U27" s="384"/>
      <c r="V27" s="384"/>
      <c r="W27" s="384"/>
    </row>
    <row r="28" spans="1:23" x14ac:dyDescent="0.2">
      <c r="A28" s="17"/>
      <c r="B28" s="17"/>
      <c r="C28" s="17"/>
      <c r="D28" s="17"/>
      <c r="E28" s="17"/>
      <c r="F28" s="17"/>
      <c r="G28" s="17"/>
      <c r="H28" s="17"/>
      <c r="I28" s="17"/>
      <c r="J28" s="17"/>
      <c r="K28" s="17"/>
      <c r="L28" s="383"/>
      <c r="M28" s="17"/>
      <c r="N28" s="17"/>
      <c r="O28" s="383"/>
      <c r="P28" s="17"/>
      <c r="Q28" s="17"/>
      <c r="R28" s="384"/>
      <c r="S28" s="384"/>
      <c r="T28" s="384"/>
      <c r="U28" s="384"/>
      <c r="V28" s="384"/>
      <c r="W28" s="384"/>
    </row>
    <row r="29" spans="1:23" x14ac:dyDescent="0.2">
      <c r="A29" s="17"/>
      <c r="B29" s="17"/>
      <c r="C29" s="17"/>
      <c r="D29" s="17"/>
      <c r="E29" s="17"/>
      <c r="F29" s="17"/>
      <c r="G29" s="17"/>
      <c r="H29" s="17"/>
      <c r="I29" s="17"/>
      <c r="J29" s="17"/>
      <c r="K29" s="17"/>
      <c r="L29" s="383"/>
      <c r="M29" s="17"/>
      <c r="N29" s="17"/>
      <c r="O29" s="383"/>
      <c r="P29" s="17"/>
      <c r="Q29" s="17"/>
      <c r="R29" s="384"/>
      <c r="S29" s="384"/>
      <c r="T29" s="384"/>
      <c r="U29" s="384"/>
      <c r="V29" s="384"/>
      <c r="W29" s="384"/>
    </row>
    <row r="30" spans="1:23" x14ac:dyDescent="0.2">
      <c r="A30" s="17"/>
      <c r="B30" s="17"/>
      <c r="C30" s="17"/>
      <c r="D30" s="17"/>
      <c r="E30" s="17"/>
      <c r="F30" s="17"/>
      <c r="G30" s="17"/>
      <c r="H30" s="17"/>
      <c r="I30" s="17"/>
      <c r="J30" s="17"/>
      <c r="K30" s="17"/>
      <c r="L30" s="383"/>
      <c r="M30" s="17"/>
      <c r="N30" s="17"/>
      <c r="O30" s="383"/>
      <c r="P30" s="17"/>
      <c r="Q30" s="17"/>
      <c r="R30" s="384"/>
      <c r="S30" s="384"/>
      <c r="T30" s="384"/>
      <c r="U30" s="384"/>
      <c r="V30" s="384"/>
      <c r="W30" s="384"/>
    </row>
    <row r="31" spans="1:23" x14ac:dyDescent="0.2">
      <c r="A31" s="17"/>
      <c r="B31" s="17"/>
      <c r="C31" s="17"/>
      <c r="D31" s="17"/>
      <c r="E31" s="17"/>
      <c r="F31" s="17"/>
      <c r="G31" s="17"/>
      <c r="H31" s="17"/>
      <c r="I31" s="17"/>
      <c r="J31" s="17"/>
      <c r="K31" s="17"/>
      <c r="L31" s="383"/>
      <c r="M31" s="17"/>
      <c r="N31" s="17"/>
      <c r="O31" s="383"/>
      <c r="P31" s="17"/>
      <c r="Q31" s="17"/>
      <c r="R31" s="384"/>
      <c r="S31" s="384"/>
      <c r="T31" s="384"/>
      <c r="U31" s="384"/>
      <c r="V31" s="384"/>
      <c r="W31" s="384"/>
    </row>
    <row r="32" spans="1:23" x14ac:dyDescent="0.2">
      <c r="A32" s="17"/>
      <c r="B32" s="17"/>
      <c r="C32" s="17"/>
      <c r="D32" s="17"/>
      <c r="E32" s="17"/>
      <c r="F32" s="17"/>
      <c r="G32" s="17"/>
      <c r="H32" s="17"/>
      <c r="I32" s="17"/>
      <c r="J32" s="17"/>
      <c r="K32" s="17"/>
      <c r="L32" s="383"/>
      <c r="M32" s="17"/>
      <c r="N32" s="17"/>
      <c r="O32" s="383"/>
      <c r="P32" s="17"/>
      <c r="Q32" s="17"/>
      <c r="R32" s="384"/>
      <c r="S32" s="384"/>
      <c r="T32" s="384"/>
      <c r="U32" s="384"/>
      <c r="V32" s="384"/>
      <c r="W32" s="384"/>
    </row>
    <row r="33" spans="1:23" x14ac:dyDescent="0.2">
      <c r="A33" s="17"/>
      <c r="B33" s="17"/>
      <c r="C33" s="17"/>
      <c r="D33" s="17"/>
      <c r="E33" s="17"/>
      <c r="F33" s="17"/>
      <c r="G33" s="17"/>
      <c r="H33" s="17"/>
      <c r="I33" s="17"/>
      <c r="J33" s="17"/>
      <c r="K33" s="17"/>
      <c r="L33" s="383"/>
      <c r="M33" s="17"/>
      <c r="N33" s="17"/>
      <c r="O33" s="383"/>
      <c r="P33" s="17"/>
      <c r="Q33" s="17"/>
      <c r="R33" s="384"/>
      <c r="S33" s="384"/>
      <c r="T33" s="384"/>
      <c r="U33" s="384"/>
      <c r="V33" s="384"/>
      <c r="W33" s="384"/>
    </row>
    <row r="34" spans="1:23" x14ac:dyDescent="0.2">
      <c r="A34" s="17"/>
      <c r="B34" s="17"/>
      <c r="C34" s="17"/>
      <c r="D34" s="17"/>
      <c r="E34" s="17"/>
      <c r="F34" s="17"/>
      <c r="G34" s="17"/>
      <c r="H34" s="17"/>
      <c r="I34" s="17"/>
      <c r="J34" s="17"/>
      <c r="K34" s="17"/>
      <c r="L34" s="383"/>
      <c r="M34" s="17"/>
      <c r="N34" s="17"/>
      <c r="O34" s="383"/>
      <c r="P34" s="17"/>
      <c r="Q34" s="17"/>
      <c r="R34" s="384"/>
      <c r="S34" s="384"/>
      <c r="T34" s="384"/>
      <c r="U34" s="384"/>
      <c r="V34" s="384"/>
      <c r="W34" s="384"/>
    </row>
    <row r="35" spans="1:23" x14ac:dyDescent="0.2">
      <c r="A35" s="17"/>
      <c r="B35" s="17"/>
      <c r="C35" s="17"/>
      <c r="D35" s="17"/>
      <c r="E35" s="17"/>
      <c r="F35" s="17"/>
      <c r="G35" s="17"/>
      <c r="H35" s="17"/>
      <c r="I35" s="17"/>
      <c r="J35" s="17"/>
      <c r="K35" s="17"/>
      <c r="L35" s="383"/>
      <c r="M35" s="17"/>
      <c r="N35" s="17"/>
      <c r="O35" s="383"/>
      <c r="P35" s="17"/>
      <c r="Q35" s="17"/>
      <c r="R35" s="384"/>
      <c r="S35" s="384"/>
      <c r="T35" s="384"/>
      <c r="U35" s="384"/>
      <c r="V35" s="384"/>
      <c r="W35" s="384"/>
    </row>
    <row r="36" spans="1:23" x14ac:dyDescent="0.2">
      <c r="A36" s="17"/>
      <c r="B36" s="17"/>
      <c r="C36" s="17"/>
      <c r="D36" s="17"/>
      <c r="E36" s="17"/>
      <c r="F36" s="17"/>
      <c r="G36" s="17"/>
      <c r="H36" s="17"/>
      <c r="I36" s="17"/>
      <c r="J36" s="17"/>
      <c r="K36" s="17"/>
      <c r="L36" s="383"/>
      <c r="M36" s="17"/>
      <c r="N36" s="17"/>
      <c r="O36" s="383"/>
      <c r="P36" s="17"/>
      <c r="Q36" s="17"/>
      <c r="R36" s="384"/>
      <c r="S36" s="384"/>
      <c r="T36" s="384"/>
      <c r="U36" s="384"/>
      <c r="V36" s="384"/>
      <c r="W36" s="384"/>
    </row>
    <row r="37" spans="1:23" x14ac:dyDescent="0.2">
      <c r="A37" s="17"/>
      <c r="B37" s="17"/>
      <c r="C37" s="17"/>
      <c r="D37" s="17"/>
      <c r="E37" s="17"/>
      <c r="F37" s="17"/>
      <c r="G37" s="17"/>
      <c r="H37" s="17"/>
      <c r="I37" s="17"/>
      <c r="J37" s="17"/>
      <c r="K37" s="17"/>
      <c r="L37" s="383"/>
      <c r="M37" s="17"/>
      <c r="N37" s="17"/>
      <c r="O37" s="383"/>
      <c r="P37" s="17"/>
      <c r="Q37" s="17"/>
      <c r="R37" s="384"/>
      <c r="S37" s="384"/>
      <c r="T37" s="384"/>
      <c r="U37" s="384"/>
      <c r="V37" s="384"/>
      <c r="W37" s="384"/>
    </row>
    <row r="38" spans="1:23" x14ac:dyDescent="0.2">
      <c r="A38" s="17"/>
      <c r="B38" s="17"/>
      <c r="C38" s="17"/>
      <c r="D38" s="17"/>
      <c r="E38" s="17"/>
      <c r="F38" s="17"/>
      <c r="G38" s="17"/>
      <c r="H38" s="17"/>
      <c r="I38" s="17"/>
      <c r="J38" s="17"/>
      <c r="K38" s="17"/>
      <c r="L38" s="383"/>
      <c r="M38" s="17"/>
      <c r="N38" s="17"/>
      <c r="O38" s="383"/>
      <c r="P38" s="17"/>
      <c r="Q38" s="17"/>
      <c r="R38" s="384"/>
      <c r="S38" s="384"/>
      <c r="T38" s="384"/>
      <c r="U38" s="384"/>
      <c r="V38" s="384"/>
      <c r="W38" s="384"/>
    </row>
    <row r="39" spans="1:23" x14ac:dyDescent="0.2">
      <c r="A39" s="17"/>
      <c r="B39" s="17"/>
      <c r="C39" s="17"/>
      <c r="D39" s="17"/>
      <c r="E39" s="17"/>
      <c r="F39" s="17"/>
      <c r="G39" s="17"/>
      <c r="H39" s="17"/>
      <c r="I39" s="17"/>
      <c r="J39" s="17"/>
      <c r="K39" s="17"/>
      <c r="L39" s="383"/>
      <c r="M39" s="17"/>
      <c r="N39" s="17"/>
      <c r="O39" s="383"/>
      <c r="P39" s="17"/>
      <c r="Q39" s="17"/>
      <c r="R39" s="384"/>
      <c r="S39" s="384"/>
      <c r="T39" s="384"/>
      <c r="U39" s="384"/>
      <c r="V39" s="384"/>
      <c r="W39" s="384"/>
    </row>
    <row r="40" spans="1:23" x14ac:dyDescent="0.2">
      <c r="A40" s="17"/>
      <c r="B40" s="17"/>
      <c r="C40" s="17"/>
      <c r="D40" s="17"/>
      <c r="E40" s="17"/>
      <c r="F40" s="17"/>
      <c r="G40" s="17"/>
      <c r="H40" s="17"/>
      <c r="I40" s="17"/>
      <c r="J40" s="17"/>
      <c r="K40" s="17"/>
      <c r="L40" s="383"/>
      <c r="M40" s="17"/>
      <c r="N40" s="17"/>
      <c r="O40" s="383"/>
      <c r="P40" s="17"/>
      <c r="Q40" s="17"/>
      <c r="R40" s="384"/>
      <c r="S40" s="384"/>
      <c r="T40" s="384"/>
      <c r="U40" s="384"/>
      <c r="V40" s="384"/>
      <c r="W40" s="384"/>
    </row>
    <row r="41" spans="1:23" x14ac:dyDescent="0.2">
      <c r="A41" s="17"/>
      <c r="B41" s="17"/>
      <c r="C41" s="17"/>
      <c r="D41" s="17"/>
      <c r="E41" s="17"/>
      <c r="F41" s="17"/>
      <c r="G41" s="17"/>
      <c r="H41" s="17"/>
      <c r="I41" s="17"/>
      <c r="J41" s="17"/>
      <c r="K41" s="17"/>
      <c r="L41" s="383"/>
      <c r="M41" s="17"/>
      <c r="N41" s="17"/>
      <c r="O41" s="383"/>
      <c r="P41" s="17"/>
      <c r="Q41" s="17"/>
      <c r="R41" s="384"/>
      <c r="S41" s="384"/>
      <c r="T41" s="384"/>
      <c r="U41" s="384"/>
      <c r="V41" s="384"/>
      <c r="W41" s="384"/>
    </row>
    <row r="42" spans="1:23" x14ac:dyDescent="0.2">
      <c r="A42" s="17"/>
      <c r="B42" s="17"/>
      <c r="C42" s="17"/>
      <c r="D42" s="17"/>
      <c r="E42" s="17"/>
      <c r="F42" s="17"/>
      <c r="G42" s="17"/>
      <c r="H42" s="17"/>
      <c r="I42" s="17"/>
      <c r="J42" s="17"/>
      <c r="K42" s="17"/>
      <c r="L42" s="383"/>
      <c r="M42" s="17"/>
      <c r="N42" s="17"/>
      <c r="O42" s="383"/>
      <c r="P42" s="17"/>
      <c r="Q42" s="17"/>
      <c r="R42" s="384"/>
      <c r="S42" s="384"/>
      <c r="T42" s="384"/>
      <c r="U42" s="384"/>
      <c r="V42" s="384"/>
      <c r="W42" s="384"/>
    </row>
    <row r="43" spans="1:23" x14ac:dyDescent="0.2">
      <c r="A43" s="17"/>
      <c r="B43" s="17"/>
      <c r="C43" s="17"/>
      <c r="D43" s="17"/>
      <c r="E43" s="17"/>
      <c r="F43" s="17"/>
      <c r="G43" s="17"/>
      <c r="H43" s="17"/>
      <c r="I43" s="17"/>
      <c r="J43" s="17"/>
      <c r="K43" s="17"/>
      <c r="L43" s="383"/>
      <c r="M43" s="17"/>
      <c r="N43" s="17"/>
      <c r="O43" s="383"/>
      <c r="P43" s="17"/>
      <c r="Q43" s="17"/>
      <c r="R43" s="384"/>
      <c r="S43" s="384"/>
      <c r="T43" s="384"/>
      <c r="U43" s="384"/>
      <c r="V43" s="384"/>
      <c r="W43" s="384"/>
    </row>
    <row r="44" spans="1:23" x14ac:dyDescent="0.2">
      <c r="A44" s="17"/>
      <c r="B44" s="17"/>
      <c r="C44" s="17"/>
      <c r="D44" s="17"/>
      <c r="E44" s="17"/>
      <c r="F44" s="17"/>
      <c r="G44" s="17"/>
      <c r="H44" s="17"/>
      <c r="I44" s="17"/>
      <c r="J44" s="17"/>
      <c r="K44" s="17"/>
      <c r="L44" s="383"/>
      <c r="M44" s="17"/>
      <c r="N44" s="17"/>
      <c r="O44" s="383"/>
      <c r="P44" s="17"/>
      <c r="Q44" s="17"/>
      <c r="R44" s="384"/>
      <c r="S44" s="384"/>
      <c r="T44" s="384"/>
      <c r="U44" s="384"/>
      <c r="V44" s="384"/>
      <c r="W44" s="384"/>
    </row>
    <row r="45" spans="1:23" x14ac:dyDescent="0.2">
      <c r="A45" s="17"/>
      <c r="B45" s="17"/>
      <c r="C45" s="17"/>
      <c r="D45" s="17"/>
      <c r="E45" s="17"/>
      <c r="F45" s="17"/>
      <c r="G45" s="17"/>
      <c r="H45" s="17"/>
      <c r="I45" s="17"/>
      <c r="J45" s="17"/>
      <c r="K45" s="17"/>
      <c r="L45" s="383"/>
      <c r="M45" s="17"/>
      <c r="N45" s="17"/>
      <c r="O45" s="383"/>
      <c r="P45" s="17"/>
      <c r="Q45" s="17"/>
      <c r="R45" s="384"/>
      <c r="S45" s="384"/>
      <c r="T45" s="384"/>
      <c r="U45" s="384"/>
      <c r="V45" s="384"/>
      <c r="W45" s="384"/>
    </row>
    <row r="46" spans="1:23" x14ac:dyDescent="0.2">
      <c r="A46" s="17"/>
      <c r="B46" s="17"/>
      <c r="C46" s="17"/>
      <c r="D46" s="17"/>
      <c r="E46" s="17"/>
      <c r="F46" s="17"/>
      <c r="G46" s="17"/>
      <c r="H46" s="17"/>
      <c r="I46" s="17"/>
      <c r="J46" s="17"/>
      <c r="K46" s="17"/>
      <c r="L46" s="383"/>
      <c r="M46" s="17"/>
      <c r="N46" s="17"/>
      <c r="O46" s="383"/>
      <c r="P46" s="17"/>
      <c r="Q46" s="17"/>
      <c r="R46" s="384"/>
      <c r="S46" s="384"/>
      <c r="T46" s="384"/>
      <c r="U46" s="384"/>
      <c r="V46" s="384"/>
      <c r="W46" s="384"/>
    </row>
    <row r="47" spans="1:23" x14ac:dyDescent="0.2">
      <c r="A47" s="17"/>
      <c r="B47" s="17"/>
      <c r="C47" s="17"/>
      <c r="D47" s="17"/>
      <c r="E47" s="17"/>
      <c r="F47" s="17"/>
      <c r="G47" s="17"/>
      <c r="H47" s="17"/>
      <c r="I47" s="17"/>
      <c r="J47" s="17"/>
      <c r="K47" s="17"/>
      <c r="L47" s="383"/>
      <c r="M47" s="17"/>
      <c r="N47" s="17"/>
      <c r="O47" s="383"/>
      <c r="P47" s="17"/>
      <c r="Q47" s="17"/>
      <c r="R47" s="384"/>
      <c r="S47" s="384"/>
      <c r="T47" s="384"/>
      <c r="U47" s="384"/>
      <c r="V47" s="384"/>
      <c r="W47" s="384"/>
    </row>
    <row r="48" spans="1:23" x14ac:dyDescent="0.2">
      <c r="A48" s="17"/>
      <c r="B48" s="17"/>
      <c r="C48" s="17"/>
      <c r="D48" s="17"/>
      <c r="E48" s="17"/>
      <c r="F48" s="17"/>
      <c r="G48" s="17"/>
      <c r="H48" s="17"/>
      <c r="I48" s="17"/>
      <c r="J48" s="17"/>
      <c r="K48" s="17"/>
      <c r="L48" s="383"/>
      <c r="M48" s="17"/>
      <c r="N48" s="17"/>
      <c r="O48" s="383"/>
      <c r="P48" s="17"/>
      <c r="Q48" s="17"/>
      <c r="R48" s="384"/>
      <c r="S48" s="384"/>
      <c r="T48" s="384"/>
      <c r="U48" s="384"/>
      <c r="V48" s="384"/>
      <c r="W48" s="384"/>
    </row>
    <row r="49" spans="1:23" x14ac:dyDescent="0.2">
      <c r="A49" s="17"/>
      <c r="B49" s="17"/>
      <c r="C49" s="17"/>
      <c r="D49" s="17"/>
      <c r="E49" s="17"/>
      <c r="F49" s="17"/>
      <c r="G49" s="17"/>
      <c r="H49" s="17"/>
      <c r="I49" s="17"/>
      <c r="J49" s="17"/>
      <c r="K49" s="17"/>
      <c r="L49" s="383"/>
      <c r="M49" s="17"/>
      <c r="N49" s="17"/>
      <c r="O49" s="383"/>
      <c r="P49" s="17"/>
      <c r="Q49" s="17"/>
      <c r="R49" s="384"/>
      <c r="S49" s="384"/>
      <c r="T49" s="384"/>
      <c r="U49" s="384"/>
      <c r="V49" s="384"/>
      <c r="W49" s="384"/>
    </row>
    <row r="50" spans="1:23" x14ac:dyDescent="0.2">
      <c r="A50" s="17"/>
      <c r="B50" s="17"/>
      <c r="C50" s="17"/>
      <c r="D50" s="17"/>
      <c r="E50" s="17"/>
      <c r="F50" s="17"/>
      <c r="G50" s="17"/>
      <c r="H50" s="17"/>
      <c r="I50" s="17"/>
      <c r="J50" s="17"/>
      <c r="K50" s="17"/>
      <c r="L50" s="383"/>
      <c r="M50" s="17"/>
      <c r="N50" s="17"/>
      <c r="O50" s="383"/>
      <c r="P50" s="17"/>
      <c r="Q50" s="17"/>
      <c r="R50" s="384"/>
      <c r="S50" s="384"/>
      <c r="T50" s="384"/>
      <c r="U50" s="384"/>
      <c r="V50" s="384"/>
      <c r="W50" s="384"/>
    </row>
    <row r="51" spans="1:23" x14ac:dyDescent="0.2">
      <c r="A51" s="17"/>
      <c r="B51" s="17"/>
      <c r="C51" s="17"/>
      <c r="D51" s="17"/>
      <c r="E51" s="17"/>
      <c r="F51" s="17"/>
      <c r="G51" s="17"/>
      <c r="H51" s="17"/>
      <c r="I51" s="17"/>
      <c r="J51" s="17"/>
      <c r="K51" s="17"/>
      <c r="L51" s="383"/>
      <c r="M51" s="17"/>
      <c r="N51" s="17"/>
      <c r="O51" s="383"/>
      <c r="P51" s="17"/>
      <c r="Q51" s="17"/>
      <c r="R51" s="384"/>
      <c r="S51" s="384"/>
      <c r="T51" s="384"/>
      <c r="U51" s="384"/>
      <c r="V51" s="384"/>
      <c r="W51" s="384"/>
    </row>
    <row r="52" spans="1:23" x14ac:dyDescent="0.2">
      <c r="A52" s="17"/>
      <c r="B52" s="17"/>
      <c r="C52" s="17"/>
      <c r="D52" s="17"/>
      <c r="E52" s="17"/>
      <c r="F52" s="17"/>
      <c r="G52" s="17"/>
      <c r="H52" s="17"/>
      <c r="I52" s="17"/>
      <c r="J52" s="17"/>
      <c r="K52" s="17"/>
      <c r="L52" s="383"/>
      <c r="M52" s="17"/>
      <c r="N52" s="17"/>
      <c r="O52" s="383"/>
      <c r="P52" s="17"/>
      <c r="Q52" s="17"/>
      <c r="R52" s="384"/>
      <c r="S52" s="384"/>
      <c r="T52" s="384"/>
      <c r="U52" s="384"/>
      <c r="V52" s="384"/>
      <c r="W52" s="384"/>
    </row>
    <row r="53" spans="1:23" x14ac:dyDescent="0.2">
      <c r="A53" s="17"/>
      <c r="B53" s="17"/>
      <c r="C53" s="17"/>
      <c r="D53" s="17"/>
      <c r="E53" s="17"/>
      <c r="F53" s="17"/>
      <c r="G53" s="17"/>
      <c r="H53" s="17"/>
      <c r="I53" s="17"/>
      <c r="J53" s="17"/>
      <c r="K53" s="17"/>
      <c r="L53" s="383"/>
      <c r="M53" s="17"/>
      <c r="N53" s="17"/>
      <c r="O53" s="383"/>
      <c r="P53" s="17"/>
      <c r="Q53" s="17"/>
      <c r="R53" s="384"/>
      <c r="S53" s="384"/>
      <c r="T53" s="384"/>
      <c r="U53" s="384"/>
      <c r="V53" s="384"/>
      <c r="W53" s="384"/>
    </row>
    <row r="54" spans="1:23" x14ac:dyDescent="0.2">
      <c r="A54" s="17"/>
      <c r="B54" s="17"/>
      <c r="C54" s="17"/>
      <c r="D54" s="17"/>
      <c r="E54" s="17"/>
      <c r="F54" s="17"/>
      <c r="G54" s="17"/>
      <c r="H54" s="17"/>
      <c r="I54" s="17"/>
      <c r="J54" s="17"/>
      <c r="K54" s="17"/>
      <c r="L54" s="383"/>
      <c r="M54" s="17"/>
      <c r="N54" s="17"/>
      <c r="O54" s="383"/>
      <c r="P54" s="17"/>
      <c r="Q54" s="17"/>
      <c r="R54" s="384"/>
      <c r="S54" s="384"/>
      <c r="T54" s="384"/>
      <c r="U54" s="384"/>
      <c r="V54" s="384"/>
      <c r="W54" s="384"/>
    </row>
    <row r="55" spans="1:23" x14ac:dyDescent="0.2">
      <c r="A55" s="17"/>
      <c r="B55" s="17"/>
      <c r="C55" s="17"/>
      <c r="D55" s="17"/>
      <c r="E55" s="17"/>
      <c r="F55" s="17"/>
      <c r="G55" s="17"/>
      <c r="H55" s="17"/>
      <c r="I55" s="17"/>
      <c r="J55" s="17"/>
      <c r="K55" s="17"/>
      <c r="L55" s="383"/>
      <c r="M55" s="17"/>
      <c r="N55" s="17"/>
      <c r="O55" s="383"/>
      <c r="P55" s="17"/>
      <c r="Q55" s="17"/>
      <c r="R55" s="384"/>
      <c r="S55" s="384"/>
      <c r="T55" s="384"/>
      <c r="U55" s="384"/>
      <c r="V55" s="384"/>
      <c r="W55" s="384"/>
    </row>
    <row r="56" spans="1:23" x14ac:dyDescent="0.2">
      <c r="A56" s="17"/>
      <c r="B56" s="17"/>
      <c r="C56" s="17"/>
      <c r="D56" s="17"/>
      <c r="E56" s="17"/>
      <c r="F56" s="17"/>
      <c r="G56" s="17"/>
      <c r="H56" s="17"/>
      <c r="I56" s="17"/>
      <c r="J56" s="17"/>
      <c r="K56" s="17"/>
      <c r="L56" s="383"/>
      <c r="M56" s="17"/>
      <c r="N56" s="17"/>
      <c r="O56" s="383"/>
      <c r="P56" s="17"/>
      <c r="Q56" s="17"/>
      <c r="R56" s="384"/>
      <c r="S56" s="384"/>
      <c r="T56" s="384"/>
      <c r="U56" s="384"/>
      <c r="V56" s="384"/>
      <c r="W56" s="384"/>
    </row>
    <row r="57" spans="1:23" x14ac:dyDescent="0.2">
      <c r="A57" s="17"/>
      <c r="B57" s="17"/>
      <c r="C57" s="17"/>
      <c r="D57" s="17"/>
      <c r="E57" s="17"/>
      <c r="F57" s="17"/>
      <c r="G57" s="17"/>
      <c r="H57" s="17"/>
      <c r="I57" s="17"/>
      <c r="J57" s="17"/>
      <c r="K57" s="17"/>
      <c r="L57" s="383"/>
      <c r="M57" s="17"/>
      <c r="N57" s="17"/>
      <c r="O57" s="383"/>
      <c r="P57" s="17"/>
      <c r="Q57" s="17"/>
      <c r="R57" s="384"/>
      <c r="S57" s="384"/>
      <c r="T57" s="384"/>
      <c r="U57" s="384"/>
      <c r="V57" s="384"/>
      <c r="W57" s="384"/>
    </row>
    <row r="58" spans="1:23" x14ac:dyDescent="0.2">
      <c r="A58" s="17"/>
      <c r="B58" s="17"/>
      <c r="C58" s="17"/>
      <c r="D58" s="17"/>
      <c r="E58" s="17"/>
      <c r="F58" s="17"/>
      <c r="G58" s="17"/>
      <c r="H58" s="17"/>
      <c r="I58" s="17"/>
      <c r="J58" s="17"/>
      <c r="K58" s="17"/>
      <c r="L58" s="383"/>
      <c r="M58" s="17"/>
      <c r="N58" s="17"/>
      <c r="O58" s="383"/>
      <c r="P58" s="17"/>
      <c r="Q58" s="17"/>
      <c r="R58" s="384"/>
      <c r="S58" s="384"/>
      <c r="T58" s="384"/>
      <c r="U58" s="384"/>
      <c r="V58" s="384"/>
      <c r="W58" s="384"/>
    </row>
    <row r="59" spans="1:23" x14ac:dyDescent="0.2">
      <c r="A59" s="17"/>
      <c r="B59" s="17"/>
      <c r="C59" s="17"/>
      <c r="D59" s="17"/>
      <c r="E59" s="17"/>
      <c r="F59" s="17"/>
      <c r="G59" s="17"/>
      <c r="H59" s="17"/>
      <c r="I59" s="17"/>
      <c r="J59" s="17"/>
      <c r="K59" s="17"/>
      <c r="L59" s="383"/>
      <c r="M59" s="17"/>
      <c r="N59" s="17"/>
      <c r="O59" s="383"/>
      <c r="P59" s="17"/>
      <c r="Q59" s="17"/>
      <c r="R59" s="384"/>
      <c r="S59" s="384"/>
      <c r="T59" s="384"/>
      <c r="U59" s="384"/>
      <c r="V59" s="384"/>
      <c r="W59" s="384"/>
    </row>
    <row r="60" spans="1:23" x14ac:dyDescent="0.2">
      <c r="A60" s="17"/>
      <c r="B60" s="17"/>
      <c r="C60" s="17"/>
      <c r="D60" s="17"/>
      <c r="E60" s="17"/>
      <c r="F60" s="17"/>
      <c r="G60" s="17"/>
      <c r="H60" s="17"/>
      <c r="I60" s="17"/>
      <c r="J60" s="17"/>
      <c r="K60" s="17"/>
      <c r="L60" s="383"/>
      <c r="M60" s="17"/>
      <c r="N60" s="17"/>
      <c r="O60" s="383"/>
      <c r="P60" s="17"/>
      <c r="Q60" s="17"/>
      <c r="R60" s="384"/>
      <c r="S60" s="384"/>
      <c r="T60" s="384"/>
      <c r="U60" s="384"/>
      <c r="V60" s="384"/>
      <c r="W60" s="384"/>
    </row>
    <row r="61" spans="1:23" x14ac:dyDescent="0.2">
      <c r="A61" s="17"/>
      <c r="B61" s="17"/>
      <c r="C61" s="17"/>
      <c r="D61" s="17"/>
      <c r="E61" s="17"/>
      <c r="F61" s="17"/>
      <c r="G61" s="17"/>
      <c r="H61" s="17"/>
      <c r="I61" s="17"/>
      <c r="J61" s="17"/>
      <c r="K61" s="17"/>
      <c r="L61" s="383"/>
      <c r="M61" s="17"/>
      <c r="N61" s="17"/>
      <c r="O61" s="383"/>
      <c r="P61" s="17"/>
      <c r="Q61" s="17"/>
      <c r="R61" s="384"/>
      <c r="S61" s="384"/>
      <c r="T61" s="384"/>
      <c r="U61" s="384"/>
      <c r="V61" s="384"/>
      <c r="W61" s="384"/>
    </row>
    <row r="62" spans="1:23" x14ac:dyDescent="0.2">
      <c r="A62" s="17"/>
      <c r="B62" s="17"/>
      <c r="C62" s="17"/>
      <c r="D62" s="17"/>
      <c r="E62" s="17"/>
      <c r="F62" s="17"/>
      <c r="G62" s="17"/>
      <c r="H62" s="17"/>
      <c r="I62" s="17"/>
      <c r="J62" s="17"/>
      <c r="K62" s="17"/>
      <c r="L62" s="383"/>
      <c r="M62" s="17"/>
      <c r="N62" s="17"/>
      <c r="O62" s="383"/>
      <c r="P62" s="17"/>
      <c r="Q62" s="17"/>
      <c r="R62" s="384"/>
      <c r="S62" s="384"/>
      <c r="T62" s="384"/>
      <c r="U62" s="384"/>
      <c r="V62" s="384"/>
      <c r="W62" s="384"/>
    </row>
    <row r="63" spans="1:23" x14ac:dyDescent="0.2">
      <c r="A63" s="17"/>
      <c r="B63" s="17"/>
      <c r="C63" s="17"/>
      <c r="D63" s="17"/>
      <c r="E63" s="17"/>
      <c r="F63" s="17"/>
      <c r="G63" s="17"/>
      <c r="H63" s="17"/>
      <c r="I63" s="17"/>
      <c r="J63" s="17"/>
      <c r="K63" s="17"/>
      <c r="L63" s="383"/>
      <c r="M63" s="17"/>
      <c r="N63" s="17"/>
      <c r="O63" s="383"/>
      <c r="P63" s="17"/>
      <c r="Q63" s="17"/>
      <c r="R63" s="384"/>
      <c r="S63" s="384"/>
      <c r="T63" s="384"/>
      <c r="U63" s="384"/>
      <c r="V63" s="384"/>
      <c r="W63" s="384"/>
    </row>
    <row r="64" spans="1:23" x14ac:dyDescent="0.2">
      <c r="A64" s="17"/>
      <c r="B64" s="17"/>
      <c r="C64" s="17"/>
      <c r="D64" s="17"/>
      <c r="E64" s="17"/>
      <c r="F64" s="17"/>
      <c r="G64" s="17"/>
      <c r="H64" s="17"/>
      <c r="I64" s="17"/>
      <c r="J64" s="17"/>
      <c r="K64" s="17"/>
      <c r="L64" s="383"/>
      <c r="M64" s="17"/>
      <c r="N64" s="17"/>
      <c r="O64" s="383"/>
      <c r="P64" s="17"/>
      <c r="Q64" s="17"/>
      <c r="R64" s="384"/>
      <c r="S64" s="384"/>
      <c r="T64" s="384"/>
      <c r="U64" s="384"/>
      <c r="V64" s="384"/>
      <c r="W64" s="384"/>
    </row>
    <row r="65" spans="1:23" x14ac:dyDescent="0.2">
      <c r="A65" s="17"/>
      <c r="B65" s="17"/>
      <c r="C65" s="17"/>
      <c r="D65" s="17"/>
      <c r="E65" s="17"/>
      <c r="F65" s="17"/>
      <c r="G65" s="17"/>
      <c r="H65" s="17"/>
      <c r="I65" s="17"/>
      <c r="J65" s="17"/>
      <c r="K65" s="17"/>
      <c r="L65" s="383"/>
      <c r="M65" s="17"/>
      <c r="N65" s="17"/>
      <c r="O65" s="383"/>
      <c r="P65" s="17"/>
      <c r="Q65" s="17"/>
      <c r="R65" s="384"/>
      <c r="S65" s="384"/>
      <c r="T65" s="384"/>
      <c r="U65" s="384"/>
      <c r="V65" s="384"/>
      <c r="W65" s="384"/>
    </row>
    <row r="66" spans="1:23" x14ac:dyDescent="0.2">
      <c r="A66" s="17"/>
      <c r="B66" s="17"/>
      <c r="C66" s="17"/>
      <c r="D66" s="17"/>
      <c r="E66" s="17"/>
      <c r="F66" s="17"/>
      <c r="G66" s="17"/>
      <c r="H66" s="17"/>
      <c r="I66" s="17"/>
      <c r="J66" s="17"/>
      <c r="K66" s="17"/>
      <c r="L66" s="383"/>
      <c r="M66" s="17"/>
      <c r="N66" s="17"/>
      <c r="O66" s="383"/>
      <c r="P66" s="17"/>
      <c r="Q66" s="17"/>
      <c r="R66" s="384"/>
      <c r="S66" s="384"/>
      <c r="T66" s="384"/>
      <c r="U66" s="384"/>
      <c r="V66" s="384"/>
      <c r="W66" s="384"/>
    </row>
    <row r="67" spans="1:23" x14ac:dyDescent="0.2">
      <c r="A67" s="17"/>
      <c r="B67" s="17"/>
      <c r="C67" s="17"/>
      <c r="D67" s="17"/>
      <c r="E67" s="17"/>
      <c r="F67" s="17"/>
      <c r="G67" s="17"/>
      <c r="H67" s="17"/>
      <c r="I67" s="17"/>
      <c r="J67" s="17"/>
      <c r="K67" s="17"/>
      <c r="L67" s="383"/>
      <c r="M67" s="17"/>
      <c r="N67" s="17"/>
      <c r="O67" s="383"/>
      <c r="P67" s="17"/>
      <c r="Q67" s="17"/>
      <c r="R67" s="384"/>
      <c r="S67" s="384"/>
      <c r="T67" s="384"/>
      <c r="U67" s="384"/>
      <c r="V67" s="384"/>
      <c r="W67" s="384"/>
    </row>
    <row r="68" spans="1:23" x14ac:dyDescent="0.2">
      <c r="A68" s="17"/>
      <c r="B68" s="17"/>
      <c r="C68" s="17"/>
      <c r="D68" s="17"/>
      <c r="E68" s="17"/>
      <c r="F68" s="17"/>
      <c r="G68" s="17"/>
      <c r="H68" s="17"/>
      <c r="I68" s="17"/>
      <c r="J68" s="17"/>
      <c r="K68" s="17"/>
      <c r="L68" s="383"/>
      <c r="M68" s="17"/>
      <c r="N68" s="17"/>
      <c r="O68" s="383"/>
      <c r="P68" s="17"/>
      <c r="Q68" s="17"/>
      <c r="R68" s="384"/>
      <c r="S68" s="384"/>
      <c r="T68" s="384"/>
      <c r="U68" s="384"/>
      <c r="V68" s="384"/>
      <c r="W68" s="384"/>
    </row>
    <row r="69" spans="1:23" x14ac:dyDescent="0.2">
      <c r="A69" s="17"/>
      <c r="B69" s="17"/>
      <c r="C69" s="17"/>
      <c r="D69" s="17"/>
      <c r="E69" s="17"/>
      <c r="F69" s="17"/>
      <c r="G69" s="17"/>
      <c r="H69" s="17"/>
      <c r="I69" s="17"/>
      <c r="J69" s="17"/>
      <c r="K69" s="17"/>
      <c r="L69" s="383"/>
      <c r="M69" s="17"/>
      <c r="N69" s="17"/>
      <c r="O69" s="383"/>
      <c r="P69" s="17"/>
      <c r="Q69" s="17"/>
      <c r="R69" s="384"/>
      <c r="S69" s="384"/>
      <c r="T69" s="384"/>
      <c r="U69" s="384"/>
      <c r="V69" s="384"/>
      <c r="W69" s="384"/>
    </row>
    <row r="70" spans="1:23" x14ac:dyDescent="0.2">
      <c r="A70" s="17"/>
      <c r="B70" s="17"/>
      <c r="C70" s="17"/>
      <c r="D70" s="17"/>
      <c r="E70" s="17"/>
      <c r="F70" s="17"/>
      <c r="G70" s="17"/>
      <c r="H70" s="17"/>
      <c r="I70" s="17"/>
      <c r="J70" s="17"/>
      <c r="K70" s="17"/>
      <c r="L70" s="383"/>
      <c r="M70" s="17"/>
      <c r="N70" s="17"/>
      <c r="O70" s="383"/>
      <c r="P70" s="17"/>
      <c r="Q70" s="17"/>
      <c r="R70" s="384"/>
      <c r="S70" s="384"/>
      <c r="T70" s="384"/>
      <c r="U70" s="384"/>
      <c r="V70" s="384"/>
      <c r="W70" s="384"/>
    </row>
    <row r="71" spans="1:23" x14ac:dyDescent="0.2">
      <c r="A71" s="17"/>
      <c r="B71" s="17"/>
      <c r="C71" s="17"/>
      <c r="D71" s="17"/>
      <c r="E71" s="17"/>
      <c r="F71" s="17"/>
      <c r="G71" s="17"/>
      <c r="H71" s="17"/>
      <c r="I71" s="17"/>
      <c r="J71" s="17"/>
      <c r="K71" s="17"/>
      <c r="L71" s="383"/>
      <c r="M71" s="17"/>
      <c r="N71" s="17"/>
      <c r="O71" s="383"/>
      <c r="P71" s="17"/>
      <c r="Q71" s="17"/>
      <c r="R71" s="384"/>
      <c r="S71" s="384"/>
      <c r="T71" s="384"/>
      <c r="U71" s="384"/>
      <c r="V71" s="384"/>
      <c r="W71" s="384"/>
    </row>
    <row r="72" spans="1:23" x14ac:dyDescent="0.2">
      <c r="A72" s="17"/>
      <c r="B72" s="17"/>
      <c r="C72" s="17"/>
      <c r="D72" s="17"/>
      <c r="E72" s="17"/>
      <c r="F72" s="17"/>
      <c r="G72" s="17"/>
      <c r="H72" s="17"/>
      <c r="I72" s="17"/>
      <c r="J72" s="17"/>
      <c r="K72" s="17"/>
      <c r="L72" s="383"/>
      <c r="M72" s="17"/>
      <c r="N72" s="17"/>
      <c r="O72" s="383"/>
      <c r="P72" s="17"/>
      <c r="Q72" s="17"/>
      <c r="R72" s="384"/>
      <c r="S72" s="384"/>
      <c r="T72" s="384"/>
      <c r="U72" s="384"/>
      <c r="V72" s="384"/>
      <c r="W72" s="384"/>
    </row>
    <row r="73" spans="1:23" x14ac:dyDescent="0.2">
      <c r="A73" s="17"/>
      <c r="B73" s="17"/>
      <c r="C73" s="17"/>
      <c r="D73" s="17"/>
      <c r="E73" s="17"/>
      <c r="F73" s="17"/>
      <c r="G73" s="17"/>
      <c r="H73" s="17"/>
      <c r="I73" s="17"/>
      <c r="J73" s="17"/>
      <c r="K73" s="17"/>
      <c r="L73" s="383"/>
      <c r="M73" s="17"/>
      <c r="N73" s="17"/>
      <c r="O73" s="383"/>
      <c r="P73" s="17"/>
      <c r="Q73" s="17"/>
      <c r="R73" s="384"/>
      <c r="S73" s="384"/>
      <c r="T73" s="384"/>
      <c r="U73" s="384"/>
      <c r="V73" s="384"/>
      <c r="W73" s="384"/>
    </row>
    <row r="74" spans="1:23" x14ac:dyDescent="0.2">
      <c r="A74" s="17"/>
      <c r="B74" s="17"/>
      <c r="C74" s="17"/>
      <c r="D74" s="17"/>
      <c r="E74" s="17"/>
      <c r="F74" s="17"/>
      <c r="G74" s="17"/>
      <c r="H74" s="17"/>
      <c r="I74" s="17"/>
      <c r="J74" s="17"/>
      <c r="K74" s="17"/>
      <c r="L74" s="383"/>
      <c r="M74" s="17"/>
      <c r="N74" s="17"/>
      <c r="O74" s="383"/>
      <c r="P74" s="17"/>
      <c r="Q74" s="17"/>
      <c r="R74" s="384"/>
      <c r="S74" s="384"/>
      <c r="T74" s="384"/>
      <c r="U74" s="384"/>
      <c r="V74" s="384"/>
      <c r="W74" s="384"/>
    </row>
    <row r="75" spans="1:23" x14ac:dyDescent="0.2">
      <c r="A75" s="17"/>
      <c r="B75" s="17"/>
      <c r="C75" s="17"/>
      <c r="D75" s="17"/>
      <c r="E75" s="17"/>
      <c r="F75" s="17"/>
      <c r="G75" s="17"/>
      <c r="H75" s="17"/>
      <c r="I75" s="17"/>
      <c r="J75" s="17"/>
      <c r="K75" s="17"/>
      <c r="L75" s="383"/>
      <c r="M75" s="17"/>
      <c r="N75" s="17"/>
      <c r="O75" s="383"/>
      <c r="P75" s="17"/>
      <c r="Q75" s="17"/>
      <c r="R75" s="384"/>
      <c r="S75" s="384"/>
      <c r="T75" s="384"/>
      <c r="U75" s="384"/>
      <c r="V75" s="384"/>
      <c r="W75" s="384"/>
    </row>
    <row r="76" spans="1:23" x14ac:dyDescent="0.2">
      <c r="A76" s="17"/>
      <c r="B76" s="17"/>
      <c r="C76" s="17"/>
      <c r="D76" s="17"/>
      <c r="E76" s="17"/>
      <c r="F76" s="17"/>
      <c r="G76" s="17"/>
      <c r="H76" s="17"/>
      <c r="I76" s="17"/>
      <c r="J76" s="17"/>
      <c r="K76" s="17"/>
      <c r="L76" s="383"/>
      <c r="M76" s="17"/>
      <c r="N76" s="17"/>
      <c r="O76" s="383"/>
      <c r="P76" s="17"/>
      <c r="Q76" s="17"/>
      <c r="R76" s="384"/>
      <c r="S76" s="384"/>
      <c r="T76" s="384"/>
      <c r="U76" s="384"/>
      <c r="V76" s="384"/>
      <c r="W76" s="384"/>
    </row>
    <row r="77" spans="1:23" x14ac:dyDescent="0.2">
      <c r="A77" s="17"/>
      <c r="B77" s="17"/>
      <c r="C77" s="17"/>
      <c r="D77" s="17"/>
      <c r="E77" s="17"/>
      <c r="F77" s="17"/>
      <c r="G77" s="17"/>
      <c r="H77" s="17"/>
      <c r="I77" s="17"/>
      <c r="J77" s="17"/>
      <c r="K77" s="17"/>
      <c r="L77" s="383"/>
      <c r="M77" s="17"/>
      <c r="N77" s="17"/>
      <c r="O77" s="383"/>
      <c r="P77" s="17"/>
      <c r="Q77" s="17"/>
      <c r="R77" s="384"/>
      <c r="S77" s="384"/>
      <c r="T77" s="384"/>
      <c r="U77" s="384"/>
      <c r="V77" s="384"/>
      <c r="W77" s="384"/>
    </row>
    <row r="78" spans="1:23" x14ac:dyDescent="0.2">
      <c r="A78" s="17"/>
      <c r="B78" s="17"/>
      <c r="C78" s="17"/>
      <c r="D78" s="17"/>
      <c r="E78" s="17"/>
      <c r="F78" s="17"/>
      <c r="G78" s="17"/>
      <c r="H78" s="17"/>
      <c r="I78" s="17"/>
      <c r="J78" s="17"/>
      <c r="K78" s="17"/>
      <c r="L78" s="383"/>
      <c r="M78" s="17"/>
      <c r="N78" s="17"/>
      <c r="O78" s="383"/>
      <c r="P78" s="17"/>
      <c r="Q78" s="17"/>
      <c r="R78" s="384"/>
      <c r="S78" s="384"/>
      <c r="T78" s="384"/>
      <c r="U78" s="384"/>
      <c r="V78" s="384"/>
      <c r="W78" s="384"/>
    </row>
    <row r="79" spans="1:23" x14ac:dyDescent="0.2">
      <c r="A79" s="17"/>
      <c r="B79" s="17"/>
      <c r="C79" s="17"/>
      <c r="D79" s="17"/>
      <c r="E79" s="17"/>
      <c r="F79" s="17"/>
      <c r="G79" s="17"/>
      <c r="H79" s="17"/>
      <c r="I79" s="17"/>
      <c r="J79" s="17"/>
      <c r="K79" s="17"/>
      <c r="L79" s="383"/>
      <c r="M79" s="17"/>
      <c r="N79" s="17"/>
      <c r="O79" s="383"/>
      <c r="P79" s="17"/>
      <c r="Q79" s="17"/>
      <c r="R79" s="384"/>
      <c r="S79" s="384"/>
      <c r="T79" s="384"/>
      <c r="U79" s="384"/>
      <c r="V79" s="384"/>
      <c r="W79" s="384"/>
    </row>
    <row r="80" spans="1:23" x14ac:dyDescent="0.2">
      <c r="A80" s="17"/>
      <c r="B80" s="17"/>
      <c r="C80" s="17"/>
      <c r="D80" s="17"/>
      <c r="E80" s="17"/>
      <c r="F80" s="17"/>
      <c r="G80" s="17"/>
      <c r="H80" s="17"/>
      <c r="I80" s="17"/>
      <c r="J80" s="17"/>
      <c r="K80" s="17"/>
      <c r="L80" s="383"/>
      <c r="M80" s="17"/>
      <c r="N80" s="17"/>
      <c r="O80" s="383"/>
      <c r="P80" s="17"/>
      <c r="Q80" s="17"/>
      <c r="R80" s="384"/>
      <c r="S80" s="384"/>
      <c r="T80" s="384"/>
      <c r="U80" s="384"/>
      <c r="V80" s="384"/>
      <c r="W80" s="384"/>
    </row>
    <row r="81" spans="1:23" x14ac:dyDescent="0.2">
      <c r="A81" s="17"/>
      <c r="B81" s="17"/>
      <c r="C81" s="17"/>
      <c r="D81" s="17"/>
      <c r="E81" s="17"/>
      <c r="F81" s="17"/>
      <c r="G81" s="17"/>
      <c r="H81" s="17"/>
      <c r="I81" s="17"/>
      <c r="J81" s="17"/>
      <c r="K81" s="17"/>
      <c r="L81" s="383"/>
      <c r="M81" s="17"/>
      <c r="N81" s="17"/>
      <c r="O81" s="383"/>
      <c r="P81" s="17"/>
      <c r="Q81" s="17"/>
      <c r="R81" s="384"/>
      <c r="S81" s="384"/>
      <c r="T81" s="384"/>
      <c r="U81" s="384"/>
      <c r="V81" s="384"/>
      <c r="W81" s="384"/>
    </row>
    <row r="82" spans="1:23" x14ac:dyDescent="0.2">
      <c r="A82" s="17"/>
      <c r="B82" s="17"/>
      <c r="C82" s="17"/>
      <c r="D82" s="17"/>
      <c r="E82" s="17"/>
      <c r="F82" s="17"/>
      <c r="G82" s="17"/>
      <c r="H82" s="17"/>
      <c r="I82" s="17"/>
      <c r="J82" s="17"/>
      <c r="K82" s="17"/>
      <c r="L82" s="383"/>
      <c r="M82" s="17"/>
      <c r="N82" s="17"/>
      <c r="O82" s="383"/>
      <c r="P82" s="17"/>
      <c r="Q82" s="17"/>
      <c r="R82" s="384"/>
      <c r="S82" s="384"/>
      <c r="T82" s="384"/>
      <c r="U82" s="384"/>
      <c r="V82" s="384"/>
      <c r="W82" s="384"/>
    </row>
    <row r="83" spans="1:23" x14ac:dyDescent="0.2">
      <c r="A83" s="17"/>
      <c r="B83" s="17"/>
      <c r="C83" s="17"/>
      <c r="D83" s="17"/>
      <c r="E83" s="17"/>
      <c r="F83" s="17"/>
      <c r="G83" s="17"/>
      <c r="H83" s="17"/>
      <c r="I83" s="17"/>
      <c r="J83" s="17"/>
      <c r="K83" s="17"/>
      <c r="L83" s="383"/>
      <c r="M83" s="17"/>
      <c r="N83" s="17"/>
      <c r="O83" s="383"/>
      <c r="P83" s="17"/>
      <c r="Q83" s="17"/>
      <c r="R83" s="384"/>
      <c r="S83" s="384"/>
      <c r="T83" s="384"/>
      <c r="U83" s="384"/>
      <c r="V83" s="384"/>
      <c r="W83" s="384"/>
    </row>
    <row r="84" spans="1:23" x14ac:dyDescent="0.2">
      <c r="A84" s="17"/>
      <c r="B84" s="17"/>
      <c r="C84" s="17"/>
      <c r="D84" s="17"/>
      <c r="E84" s="17"/>
      <c r="F84" s="17"/>
      <c r="G84" s="17"/>
      <c r="H84" s="17"/>
      <c r="I84" s="17"/>
      <c r="J84" s="17"/>
      <c r="K84" s="17"/>
      <c r="L84" s="383"/>
      <c r="M84" s="17"/>
      <c r="N84" s="17"/>
      <c r="O84" s="383"/>
      <c r="P84" s="17"/>
      <c r="Q84" s="17"/>
      <c r="R84" s="384"/>
      <c r="S84" s="384"/>
      <c r="T84" s="384"/>
      <c r="U84" s="384"/>
      <c r="V84" s="384"/>
      <c r="W84" s="384"/>
    </row>
    <row r="85" spans="1:23" x14ac:dyDescent="0.2">
      <c r="A85" s="17"/>
      <c r="B85" s="17"/>
      <c r="C85" s="17"/>
      <c r="D85" s="17"/>
      <c r="E85" s="17"/>
      <c r="F85" s="17"/>
      <c r="G85" s="17"/>
      <c r="H85" s="17"/>
      <c r="I85" s="17"/>
      <c r="J85" s="17"/>
      <c r="K85" s="17"/>
      <c r="L85" s="383"/>
      <c r="M85" s="17"/>
      <c r="N85" s="17"/>
      <c r="O85" s="383"/>
      <c r="P85" s="17"/>
      <c r="Q85" s="17"/>
      <c r="R85" s="384"/>
      <c r="S85" s="384"/>
      <c r="T85" s="384"/>
      <c r="U85" s="384"/>
      <c r="V85" s="384"/>
      <c r="W85" s="384"/>
    </row>
    <row r="86" spans="1:23" x14ac:dyDescent="0.2">
      <c r="A86" s="17"/>
      <c r="B86" s="17"/>
      <c r="C86" s="17"/>
      <c r="D86" s="17"/>
      <c r="E86" s="17"/>
      <c r="F86" s="17"/>
      <c r="G86" s="17"/>
      <c r="H86" s="17"/>
      <c r="I86" s="17"/>
      <c r="J86" s="17"/>
      <c r="K86" s="17"/>
      <c r="L86" s="383"/>
      <c r="M86" s="17"/>
      <c r="N86" s="17"/>
      <c r="O86" s="383"/>
      <c r="P86" s="17"/>
      <c r="Q86" s="17"/>
      <c r="R86" s="384"/>
      <c r="S86" s="384"/>
      <c r="T86" s="384"/>
      <c r="U86" s="384"/>
      <c r="V86" s="384"/>
      <c r="W86" s="384"/>
    </row>
    <row r="87" spans="1:23" x14ac:dyDescent="0.2">
      <c r="A87" s="17"/>
      <c r="B87" s="17"/>
      <c r="C87" s="17"/>
      <c r="D87" s="17"/>
      <c r="E87" s="17"/>
      <c r="F87" s="17"/>
      <c r="G87" s="17"/>
      <c r="H87" s="17"/>
      <c r="I87" s="17"/>
      <c r="J87" s="17"/>
      <c r="K87" s="17"/>
      <c r="L87" s="383"/>
      <c r="M87" s="17"/>
      <c r="N87" s="17"/>
      <c r="O87" s="383"/>
      <c r="P87" s="17"/>
      <c r="Q87" s="17"/>
      <c r="R87" s="384"/>
      <c r="S87" s="384"/>
      <c r="T87" s="384"/>
      <c r="U87" s="384"/>
      <c r="V87" s="384"/>
      <c r="W87" s="384"/>
    </row>
    <row r="88" spans="1:23" x14ac:dyDescent="0.2">
      <c r="A88" s="17"/>
      <c r="B88" s="17"/>
      <c r="C88" s="17"/>
      <c r="D88" s="17"/>
      <c r="E88" s="17"/>
      <c r="F88" s="17"/>
      <c r="G88" s="17"/>
      <c r="H88" s="17"/>
      <c r="I88" s="17"/>
      <c r="J88" s="17"/>
      <c r="K88" s="17"/>
      <c r="L88" s="383"/>
      <c r="M88" s="17"/>
      <c r="N88" s="17"/>
      <c r="O88" s="383"/>
      <c r="P88" s="17"/>
      <c r="Q88" s="17"/>
      <c r="R88" s="384"/>
      <c r="S88" s="384"/>
      <c r="T88" s="384"/>
      <c r="U88" s="384"/>
      <c r="V88" s="384"/>
      <c r="W88" s="384"/>
    </row>
    <row r="89" spans="1:23" x14ac:dyDescent="0.2">
      <c r="A89" s="17"/>
      <c r="B89" s="17"/>
      <c r="C89" s="17"/>
      <c r="D89" s="17"/>
      <c r="E89" s="17"/>
      <c r="F89" s="17"/>
      <c r="G89" s="17"/>
      <c r="H89" s="17"/>
      <c r="I89" s="17"/>
      <c r="J89" s="17"/>
      <c r="K89" s="17"/>
      <c r="L89" s="383"/>
      <c r="M89" s="17"/>
      <c r="N89" s="17"/>
      <c r="O89" s="383"/>
      <c r="P89" s="17"/>
      <c r="Q89" s="17"/>
      <c r="R89" s="384"/>
      <c r="S89" s="384"/>
      <c r="T89" s="384"/>
      <c r="U89" s="384"/>
      <c r="V89" s="384"/>
      <c r="W89" s="384"/>
    </row>
    <row r="90" spans="1:23" x14ac:dyDescent="0.2">
      <c r="A90" s="17"/>
      <c r="B90" s="17"/>
      <c r="C90" s="17"/>
      <c r="D90" s="17"/>
      <c r="E90" s="17"/>
      <c r="F90" s="17"/>
      <c r="G90" s="17"/>
      <c r="H90" s="17"/>
      <c r="I90" s="17"/>
      <c r="J90" s="17"/>
      <c r="K90" s="17"/>
      <c r="L90" s="383"/>
      <c r="M90" s="17"/>
      <c r="N90" s="17"/>
      <c r="O90" s="383"/>
      <c r="P90" s="17"/>
      <c r="Q90" s="17"/>
      <c r="R90" s="384"/>
      <c r="S90" s="384"/>
      <c r="T90" s="384"/>
      <c r="U90" s="384"/>
      <c r="V90" s="384"/>
      <c r="W90" s="384"/>
    </row>
    <row r="91" spans="1:23" x14ac:dyDescent="0.2">
      <c r="A91" s="17"/>
      <c r="B91" s="17"/>
      <c r="C91" s="17"/>
      <c r="D91" s="17"/>
      <c r="E91" s="17"/>
      <c r="F91" s="17"/>
      <c r="G91" s="17"/>
      <c r="H91" s="17"/>
      <c r="I91" s="17"/>
      <c r="J91" s="17"/>
      <c r="K91" s="17"/>
      <c r="L91" s="383"/>
      <c r="M91" s="17"/>
      <c r="N91" s="17"/>
      <c r="O91" s="383"/>
      <c r="P91" s="17"/>
      <c r="Q91" s="17"/>
      <c r="R91" s="384"/>
      <c r="S91" s="384"/>
      <c r="T91" s="384"/>
      <c r="U91" s="384"/>
      <c r="V91" s="384"/>
      <c r="W91" s="384"/>
    </row>
    <row r="92" spans="1:23" x14ac:dyDescent="0.2">
      <c r="A92" s="17"/>
      <c r="B92" s="17"/>
      <c r="C92" s="17"/>
      <c r="D92" s="17"/>
      <c r="E92" s="17"/>
      <c r="F92" s="17"/>
      <c r="G92" s="17"/>
      <c r="H92" s="17"/>
      <c r="I92" s="17"/>
      <c r="J92" s="17"/>
      <c r="K92" s="17"/>
      <c r="L92" s="383"/>
      <c r="M92" s="17"/>
      <c r="N92" s="17"/>
      <c r="O92" s="383"/>
      <c r="P92" s="17"/>
      <c r="Q92" s="17"/>
      <c r="R92" s="384"/>
      <c r="S92" s="384"/>
      <c r="T92" s="384"/>
      <c r="U92" s="384"/>
      <c r="V92" s="384"/>
      <c r="W92" s="384"/>
    </row>
    <row r="93" spans="1:23" x14ac:dyDescent="0.2">
      <c r="A93" s="17"/>
      <c r="B93" s="17"/>
      <c r="C93" s="17"/>
      <c r="D93" s="17"/>
      <c r="E93" s="17"/>
      <c r="F93" s="17"/>
      <c r="G93" s="17"/>
      <c r="H93" s="17"/>
      <c r="I93" s="17"/>
      <c r="J93" s="17"/>
      <c r="K93" s="17"/>
      <c r="L93" s="383"/>
      <c r="M93" s="17"/>
      <c r="N93" s="17"/>
      <c r="O93" s="383"/>
      <c r="P93" s="17"/>
      <c r="Q93" s="17"/>
      <c r="R93" s="384"/>
      <c r="S93" s="384"/>
      <c r="T93" s="384"/>
      <c r="U93" s="384"/>
      <c r="V93" s="384"/>
      <c r="W93" s="384"/>
    </row>
    <row r="94" spans="1:23" x14ac:dyDescent="0.2">
      <c r="A94" s="17"/>
      <c r="B94" s="17"/>
      <c r="C94" s="17"/>
      <c r="D94" s="17"/>
      <c r="E94" s="17"/>
      <c r="F94" s="17"/>
      <c r="G94" s="17"/>
      <c r="H94" s="17"/>
      <c r="I94" s="17"/>
      <c r="J94" s="17"/>
      <c r="K94" s="17"/>
      <c r="L94" s="383"/>
      <c r="M94" s="17"/>
      <c r="N94" s="17"/>
      <c r="O94" s="383"/>
      <c r="P94" s="17"/>
      <c r="Q94" s="17"/>
      <c r="R94" s="384"/>
      <c r="S94" s="384"/>
      <c r="T94" s="384"/>
      <c r="U94" s="384"/>
      <c r="V94" s="384"/>
      <c r="W94" s="384"/>
    </row>
    <row r="95" spans="1:23" x14ac:dyDescent="0.2">
      <c r="A95" s="17"/>
      <c r="B95" s="17"/>
      <c r="C95" s="17"/>
      <c r="D95" s="17"/>
      <c r="E95" s="17"/>
      <c r="F95" s="17"/>
      <c r="G95" s="17"/>
      <c r="H95" s="17"/>
      <c r="I95" s="17"/>
      <c r="J95" s="17"/>
      <c r="K95" s="17"/>
      <c r="L95" s="383"/>
      <c r="M95" s="17"/>
      <c r="N95" s="17"/>
      <c r="O95" s="383"/>
      <c r="P95" s="17"/>
      <c r="Q95" s="17"/>
      <c r="R95" s="384"/>
      <c r="S95" s="384"/>
      <c r="T95" s="384"/>
      <c r="U95" s="384"/>
      <c r="V95" s="384"/>
      <c r="W95" s="384"/>
    </row>
    <row r="96" spans="1:23" x14ac:dyDescent="0.2">
      <c r="A96" s="17"/>
      <c r="B96" s="17"/>
      <c r="C96" s="17"/>
      <c r="D96" s="17"/>
      <c r="E96" s="17"/>
      <c r="F96" s="17"/>
      <c r="G96" s="17"/>
      <c r="H96" s="17"/>
      <c r="I96" s="17"/>
      <c r="J96" s="17"/>
      <c r="K96" s="17"/>
      <c r="L96" s="383"/>
      <c r="M96" s="17"/>
      <c r="N96" s="17"/>
      <c r="O96" s="383"/>
      <c r="P96" s="17"/>
      <c r="Q96" s="17"/>
      <c r="R96" s="384"/>
      <c r="S96" s="384"/>
      <c r="T96" s="384"/>
      <c r="U96" s="384"/>
      <c r="V96" s="384"/>
      <c r="W96" s="384"/>
    </row>
    <row r="97" spans="1:23" x14ac:dyDescent="0.2">
      <c r="A97" s="17"/>
      <c r="B97" s="17"/>
      <c r="C97" s="17"/>
      <c r="D97" s="17"/>
      <c r="E97" s="17"/>
      <c r="F97" s="17"/>
      <c r="G97" s="17"/>
      <c r="H97" s="17"/>
      <c r="I97" s="17"/>
      <c r="J97" s="17"/>
      <c r="K97" s="17"/>
      <c r="L97" s="383"/>
      <c r="M97" s="17"/>
      <c r="N97" s="17"/>
      <c r="O97" s="383"/>
      <c r="P97" s="17"/>
      <c r="Q97" s="17"/>
      <c r="R97" s="384"/>
      <c r="S97" s="384"/>
      <c r="T97" s="384"/>
      <c r="U97" s="384"/>
      <c r="V97" s="384"/>
      <c r="W97" s="384"/>
    </row>
    <row r="98" spans="1:23" x14ac:dyDescent="0.2">
      <c r="A98" s="17"/>
      <c r="B98" s="17"/>
      <c r="C98" s="17"/>
      <c r="D98" s="17"/>
      <c r="E98" s="17"/>
      <c r="F98" s="17"/>
      <c r="G98" s="17"/>
      <c r="H98" s="17"/>
      <c r="I98" s="17"/>
      <c r="J98" s="17"/>
      <c r="K98" s="17"/>
      <c r="L98" s="383"/>
      <c r="M98" s="17"/>
      <c r="N98" s="17"/>
      <c r="O98" s="383"/>
      <c r="P98" s="17"/>
      <c r="Q98" s="17"/>
      <c r="R98" s="384"/>
      <c r="S98" s="384"/>
      <c r="T98" s="384"/>
      <c r="U98" s="384"/>
      <c r="V98" s="384"/>
      <c r="W98" s="384"/>
    </row>
    <row r="99" spans="1:23" x14ac:dyDescent="0.2">
      <c r="A99" s="17"/>
      <c r="B99" s="17"/>
      <c r="C99" s="17"/>
      <c r="D99" s="17"/>
      <c r="E99" s="17"/>
      <c r="F99" s="17"/>
      <c r="G99" s="17"/>
      <c r="H99" s="17"/>
      <c r="I99" s="17"/>
      <c r="J99" s="17"/>
      <c r="K99" s="17"/>
      <c r="L99" s="383"/>
      <c r="M99" s="17"/>
      <c r="N99" s="17"/>
      <c r="O99" s="383"/>
      <c r="P99" s="17"/>
      <c r="Q99" s="17"/>
      <c r="R99" s="384"/>
      <c r="S99" s="384"/>
      <c r="T99" s="384"/>
      <c r="U99" s="384"/>
      <c r="V99" s="384"/>
      <c r="W99" s="384"/>
    </row>
    <row r="100" spans="1:23" x14ac:dyDescent="0.2">
      <c r="A100" s="17"/>
      <c r="B100" s="17"/>
      <c r="C100" s="17"/>
      <c r="D100" s="17"/>
      <c r="E100" s="17"/>
      <c r="F100" s="17"/>
      <c r="G100" s="17"/>
      <c r="H100" s="17"/>
      <c r="I100" s="17"/>
      <c r="J100" s="17"/>
      <c r="K100" s="17"/>
      <c r="L100" s="383"/>
      <c r="M100" s="17"/>
      <c r="N100" s="17"/>
      <c r="O100" s="383"/>
      <c r="P100" s="17"/>
      <c r="Q100" s="17"/>
      <c r="R100" s="384"/>
      <c r="S100" s="384"/>
      <c r="T100" s="384"/>
      <c r="U100" s="384"/>
      <c r="V100" s="384"/>
      <c r="W100" s="384"/>
    </row>
    <row r="101" spans="1:23" x14ac:dyDescent="0.2">
      <c r="A101" s="17"/>
      <c r="B101" s="17"/>
      <c r="C101" s="17"/>
      <c r="D101" s="17"/>
      <c r="E101" s="17"/>
      <c r="F101" s="17"/>
      <c r="G101" s="17"/>
      <c r="H101" s="17"/>
      <c r="I101" s="17"/>
      <c r="J101" s="17"/>
      <c r="K101" s="17"/>
      <c r="L101" s="383"/>
      <c r="M101" s="17"/>
      <c r="N101" s="17"/>
      <c r="O101" s="383"/>
      <c r="P101" s="17"/>
      <c r="Q101" s="17"/>
      <c r="R101" s="384"/>
      <c r="S101" s="384"/>
      <c r="T101" s="384"/>
      <c r="U101" s="384"/>
      <c r="V101" s="384"/>
      <c r="W101" s="384"/>
    </row>
    <row r="102" spans="1:23" x14ac:dyDescent="0.2">
      <c r="A102" s="17"/>
      <c r="B102" s="17"/>
      <c r="C102" s="17" t="str">
        <f>IF(D102="","",Results!C104)</f>
        <v/>
      </c>
      <c r="D102" s="17" t="str">
        <f>Results!G104</f>
        <v/>
      </c>
      <c r="E102" s="17" t="str">
        <f>Results!D104</f>
        <v/>
      </c>
      <c r="F102" s="17" t="str">
        <f>Results!L104</f>
        <v/>
      </c>
      <c r="G102" s="17" t="str">
        <f>Results!P104</f>
        <v/>
      </c>
      <c r="H102" s="17" t="str">
        <f>Results!T104</f>
        <v/>
      </c>
      <c r="I102" s="17" t="str">
        <f>Results!AF104</f>
        <v/>
      </c>
      <c r="J102" s="17" t="str">
        <f>Results!X104</f>
        <v/>
      </c>
      <c r="K102" s="17" t="str">
        <f>IF(D102="","",Results!AN104)</f>
        <v/>
      </c>
      <c r="L102" s="383"/>
      <c r="M102" s="17" t="str">
        <f t="shared" ref="M102" si="0">IF(N102&lt;=17,N102,"")</f>
        <v/>
      </c>
      <c r="N102" s="17" t="str">
        <f>IFERROR(VLOOKUP(Results!AR104,Materials[],4,TRUE),"")</f>
        <v/>
      </c>
      <c r="O102" s="383"/>
      <c r="P102" s="17" t="str">
        <f>IF(D102="","",Results!AV104)</f>
        <v/>
      </c>
      <c r="Q102" s="17" t="str">
        <f>Results!BG104</f>
        <v/>
      </c>
      <c r="R102" s="384"/>
      <c r="S102" s="384"/>
      <c r="T102" s="384"/>
      <c r="U102" s="384"/>
      <c r="V102" s="384"/>
      <c r="W102" s="384"/>
    </row>
    <row r="104" spans="1:23" x14ac:dyDescent="0.2">
      <c r="C104" s="49"/>
      <c r="M104" s="49"/>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bestFit="1" customWidth="1"/>
    <col min="2" max="2" width="7.42578125" bestFit="1" customWidth="1"/>
    <col min="3" max="3" width="13.5703125" bestFit="1" customWidth="1"/>
    <col min="4" max="4" width="14.7109375" bestFit="1" customWidth="1"/>
    <col min="5" max="5" width="11.7109375" bestFit="1" customWidth="1"/>
    <col min="6" max="6" width="14.5703125" bestFit="1" customWidth="1"/>
    <col min="7" max="7" width="11.5703125" bestFit="1" customWidth="1"/>
    <col min="8" max="8" width="7.5703125" bestFit="1" customWidth="1"/>
    <col min="9" max="9" width="12.140625" customWidth="1"/>
  </cols>
  <sheetData>
    <row r="1" spans="1:18" x14ac:dyDescent="0.2">
      <c r="A1" s="691" t="s">
        <v>2398</v>
      </c>
      <c r="B1" s="691"/>
      <c r="C1" s="691"/>
      <c r="D1" s="691"/>
      <c r="E1" s="691"/>
      <c r="F1" s="691"/>
      <c r="G1" s="691"/>
      <c r="H1" s="691"/>
      <c r="I1" s="691"/>
      <c r="J1" s="691"/>
    </row>
    <row r="2" spans="1:18" x14ac:dyDescent="0.2">
      <c r="A2" s="370" t="s">
        <v>2103</v>
      </c>
      <c r="B2" s="370" t="s">
        <v>2371</v>
      </c>
      <c r="C2" s="385" t="s">
        <v>2399</v>
      </c>
      <c r="D2" s="365" t="s">
        <v>2400</v>
      </c>
      <c r="E2" s="365" t="s">
        <v>2401</v>
      </c>
      <c r="F2" s="365" t="s">
        <v>2402</v>
      </c>
      <c r="G2" s="365" t="s">
        <v>2403</v>
      </c>
      <c r="H2" s="370" t="s">
        <v>2404</v>
      </c>
      <c r="I2" s="385" t="s">
        <v>2405</v>
      </c>
      <c r="J2" s="365" t="s">
        <v>2406</v>
      </c>
    </row>
    <row r="3" spans="1:18" x14ac:dyDescent="0.2">
      <c r="A3" s="17"/>
      <c r="B3" s="17"/>
      <c r="C3" s="17"/>
      <c r="D3" s="17"/>
      <c r="E3" s="17"/>
      <c r="F3" s="17"/>
      <c r="G3" s="17"/>
      <c r="H3" s="17"/>
      <c r="I3" s="17"/>
      <c r="J3" s="17"/>
    </row>
    <row r="4" spans="1:18" x14ac:dyDescent="0.2">
      <c r="A4" s="17"/>
      <c r="B4" s="17"/>
      <c r="C4" s="17"/>
      <c r="D4" s="17"/>
      <c r="E4" s="17"/>
      <c r="F4" s="17"/>
      <c r="G4" s="17"/>
      <c r="H4" s="17"/>
      <c r="I4" s="17"/>
      <c r="J4" s="17"/>
    </row>
    <row r="5" spans="1:18" x14ac:dyDescent="0.2">
      <c r="A5" s="17"/>
      <c r="B5" s="17"/>
      <c r="C5" s="17"/>
      <c r="D5" s="17"/>
      <c r="E5" s="17"/>
      <c r="F5" s="17"/>
      <c r="G5" s="17"/>
      <c r="H5" s="17"/>
      <c r="I5" s="17"/>
      <c r="J5" s="17"/>
    </row>
    <row r="6" spans="1:18" x14ac:dyDescent="0.2">
      <c r="A6" s="17"/>
      <c r="B6" s="17"/>
      <c r="C6" s="17"/>
      <c r="D6" s="17"/>
      <c r="E6" s="17"/>
      <c r="F6" s="17"/>
      <c r="G6" s="17"/>
      <c r="H6" s="17"/>
      <c r="I6" s="17"/>
      <c r="J6" s="17"/>
    </row>
    <row r="7" spans="1:18" x14ac:dyDescent="0.2">
      <c r="A7" s="17"/>
      <c r="B7" s="17"/>
      <c r="C7" s="17"/>
      <c r="D7" s="17"/>
      <c r="E7" s="17"/>
      <c r="F7" s="17"/>
      <c r="G7" s="17"/>
      <c r="H7" s="17"/>
      <c r="I7" s="17"/>
      <c r="J7" s="17"/>
    </row>
    <row r="8" spans="1:18" x14ac:dyDescent="0.2">
      <c r="A8" s="17"/>
      <c r="B8" s="17"/>
      <c r="C8" s="17"/>
      <c r="D8" s="17"/>
      <c r="E8" s="17"/>
      <c r="F8" s="17"/>
      <c r="G8" s="17"/>
      <c r="H8" s="17"/>
      <c r="I8" s="17"/>
      <c r="J8" s="17"/>
    </row>
    <row r="9" spans="1:18" x14ac:dyDescent="0.2">
      <c r="A9" s="17"/>
      <c r="B9" s="17"/>
      <c r="C9" s="17"/>
      <c r="D9" s="17"/>
      <c r="E9" s="17"/>
      <c r="F9" s="17"/>
      <c r="G9" s="17"/>
      <c r="H9" s="17"/>
      <c r="I9" s="17"/>
      <c r="J9" s="17"/>
    </row>
    <row r="10" spans="1:18" x14ac:dyDescent="0.2">
      <c r="A10" s="17"/>
      <c r="B10" s="17"/>
      <c r="C10" s="17"/>
      <c r="D10" s="17"/>
      <c r="E10" s="17"/>
      <c r="F10" s="17"/>
      <c r="G10" s="17"/>
      <c r="H10" s="17"/>
      <c r="I10" s="17"/>
      <c r="J10" s="17"/>
    </row>
    <row r="11" spans="1:18" x14ac:dyDescent="0.2">
      <c r="A11" s="17"/>
      <c r="B11" s="17"/>
      <c r="C11" s="17"/>
      <c r="D11" s="17"/>
      <c r="E11" s="17"/>
      <c r="F11" s="17"/>
      <c r="G11" s="17"/>
      <c r="H11" s="17"/>
      <c r="I11" s="17"/>
      <c r="J11" s="17"/>
    </row>
    <row r="12" spans="1:18" x14ac:dyDescent="0.2">
      <c r="A12" s="17"/>
      <c r="B12" s="17"/>
      <c r="C12" s="17"/>
      <c r="D12" s="17"/>
      <c r="E12" s="17"/>
      <c r="F12" s="17"/>
      <c r="G12" s="17"/>
      <c r="H12" s="17"/>
      <c r="I12" s="17"/>
      <c r="J12" s="17"/>
    </row>
    <row r="13" spans="1:18" x14ac:dyDescent="0.2">
      <c r="A13" s="17"/>
      <c r="B13" s="17"/>
      <c r="C13" s="17"/>
      <c r="D13" s="17"/>
      <c r="E13" s="17"/>
      <c r="F13" s="17"/>
      <c r="G13" s="17"/>
      <c r="H13" s="17"/>
      <c r="I13" s="17"/>
      <c r="J13" s="17"/>
    </row>
    <row r="14" spans="1:18" x14ac:dyDescent="0.2">
      <c r="A14" s="17"/>
      <c r="B14" s="17"/>
      <c r="C14" s="17"/>
      <c r="D14" s="17"/>
      <c r="E14" s="17"/>
      <c r="F14" s="17"/>
      <c r="G14" s="17"/>
      <c r="H14" s="17"/>
      <c r="I14" s="17"/>
      <c r="J14" s="17"/>
    </row>
    <row r="15" spans="1:18" x14ac:dyDescent="0.2">
      <c r="A15" s="17"/>
      <c r="B15" s="17"/>
      <c r="C15" s="17"/>
      <c r="D15" s="17"/>
      <c r="E15" s="17"/>
      <c r="F15" s="17"/>
      <c r="G15" s="17"/>
      <c r="H15" s="17"/>
      <c r="I15" s="17"/>
      <c r="J15" s="17"/>
    </row>
    <row r="16" spans="1:18" x14ac:dyDescent="0.2">
      <c r="A16" s="17"/>
      <c r="B16" s="17"/>
      <c r="C16" s="17"/>
      <c r="D16" s="17"/>
      <c r="E16" s="17"/>
      <c r="F16" s="17"/>
      <c r="G16" s="17"/>
      <c r="H16" s="17"/>
      <c r="I16" s="17"/>
      <c r="J16" s="17"/>
      <c r="P16" s="49"/>
      <c r="Q16" s="49"/>
      <c r="R16" s="49"/>
    </row>
    <row r="17" spans="1:10" x14ac:dyDescent="0.2">
      <c r="A17" s="17"/>
      <c r="B17" s="17"/>
      <c r="C17" s="17"/>
      <c r="D17" s="17"/>
      <c r="E17" s="17"/>
      <c r="F17" s="17"/>
      <c r="G17" s="17"/>
      <c r="H17" s="17"/>
      <c r="I17" s="17"/>
      <c r="J17" s="17"/>
    </row>
    <row r="18" spans="1:10" x14ac:dyDescent="0.2">
      <c r="A18" s="17"/>
      <c r="B18" s="17"/>
      <c r="C18" s="17"/>
      <c r="D18" s="17"/>
      <c r="E18" s="17"/>
      <c r="F18" s="17"/>
      <c r="G18" s="17"/>
      <c r="H18" s="17"/>
      <c r="I18" s="17"/>
      <c r="J18" s="17"/>
    </row>
    <row r="19" spans="1:10" x14ac:dyDescent="0.2">
      <c r="A19" s="17"/>
      <c r="B19" s="17"/>
      <c r="C19" s="17"/>
      <c r="D19" s="17"/>
      <c r="E19" s="17"/>
      <c r="F19" s="17"/>
      <c r="G19" s="17"/>
      <c r="H19" s="17"/>
      <c r="I19" s="17"/>
      <c r="J19" s="17"/>
    </row>
    <row r="20" spans="1:10" x14ac:dyDescent="0.2">
      <c r="A20" s="17"/>
      <c r="B20" s="17"/>
      <c r="C20" s="17"/>
      <c r="D20" s="17"/>
      <c r="E20" s="17"/>
      <c r="F20" s="17"/>
      <c r="G20" s="17"/>
      <c r="H20" s="17"/>
      <c r="I20" s="17"/>
      <c r="J20" s="17"/>
    </row>
    <row r="21" spans="1:10" x14ac:dyDescent="0.2">
      <c r="A21" s="17"/>
      <c r="B21" s="17"/>
      <c r="C21" s="17"/>
      <c r="D21" s="17"/>
      <c r="E21" s="17"/>
      <c r="F21" s="17"/>
      <c r="G21" s="17"/>
      <c r="H21" s="17"/>
      <c r="I21" s="17"/>
      <c r="J21" s="17"/>
    </row>
    <row r="22" spans="1:10" x14ac:dyDescent="0.2">
      <c r="A22" s="17"/>
      <c r="B22" s="17"/>
      <c r="C22" s="17"/>
      <c r="D22" s="17"/>
      <c r="E22" s="17"/>
      <c r="F22" s="17"/>
      <c r="G22" s="17"/>
      <c r="H22" s="17"/>
      <c r="I22" s="17"/>
      <c r="J22" s="17"/>
    </row>
    <row r="23" spans="1:10" x14ac:dyDescent="0.2">
      <c r="A23" s="17"/>
      <c r="B23" s="17"/>
      <c r="C23" s="17"/>
      <c r="D23" s="17"/>
      <c r="E23" s="17"/>
      <c r="F23" s="17"/>
      <c r="G23" s="17"/>
      <c r="H23" s="17"/>
      <c r="I23" s="17"/>
      <c r="J23" s="17"/>
    </row>
    <row r="24" spans="1:10" x14ac:dyDescent="0.2">
      <c r="A24" s="17"/>
      <c r="B24" s="17"/>
      <c r="C24" s="17"/>
      <c r="D24" s="17"/>
      <c r="E24" s="17"/>
      <c r="F24" s="17"/>
      <c r="G24" s="17"/>
      <c r="H24" s="17"/>
      <c r="I24" s="17"/>
      <c r="J24" s="17"/>
    </row>
    <row r="25" spans="1:10" x14ac:dyDescent="0.2">
      <c r="A25" s="17"/>
      <c r="B25" s="17"/>
      <c r="C25" s="17"/>
      <c r="D25" s="17"/>
      <c r="E25" s="17"/>
      <c r="F25" s="17"/>
      <c r="G25" s="17"/>
      <c r="H25" s="17"/>
      <c r="I25" s="17"/>
      <c r="J25" s="17"/>
    </row>
    <row r="26" spans="1:10" x14ac:dyDescent="0.2">
      <c r="A26" s="17"/>
      <c r="B26" s="17"/>
      <c r="C26" s="17"/>
      <c r="D26" s="17"/>
      <c r="E26" s="17"/>
      <c r="F26" s="17"/>
      <c r="G26" s="17"/>
      <c r="H26" s="17"/>
      <c r="I26" s="17"/>
      <c r="J26" s="17"/>
    </row>
    <row r="27" spans="1:10" x14ac:dyDescent="0.2">
      <c r="A27" s="17"/>
      <c r="B27" s="17"/>
      <c r="C27" s="17"/>
      <c r="D27" s="17"/>
      <c r="E27" s="17"/>
      <c r="F27" s="17"/>
      <c r="G27" s="17"/>
      <c r="H27" s="17"/>
      <c r="I27" s="17"/>
      <c r="J27" s="17"/>
    </row>
    <row r="28" spans="1:10" x14ac:dyDescent="0.2">
      <c r="A28" s="17"/>
      <c r="B28" s="17"/>
      <c r="C28" s="17"/>
      <c r="D28" s="17"/>
      <c r="E28" s="17"/>
      <c r="F28" s="17"/>
      <c r="G28" s="17"/>
      <c r="H28" s="17"/>
      <c r="I28" s="17"/>
      <c r="J28" s="17"/>
    </row>
    <row r="29" spans="1:10" x14ac:dyDescent="0.2">
      <c r="A29" s="17"/>
      <c r="B29" s="17"/>
      <c r="C29" s="17"/>
      <c r="D29" s="17"/>
      <c r="E29" s="17"/>
      <c r="F29" s="17"/>
      <c r="G29" s="17"/>
      <c r="H29" s="17"/>
      <c r="I29" s="17"/>
      <c r="J29" s="17"/>
    </row>
    <row r="30" spans="1:10" x14ac:dyDescent="0.2">
      <c r="A30" s="17"/>
      <c r="B30" s="17"/>
      <c r="C30" s="17"/>
      <c r="D30" s="17"/>
      <c r="E30" s="17"/>
      <c r="F30" s="17"/>
      <c r="G30" s="17"/>
      <c r="H30" s="17"/>
      <c r="I30" s="17"/>
      <c r="J30" s="17"/>
    </row>
    <row r="31" spans="1:10" x14ac:dyDescent="0.2">
      <c r="A31" s="17"/>
      <c r="B31" s="17"/>
      <c r="C31" s="17"/>
      <c r="D31" s="17"/>
      <c r="E31" s="17"/>
      <c r="F31" s="17"/>
      <c r="G31" s="17"/>
      <c r="H31" s="17"/>
      <c r="I31" s="17"/>
      <c r="J31" s="17"/>
    </row>
    <row r="32" spans="1:10" x14ac:dyDescent="0.2">
      <c r="A32" s="17"/>
      <c r="B32" s="17"/>
      <c r="C32" s="17"/>
      <c r="D32" s="17"/>
      <c r="E32" s="17"/>
      <c r="F32" s="17"/>
      <c r="G32" s="17"/>
      <c r="H32" s="17"/>
      <c r="I32" s="17"/>
      <c r="J32" s="17"/>
    </row>
    <row r="33" spans="1:10" x14ac:dyDescent="0.2">
      <c r="A33" s="17"/>
      <c r="B33" s="17"/>
      <c r="C33" s="17"/>
      <c r="D33" s="17"/>
      <c r="E33" s="17"/>
      <c r="F33" s="17"/>
      <c r="G33" s="17"/>
      <c r="H33" s="17"/>
      <c r="I33" s="17"/>
      <c r="J33" s="17"/>
    </row>
    <row r="34" spans="1:10" x14ac:dyDescent="0.2">
      <c r="A34" s="17"/>
      <c r="B34" s="17"/>
      <c r="C34" s="17"/>
      <c r="D34" s="17"/>
      <c r="E34" s="17"/>
      <c r="F34" s="17"/>
      <c r="G34" s="17"/>
      <c r="H34" s="17"/>
      <c r="I34" s="17"/>
      <c r="J34" s="17"/>
    </row>
    <row r="35" spans="1:10" x14ac:dyDescent="0.2">
      <c r="A35" s="17"/>
      <c r="B35" s="17"/>
      <c r="C35" s="17"/>
      <c r="D35" s="17"/>
      <c r="E35" s="17"/>
      <c r="F35" s="17"/>
      <c r="G35" s="17"/>
      <c r="H35" s="17"/>
      <c r="I35" s="17"/>
      <c r="J35" s="17"/>
    </row>
    <row r="36" spans="1:10" x14ac:dyDescent="0.2">
      <c r="A36" s="17"/>
      <c r="B36" s="17"/>
      <c r="C36" s="17"/>
      <c r="D36" s="17"/>
      <c r="E36" s="17"/>
      <c r="F36" s="17"/>
      <c r="G36" s="17"/>
      <c r="H36" s="17"/>
      <c r="I36" s="17"/>
      <c r="J36" s="17"/>
    </row>
    <row r="37" spans="1:10" x14ac:dyDescent="0.2">
      <c r="A37" s="17"/>
      <c r="B37" s="17"/>
      <c r="C37" s="17"/>
      <c r="D37" s="17"/>
      <c r="E37" s="17"/>
      <c r="F37" s="17"/>
      <c r="G37" s="17"/>
      <c r="H37" s="17"/>
      <c r="I37" s="17"/>
      <c r="J37" s="17"/>
    </row>
    <row r="38" spans="1:10" x14ac:dyDescent="0.2">
      <c r="A38" s="17"/>
      <c r="B38" s="17"/>
      <c r="C38" s="17"/>
      <c r="D38" s="17"/>
      <c r="E38" s="17"/>
      <c r="F38" s="17"/>
      <c r="G38" s="17"/>
      <c r="H38" s="17"/>
      <c r="I38" s="17"/>
      <c r="J38" s="17"/>
    </row>
    <row r="39" spans="1:10" x14ac:dyDescent="0.2">
      <c r="A39" s="17"/>
      <c r="B39" s="17"/>
      <c r="C39" s="17"/>
      <c r="D39" s="17"/>
      <c r="E39" s="17"/>
      <c r="F39" s="17"/>
      <c r="G39" s="17"/>
      <c r="H39" s="17"/>
      <c r="I39" s="17"/>
      <c r="J39" s="17"/>
    </row>
    <row r="40" spans="1:10" x14ac:dyDescent="0.2">
      <c r="A40" s="17"/>
      <c r="B40" s="17"/>
      <c r="C40" s="17"/>
      <c r="D40" s="17"/>
      <c r="E40" s="17"/>
      <c r="F40" s="17"/>
      <c r="G40" s="17"/>
      <c r="H40" s="17"/>
      <c r="I40" s="17"/>
      <c r="J40" s="17"/>
    </row>
    <row r="41" spans="1:10" x14ac:dyDescent="0.2">
      <c r="A41" s="17"/>
      <c r="B41" s="17"/>
      <c r="C41" s="17"/>
      <c r="D41" s="17"/>
      <c r="E41" s="17"/>
      <c r="F41" s="17"/>
      <c r="G41" s="17"/>
      <c r="H41" s="17"/>
      <c r="I41" s="17"/>
      <c r="J41" s="17"/>
    </row>
    <row r="42" spans="1:10" x14ac:dyDescent="0.2">
      <c r="A42" s="17"/>
      <c r="B42" s="17"/>
      <c r="C42" s="17"/>
      <c r="D42" s="17"/>
      <c r="E42" s="17"/>
      <c r="F42" s="17"/>
      <c r="G42" s="17"/>
      <c r="H42" s="17"/>
      <c r="I42" s="17"/>
      <c r="J42" s="17"/>
    </row>
    <row r="43" spans="1:10" x14ac:dyDescent="0.2">
      <c r="A43" s="17"/>
      <c r="B43" s="17"/>
      <c r="C43" s="17"/>
      <c r="D43" s="17"/>
      <c r="E43" s="17"/>
      <c r="F43" s="17"/>
      <c r="G43" s="17"/>
      <c r="H43" s="17"/>
      <c r="I43" s="17"/>
      <c r="J43" s="17"/>
    </row>
    <row r="44" spans="1:10" x14ac:dyDescent="0.2">
      <c r="A44" s="17"/>
      <c r="B44" s="17"/>
      <c r="C44" s="17"/>
      <c r="D44" s="17"/>
      <c r="E44" s="17"/>
      <c r="F44" s="17"/>
      <c r="G44" s="17"/>
      <c r="H44" s="17"/>
      <c r="I44" s="17"/>
      <c r="J44" s="17"/>
    </row>
    <row r="45" spans="1:10" x14ac:dyDescent="0.2">
      <c r="A45" s="17"/>
      <c r="B45" s="17"/>
      <c r="C45" s="17"/>
      <c r="D45" s="17"/>
      <c r="E45" s="17"/>
      <c r="F45" s="17"/>
      <c r="G45" s="17"/>
      <c r="H45" s="17"/>
      <c r="I45" s="17"/>
      <c r="J45" s="17"/>
    </row>
    <row r="46" spans="1:10" x14ac:dyDescent="0.2">
      <c r="A46" s="17"/>
      <c r="B46" s="17"/>
      <c r="C46" s="17"/>
      <c r="D46" s="17"/>
      <c r="E46" s="17"/>
      <c r="F46" s="17"/>
      <c r="G46" s="17"/>
      <c r="H46" s="17"/>
      <c r="I46" s="17"/>
      <c r="J46" s="17"/>
    </row>
    <row r="47" spans="1:10" x14ac:dyDescent="0.2">
      <c r="A47" s="17"/>
      <c r="B47" s="17"/>
      <c r="C47" s="17"/>
      <c r="D47" s="17"/>
      <c r="E47" s="17"/>
      <c r="F47" s="17"/>
      <c r="G47" s="17"/>
      <c r="H47" s="17"/>
      <c r="I47" s="17"/>
      <c r="J47" s="17"/>
    </row>
    <row r="48" spans="1:10" x14ac:dyDescent="0.2">
      <c r="A48" s="17"/>
      <c r="B48" s="17"/>
      <c r="C48" s="17"/>
      <c r="D48" s="17"/>
      <c r="E48" s="17"/>
      <c r="F48" s="17"/>
      <c r="G48" s="17"/>
      <c r="H48" s="17"/>
      <c r="I48" s="17"/>
      <c r="J48" s="17"/>
    </row>
    <row r="49" spans="1:10" x14ac:dyDescent="0.2">
      <c r="A49" s="17"/>
      <c r="B49" s="17"/>
      <c r="C49" s="17"/>
      <c r="D49" s="17"/>
      <c r="E49" s="17"/>
      <c r="F49" s="17"/>
      <c r="G49" s="17"/>
      <c r="H49" s="17"/>
      <c r="I49" s="17"/>
      <c r="J49" s="17"/>
    </row>
    <row r="50" spans="1:10" x14ac:dyDescent="0.2">
      <c r="A50" s="17"/>
      <c r="B50" s="17"/>
      <c r="C50" s="17"/>
      <c r="D50" s="17"/>
      <c r="E50" s="17"/>
      <c r="F50" s="17"/>
      <c r="G50" s="17"/>
      <c r="H50" s="17"/>
      <c r="I50" s="17"/>
      <c r="J50" s="17"/>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customWidth="1"/>
    <col min="3" max="3" width="13.5703125" bestFit="1" customWidth="1"/>
    <col min="4" max="4" width="20.42578125" bestFit="1" customWidth="1"/>
    <col min="5" max="5" width="8.5703125" bestFit="1" customWidth="1"/>
    <col min="6" max="6" width="15.42578125" bestFit="1" customWidth="1"/>
    <col min="7" max="7" width="7.7109375" bestFit="1" customWidth="1"/>
  </cols>
  <sheetData>
    <row r="1" spans="1:22" x14ac:dyDescent="0.2">
      <c r="A1" s="690" t="s">
        <v>2407</v>
      </c>
      <c r="B1" s="690"/>
      <c r="C1" s="690"/>
      <c r="D1" s="690"/>
      <c r="E1" s="690"/>
      <c r="F1" s="690"/>
      <c r="G1" s="690"/>
      <c r="H1" s="690"/>
      <c r="Q1" s="49" t="s">
        <v>2189</v>
      </c>
    </row>
    <row r="2" spans="1:22" x14ac:dyDescent="0.2">
      <c r="A2" s="370" t="s">
        <v>2103</v>
      </c>
      <c r="B2" s="370" t="s">
        <v>2408</v>
      </c>
      <c r="C2" s="385" t="s">
        <v>2399</v>
      </c>
      <c r="D2" s="385" t="s">
        <v>2409</v>
      </c>
      <c r="E2" s="365" t="s">
        <v>2410</v>
      </c>
      <c r="F2" s="365" t="s">
        <v>2411</v>
      </c>
      <c r="G2" s="365" t="s">
        <v>606</v>
      </c>
      <c r="H2" s="365" t="s">
        <v>2412</v>
      </c>
      <c r="Q2" s="365" t="s">
        <v>2413</v>
      </c>
      <c r="R2" s="365" t="s">
        <v>2404</v>
      </c>
      <c r="S2" s="365" t="s">
        <v>2410</v>
      </c>
      <c r="T2" s="365" t="s">
        <v>2411</v>
      </c>
      <c r="U2" s="365" t="s">
        <v>606</v>
      </c>
      <c r="V2" s="365" t="s">
        <v>2412</v>
      </c>
    </row>
    <row r="3" spans="1:22" x14ac:dyDescent="0.2">
      <c r="A3" s="17"/>
      <c r="B3" s="17"/>
      <c r="C3" s="17"/>
      <c r="D3" s="17"/>
      <c r="E3" s="17"/>
      <c r="F3" s="17"/>
      <c r="G3" s="17"/>
      <c r="H3" s="17"/>
      <c r="Q3" s="17">
        <v>1</v>
      </c>
      <c r="R3" s="17">
        <v>1</v>
      </c>
      <c r="S3" s="17">
        <v>1</v>
      </c>
      <c r="T3" s="17">
        <v>0</v>
      </c>
      <c r="U3" s="17">
        <v>0</v>
      </c>
      <c r="V3" s="248" t="s">
        <v>145</v>
      </c>
    </row>
    <row r="4" spans="1:22" x14ac:dyDescent="0.2">
      <c r="A4" s="17"/>
      <c r="B4" s="17"/>
      <c r="C4" s="17"/>
      <c r="D4" s="17"/>
      <c r="E4" s="17"/>
      <c r="F4" s="17"/>
      <c r="G4" s="17"/>
      <c r="H4" s="17"/>
      <c r="Q4" s="17">
        <v>1</v>
      </c>
      <c r="R4" s="17">
        <v>2</v>
      </c>
      <c r="S4" s="17">
        <v>5</v>
      </c>
      <c r="T4" s="17">
        <v>0</v>
      </c>
      <c r="U4" s="17">
        <v>0</v>
      </c>
      <c r="V4" s="248" t="s">
        <v>145</v>
      </c>
    </row>
    <row r="5" spans="1:22" x14ac:dyDescent="0.2">
      <c r="A5" s="17"/>
      <c r="B5" s="17"/>
      <c r="C5" s="17"/>
      <c r="D5" s="17"/>
      <c r="E5" s="17"/>
      <c r="F5" s="17"/>
      <c r="G5" s="17"/>
      <c r="H5" s="17"/>
      <c r="Q5" s="17">
        <v>1</v>
      </c>
      <c r="R5" s="17">
        <v>3</v>
      </c>
      <c r="S5" s="17">
        <v>9</v>
      </c>
      <c r="T5" s="17">
        <v>0</v>
      </c>
      <c r="U5" s="17">
        <v>0</v>
      </c>
      <c r="V5" s="248" t="s">
        <v>145</v>
      </c>
    </row>
    <row r="6" spans="1:22" x14ac:dyDescent="0.2">
      <c r="A6" s="17"/>
      <c r="B6" s="17"/>
      <c r="C6" s="17"/>
      <c r="D6" s="17"/>
      <c r="E6" s="17"/>
      <c r="F6" s="17"/>
      <c r="G6" s="17"/>
      <c r="H6" s="17"/>
    </row>
    <row r="7" spans="1:22" x14ac:dyDescent="0.2">
      <c r="A7" s="17"/>
      <c r="B7" s="17"/>
      <c r="C7" s="17"/>
      <c r="D7" s="17"/>
      <c r="E7" s="17"/>
      <c r="F7" s="17"/>
      <c r="G7" s="17"/>
      <c r="H7" s="17"/>
    </row>
    <row r="8" spans="1:22" x14ac:dyDescent="0.2">
      <c r="A8" s="17"/>
      <c r="B8" s="17"/>
      <c r="C8" s="17"/>
      <c r="D8" s="17"/>
      <c r="E8" s="17"/>
      <c r="F8" s="17"/>
      <c r="G8" s="17"/>
      <c r="H8" s="17"/>
    </row>
    <row r="9" spans="1:22" x14ac:dyDescent="0.2">
      <c r="A9" s="17"/>
      <c r="B9" s="17"/>
      <c r="C9" s="17"/>
      <c r="D9" s="17"/>
      <c r="E9" s="17"/>
      <c r="F9" s="17"/>
      <c r="G9" s="17"/>
      <c r="H9" s="17"/>
    </row>
    <row r="10" spans="1:22" x14ac:dyDescent="0.2">
      <c r="A10" s="17"/>
      <c r="B10" s="17"/>
      <c r="C10" s="17"/>
      <c r="D10" s="17"/>
      <c r="E10" s="17"/>
      <c r="F10" s="17"/>
      <c r="G10" s="17"/>
      <c r="H10" s="17"/>
    </row>
    <row r="11" spans="1:22" x14ac:dyDescent="0.2">
      <c r="A11" s="17"/>
      <c r="B11" s="17"/>
      <c r="C11" s="17"/>
      <c r="D11" s="17"/>
      <c r="E11" s="17"/>
      <c r="F11" s="17"/>
      <c r="G11" s="17"/>
      <c r="H11" s="17"/>
    </row>
    <row r="12" spans="1:22" x14ac:dyDescent="0.2">
      <c r="A12" s="17"/>
      <c r="B12" s="17"/>
      <c r="C12" s="17"/>
      <c r="D12" s="17"/>
      <c r="E12" s="17"/>
      <c r="F12" s="17"/>
      <c r="G12" s="17"/>
      <c r="H12" s="17"/>
    </row>
    <row r="13" spans="1:22" x14ac:dyDescent="0.2">
      <c r="A13" s="17"/>
      <c r="B13" s="17"/>
      <c r="C13" s="17"/>
      <c r="D13" s="17"/>
      <c r="E13" s="17"/>
      <c r="F13" s="17"/>
      <c r="G13" s="17"/>
      <c r="H13" s="17"/>
    </row>
    <row r="14" spans="1:22" x14ac:dyDescent="0.2">
      <c r="A14" s="17"/>
      <c r="B14" s="17"/>
      <c r="C14" s="17"/>
      <c r="D14" s="17"/>
      <c r="E14" s="17"/>
      <c r="F14" s="17"/>
      <c r="G14" s="17"/>
      <c r="H14" s="17"/>
    </row>
    <row r="15" spans="1:22" x14ac:dyDescent="0.2">
      <c r="A15" s="17"/>
      <c r="B15" s="17"/>
      <c r="C15" s="17"/>
      <c r="D15" s="17"/>
      <c r="E15" s="17"/>
      <c r="F15" s="17"/>
      <c r="G15" s="17"/>
      <c r="H15" s="17"/>
    </row>
    <row r="16" spans="1:22" x14ac:dyDescent="0.2">
      <c r="A16" s="17"/>
      <c r="B16" s="17"/>
      <c r="C16" s="17"/>
      <c r="D16" s="17"/>
      <c r="E16" s="17"/>
      <c r="F16" s="17"/>
      <c r="G16" s="17"/>
      <c r="H16" s="17"/>
    </row>
    <row r="17" spans="1:8" x14ac:dyDescent="0.2">
      <c r="A17" s="17"/>
      <c r="B17" s="17"/>
      <c r="C17" s="17"/>
      <c r="D17" s="17"/>
      <c r="E17" s="17"/>
      <c r="F17" s="17"/>
      <c r="G17" s="17"/>
      <c r="H17" s="17"/>
    </row>
    <row r="18" spans="1:8" x14ac:dyDescent="0.2">
      <c r="A18" s="17"/>
      <c r="B18" s="17"/>
      <c r="C18" s="17"/>
      <c r="D18" s="17"/>
      <c r="E18" s="17"/>
      <c r="F18" s="17"/>
      <c r="G18" s="17"/>
      <c r="H18" s="17"/>
    </row>
    <row r="19" spans="1:8" x14ac:dyDescent="0.2">
      <c r="A19" s="17"/>
      <c r="B19" s="17"/>
      <c r="C19" s="17"/>
      <c r="D19" s="17"/>
      <c r="E19" s="17"/>
      <c r="F19" s="17"/>
      <c r="G19" s="17"/>
      <c r="H19" s="17"/>
    </row>
    <row r="20" spans="1:8" x14ac:dyDescent="0.2">
      <c r="A20" s="17"/>
      <c r="B20" s="17"/>
      <c r="C20" s="17"/>
      <c r="D20" s="17"/>
      <c r="E20" s="17"/>
      <c r="F20" s="17"/>
      <c r="G20" s="17"/>
      <c r="H20" s="17"/>
    </row>
    <row r="21" spans="1:8" x14ac:dyDescent="0.2">
      <c r="A21" s="17"/>
      <c r="B21" s="17"/>
      <c r="C21" s="17"/>
      <c r="D21" s="17"/>
      <c r="E21" s="17"/>
      <c r="F21" s="17"/>
      <c r="G21" s="17"/>
      <c r="H21" s="17"/>
    </row>
    <row r="22" spans="1:8" x14ac:dyDescent="0.2">
      <c r="A22" s="17"/>
      <c r="B22" s="17"/>
      <c r="C22" s="17"/>
      <c r="D22" s="17"/>
      <c r="E22" s="17"/>
      <c r="F22" s="17"/>
      <c r="G22" s="17"/>
      <c r="H22" s="17"/>
    </row>
    <row r="23" spans="1:8" x14ac:dyDescent="0.2">
      <c r="A23" s="17"/>
      <c r="B23" s="17"/>
      <c r="C23" s="17"/>
      <c r="D23" s="17"/>
      <c r="E23" s="17"/>
      <c r="F23" s="17"/>
      <c r="G23" s="17"/>
      <c r="H23" s="17"/>
    </row>
    <row r="24" spans="1:8" x14ac:dyDescent="0.2">
      <c r="A24" s="17"/>
      <c r="B24" s="17"/>
      <c r="C24" s="17"/>
      <c r="D24" s="17"/>
      <c r="E24" s="17"/>
      <c r="F24" s="17"/>
      <c r="G24" s="17"/>
      <c r="H24" s="17"/>
    </row>
    <row r="25" spans="1:8" x14ac:dyDescent="0.2">
      <c r="A25" s="17"/>
      <c r="B25" s="17"/>
      <c r="C25" s="17"/>
      <c r="D25" s="17"/>
      <c r="E25" s="17"/>
      <c r="F25" s="17"/>
      <c r="G25" s="17"/>
      <c r="H25" s="17"/>
    </row>
    <row r="26" spans="1:8" x14ac:dyDescent="0.2">
      <c r="A26" s="17"/>
      <c r="B26" s="17"/>
      <c r="C26" s="17"/>
      <c r="D26" s="17"/>
      <c r="E26" s="17"/>
      <c r="F26" s="17"/>
      <c r="G26" s="17"/>
      <c r="H26" s="17"/>
    </row>
    <row r="27" spans="1:8" x14ac:dyDescent="0.2">
      <c r="A27" s="17"/>
      <c r="B27" s="17"/>
      <c r="C27" s="17"/>
      <c r="D27" s="17"/>
      <c r="E27" s="17"/>
      <c r="F27" s="17"/>
      <c r="G27" s="17"/>
      <c r="H27" s="17"/>
    </row>
    <row r="28" spans="1:8" x14ac:dyDescent="0.2">
      <c r="A28" s="17"/>
      <c r="B28" s="17"/>
      <c r="C28" s="17"/>
      <c r="D28" s="17"/>
      <c r="E28" s="17"/>
      <c r="F28" s="17"/>
      <c r="G28" s="17"/>
      <c r="H28" s="17"/>
    </row>
    <row r="29" spans="1:8" x14ac:dyDescent="0.2">
      <c r="A29" s="17"/>
      <c r="B29" s="17"/>
      <c r="C29" s="17"/>
      <c r="D29" s="17"/>
      <c r="E29" s="17"/>
      <c r="F29" s="17"/>
      <c r="G29" s="17"/>
      <c r="H29" s="17"/>
    </row>
    <row r="30" spans="1:8" x14ac:dyDescent="0.2">
      <c r="A30" s="17"/>
      <c r="B30" s="17"/>
      <c r="C30" s="17"/>
      <c r="D30" s="17"/>
      <c r="E30" s="17"/>
      <c r="F30" s="17"/>
      <c r="G30" s="17"/>
      <c r="H30" s="17"/>
    </row>
    <row r="31" spans="1:8" x14ac:dyDescent="0.2">
      <c r="A31" s="17"/>
      <c r="B31" s="17"/>
      <c r="C31" s="17"/>
      <c r="D31" s="17"/>
      <c r="E31" s="17"/>
      <c r="F31" s="17"/>
      <c r="G31" s="17"/>
      <c r="H31" s="17"/>
    </row>
    <row r="32" spans="1:8" x14ac:dyDescent="0.2">
      <c r="A32" s="17"/>
      <c r="B32" s="17"/>
      <c r="C32" s="17"/>
      <c r="D32" s="17"/>
      <c r="E32" s="17"/>
      <c r="F32" s="17"/>
      <c r="G32" s="17"/>
      <c r="H32" s="17"/>
    </row>
    <row r="33" spans="1:8" x14ac:dyDescent="0.2">
      <c r="A33" s="17"/>
      <c r="B33" s="17"/>
      <c r="C33" s="17"/>
      <c r="D33" s="17"/>
      <c r="E33" s="17"/>
      <c r="F33" s="17"/>
      <c r="G33" s="17"/>
      <c r="H33" s="17"/>
    </row>
    <row r="34" spans="1:8" x14ac:dyDescent="0.2">
      <c r="A34" s="17"/>
      <c r="B34" s="17"/>
      <c r="C34" s="17"/>
      <c r="D34" s="17"/>
      <c r="E34" s="17"/>
      <c r="F34" s="17"/>
      <c r="G34" s="17"/>
      <c r="H34" s="17"/>
    </row>
    <row r="35" spans="1:8" x14ac:dyDescent="0.2">
      <c r="A35" s="17"/>
      <c r="B35" s="17"/>
      <c r="C35" s="17"/>
      <c r="D35" s="17"/>
      <c r="E35" s="17"/>
      <c r="F35" s="17"/>
      <c r="G35" s="17"/>
      <c r="H35" s="17"/>
    </row>
    <row r="36" spans="1:8" x14ac:dyDescent="0.2">
      <c r="A36" s="17"/>
      <c r="B36" s="17"/>
      <c r="C36" s="17"/>
      <c r="D36" s="17"/>
      <c r="E36" s="17"/>
      <c r="F36" s="17"/>
      <c r="G36" s="17"/>
      <c r="H36" s="17"/>
    </row>
    <row r="37" spans="1:8" x14ac:dyDescent="0.2">
      <c r="A37" s="17"/>
      <c r="B37" s="17"/>
      <c r="C37" s="17"/>
      <c r="D37" s="17"/>
      <c r="E37" s="17"/>
      <c r="F37" s="17"/>
      <c r="G37" s="17"/>
      <c r="H37" s="17"/>
    </row>
    <row r="38" spans="1:8" x14ac:dyDescent="0.2">
      <c r="A38" s="17"/>
      <c r="B38" s="17"/>
      <c r="C38" s="17"/>
      <c r="D38" s="17"/>
      <c r="E38" s="17"/>
      <c r="F38" s="17"/>
      <c r="G38" s="17"/>
      <c r="H38" s="17"/>
    </row>
    <row r="39" spans="1:8" x14ac:dyDescent="0.2">
      <c r="A39" s="17"/>
      <c r="B39" s="17"/>
      <c r="C39" s="17"/>
      <c r="D39" s="17"/>
      <c r="E39" s="17"/>
      <c r="F39" s="17"/>
      <c r="G39" s="17"/>
      <c r="H39" s="17"/>
    </row>
    <row r="40" spans="1:8" x14ac:dyDescent="0.2">
      <c r="A40" s="17"/>
      <c r="B40" s="17"/>
      <c r="C40" s="17"/>
      <c r="D40" s="17"/>
      <c r="E40" s="17"/>
      <c r="F40" s="17"/>
      <c r="G40" s="17"/>
      <c r="H40" s="17"/>
    </row>
    <row r="41" spans="1:8" x14ac:dyDescent="0.2">
      <c r="A41" s="17"/>
      <c r="B41" s="17"/>
      <c r="C41" s="17"/>
      <c r="D41" s="17"/>
      <c r="E41" s="17"/>
      <c r="F41" s="17"/>
      <c r="G41" s="17"/>
      <c r="H41" s="17"/>
    </row>
    <row r="42" spans="1:8" x14ac:dyDescent="0.2">
      <c r="A42" s="17"/>
      <c r="B42" s="17"/>
      <c r="C42" s="17"/>
      <c r="D42" s="17"/>
      <c r="E42" s="17"/>
      <c r="F42" s="17"/>
      <c r="G42" s="17"/>
      <c r="H42" s="17"/>
    </row>
    <row r="43" spans="1:8" x14ac:dyDescent="0.2">
      <c r="A43" s="17"/>
      <c r="B43" s="17"/>
      <c r="C43" s="17"/>
      <c r="D43" s="17"/>
      <c r="E43" s="17"/>
      <c r="F43" s="17"/>
      <c r="G43" s="17"/>
      <c r="H43" s="17"/>
    </row>
    <row r="44" spans="1:8" x14ac:dyDescent="0.2">
      <c r="A44" s="17"/>
      <c r="B44" s="17"/>
      <c r="C44" s="17"/>
      <c r="D44" s="17"/>
      <c r="E44" s="17"/>
      <c r="F44" s="17"/>
      <c r="G44" s="17"/>
      <c r="H44" s="17"/>
    </row>
    <row r="45" spans="1:8" x14ac:dyDescent="0.2">
      <c r="A45" s="17"/>
      <c r="B45" s="17"/>
      <c r="C45" s="17"/>
      <c r="D45" s="17"/>
      <c r="E45" s="17"/>
      <c r="F45" s="17"/>
      <c r="G45" s="17"/>
      <c r="H45" s="17"/>
    </row>
    <row r="46" spans="1:8" x14ac:dyDescent="0.2">
      <c r="A46" s="17"/>
      <c r="B46" s="17"/>
      <c r="C46" s="17"/>
      <c r="D46" s="17"/>
      <c r="E46" s="17"/>
      <c r="F46" s="17"/>
      <c r="G46" s="17"/>
      <c r="H46" s="17"/>
    </row>
    <row r="47" spans="1:8" x14ac:dyDescent="0.2">
      <c r="A47" s="17"/>
      <c r="B47" s="17"/>
      <c r="C47" s="17"/>
      <c r="D47" s="17"/>
      <c r="E47" s="17"/>
      <c r="F47" s="17"/>
      <c r="G47" s="17"/>
      <c r="H47" s="17"/>
    </row>
    <row r="48" spans="1:8" x14ac:dyDescent="0.2">
      <c r="A48" s="17"/>
      <c r="B48" s="17"/>
      <c r="C48" s="17"/>
      <c r="D48" s="17"/>
      <c r="E48" s="17"/>
      <c r="F48" s="17"/>
      <c r="G48" s="17"/>
      <c r="H48" s="17"/>
    </row>
    <row r="49" spans="1:8" x14ac:dyDescent="0.2">
      <c r="A49" s="17"/>
      <c r="B49" s="17"/>
      <c r="C49" s="17"/>
      <c r="D49" s="17"/>
      <c r="E49" s="17"/>
      <c r="F49" s="17"/>
      <c r="G49" s="17"/>
      <c r="H49" s="17"/>
    </row>
    <row r="50" spans="1:8" x14ac:dyDescent="0.2">
      <c r="A50" s="17"/>
      <c r="B50" s="17"/>
      <c r="C50" s="17"/>
      <c r="D50" s="17"/>
      <c r="E50" s="17"/>
      <c r="F50" s="17"/>
      <c r="G50" s="17"/>
      <c r="H50" s="17"/>
    </row>
    <row r="51" spans="1:8" x14ac:dyDescent="0.2">
      <c r="A51" s="17"/>
      <c r="B51" s="17"/>
      <c r="C51" s="17"/>
      <c r="D51" s="17"/>
      <c r="E51" s="17"/>
      <c r="F51" s="17"/>
      <c r="G51" s="17"/>
      <c r="H51" s="17"/>
    </row>
    <row r="52" spans="1:8" x14ac:dyDescent="0.2">
      <c r="A52" s="17"/>
      <c r="B52" s="17"/>
      <c r="C52" s="17"/>
      <c r="D52" s="17"/>
      <c r="E52" s="17"/>
      <c r="F52" s="17"/>
      <c r="G52" s="17"/>
      <c r="H52" s="17"/>
    </row>
    <row r="53" spans="1:8" x14ac:dyDescent="0.2">
      <c r="A53" s="17"/>
      <c r="B53" s="17"/>
      <c r="C53" s="17"/>
      <c r="D53" s="17"/>
      <c r="E53" s="17"/>
      <c r="F53" s="17"/>
      <c r="G53" s="17"/>
      <c r="H53" s="17"/>
    </row>
    <row r="54" spans="1:8" x14ac:dyDescent="0.2">
      <c r="A54" s="17"/>
      <c r="B54" s="17"/>
      <c r="C54" s="17"/>
      <c r="D54" s="17"/>
      <c r="E54" s="17"/>
      <c r="F54" s="17"/>
      <c r="G54" s="17"/>
      <c r="H54" s="17"/>
    </row>
    <row r="55" spans="1:8" x14ac:dyDescent="0.2">
      <c r="A55" s="17"/>
      <c r="B55" s="17"/>
      <c r="C55" s="17"/>
      <c r="D55" s="17"/>
      <c r="E55" s="17"/>
      <c r="F55" s="17"/>
      <c r="G55" s="17"/>
      <c r="H55" s="17"/>
    </row>
    <row r="56" spans="1:8" x14ac:dyDescent="0.2">
      <c r="A56" s="17"/>
      <c r="B56" s="17"/>
      <c r="C56" s="17"/>
      <c r="D56" s="17"/>
      <c r="E56" s="17"/>
      <c r="F56" s="17"/>
      <c r="G56" s="17"/>
      <c r="H56" s="17"/>
    </row>
    <row r="57" spans="1:8" x14ac:dyDescent="0.2">
      <c r="A57" s="17"/>
      <c r="B57" s="17"/>
      <c r="C57" s="17"/>
      <c r="D57" s="17"/>
      <c r="E57" s="17"/>
      <c r="F57" s="17"/>
      <c r="G57" s="17"/>
      <c r="H57" s="17"/>
    </row>
    <row r="58" spans="1:8" x14ac:dyDescent="0.2">
      <c r="A58" s="17"/>
      <c r="B58" s="17"/>
      <c r="C58" s="17"/>
      <c r="D58" s="17"/>
      <c r="E58" s="17"/>
      <c r="F58" s="17"/>
      <c r="G58" s="17"/>
      <c r="H58" s="17"/>
    </row>
    <row r="59" spans="1:8" x14ac:dyDescent="0.2">
      <c r="A59" s="17"/>
      <c r="B59" s="17"/>
      <c r="C59" s="17"/>
      <c r="D59" s="17"/>
      <c r="E59" s="17"/>
      <c r="F59" s="17"/>
      <c r="G59" s="17"/>
      <c r="H59" s="17"/>
    </row>
    <row r="60" spans="1:8" x14ac:dyDescent="0.2">
      <c r="A60" s="17"/>
      <c r="B60" s="17"/>
      <c r="C60" s="17"/>
      <c r="D60" s="17"/>
      <c r="E60" s="17"/>
      <c r="F60" s="17"/>
      <c r="G60" s="17"/>
      <c r="H60" s="17"/>
    </row>
    <row r="61" spans="1:8" x14ac:dyDescent="0.2">
      <c r="A61" s="17"/>
      <c r="B61" s="17"/>
      <c r="C61" s="17"/>
      <c r="D61" s="17"/>
      <c r="E61" s="17"/>
      <c r="F61" s="17"/>
      <c r="G61" s="17"/>
      <c r="H61" s="17"/>
    </row>
    <row r="62" spans="1:8" x14ac:dyDescent="0.2">
      <c r="A62" s="17"/>
      <c r="B62" s="17"/>
      <c r="C62" s="17"/>
      <c r="D62" s="17"/>
      <c r="E62" s="17"/>
      <c r="F62" s="17"/>
      <c r="G62" s="17"/>
      <c r="H62" s="17"/>
    </row>
    <row r="63" spans="1:8" x14ac:dyDescent="0.2">
      <c r="A63" s="17"/>
      <c r="B63" s="17"/>
      <c r="C63" s="17"/>
      <c r="D63" s="17"/>
      <c r="E63" s="17"/>
      <c r="F63" s="17"/>
      <c r="G63" s="17"/>
      <c r="H63" s="17"/>
    </row>
    <row r="64" spans="1:8" x14ac:dyDescent="0.2">
      <c r="A64" s="17"/>
      <c r="B64" s="17"/>
      <c r="C64" s="17"/>
      <c r="D64" s="17"/>
      <c r="E64" s="17"/>
      <c r="F64" s="17"/>
      <c r="G64" s="17"/>
      <c r="H64" s="17"/>
    </row>
    <row r="65" spans="1:8" x14ac:dyDescent="0.2">
      <c r="A65" s="17"/>
      <c r="B65" s="17"/>
      <c r="C65" s="17"/>
      <c r="D65" s="17"/>
      <c r="E65" s="17"/>
      <c r="F65" s="17"/>
      <c r="G65" s="17"/>
      <c r="H65" s="17"/>
    </row>
    <row r="66" spans="1:8" x14ac:dyDescent="0.2">
      <c r="A66" s="17"/>
      <c r="B66" s="17"/>
      <c r="C66" s="17"/>
      <c r="D66" s="17"/>
      <c r="E66" s="17"/>
      <c r="F66" s="17"/>
      <c r="G66" s="17"/>
      <c r="H66" s="17"/>
    </row>
    <row r="67" spans="1:8" x14ac:dyDescent="0.2">
      <c r="A67" s="17"/>
      <c r="B67" s="17"/>
      <c r="C67" s="17"/>
      <c r="D67" s="17"/>
      <c r="E67" s="17"/>
      <c r="F67" s="17"/>
      <c r="G67" s="17"/>
      <c r="H67" s="17"/>
    </row>
    <row r="68" spans="1:8" x14ac:dyDescent="0.2">
      <c r="A68" s="17"/>
      <c r="B68" s="17"/>
      <c r="C68" s="17"/>
      <c r="D68" s="17"/>
      <c r="E68" s="17"/>
      <c r="F68" s="17"/>
      <c r="G68" s="17"/>
      <c r="H68" s="17"/>
    </row>
    <row r="69" spans="1:8" x14ac:dyDescent="0.2">
      <c r="A69" s="17"/>
      <c r="B69" s="17"/>
      <c r="C69" s="17"/>
      <c r="D69" s="17"/>
      <c r="E69" s="17"/>
      <c r="F69" s="17"/>
      <c r="G69" s="17"/>
      <c r="H69" s="17"/>
    </row>
    <row r="70" spans="1:8" x14ac:dyDescent="0.2">
      <c r="A70" s="17"/>
      <c r="B70" s="17"/>
      <c r="C70" s="17"/>
      <c r="D70" s="17"/>
      <c r="E70" s="17"/>
      <c r="F70" s="17"/>
      <c r="G70" s="17"/>
      <c r="H70" s="17"/>
    </row>
    <row r="71" spans="1:8" x14ac:dyDescent="0.2">
      <c r="A71" s="17"/>
      <c r="B71" s="17"/>
      <c r="C71" s="17"/>
      <c r="D71" s="17"/>
      <c r="E71" s="17"/>
      <c r="F71" s="17"/>
      <c r="G71" s="17"/>
      <c r="H71" s="17"/>
    </row>
    <row r="72" spans="1:8" x14ac:dyDescent="0.2">
      <c r="A72" s="17"/>
      <c r="B72" s="17"/>
      <c r="C72" s="17"/>
      <c r="D72" s="17"/>
      <c r="E72" s="17"/>
      <c r="F72" s="17"/>
      <c r="G72" s="17"/>
      <c r="H72" s="17"/>
    </row>
    <row r="73" spans="1:8" x14ac:dyDescent="0.2">
      <c r="A73" s="17"/>
      <c r="B73" s="17"/>
      <c r="C73" s="17"/>
      <c r="D73" s="17"/>
      <c r="E73" s="17"/>
      <c r="F73" s="17"/>
      <c r="G73" s="17"/>
      <c r="H73" s="17"/>
    </row>
    <row r="74" spans="1:8" x14ac:dyDescent="0.2">
      <c r="A74" s="17"/>
      <c r="B74" s="17"/>
      <c r="C74" s="17"/>
      <c r="D74" s="17"/>
      <c r="E74" s="17"/>
      <c r="F74" s="17"/>
      <c r="G74" s="17"/>
      <c r="H74" s="17"/>
    </row>
    <row r="75" spans="1:8" x14ac:dyDescent="0.2">
      <c r="A75" s="17"/>
      <c r="B75" s="17"/>
      <c r="C75" s="17"/>
      <c r="D75" s="17"/>
      <c r="E75" s="17"/>
      <c r="F75" s="17"/>
      <c r="G75" s="17"/>
      <c r="H75" s="17"/>
    </row>
    <row r="76" spans="1:8" x14ac:dyDescent="0.2">
      <c r="A76" s="17"/>
      <c r="B76" s="17"/>
      <c r="C76" s="17"/>
      <c r="D76" s="17"/>
      <c r="E76" s="17"/>
      <c r="F76" s="17"/>
      <c r="G76" s="17"/>
      <c r="H76" s="17"/>
    </row>
    <row r="77" spans="1:8" x14ac:dyDescent="0.2">
      <c r="A77" s="17"/>
      <c r="B77" s="17"/>
      <c r="C77" s="17"/>
      <c r="D77" s="17"/>
      <c r="E77" s="17"/>
      <c r="F77" s="17"/>
      <c r="G77" s="17"/>
      <c r="H77" s="17"/>
    </row>
    <row r="78" spans="1:8" x14ac:dyDescent="0.2">
      <c r="A78" s="17"/>
      <c r="B78" s="17"/>
      <c r="C78" s="17"/>
      <c r="D78" s="17"/>
      <c r="E78" s="17"/>
      <c r="F78" s="17"/>
      <c r="G78" s="17"/>
      <c r="H78" s="17"/>
    </row>
    <row r="79" spans="1:8" x14ac:dyDescent="0.2">
      <c r="A79" s="17"/>
      <c r="B79" s="17"/>
      <c r="C79" s="17"/>
      <c r="D79" s="17"/>
      <c r="E79" s="17"/>
      <c r="F79" s="17"/>
      <c r="G79" s="17"/>
      <c r="H79" s="17"/>
    </row>
    <row r="80" spans="1:8" x14ac:dyDescent="0.2">
      <c r="A80" s="17"/>
      <c r="B80" s="17"/>
      <c r="C80" s="17"/>
      <c r="D80" s="17"/>
      <c r="E80" s="17"/>
      <c r="F80" s="17"/>
      <c r="G80" s="17"/>
      <c r="H80" s="17"/>
    </row>
    <row r="81" spans="1:8" x14ac:dyDescent="0.2">
      <c r="A81" s="17"/>
      <c r="B81" s="17"/>
      <c r="C81" s="17"/>
      <c r="D81" s="17"/>
      <c r="E81" s="17"/>
      <c r="F81" s="17"/>
      <c r="G81" s="17"/>
      <c r="H81" s="17"/>
    </row>
    <row r="82" spans="1:8" x14ac:dyDescent="0.2">
      <c r="A82" s="17"/>
      <c r="B82" s="17"/>
      <c r="C82" s="17"/>
      <c r="D82" s="17"/>
      <c r="E82" s="17"/>
      <c r="F82" s="17"/>
      <c r="G82" s="17"/>
      <c r="H82" s="17"/>
    </row>
    <row r="83" spans="1:8" x14ac:dyDescent="0.2">
      <c r="A83" s="17"/>
      <c r="B83" s="17"/>
      <c r="C83" s="17"/>
      <c r="D83" s="17"/>
      <c r="E83" s="17"/>
      <c r="F83" s="17"/>
      <c r="G83" s="17"/>
      <c r="H83" s="17"/>
    </row>
    <row r="84" spans="1:8" x14ac:dyDescent="0.2">
      <c r="A84" s="17"/>
      <c r="B84" s="17"/>
      <c r="C84" s="17"/>
      <c r="D84" s="17"/>
      <c r="E84" s="17"/>
      <c r="F84" s="17"/>
      <c r="G84" s="17"/>
      <c r="H84" s="17"/>
    </row>
    <row r="85" spans="1:8" x14ac:dyDescent="0.2">
      <c r="A85" s="17"/>
      <c r="B85" s="17"/>
      <c r="C85" s="17"/>
      <c r="D85" s="17"/>
      <c r="E85" s="17"/>
      <c r="F85" s="17"/>
      <c r="G85" s="17"/>
      <c r="H85" s="17"/>
    </row>
    <row r="86" spans="1:8" x14ac:dyDescent="0.2">
      <c r="A86" s="17"/>
      <c r="B86" s="17"/>
      <c r="C86" s="17"/>
      <c r="D86" s="17"/>
      <c r="E86" s="17"/>
      <c r="F86" s="17"/>
      <c r="G86" s="17"/>
      <c r="H86" s="17"/>
    </row>
    <row r="87" spans="1:8" x14ac:dyDescent="0.2">
      <c r="A87" s="17"/>
      <c r="B87" s="17"/>
      <c r="C87" s="17"/>
      <c r="D87" s="17"/>
      <c r="E87" s="17"/>
      <c r="F87" s="17"/>
      <c r="G87" s="17"/>
      <c r="H87" s="17"/>
    </row>
    <row r="88" spans="1:8" x14ac:dyDescent="0.2">
      <c r="A88" s="17"/>
      <c r="B88" s="17"/>
      <c r="C88" s="17"/>
      <c r="D88" s="17"/>
      <c r="E88" s="17"/>
      <c r="F88" s="17"/>
      <c r="G88" s="17"/>
      <c r="H88" s="17"/>
    </row>
    <row r="89" spans="1:8" x14ac:dyDescent="0.2">
      <c r="A89" s="17"/>
      <c r="B89" s="17"/>
      <c r="C89" s="17"/>
      <c r="D89" s="17"/>
      <c r="E89" s="17"/>
      <c r="F89" s="17"/>
      <c r="G89" s="17"/>
      <c r="H89" s="17"/>
    </row>
    <row r="90" spans="1:8" x14ac:dyDescent="0.2">
      <c r="A90" s="17"/>
      <c r="B90" s="17"/>
      <c r="C90" s="17"/>
      <c r="D90" s="17"/>
      <c r="E90" s="17"/>
      <c r="F90" s="17"/>
      <c r="G90" s="17"/>
      <c r="H90" s="17"/>
    </row>
    <row r="91" spans="1:8" x14ac:dyDescent="0.2">
      <c r="A91" s="17"/>
      <c r="B91" s="17"/>
      <c r="C91" s="17"/>
      <c r="D91" s="17"/>
      <c r="E91" s="17"/>
      <c r="F91" s="17"/>
      <c r="G91" s="17"/>
      <c r="H91" s="17"/>
    </row>
    <row r="92" spans="1:8" x14ac:dyDescent="0.2">
      <c r="A92" s="17"/>
      <c r="B92" s="17"/>
      <c r="C92" s="17"/>
      <c r="D92" s="17"/>
      <c r="E92" s="17"/>
      <c r="F92" s="17"/>
      <c r="G92" s="17"/>
      <c r="H92" s="17"/>
    </row>
    <row r="93" spans="1:8" x14ac:dyDescent="0.2">
      <c r="A93" s="17"/>
      <c r="B93" s="17"/>
      <c r="C93" s="17"/>
      <c r="D93" s="17"/>
      <c r="E93" s="17"/>
      <c r="F93" s="17"/>
      <c r="G93" s="17"/>
      <c r="H93" s="17"/>
    </row>
    <row r="94" spans="1:8" x14ac:dyDescent="0.2">
      <c r="A94" s="17"/>
      <c r="B94" s="17"/>
      <c r="C94" s="17"/>
      <c r="D94" s="17"/>
      <c r="E94" s="17"/>
      <c r="F94" s="17"/>
      <c r="G94" s="17"/>
      <c r="H94" s="17"/>
    </row>
    <row r="95" spans="1:8" x14ac:dyDescent="0.2">
      <c r="A95" s="17"/>
      <c r="B95" s="17"/>
      <c r="C95" s="17"/>
      <c r="D95" s="17"/>
      <c r="E95" s="17"/>
      <c r="F95" s="17"/>
      <c r="G95" s="17"/>
      <c r="H95" s="17"/>
    </row>
    <row r="96" spans="1:8" x14ac:dyDescent="0.2">
      <c r="A96" s="17"/>
      <c r="B96" s="17"/>
      <c r="C96" s="17"/>
      <c r="D96" s="17"/>
      <c r="E96" s="17"/>
      <c r="F96" s="17"/>
      <c r="G96" s="17"/>
      <c r="H96" s="17"/>
    </row>
    <row r="97" spans="1:8" x14ac:dyDescent="0.2">
      <c r="A97" s="17"/>
      <c r="B97" s="17"/>
      <c r="C97" s="17"/>
      <c r="D97" s="17"/>
      <c r="E97" s="17"/>
      <c r="F97" s="17"/>
      <c r="G97" s="17"/>
      <c r="H97" s="17"/>
    </row>
    <row r="98" spans="1:8" x14ac:dyDescent="0.2">
      <c r="A98" s="17"/>
      <c r="B98" s="17"/>
      <c r="C98" s="17"/>
      <c r="D98" s="17"/>
      <c r="E98" s="17"/>
      <c r="F98" s="17"/>
      <c r="G98" s="17"/>
      <c r="H98" s="17"/>
    </row>
    <row r="99" spans="1:8" x14ac:dyDescent="0.2">
      <c r="A99" s="17"/>
      <c r="B99" s="17"/>
      <c r="C99" s="17"/>
      <c r="D99" s="17"/>
      <c r="E99" s="17"/>
      <c r="F99" s="17"/>
      <c r="G99" s="17"/>
      <c r="H99" s="17"/>
    </row>
    <row r="100" spans="1:8" x14ac:dyDescent="0.2">
      <c r="A100" s="17"/>
      <c r="B100" s="17"/>
      <c r="C100" s="17"/>
      <c r="D100" s="17"/>
      <c r="E100" s="17"/>
      <c r="F100" s="17"/>
      <c r="G100" s="17"/>
      <c r="H100" s="17"/>
    </row>
    <row r="101" spans="1:8" x14ac:dyDescent="0.2">
      <c r="A101" s="17"/>
      <c r="B101" s="17"/>
      <c r="C101" s="17"/>
      <c r="D101" s="17"/>
      <c r="E101" s="17"/>
      <c r="F101" s="17"/>
      <c r="G101" s="17"/>
      <c r="H101" s="17"/>
    </row>
    <row r="102" spans="1:8" x14ac:dyDescent="0.2">
      <c r="A102" s="17"/>
      <c r="B102" s="17"/>
      <c r="C102" s="17"/>
      <c r="D102" s="17"/>
      <c r="E102" s="17"/>
      <c r="F102" s="17"/>
      <c r="G102" s="17"/>
      <c r="H102" s="17"/>
    </row>
    <row r="103" spans="1:8" x14ac:dyDescent="0.2">
      <c r="A103" s="17"/>
      <c r="B103" s="17"/>
      <c r="C103" s="17"/>
      <c r="D103" s="17"/>
      <c r="E103" s="17"/>
      <c r="F103" s="17"/>
      <c r="G103" s="17"/>
      <c r="H103" s="17"/>
    </row>
    <row r="104" spans="1:8" x14ac:dyDescent="0.2">
      <c r="A104" s="17"/>
      <c r="B104" s="17"/>
      <c r="C104" s="17"/>
      <c r="D104" s="17"/>
      <c r="E104" s="17"/>
      <c r="F104" s="17"/>
      <c r="G104" s="17"/>
      <c r="H104" s="17"/>
    </row>
    <row r="105" spans="1:8" x14ac:dyDescent="0.2">
      <c r="A105" s="17"/>
      <c r="B105" s="17"/>
      <c r="C105" s="17"/>
      <c r="D105" s="17"/>
      <c r="E105" s="17"/>
      <c r="F105" s="17"/>
      <c r="G105" s="17"/>
      <c r="H105" s="17"/>
    </row>
    <row r="106" spans="1:8" x14ac:dyDescent="0.2">
      <c r="A106" s="17"/>
      <c r="B106" s="17"/>
      <c r="C106" s="17"/>
      <c r="D106" s="17"/>
      <c r="E106" s="17"/>
      <c r="F106" s="17"/>
      <c r="G106" s="17"/>
      <c r="H106" s="17"/>
    </row>
    <row r="107" spans="1:8" x14ac:dyDescent="0.2">
      <c r="A107" s="17"/>
      <c r="B107" s="17"/>
      <c r="C107" s="17"/>
      <c r="D107" s="17"/>
      <c r="E107" s="17"/>
      <c r="F107" s="17"/>
      <c r="G107" s="17"/>
      <c r="H107" s="17"/>
    </row>
    <row r="108" spans="1:8" x14ac:dyDescent="0.2">
      <c r="A108" s="17"/>
      <c r="B108" s="17"/>
      <c r="C108" s="17"/>
      <c r="D108" s="17"/>
      <c r="E108" s="17"/>
      <c r="F108" s="17"/>
      <c r="G108" s="17"/>
      <c r="H108" s="17"/>
    </row>
    <row r="109" spans="1:8" x14ac:dyDescent="0.2">
      <c r="A109" s="17"/>
      <c r="B109" s="17"/>
      <c r="C109" s="17"/>
      <c r="D109" s="17"/>
      <c r="E109" s="17"/>
      <c r="F109" s="17"/>
      <c r="G109" s="17"/>
      <c r="H109" s="17"/>
    </row>
    <row r="110" spans="1:8" x14ac:dyDescent="0.2">
      <c r="A110" s="17"/>
      <c r="B110" s="17"/>
      <c r="C110" s="17"/>
      <c r="D110" s="17"/>
      <c r="E110" s="17"/>
      <c r="F110" s="17"/>
      <c r="G110" s="17"/>
      <c r="H110" s="17"/>
    </row>
    <row r="111" spans="1:8" x14ac:dyDescent="0.2">
      <c r="A111" s="17"/>
      <c r="B111" s="17"/>
      <c r="C111" s="17"/>
      <c r="D111" s="17"/>
      <c r="E111" s="17"/>
      <c r="F111" s="17"/>
      <c r="G111" s="17"/>
      <c r="H111" s="17"/>
    </row>
    <row r="112" spans="1:8" x14ac:dyDescent="0.2">
      <c r="A112" s="17"/>
      <c r="B112" s="17"/>
      <c r="C112" s="17"/>
      <c r="D112" s="17"/>
      <c r="E112" s="17"/>
      <c r="F112" s="17"/>
      <c r="G112" s="17"/>
      <c r="H112" s="17"/>
    </row>
    <row r="113" spans="1:8" x14ac:dyDescent="0.2">
      <c r="A113" s="17"/>
      <c r="B113" s="17"/>
      <c r="C113" s="17"/>
      <c r="D113" s="17"/>
      <c r="E113" s="17"/>
      <c r="F113" s="17"/>
      <c r="G113" s="17"/>
      <c r="H113" s="17"/>
    </row>
    <row r="114" spans="1:8" x14ac:dyDescent="0.2">
      <c r="A114" s="17"/>
      <c r="B114" s="17"/>
      <c r="C114" s="17"/>
      <c r="D114" s="17"/>
      <c r="E114" s="17"/>
      <c r="F114" s="17"/>
      <c r="G114" s="17"/>
      <c r="H114" s="17"/>
    </row>
    <row r="115" spans="1:8" x14ac:dyDescent="0.2">
      <c r="A115" s="17"/>
      <c r="B115" s="17"/>
      <c r="C115" s="17"/>
      <c r="D115" s="17"/>
      <c r="E115" s="17"/>
      <c r="F115" s="17"/>
      <c r="G115" s="17"/>
      <c r="H115" s="17"/>
    </row>
    <row r="116" spans="1:8" x14ac:dyDescent="0.2">
      <c r="A116" s="17"/>
      <c r="B116" s="17"/>
      <c r="C116" s="17"/>
      <c r="D116" s="17"/>
      <c r="E116" s="17"/>
      <c r="F116" s="17"/>
      <c r="G116" s="17"/>
      <c r="H116" s="17"/>
    </row>
    <row r="117" spans="1:8" x14ac:dyDescent="0.2">
      <c r="A117" s="17"/>
      <c r="B117" s="17"/>
      <c r="C117" s="17"/>
      <c r="D117" s="17"/>
      <c r="E117" s="17"/>
      <c r="F117" s="17"/>
      <c r="G117" s="17"/>
      <c r="H117" s="17"/>
    </row>
    <row r="118" spans="1:8" x14ac:dyDescent="0.2">
      <c r="A118" s="17"/>
      <c r="B118" s="17"/>
      <c r="C118" s="17"/>
      <c r="D118" s="17"/>
      <c r="E118" s="17"/>
      <c r="F118" s="17"/>
      <c r="G118" s="17"/>
      <c r="H118" s="17"/>
    </row>
    <row r="119" spans="1:8" x14ac:dyDescent="0.2">
      <c r="A119" s="17"/>
      <c r="B119" s="17"/>
      <c r="C119" s="17"/>
      <c r="D119" s="17"/>
      <c r="E119" s="17"/>
      <c r="F119" s="17"/>
      <c r="G119" s="17"/>
      <c r="H119" s="17"/>
    </row>
    <row r="120" spans="1:8" x14ac:dyDescent="0.2">
      <c r="A120" s="17"/>
      <c r="B120" s="17"/>
      <c r="C120" s="17"/>
      <c r="D120" s="17"/>
      <c r="E120" s="17"/>
      <c r="F120" s="17"/>
      <c r="G120" s="17"/>
      <c r="H120" s="17"/>
    </row>
    <row r="121" spans="1:8" x14ac:dyDescent="0.2">
      <c r="A121" s="17"/>
      <c r="B121" s="17"/>
      <c r="C121" s="17"/>
      <c r="D121" s="17"/>
      <c r="E121" s="17"/>
      <c r="F121" s="17"/>
      <c r="G121" s="17"/>
      <c r="H121" s="17"/>
    </row>
    <row r="122" spans="1:8" x14ac:dyDescent="0.2">
      <c r="A122" s="17"/>
      <c r="B122" s="17"/>
      <c r="C122" s="17"/>
      <c r="D122" s="17"/>
      <c r="E122" s="17"/>
      <c r="F122" s="17"/>
      <c r="G122" s="17"/>
      <c r="H122" s="17"/>
    </row>
    <row r="123" spans="1:8" x14ac:dyDescent="0.2">
      <c r="A123" s="17"/>
      <c r="B123" s="17"/>
      <c r="C123" s="17"/>
      <c r="D123" s="17"/>
      <c r="E123" s="17"/>
      <c r="F123" s="17"/>
      <c r="G123" s="17"/>
      <c r="H123" s="17"/>
    </row>
    <row r="124" spans="1:8" x14ac:dyDescent="0.2">
      <c r="A124" s="17"/>
      <c r="B124" s="17"/>
      <c r="C124" s="17"/>
      <c r="D124" s="17"/>
      <c r="E124" s="17"/>
      <c r="F124" s="17"/>
      <c r="G124" s="17"/>
      <c r="H124" s="17"/>
    </row>
    <row r="125" spans="1:8" x14ac:dyDescent="0.2">
      <c r="A125" s="17"/>
      <c r="B125" s="17"/>
      <c r="C125" s="17"/>
      <c r="D125" s="17"/>
      <c r="E125" s="17"/>
      <c r="F125" s="17"/>
      <c r="G125" s="17"/>
      <c r="H125" s="17"/>
    </row>
    <row r="126" spans="1:8" x14ac:dyDescent="0.2">
      <c r="A126" s="17"/>
      <c r="B126" s="17"/>
      <c r="C126" s="17"/>
      <c r="D126" s="17"/>
      <c r="E126" s="17"/>
      <c r="F126" s="17"/>
      <c r="G126" s="17"/>
      <c r="H126" s="17"/>
    </row>
    <row r="127" spans="1:8" x14ac:dyDescent="0.2">
      <c r="A127" s="17"/>
      <c r="B127" s="17"/>
      <c r="C127" s="17"/>
      <c r="D127" s="17"/>
      <c r="E127" s="17"/>
      <c r="F127" s="17"/>
      <c r="G127" s="17"/>
      <c r="H127" s="17"/>
    </row>
    <row r="128" spans="1:8" x14ac:dyDescent="0.2">
      <c r="A128" s="17"/>
      <c r="B128" s="17"/>
      <c r="C128" s="17"/>
      <c r="D128" s="17"/>
      <c r="E128" s="17"/>
      <c r="F128" s="17"/>
      <c r="G128" s="17"/>
      <c r="H128" s="17"/>
    </row>
    <row r="129" spans="1:8" x14ac:dyDescent="0.2">
      <c r="A129" s="17"/>
      <c r="B129" s="17"/>
      <c r="C129" s="17"/>
      <c r="D129" s="17"/>
      <c r="E129" s="17"/>
      <c r="F129" s="17"/>
      <c r="G129" s="17"/>
      <c r="H129" s="17"/>
    </row>
    <row r="130" spans="1:8" x14ac:dyDescent="0.2">
      <c r="A130" s="17"/>
      <c r="B130" s="17"/>
      <c r="C130" s="17"/>
      <c r="D130" s="17"/>
      <c r="E130" s="17"/>
      <c r="F130" s="17"/>
      <c r="G130" s="17"/>
      <c r="H130" s="17"/>
    </row>
    <row r="131" spans="1:8" x14ac:dyDescent="0.2">
      <c r="A131" s="17"/>
      <c r="B131" s="17"/>
      <c r="C131" s="17"/>
      <c r="D131" s="17"/>
      <c r="E131" s="17"/>
      <c r="F131" s="17"/>
      <c r="G131" s="17"/>
      <c r="H131" s="17"/>
    </row>
    <row r="132" spans="1:8" x14ac:dyDescent="0.2">
      <c r="A132" s="17"/>
      <c r="B132" s="17"/>
      <c r="C132" s="17"/>
      <c r="D132" s="17"/>
      <c r="E132" s="17"/>
      <c r="F132" s="17"/>
      <c r="G132" s="17"/>
      <c r="H132" s="17"/>
    </row>
    <row r="133" spans="1:8" x14ac:dyDescent="0.2">
      <c r="A133" s="17"/>
      <c r="B133" s="17"/>
      <c r="C133" s="17"/>
      <c r="D133" s="17"/>
      <c r="E133" s="17"/>
      <c r="F133" s="17"/>
      <c r="G133" s="17"/>
      <c r="H133" s="17"/>
    </row>
    <row r="134" spans="1:8" x14ac:dyDescent="0.2">
      <c r="A134" s="17"/>
      <c r="B134" s="17"/>
      <c r="C134" s="17"/>
      <c r="D134" s="17"/>
      <c r="E134" s="17"/>
      <c r="F134" s="17"/>
      <c r="G134" s="17"/>
      <c r="H134" s="17"/>
    </row>
    <row r="135" spans="1:8" x14ac:dyDescent="0.2">
      <c r="A135" s="17"/>
      <c r="B135" s="17"/>
      <c r="C135" s="17"/>
      <c r="D135" s="17"/>
      <c r="E135" s="17"/>
      <c r="F135" s="17"/>
      <c r="G135" s="17"/>
      <c r="H135" s="17"/>
    </row>
    <row r="136" spans="1:8" x14ac:dyDescent="0.2">
      <c r="A136" s="17"/>
      <c r="B136" s="17"/>
      <c r="C136" s="17"/>
      <c r="D136" s="17"/>
      <c r="E136" s="17"/>
      <c r="F136" s="17"/>
      <c r="G136" s="17"/>
      <c r="H136" s="17"/>
    </row>
    <row r="137" spans="1:8" x14ac:dyDescent="0.2">
      <c r="A137" s="17"/>
      <c r="B137" s="17"/>
      <c r="C137" s="17"/>
      <c r="D137" s="17"/>
      <c r="E137" s="17"/>
      <c r="F137" s="17"/>
      <c r="G137" s="17"/>
      <c r="H137" s="17"/>
    </row>
    <row r="138" spans="1:8" x14ac:dyDescent="0.2">
      <c r="A138" s="17"/>
      <c r="B138" s="17"/>
      <c r="C138" s="17"/>
      <c r="D138" s="17"/>
      <c r="E138" s="17"/>
      <c r="F138" s="17"/>
      <c r="G138" s="17"/>
      <c r="H138" s="17"/>
    </row>
    <row r="139" spans="1:8" x14ac:dyDescent="0.2">
      <c r="A139" s="17"/>
      <c r="B139" s="17"/>
      <c r="C139" s="17"/>
      <c r="D139" s="17"/>
      <c r="E139" s="17"/>
      <c r="F139" s="17"/>
      <c r="G139" s="17"/>
      <c r="H139" s="17"/>
    </row>
    <row r="140" spans="1:8" x14ac:dyDescent="0.2">
      <c r="A140" s="17"/>
      <c r="B140" s="17"/>
      <c r="C140" s="17"/>
      <c r="D140" s="17"/>
      <c r="E140" s="17"/>
      <c r="F140" s="17"/>
      <c r="G140" s="17"/>
      <c r="H140" s="17"/>
    </row>
    <row r="141" spans="1:8" x14ac:dyDescent="0.2">
      <c r="A141" s="17"/>
      <c r="B141" s="17"/>
      <c r="C141" s="17"/>
      <c r="D141" s="17"/>
      <c r="E141" s="17"/>
      <c r="F141" s="17"/>
      <c r="G141" s="17"/>
      <c r="H141" s="17"/>
    </row>
    <row r="142" spans="1:8" x14ac:dyDescent="0.2">
      <c r="A142" s="17"/>
      <c r="B142" s="17"/>
      <c r="C142" s="17"/>
      <c r="D142" s="17"/>
      <c r="E142" s="17"/>
      <c r="F142" s="17"/>
      <c r="G142" s="17"/>
      <c r="H142" s="17"/>
    </row>
    <row r="143" spans="1:8" x14ac:dyDescent="0.2">
      <c r="A143" s="17"/>
      <c r="B143" s="17"/>
      <c r="C143" s="17"/>
      <c r="D143" s="17"/>
      <c r="E143" s="17"/>
      <c r="F143" s="17"/>
      <c r="G143" s="17"/>
      <c r="H143" s="17"/>
    </row>
    <row r="144" spans="1:8" x14ac:dyDescent="0.2">
      <c r="A144" s="17"/>
      <c r="B144" s="17"/>
      <c r="C144" s="17"/>
      <c r="D144" s="17"/>
      <c r="E144" s="17"/>
      <c r="F144" s="17"/>
      <c r="G144" s="17"/>
      <c r="H144" s="17"/>
    </row>
    <row r="145" spans="1:8" x14ac:dyDescent="0.2">
      <c r="A145" s="17"/>
      <c r="B145" s="17"/>
      <c r="C145" s="17"/>
      <c r="D145" s="17"/>
      <c r="E145" s="17"/>
      <c r="F145" s="17"/>
      <c r="G145" s="17"/>
      <c r="H145" s="17"/>
    </row>
    <row r="146" spans="1:8" x14ac:dyDescent="0.2">
      <c r="A146" s="17"/>
      <c r="B146" s="17"/>
      <c r="C146" s="17"/>
      <c r="D146" s="17"/>
      <c r="E146" s="17"/>
      <c r="F146" s="17"/>
      <c r="G146" s="17"/>
      <c r="H146" s="17"/>
    </row>
    <row r="147" spans="1:8" x14ac:dyDescent="0.2">
      <c r="A147" s="17"/>
      <c r="B147" s="17"/>
      <c r="C147" s="17"/>
      <c r="D147" s="17"/>
      <c r="E147" s="17"/>
      <c r="F147" s="17"/>
      <c r="G147" s="17"/>
      <c r="H147" s="17"/>
    </row>
    <row r="148" spans="1:8" x14ac:dyDescent="0.2">
      <c r="A148" s="17"/>
      <c r="B148" s="17"/>
      <c r="C148" s="17"/>
      <c r="D148" s="17"/>
      <c r="E148" s="17"/>
      <c r="F148" s="17"/>
      <c r="G148" s="17"/>
      <c r="H148" s="17"/>
    </row>
    <row r="149" spans="1:8" x14ac:dyDescent="0.2">
      <c r="A149" s="17"/>
      <c r="B149" s="17"/>
      <c r="C149" s="17"/>
      <c r="D149" s="17"/>
      <c r="E149" s="17"/>
      <c r="F149" s="17"/>
      <c r="G149" s="17"/>
      <c r="H149" s="17"/>
    </row>
    <row r="150" spans="1:8" x14ac:dyDescent="0.2">
      <c r="A150" s="17"/>
      <c r="B150" s="17"/>
      <c r="C150" s="17"/>
      <c r="D150" s="17"/>
      <c r="E150" s="17"/>
      <c r="F150" s="17"/>
      <c r="G150" s="17"/>
      <c r="H150" s="17"/>
    </row>
    <row r="151" spans="1:8" x14ac:dyDescent="0.2">
      <c r="A151" s="17"/>
      <c r="B151" s="17"/>
      <c r="C151" s="17"/>
      <c r="D151" s="17"/>
      <c r="E151" s="17"/>
      <c r="F151" s="17"/>
      <c r="G151" s="17"/>
      <c r="H151" s="17"/>
    </row>
    <row r="152" spans="1:8" x14ac:dyDescent="0.2">
      <c r="A152" s="17"/>
      <c r="B152" s="17"/>
      <c r="C152" s="17"/>
      <c r="D152" s="17"/>
      <c r="E152" s="17"/>
      <c r="F152" s="17"/>
      <c r="G152" s="17"/>
      <c r="H152" s="17"/>
    </row>
    <row r="153" spans="1:8" x14ac:dyDescent="0.2">
      <c r="A153" s="17"/>
      <c r="B153" s="17"/>
      <c r="C153" s="17"/>
      <c r="D153" s="17"/>
      <c r="E153" s="17"/>
      <c r="F153" s="17"/>
      <c r="G153" s="17"/>
      <c r="H153" s="17"/>
    </row>
    <row r="154" spans="1:8" x14ac:dyDescent="0.2">
      <c r="A154" s="17"/>
      <c r="B154" s="17"/>
      <c r="C154" s="17"/>
      <c r="D154" s="17"/>
      <c r="E154" s="17"/>
      <c r="F154" s="17"/>
      <c r="G154" s="17"/>
      <c r="H154" s="17"/>
    </row>
    <row r="155" spans="1:8" x14ac:dyDescent="0.2">
      <c r="A155" s="17"/>
      <c r="B155" s="17"/>
      <c r="C155" s="17"/>
      <c r="D155" s="17"/>
      <c r="E155" s="17"/>
      <c r="F155" s="17"/>
      <c r="G155" s="17"/>
      <c r="H155" s="17"/>
    </row>
    <row r="156" spans="1:8" x14ac:dyDescent="0.2">
      <c r="A156" s="17"/>
      <c r="B156" s="17"/>
      <c r="C156" s="17"/>
      <c r="D156" s="17"/>
      <c r="E156" s="17"/>
      <c r="F156" s="17"/>
      <c r="G156" s="17"/>
      <c r="H156" s="17"/>
    </row>
    <row r="157" spans="1:8" x14ac:dyDescent="0.2">
      <c r="A157" s="17"/>
      <c r="B157" s="17"/>
      <c r="C157" s="17"/>
      <c r="D157" s="17"/>
      <c r="E157" s="17"/>
      <c r="F157" s="17"/>
      <c r="G157" s="17"/>
      <c r="H157" s="17"/>
    </row>
    <row r="158" spans="1:8" x14ac:dyDescent="0.2">
      <c r="A158" s="17"/>
      <c r="B158" s="17"/>
      <c r="C158" s="17"/>
      <c r="D158" s="17"/>
      <c r="E158" s="17"/>
      <c r="F158" s="17"/>
      <c r="G158" s="17"/>
      <c r="H158" s="17"/>
    </row>
    <row r="159" spans="1:8" x14ac:dyDescent="0.2">
      <c r="A159" s="17"/>
      <c r="B159" s="17"/>
      <c r="C159" s="17"/>
      <c r="D159" s="17"/>
      <c r="E159" s="17"/>
      <c r="F159" s="17"/>
      <c r="G159" s="17"/>
      <c r="H159" s="17"/>
    </row>
    <row r="160" spans="1:8" x14ac:dyDescent="0.2">
      <c r="A160" s="17"/>
      <c r="B160" s="17"/>
      <c r="C160" s="17"/>
      <c r="D160" s="17"/>
      <c r="E160" s="17"/>
      <c r="F160" s="17"/>
      <c r="G160" s="17"/>
      <c r="H160" s="17"/>
    </row>
    <row r="161" spans="1:8" x14ac:dyDescent="0.2">
      <c r="A161" s="17"/>
      <c r="B161" s="17"/>
      <c r="C161" s="17"/>
      <c r="D161" s="17"/>
      <c r="E161" s="17"/>
      <c r="F161" s="17"/>
      <c r="G161" s="17"/>
      <c r="H161" s="17"/>
    </row>
    <row r="162" spans="1:8" x14ac:dyDescent="0.2">
      <c r="A162" s="17"/>
      <c r="B162" s="17"/>
      <c r="C162" s="17"/>
      <c r="D162" s="17"/>
      <c r="E162" s="17"/>
      <c r="F162" s="17"/>
      <c r="G162" s="17"/>
      <c r="H162" s="17"/>
    </row>
    <row r="163" spans="1:8" x14ac:dyDescent="0.2">
      <c r="A163" s="17"/>
      <c r="B163" s="17"/>
      <c r="C163" s="17"/>
      <c r="D163" s="17"/>
      <c r="E163" s="17"/>
      <c r="F163" s="17"/>
      <c r="G163" s="17"/>
      <c r="H163" s="17"/>
    </row>
    <row r="164" spans="1:8" x14ac:dyDescent="0.2">
      <c r="A164" s="17"/>
      <c r="B164" s="17"/>
      <c r="C164" s="17"/>
      <c r="D164" s="17"/>
      <c r="E164" s="17"/>
      <c r="F164" s="17"/>
      <c r="G164" s="17"/>
      <c r="H164" s="17"/>
    </row>
    <row r="165" spans="1:8" x14ac:dyDescent="0.2">
      <c r="A165" s="17"/>
      <c r="B165" s="17"/>
      <c r="C165" s="17"/>
      <c r="D165" s="17"/>
      <c r="E165" s="17"/>
      <c r="F165" s="17"/>
      <c r="G165" s="17"/>
      <c r="H165" s="17"/>
    </row>
    <row r="166" spans="1:8" x14ac:dyDescent="0.2">
      <c r="A166" s="17"/>
      <c r="B166" s="17"/>
      <c r="C166" s="17"/>
      <c r="D166" s="17"/>
      <c r="E166" s="17"/>
      <c r="F166" s="17"/>
      <c r="G166" s="17"/>
      <c r="H166" s="17"/>
    </row>
    <row r="167" spans="1:8" x14ac:dyDescent="0.2">
      <c r="A167" s="17"/>
      <c r="B167" s="17"/>
      <c r="C167" s="17"/>
      <c r="D167" s="17"/>
      <c r="E167" s="17"/>
      <c r="F167" s="17"/>
      <c r="G167" s="17"/>
      <c r="H167" s="17"/>
    </row>
    <row r="168" spans="1:8" x14ac:dyDescent="0.2">
      <c r="A168" s="17"/>
      <c r="B168" s="17"/>
      <c r="C168" s="17"/>
      <c r="D168" s="17"/>
      <c r="E168" s="17"/>
      <c r="F168" s="17"/>
      <c r="G168" s="17"/>
      <c r="H168" s="17"/>
    </row>
    <row r="169" spans="1:8" x14ac:dyDescent="0.2">
      <c r="A169" s="17"/>
      <c r="B169" s="17"/>
      <c r="C169" s="17"/>
      <c r="D169" s="17"/>
      <c r="E169" s="17"/>
      <c r="F169" s="17"/>
      <c r="G169" s="17"/>
      <c r="H169" s="17"/>
    </row>
    <row r="170" spans="1:8" x14ac:dyDescent="0.2">
      <c r="A170" s="17"/>
      <c r="B170" s="17"/>
      <c r="C170" s="17"/>
      <c r="D170" s="17"/>
      <c r="E170" s="17"/>
      <c r="F170" s="17"/>
      <c r="G170" s="17"/>
      <c r="H170" s="17"/>
    </row>
    <row r="171" spans="1:8" x14ac:dyDescent="0.2">
      <c r="A171" s="17"/>
      <c r="B171" s="17"/>
      <c r="C171" s="17"/>
      <c r="D171" s="17"/>
      <c r="E171" s="17"/>
      <c r="F171" s="17"/>
      <c r="G171" s="17"/>
      <c r="H171" s="17"/>
    </row>
    <row r="172" spans="1:8" x14ac:dyDescent="0.2">
      <c r="A172" s="17"/>
      <c r="B172" s="17"/>
      <c r="C172" s="17"/>
      <c r="D172" s="17"/>
      <c r="E172" s="17"/>
      <c r="F172" s="17"/>
      <c r="G172" s="17"/>
      <c r="H172" s="17"/>
    </row>
    <row r="173" spans="1:8" x14ac:dyDescent="0.2">
      <c r="A173" s="17"/>
      <c r="B173" s="17"/>
      <c r="C173" s="17"/>
      <c r="D173" s="17"/>
      <c r="E173" s="17"/>
      <c r="F173" s="17"/>
      <c r="G173" s="17"/>
      <c r="H173" s="17"/>
    </row>
    <row r="174" spans="1:8" x14ac:dyDescent="0.2">
      <c r="A174" s="17"/>
      <c r="B174" s="17"/>
      <c r="C174" s="17"/>
      <c r="D174" s="17"/>
      <c r="E174" s="17"/>
      <c r="F174" s="17"/>
      <c r="G174" s="17"/>
      <c r="H174" s="17"/>
    </row>
    <row r="175" spans="1:8" x14ac:dyDescent="0.2">
      <c r="A175" s="17"/>
      <c r="B175" s="17"/>
      <c r="C175" s="17"/>
      <c r="D175" s="17"/>
      <c r="E175" s="17"/>
      <c r="F175" s="17"/>
      <c r="G175" s="17"/>
      <c r="H175" s="17"/>
    </row>
    <row r="176" spans="1:8" x14ac:dyDescent="0.2">
      <c r="A176" s="17"/>
      <c r="B176" s="17"/>
      <c r="C176" s="17"/>
      <c r="D176" s="17"/>
      <c r="E176" s="17"/>
      <c r="F176" s="17"/>
      <c r="G176" s="17"/>
      <c r="H176" s="17"/>
    </row>
    <row r="177" spans="1:8" x14ac:dyDescent="0.2">
      <c r="A177" s="17"/>
      <c r="B177" s="17"/>
      <c r="C177" s="17"/>
      <c r="D177" s="17"/>
      <c r="E177" s="17"/>
      <c r="F177" s="17"/>
      <c r="G177" s="17"/>
      <c r="H177" s="17"/>
    </row>
    <row r="178" spans="1:8" x14ac:dyDescent="0.2">
      <c r="A178" s="17"/>
      <c r="B178" s="17"/>
      <c r="C178" s="17"/>
      <c r="D178" s="17"/>
      <c r="E178" s="17"/>
      <c r="F178" s="17"/>
      <c r="G178" s="17"/>
      <c r="H178" s="17"/>
    </row>
    <row r="179" spans="1:8" x14ac:dyDescent="0.2">
      <c r="A179" s="17"/>
      <c r="B179" s="17"/>
      <c r="C179" s="17"/>
      <c r="D179" s="17"/>
      <c r="E179" s="17"/>
      <c r="F179" s="17"/>
      <c r="G179" s="17"/>
      <c r="H179" s="17"/>
    </row>
    <row r="180" spans="1:8" x14ac:dyDescent="0.2">
      <c r="A180" s="17"/>
      <c r="B180" s="17"/>
      <c r="C180" s="17"/>
      <c r="D180" s="17"/>
      <c r="E180" s="17"/>
      <c r="F180" s="17"/>
      <c r="G180" s="17"/>
      <c r="H180" s="17"/>
    </row>
    <row r="181" spans="1:8" x14ac:dyDescent="0.2">
      <c r="A181" s="17"/>
      <c r="B181" s="17"/>
      <c r="C181" s="17"/>
      <c r="D181" s="17"/>
      <c r="E181" s="17"/>
      <c r="F181" s="17"/>
      <c r="G181" s="17"/>
      <c r="H181" s="17"/>
    </row>
    <row r="182" spans="1:8" x14ac:dyDescent="0.2">
      <c r="A182" s="17"/>
      <c r="B182" s="17"/>
      <c r="C182" s="17"/>
      <c r="D182" s="17"/>
      <c r="E182" s="17"/>
      <c r="F182" s="17"/>
      <c r="G182" s="17"/>
      <c r="H182" s="17"/>
    </row>
    <row r="183" spans="1:8" x14ac:dyDescent="0.2">
      <c r="A183" s="17"/>
      <c r="B183" s="17"/>
      <c r="C183" s="17"/>
      <c r="D183" s="17"/>
      <c r="E183" s="17"/>
      <c r="F183" s="17"/>
      <c r="G183" s="17"/>
      <c r="H183" s="17"/>
    </row>
    <row r="184" spans="1:8" x14ac:dyDescent="0.2">
      <c r="A184" s="17"/>
      <c r="B184" s="17"/>
      <c r="C184" s="17"/>
      <c r="D184" s="17"/>
      <c r="E184" s="17"/>
      <c r="F184" s="17"/>
      <c r="G184" s="17"/>
      <c r="H184" s="17"/>
    </row>
    <row r="185" spans="1:8" x14ac:dyDescent="0.2">
      <c r="A185" s="17"/>
      <c r="B185" s="17"/>
      <c r="C185" s="17"/>
      <c r="D185" s="17"/>
      <c r="E185" s="17"/>
      <c r="F185" s="17"/>
      <c r="G185" s="17"/>
      <c r="H185" s="17"/>
    </row>
    <row r="186" spans="1:8" x14ac:dyDescent="0.2">
      <c r="A186" s="17"/>
      <c r="B186" s="17"/>
      <c r="C186" s="17"/>
      <c r="D186" s="17"/>
      <c r="E186" s="17"/>
      <c r="F186" s="17"/>
      <c r="G186" s="17"/>
      <c r="H186" s="17"/>
    </row>
    <row r="187" spans="1:8" x14ac:dyDescent="0.2">
      <c r="A187" s="17"/>
      <c r="B187" s="17"/>
      <c r="C187" s="17"/>
      <c r="D187" s="17"/>
      <c r="E187" s="17"/>
      <c r="F187" s="17"/>
      <c r="G187" s="17"/>
      <c r="H187" s="17"/>
    </row>
    <row r="188" spans="1:8" x14ac:dyDescent="0.2">
      <c r="A188" s="17"/>
      <c r="B188" s="17"/>
      <c r="C188" s="17"/>
      <c r="D188" s="17"/>
      <c r="E188" s="17"/>
      <c r="F188" s="17"/>
      <c r="G188" s="17"/>
      <c r="H188" s="17"/>
    </row>
    <row r="189" spans="1:8" x14ac:dyDescent="0.2">
      <c r="A189" s="17"/>
      <c r="B189" s="17"/>
      <c r="C189" s="17"/>
      <c r="D189" s="17"/>
      <c r="E189" s="17"/>
      <c r="F189" s="17"/>
      <c r="G189" s="17"/>
      <c r="H189" s="17"/>
    </row>
    <row r="190" spans="1:8" x14ac:dyDescent="0.2">
      <c r="A190" s="17"/>
      <c r="B190" s="17"/>
      <c r="C190" s="17"/>
      <c r="D190" s="17"/>
      <c r="E190" s="17"/>
      <c r="F190" s="17"/>
      <c r="G190" s="17"/>
      <c r="H190" s="17"/>
    </row>
    <row r="191" spans="1:8" x14ac:dyDescent="0.2">
      <c r="A191" s="17"/>
      <c r="B191" s="17"/>
      <c r="C191" s="17"/>
      <c r="D191" s="17"/>
      <c r="E191" s="17"/>
      <c r="F191" s="17"/>
      <c r="G191" s="17"/>
      <c r="H191" s="17"/>
    </row>
    <row r="192" spans="1:8" x14ac:dyDescent="0.2">
      <c r="A192" s="17"/>
      <c r="B192" s="17"/>
      <c r="C192" s="17"/>
      <c r="D192" s="17"/>
      <c r="E192" s="17"/>
      <c r="F192" s="17"/>
      <c r="G192" s="17"/>
      <c r="H192" s="17"/>
    </row>
    <row r="193" spans="1:8" x14ac:dyDescent="0.2">
      <c r="A193" s="17"/>
      <c r="B193" s="17"/>
      <c r="C193" s="17"/>
      <c r="D193" s="17"/>
      <c r="E193" s="17"/>
      <c r="F193" s="17"/>
      <c r="G193" s="17"/>
      <c r="H193" s="17"/>
    </row>
    <row r="194" spans="1:8" x14ac:dyDescent="0.2">
      <c r="A194" s="17"/>
      <c r="B194" s="17"/>
      <c r="C194" s="17"/>
      <c r="D194" s="17"/>
      <c r="E194" s="17"/>
      <c r="F194" s="17"/>
      <c r="G194" s="17"/>
      <c r="H194" s="17"/>
    </row>
    <row r="195" spans="1:8" x14ac:dyDescent="0.2">
      <c r="A195" s="17"/>
      <c r="B195" s="17"/>
      <c r="C195" s="17"/>
      <c r="D195" s="17"/>
      <c r="E195" s="17"/>
      <c r="F195" s="17"/>
      <c r="G195" s="17"/>
      <c r="H195" s="17"/>
    </row>
    <row r="196" spans="1:8" x14ac:dyDescent="0.2">
      <c r="A196" s="17"/>
      <c r="B196" s="17"/>
      <c r="C196" s="17"/>
      <c r="D196" s="17"/>
      <c r="E196" s="17"/>
      <c r="F196" s="17"/>
      <c r="G196" s="17"/>
      <c r="H196" s="17"/>
    </row>
    <row r="197" spans="1:8" x14ac:dyDescent="0.2">
      <c r="A197" s="17"/>
      <c r="B197" s="17"/>
      <c r="C197" s="17"/>
      <c r="D197" s="17"/>
      <c r="E197" s="17"/>
      <c r="F197" s="17"/>
      <c r="G197" s="17"/>
      <c r="H197" s="17"/>
    </row>
    <row r="198" spans="1:8" x14ac:dyDescent="0.2">
      <c r="A198" s="17"/>
      <c r="B198" s="17"/>
      <c r="C198" s="17"/>
      <c r="D198" s="17"/>
      <c r="E198" s="17"/>
      <c r="F198" s="17"/>
      <c r="G198" s="17"/>
      <c r="H198" s="17"/>
    </row>
    <row r="199" spans="1:8" x14ac:dyDescent="0.2">
      <c r="A199" s="17"/>
      <c r="B199" s="17"/>
      <c r="C199" s="17"/>
      <c r="D199" s="17"/>
      <c r="E199" s="17"/>
      <c r="F199" s="17"/>
      <c r="G199" s="17"/>
      <c r="H199" s="17"/>
    </row>
    <row r="200" spans="1:8" x14ac:dyDescent="0.2">
      <c r="A200" s="17"/>
      <c r="B200" s="17"/>
      <c r="C200" s="17"/>
      <c r="D200" s="17"/>
      <c r="E200" s="17"/>
      <c r="F200" s="17"/>
      <c r="G200" s="17"/>
      <c r="H200" s="17"/>
    </row>
    <row r="201" spans="1:8" x14ac:dyDescent="0.2">
      <c r="C201" s="17"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bestFit="1" customWidth="1"/>
    <col min="2" max="2" width="7.42578125" bestFit="1" customWidth="1"/>
    <col min="3" max="3" width="13.5703125" bestFit="1" customWidth="1"/>
    <col min="4" max="6" width="9" customWidth="1"/>
    <col min="7" max="7" width="10.5703125" bestFit="1" customWidth="1"/>
  </cols>
  <sheetData>
    <row r="1" spans="1:8" x14ac:dyDescent="0.2">
      <c r="A1" s="688" t="s">
        <v>2414</v>
      </c>
      <c r="B1" s="688"/>
      <c r="C1" s="688"/>
      <c r="D1" s="688"/>
      <c r="E1" s="688"/>
      <c r="F1" s="688"/>
      <c r="G1" s="688"/>
      <c r="H1" s="688"/>
    </row>
    <row r="2" spans="1:8" x14ac:dyDescent="0.2">
      <c r="A2" s="370" t="s">
        <v>2103</v>
      </c>
      <c r="B2" s="370" t="s">
        <v>2371</v>
      </c>
      <c r="C2" s="385" t="s">
        <v>2399</v>
      </c>
      <c r="D2" s="365" t="s">
        <v>2373</v>
      </c>
      <c r="E2" s="365" t="s">
        <v>2374</v>
      </c>
      <c r="F2" s="365" t="s">
        <v>661</v>
      </c>
      <c r="G2" s="365" t="s">
        <v>2415</v>
      </c>
      <c r="H2" s="365" t="s">
        <v>2406</v>
      </c>
    </row>
    <row r="3" spans="1:8" x14ac:dyDescent="0.2">
      <c r="A3" s="17"/>
      <c r="B3" s="17"/>
      <c r="C3" s="17"/>
      <c r="D3" s="17"/>
      <c r="E3" s="17"/>
      <c r="F3" s="17"/>
      <c r="G3" s="17"/>
      <c r="H3" s="17"/>
    </row>
    <row r="4" spans="1:8" x14ac:dyDescent="0.2">
      <c r="A4" s="17"/>
      <c r="B4" s="17"/>
      <c r="C4" s="17"/>
      <c r="D4" s="17"/>
      <c r="E4" s="17"/>
      <c r="F4" s="17"/>
      <c r="G4" s="17"/>
      <c r="H4" s="17"/>
    </row>
    <row r="5" spans="1:8" x14ac:dyDescent="0.2">
      <c r="A5" s="17"/>
      <c r="B5" s="17"/>
      <c r="C5" s="17"/>
      <c r="D5" s="17"/>
      <c r="E5" s="17"/>
      <c r="F5" s="17"/>
      <c r="G5" s="17"/>
      <c r="H5" s="17"/>
    </row>
    <row r="6" spans="1:8" x14ac:dyDescent="0.2">
      <c r="A6" s="17"/>
      <c r="B6" s="17"/>
      <c r="C6" s="17"/>
      <c r="D6" s="17"/>
      <c r="E6" s="17"/>
      <c r="F6" s="17"/>
      <c r="G6" s="17"/>
      <c r="H6" s="17"/>
    </row>
    <row r="7" spans="1:8" x14ac:dyDescent="0.2">
      <c r="A7" s="17"/>
      <c r="B7" s="17"/>
      <c r="C7" s="17"/>
      <c r="D7" s="17"/>
      <c r="E7" s="17"/>
      <c r="F7" s="17"/>
      <c r="G7" s="17"/>
      <c r="H7" s="17"/>
    </row>
    <row r="8" spans="1:8" x14ac:dyDescent="0.2">
      <c r="A8" s="17"/>
      <c r="B8" s="17"/>
      <c r="C8" s="17"/>
      <c r="D8" s="17"/>
      <c r="E8" s="17"/>
      <c r="F8" s="17"/>
      <c r="G8" s="17"/>
      <c r="H8" s="17"/>
    </row>
    <row r="9" spans="1:8" x14ac:dyDescent="0.2">
      <c r="A9" s="17"/>
      <c r="B9" s="17"/>
      <c r="C9" s="17"/>
      <c r="D9" s="17"/>
      <c r="E9" s="17"/>
      <c r="F9" s="17"/>
      <c r="G9" s="17"/>
      <c r="H9" s="17"/>
    </row>
    <row r="10" spans="1:8" x14ac:dyDescent="0.2">
      <c r="A10" s="17"/>
      <c r="B10" s="17"/>
      <c r="C10" s="17"/>
      <c r="D10" s="17"/>
      <c r="E10" s="17"/>
      <c r="F10" s="17"/>
      <c r="G10" s="17"/>
      <c r="H10" s="17"/>
    </row>
    <row r="11" spans="1:8" x14ac:dyDescent="0.2">
      <c r="A11" s="17"/>
      <c r="B11" s="17"/>
      <c r="C11" s="17"/>
      <c r="D11" s="17"/>
      <c r="E11" s="17"/>
      <c r="F11" s="17"/>
      <c r="G11" s="17"/>
      <c r="H11" s="17"/>
    </row>
    <row r="12" spans="1:8" x14ac:dyDescent="0.2">
      <c r="A12" s="17"/>
      <c r="B12" s="17"/>
      <c r="C12" s="17"/>
      <c r="D12" s="17"/>
      <c r="E12" s="17"/>
      <c r="F12" s="17"/>
      <c r="G12" s="17"/>
      <c r="H12" s="17"/>
    </row>
    <row r="13" spans="1:8" x14ac:dyDescent="0.2">
      <c r="A13" s="17"/>
      <c r="B13" s="17"/>
      <c r="C13" s="17"/>
      <c r="D13" s="17"/>
      <c r="E13" s="17"/>
      <c r="F13" s="17"/>
      <c r="G13" s="17"/>
      <c r="H13" s="17"/>
    </row>
    <row r="14" spans="1:8" x14ac:dyDescent="0.2">
      <c r="A14" s="17"/>
      <c r="B14" s="17"/>
      <c r="C14" s="17"/>
      <c r="D14" s="17"/>
      <c r="E14" s="17"/>
      <c r="F14" s="17"/>
      <c r="G14" s="17"/>
      <c r="H14" s="17"/>
    </row>
    <row r="15" spans="1:8" x14ac:dyDescent="0.2">
      <c r="A15" s="17"/>
      <c r="B15" s="17"/>
      <c r="C15" s="17"/>
      <c r="D15" s="17"/>
      <c r="E15" s="17"/>
      <c r="F15" s="17"/>
      <c r="G15" s="17"/>
      <c r="H15" s="17"/>
    </row>
    <row r="16" spans="1:8" x14ac:dyDescent="0.2">
      <c r="A16" s="17"/>
      <c r="B16" s="17"/>
      <c r="C16" s="17"/>
      <c r="D16" s="17"/>
      <c r="E16" s="17"/>
      <c r="F16" s="17"/>
      <c r="G16" s="17"/>
      <c r="H16" s="17"/>
    </row>
    <row r="17" spans="1:8" x14ac:dyDescent="0.2">
      <c r="A17" s="17"/>
      <c r="B17" s="17"/>
      <c r="C17" s="17"/>
      <c r="D17" s="17"/>
      <c r="E17" s="17"/>
      <c r="F17" s="17"/>
      <c r="G17" s="17"/>
      <c r="H17" s="17"/>
    </row>
    <row r="18" spans="1:8" x14ac:dyDescent="0.2">
      <c r="A18" s="17"/>
      <c r="B18" s="17"/>
      <c r="C18" s="17"/>
      <c r="D18" s="17"/>
      <c r="E18" s="17"/>
      <c r="F18" s="17"/>
      <c r="G18" s="17"/>
      <c r="H18" s="17"/>
    </row>
    <row r="19" spans="1:8" x14ac:dyDescent="0.2">
      <c r="A19" s="17"/>
      <c r="B19" s="17"/>
      <c r="C19" s="17"/>
      <c r="D19" s="17"/>
      <c r="E19" s="17"/>
      <c r="F19" s="17"/>
      <c r="G19" s="17"/>
      <c r="H19" s="17"/>
    </row>
    <row r="20" spans="1:8" x14ac:dyDescent="0.2">
      <c r="A20" s="17"/>
      <c r="B20" s="17"/>
      <c r="C20" s="17"/>
      <c r="D20" s="17"/>
      <c r="E20" s="17"/>
      <c r="F20" s="17"/>
      <c r="G20" s="17"/>
      <c r="H20" s="17"/>
    </row>
    <row r="21" spans="1:8" x14ac:dyDescent="0.2">
      <c r="A21" s="17"/>
      <c r="B21" s="17"/>
      <c r="C21" s="17"/>
      <c r="D21" s="17"/>
      <c r="E21" s="17"/>
      <c r="F21" s="17"/>
      <c r="G21" s="17"/>
      <c r="H21" s="17"/>
    </row>
    <row r="22" spans="1:8" x14ac:dyDescent="0.2">
      <c r="A22" s="17"/>
      <c r="B22" s="17"/>
      <c r="C22" s="17"/>
      <c r="D22" s="17"/>
      <c r="E22" s="17"/>
      <c r="F22" s="17"/>
      <c r="G22" s="17"/>
      <c r="H22" s="17"/>
    </row>
    <row r="23" spans="1:8" x14ac:dyDescent="0.2">
      <c r="A23" s="17"/>
      <c r="B23" s="17"/>
      <c r="C23" s="17"/>
      <c r="D23" s="17"/>
      <c r="E23" s="17"/>
      <c r="F23" s="17"/>
      <c r="G23" s="17"/>
      <c r="H23" s="17"/>
    </row>
    <row r="24" spans="1:8" x14ac:dyDescent="0.2">
      <c r="A24" s="17"/>
      <c r="B24" s="17"/>
      <c r="C24" s="17"/>
      <c r="D24" s="17"/>
      <c r="E24" s="17"/>
      <c r="F24" s="17"/>
      <c r="G24" s="17"/>
      <c r="H24" s="17"/>
    </row>
    <row r="25" spans="1:8" x14ac:dyDescent="0.2">
      <c r="A25" s="17"/>
      <c r="B25" s="17"/>
      <c r="C25" s="17"/>
      <c r="D25" s="17"/>
      <c r="E25" s="17"/>
      <c r="F25" s="17"/>
      <c r="G25" s="17"/>
      <c r="H25" s="17"/>
    </row>
    <row r="26" spans="1:8" x14ac:dyDescent="0.2">
      <c r="A26" s="17"/>
      <c r="B26" s="17"/>
      <c r="C26" s="17"/>
      <c r="D26" s="17"/>
      <c r="E26" s="17"/>
      <c r="F26" s="17"/>
      <c r="G26" s="17"/>
      <c r="H26" s="17"/>
    </row>
    <row r="27" spans="1:8" x14ac:dyDescent="0.2">
      <c r="A27" s="17"/>
      <c r="B27" s="17"/>
      <c r="C27" s="17"/>
      <c r="D27" s="17"/>
      <c r="E27" s="17"/>
      <c r="F27" s="17"/>
      <c r="G27" s="17"/>
      <c r="H27" s="17"/>
    </row>
    <row r="28" spans="1:8" x14ac:dyDescent="0.2">
      <c r="A28" s="17"/>
      <c r="B28" s="17"/>
      <c r="C28" s="17"/>
      <c r="D28" s="17"/>
      <c r="E28" s="17"/>
      <c r="F28" s="17"/>
      <c r="G28" s="17"/>
      <c r="H28" s="17"/>
    </row>
    <row r="29" spans="1:8" x14ac:dyDescent="0.2">
      <c r="A29" s="17"/>
      <c r="B29" s="17"/>
      <c r="C29" s="17"/>
      <c r="D29" s="17"/>
      <c r="E29" s="17"/>
      <c r="F29" s="17"/>
      <c r="G29" s="17"/>
      <c r="H29" s="17"/>
    </row>
    <row r="30" spans="1:8" x14ac:dyDescent="0.2">
      <c r="A30" s="17"/>
      <c r="B30" s="17"/>
      <c r="C30" s="17"/>
      <c r="D30" s="17"/>
      <c r="E30" s="17"/>
      <c r="F30" s="17"/>
      <c r="G30" s="17"/>
      <c r="H30" s="17"/>
    </row>
    <row r="31" spans="1:8" x14ac:dyDescent="0.2">
      <c r="A31" s="17"/>
      <c r="B31" s="17"/>
      <c r="C31" s="17"/>
      <c r="D31" s="17"/>
      <c r="E31" s="17"/>
      <c r="F31" s="17"/>
      <c r="G31" s="17"/>
      <c r="H31" s="17"/>
    </row>
    <row r="32" spans="1:8" x14ac:dyDescent="0.2">
      <c r="A32" s="17"/>
      <c r="B32" s="17"/>
      <c r="C32" s="17"/>
      <c r="D32" s="17"/>
      <c r="E32" s="17"/>
      <c r="F32" s="17"/>
      <c r="G32" s="17"/>
      <c r="H32" s="17"/>
    </row>
    <row r="33" spans="1:8" x14ac:dyDescent="0.2">
      <c r="A33" s="17"/>
      <c r="B33" s="17"/>
      <c r="C33" s="17"/>
      <c r="D33" s="17"/>
      <c r="E33" s="17"/>
      <c r="F33" s="17"/>
      <c r="G33" s="17"/>
      <c r="H33" s="17"/>
    </row>
    <row r="34" spans="1:8" x14ac:dyDescent="0.2">
      <c r="A34" s="17"/>
      <c r="B34" s="17"/>
      <c r="C34" s="17"/>
      <c r="D34" s="17"/>
      <c r="E34" s="17"/>
      <c r="F34" s="17"/>
      <c r="G34" s="17"/>
      <c r="H34" s="17"/>
    </row>
    <row r="35" spans="1:8" x14ac:dyDescent="0.2">
      <c r="A35" s="17"/>
      <c r="B35" s="17"/>
      <c r="C35" s="17"/>
      <c r="D35" s="17"/>
      <c r="E35" s="17"/>
      <c r="F35" s="17"/>
      <c r="G35" s="17"/>
      <c r="H35" s="17"/>
    </row>
    <row r="36" spans="1:8" x14ac:dyDescent="0.2">
      <c r="A36" s="17"/>
      <c r="B36" s="17"/>
      <c r="C36" s="17"/>
      <c r="D36" s="17"/>
      <c r="E36" s="17"/>
      <c r="F36" s="17"/>
      <c r="G36" s="17"/>
      <c r="H36" s="17"/>
    </row>
    <row r="37" spans="1:8" x14ac:dyDescent="0.2">
      <c r="A37" s="17"/>
      <c r="B37" s="17"/>
      <c r="C37" s="17"/>
      <c r="D37" s="17"/>
      <c r="E37" s="17"/>
      <c r="F37" s="17"/>
      <c r="G37" s="17"/>
      <c r="H37" s="17"/>
    </row>
    <row r="38" spans="1:8" x14ac:dyDescent="0.2">
      <c r="A38" s="17"/>
      <c r="B38" s="17"/>
      <c r="C38" s="17"/>
      <c r="D38" s="17"/>
      <c r="E38" s="17"/>
      <c r="F38" s="17"/>
      <c r="G38" s="17"/>
      <c r="H38" s="17"/>
    </row>
    <row r="39" spans="1:8" x14ac:dyDescent="0.2">
      <c r="A39" s="17"/>
      <c r="B39" s="17"/>
      <c r="C39" s="17"/>
      <c r="D39" s="17"/>
      <c r="E39" s="17"/>
      <c r="F39" s="17"/>
      <c r="G39" s="17"/>
      <c r="H39" s="17"/>
    </row>
    <row r="40" spans="1:8" x14ac:dyDescent="0.2">
      <c r="A40" s="17"/>
      <c r="B40" s="17"/>
      <c r="C40" s="17"/>
      <c r="D40" s="17"/>
      <c r="E40" s="17"/>
      <c r="F40" s="17"/>
      <c r="G40" s="17"/>
      <c r="H40" s="17"/>
    </row>
    <row r="41" spans="1:8" x14ac:dyDescent="0.2">
      <c r="A41" s="17"/>
      <c r="B41" s="17"/>
      <c r="C41" s="17"/>
      <c r="D41" s="17"/>
      <c r="E41" s="17"/>
      <c r="F41" s="17"/>
      <c r="G41" s="17"/>
      <c r="H41" s="17"/>
    </row>
    <row r="42" spans="1:8" x14ac:dyDescent="0.2">
      <c r="A42" s="17"/>
      <c r="B42" s="17"/>
      <c r="C42" s="17"/>
      <c r="D42" s="17"/>
      <c r="E42" s="17"/>
      <c r="F42" s="17"/>
      <c r="G42" s="17"/>
      <c r="H42" s="17"/>
    </row>
    <row r="43" spans="1:8" x14ac:dyDescent="0.2">
      <c r="A43" s="17"/>
      <c r="B43" s="17"/>
      <c r="C43" s="17"/>
      <c r="D43" s="17"/>
      <c r="E43" s="17"/>
      <c r="F43" s="17"/>
      <c r="G43" s="17"/>
      <c r="H43" s="17"/>
    </row>
    <row r="44" spans="1:8" x14ac:dyDescent="0.2">
      <c r="A44" s="17"/>
      <c r="B44" s="17"/>
      <c r="C44" s="17"/>
      <c r="D44" s="17"/>
      <c r="E44" s="17"/>
      <c r="F44" s="17"/>
      <c r="G44" s="17"/>
      <c r="H44" s="17"/>
    </row>
    <row r="45" spans="1:8" x14ac:dyDescent="0.2">
      <c r="A45" s="17"/>
      <c r="B45" s="17"/>
      <c r="C45" s="17"/>
      <c r="D45" s="17"/>
      <c r="E45" s="17"/>
      <c r="F45" s="17"/>
      <c r="G45" s="17"/>
      <c r="H45" s="17"/>
    </row>
    <row r="46" spans="1:8" x14ac:dyDescent="0.2">
      <c r="A46" s="17"/>
      <c r="B46" s="17"/>
      <c r="C46" s="17"/>
      <c r="D46" s="17"/>
      <c r="E46" s="17"/>
      <c r="F46" s="17"/>
      <c r="G46" s="17"/>
      <c r="H46" s="17"/>
    </row>
    <row r="47" spans="1:8" x14ac:dyDescent="0.2">
      <c r="A47" s="17"/>
      <c r="B47" s="17"/>
      <c r="C47" s="17"/>
      <c r="D47" s="17"/>
      <c r="E47" s="17"/>
      <c r="F47" s="17"/>
      <c r="G47" s="17"/>
      <c r="H47" s="17"/>
    </row>
    <row r="48" spans="1:8" x14ac:dyDescent="0.2">
      <c r="A48" s="17"/>
      <c r="B48" s="17"/>
      <c r="C48" s="17"/>
      <c r="D48" s="17"/>
      <c r="E48" s="17"/>
      <c r="F48" s="17"/>
      <c r="G48" s="17"/>
      <c r="H48" s="17"/>
    </row>
    <row r="49" spans="1:8" x14ac:dyDescent="0.2">
      <c r="A49" s="17"/>
      <c r="B49" s="17"/>
      <c r="C49" s="17"/>
      <c r="D49" s="17"/>
      <c r="E49" s="17"/>
      <c r="F49" s="17"/>
      <c r="G49" s="17"/>
      <c r="H49" s="17"/>
    </row>
    <row r="50" spans="1:8" x14ac:dyDescent="0.2">
      <c r="A50" s="17"/>
      <c r="B50" s="17"/>
      <c r="C50" s="17"/>
      <c r="D50" s="17"/>
      <c r="E50" s="17"/>
      <c r="F50" s="17"/>
      <c r="G50" s="17"/>
      <c r="H50" s="17"/>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customWidth="1"/>
    <col min="3" max="3" width="13.5703125" bestFit="1" customWidth="1"/>
    <col min="4" max="4" width="18.85546875" bestFit="1" customWidth="1"/>
    <col min="5" max="5" width="8.5703125" bestFit="1" customWidth="1"/>
    <col min="6" max="6" width="15.42578125" bestFit="1" customWidth="1"/>
    <col min="7" max="7" width="7.7109375" bestFit="1" customWidth="1"/>
  </cols>
  <sheetData>
    <row r="1" spans="1:8" x14ac:dyDescent="0.2">
      <c r="A1" s="690" t="s">
        <v>2416</v>
      </c>
      <c r="B1" s="690"/>
      <c r="C1" s="690"/>
      <c r="D1" s="690"/>
      <c r="E1" s="690"/>
      <c r="F1" s="690"/>
      <c r="G1" s="690"/>
      <c r="H1" s="690"/>
    </row>
    <row r="2" spans="1:8" x14ac:dyDescent="0.2">
      <c r="A2" s="370" t="s">
        <v>2103</v>
      </c>
      <c r="B2" s="370" t="s">
        <v>2408</v>
      </c>
      <c r="C2" s="385" t="s">
        <v>2399</v>
      </c>
      <c r="D2" s="385" t="s">
        <v>2417</v>
      </c>
      <c r="E2" s="365" t="s">
        <v>2410</v>
      </c>
      <c r="F2" s="365" t="s">
        <v>2411</v>
      </c>
      <c r="G2" s="365" t="s">
        <v>606</v>
      </c>
      <c r="H2" s="365" t="s">
        <v>2412</v>
      </c>
    </row>
    <row r="3" spans="1:8" x14ac:dyDescent="0.2">
      <c r="A3" s="17"/>
      <c r="B3" s="17"/>
      <c r="C3" s="17"/>
      <c r="D3" s="17"/>
      <c r="E3" s="17"/>
      <c r="F3" s="17"/>
      <c r="G3" s="17"/>
      <c r="H3" s="17"/>
    </row>
    <row r="4" spans="1:8" x14ac:dyDescent="0.2">
      <c r="A4" s="17"/>
      <c r="B4" s="17"/>
      <c r="C4" s="17"/>
      <c r="D4" s="17"/>
      <c r="E4" s="17"/>
      <c r="F4" s="17"/>
      <c r="G4" s="17"/>
      <c r="H4" s="17"/>
    </row>
    <row r="5" spans="1:8" x14ac:dyDescent="0.2">
      <c r="A5" s="17"/>
      <c r="B5" s="17"/>
      <c r="C5" s="17"/>
      <c r="D5" s="17"/>
      <c r="E5" s="17"/>
      <c r="F5" s="17"/>
      <c r="G5" s="17"/>
      <c r="H5" s="17"/>
    </row>
    <row r="6" spans="1:8" x14ac:dyDescent="0.2">
      <c r="A6" s="17"/>
      <c r="B6" s="17"/>
      <c r="C6" s="17"/>
      <c r="D6" s="17"/>
      <c r="E6" s="17"/>
      <c r="F6" s="17"/>
      <c r="G6" s="17"/>
      <c r="H6" s="17"/>
    </row>
    <row r="7" spans="1:8" x14ac:dyDescent="0.2">
      <c r="A7" s="17"/>
      <c r="B7" s="17"/>
      <c r="C7" s="17"/>
      <c r="D7" s="17"/>
      <c r="E7" s="17"/>
      <c r="F7" s="17"/>
      <c r="G7" s="17"/>
      <c r="H7" s="17"/>
    </row>
    <row r="8" spans="1:8" x14ac:dyDescent="0.2">
      <c r="A8" s="17"/>
      <c r="B8" s="17"/>
      <c r="C8" s="17"/>
      <c r="D8" s="17"/>
      <c r="E8" s="17"/>
      <c r="F8" s="17"/>
      <c r="G8" s="17"/>
      <c r="H8" s="17"/>
    </row>
    <row r="9" spans="1:8" x14ac:dyDescent="0.2">
      <c r="A9" s="17"/>
      <c r="B9" s="17"/>
      <c r="C9" s="17"/>
      <c r="D9" s="17"/>
      <c r="E9" s="17"/>
      <c r="F9" s="17"/>
      <c r="G9" s="17"/>
      <c r="H9" s="17"/>
    </row>
    <row r="10" spans="1:8" x14ac:dyDescent="0.2">
      <c r="A10" s="17"/>
      <c r="B10" s="17"/>
      <c r="C10" s="17"/>
      <c r="D10" s="17"/>
      <c r="E10" s="17"/>
      <c r="F10" s="17"/>
      <c r="G10" s="17"/>
      <c r="H10" s="17"/>
    </row>
    <row r="11" spans="1:8" x14ac:dyDescent="0.2">
      <c r="A11" s="17"/>
      <c r="B11" s="17"/>
      <c r="C11" s="17"/>
      <c r="D11" s="17"/>
      <c r="E11" s="17"/>
      <c r="F11" s="17"/>
      <c r="G11" s="17"/>
      <c r="H11" s="17"/>
    </row>
    <row r="12" spans="1:8" x14ac:dyDescent="0.2">
      <c r="A12" s="17"/>
      <c r="B12" s="17"/>
      <c r="C12" s="17"/>
      <c r="D12" s="17"/>
      <c r="E12" s="17"/>
      <c r="F12" s="17"/>
      <c r="G12" s="17"/>
      <c r="H12" s="17"/>
    </row>
    <row r="13" spans="1:8" x14ac:dyDescent="0.2">
      <c r="A13" s="17"/>
      <c r="B13" s="17"/>
      <c r="C13" s="17"/>
      <c r="D13" s="17"/>
      <c r="E13" s="17"/>
      <c r="F13" s="17"/>
      <c r="G13" s="17"/>
      <c r="H13" s="17"/>
    </row>
    <row r="14" spans="1:8" x14ac:dyDescent="0.2">
      <c r="A14" s="17"/>
      <c r="B14" s="17"/>
      <c r="C14" s="17"/>
      <c r="D14" s="17"/>
      <c r="E14" s="17"/>
      <c r="F14" s="17"/>
      <c r="G14" s="17"/>
      <c r="H14" s="17"/>
    </row>
    <row r="15" spans="1:8" x14ac:dyDescent="0.2">
      <c r="A15" s="17"/>
      <c r="B15" s="17"/>
      <c r="C15" s="17"/>
      <c r="D15" s="17"/>
      <c r="E15" s="17"/>
      <c r="F15" s="17"/>
      <c r="G15" s="17"/>
      <c r="H15" s="17"/>
    </row>
    <row r="16" spans="1:8" x14ac:dyDescent="0.2">
      <c r="A16" s="17"/>
      <c r="B16" s="17"/>
      <c r="C16" s="17"/>
      <c r="D16" s="17"/>
      <c r="E16" s="17"/>
      <c r="F16" s="17"/>
      <c r="G16" s="17"/>
      <c r="H16" s="17"/>
    </row>
    <row r="17" spans="1:8" x14ac:dyDescent="0.2">
      <c r="A17" s="17"/>
      <c r="B17" s="17"/>
      <c r="C17" s="17"/>
      <c r="D17" s="17"/>
      <c r="E17" s="17"/>
      <c r="F17" s="17"/>
      <c r="G17" s="17"/>
      <c r="H17" s="17"/>
    </row>
    <row r="18" spans="1:8" x14ac:dyDescent="0.2">
      <c r="A18" s="17"/>
      <c r="B18" s="17"/>
      <c r="C18" s="17"/>
      <c r="D18" s="17"/>
      <c r="E18" s="17"/>
      <c r="F18" s="17"/>
      <c r="G18" s="17"/>
      <c r="H18" s="17"/>
    </row>
    <row r="19" spans="1:8" x14ac:dyDescent="0.2">
      <c r="A19" s="17"/>
      <c r="B19" s="17"/>
      <c r="C19" s="17"/>
      <c r="D19" s="17"/>
      <c r="E19" s="17"/>
      <c r="F19" s="17"/>
      <c r="G19" s="17"/>
      <c r="H19" s="17"/>
    </row>
    <row r="20" spans="1:8" x14ac:dyDescent="0.2">
      <c r="A20" s="17"/>
      <c r="B20" s="17"/>
      <c r="C20" s="17"/>
      <c r="D20" s="17"/>
      <c r="E20" s="17"/>
      <c r="F20" s="17"/>
      <c r="G20" s="17"/>
      <c r="H20" s="17"/>
    </row>
    <row r="21" spans="1:8" x14ac:dyDescent="0.2">
      <c r="A21" s="17"/>
      <c r="B21" s="17"/>
      <c r="C21" s="17"/>
      <c r="D21" s="17"/>
      <c r="E21" s="17"/>
      <c r="F21" s="17"/>
      <c r="G21" s="17"/>
      <c r="H21" s="17"/>
    </row>
    <row r="22" spans="1:8" x14ac:dyDescent="0.2">
      <c r="A22" s="17"/>
      <c r="B22" s="17"/>
      <c r="C22" s="17"/>
      <c r="D22" s="17"/>
      <c r="E22" s="17"/>
      <c r="F22" s="17"/>
      <c r="G22" s="17"/>
      <c r="H22" s="17"/>
    </row>
    <row r="23" spans="1:8" x14ac:dyDescent="0.2">
      <c r="A23" s="17"/>
      <c r="B23" s="17"/>
      <c r="C23" s="17"/>
      <c r="D23" s="17"/>
      <c r="E23" s="17"/>
      <c r="F23" s="17"/>
      <c r="G23" s="17"/>
      <c r="H23" s="17"/>
    </row>
    <row r="24" spans="1:8" x14ac:dyDescent="0.2">
      <c r="A24" s="17"/>
      <c r="B24" s="17"/>
      <c r="C24" s="17"/>
      <c r="D24" s="17"/>
      <c r="E24" s="17"/>
      <c r="F24" s="17"/>
      <c r="G24" s="17"/>
      <c r="H24" s="17"/>
    </row>
    <row r="25" spans="1:8" x14ac:dyDescent="0.2">
      <c r="A25" s="17"/>
      <c r="B25" s="17"/>
      <c r="C25" s="17"/>
      <c r="D25" s="17"/>
      <c r="E25" s="17"/>
      <c r="F25" s="17"/>
      <c r="G25" s="17"/>
      <c r="H25" s="17"/>
    </row>
    <row r="26" spans="1:8" x14ac:dyDescent="0.2">
      <c r="A26" s="17"/>
      <c r="B26" s="17"/>
      <c r="C26" s="17"/>
      <c r="D26" s="17"/>
      <c r="E26" s="17"/>
      <c r="F26" s="17"/>
      <c r="G26" s="17"/>
      <c r="H26" s="17"/>
    </row>
    <row r="27" spans="1:8" x14ac:dyDescent="0.2">
      <c r="A27" s="17"/>
      <c r="B27" s="17"/>
      <c r="C27" s="17"/>
      <c r="D27" s="17"/>
      <c r="E27" s="17"/>
      <c r="F27" s="17"/>
      <c r="G27" s="17"/>
      <c r="H27" s="17"/>
    </row>
    <row r="28" spans="1:8" x14ac:dyDescent="0.2">
      <c r="A28" s="17"/>
      <c r="B28" s="17"/>
      <c r="C28" s="17"/>
      <c r="D28" s="17"/>
      <c r="E28" s="17"/>
      <c r="F28" s="17"/>
      <c r="G28" s="17"/>
      <c r="H28" s="17"/>
    </row>
    <row r="29" spans="1:8" x14ac:dyDescent="0.2">
      <c r="A29" s="17"/>
      <c r="B29" s="17"/>
      <c r="C29" s="17"/>
      <c r="D29" s="17"/>
      <c r="E29" s="17"/>
      <c r="F29" s="17"/>
      <c r="G29" s="17"/>
      <c r="H29" s="17"/>
    </row>
    <row r="30" spans="1:8" x14ac:dyDescent="0.2">
      <c r="A30" s="17"/>
      <c r="B30" s="17"/>
      <c r="C30" s="17"/>
      <c r="D30" s="17"/>
      <c r="E30" s="17"/>
      <c r="F30" s="17"/>
      <c r="G30" s="17"/>
      <c r="H30" s="17"/>
    </row>
    <row r="31" spans="1:8" x14ac:dyDescent="0.2">
      <c r="A31" s="17"/>
      <c r="B31" s="17"/>
      <c r="C31" s="17"/>
      <c r="D31" s="17"/>
      <c r="E31" s="17"/>
      <c r="F31" s="17"/>
      <c r="G31" s="17"/>
      <c r="H31" s="17"/>
    </row>
    <row r="32" spans="1:8" x14ac:dyDescent="0.2">
      <c r="A32" s="17"/>
      <c r="B32" s="17"/>
      <c r="C32" s="17"/>
      <c r="D32" s="17"/>
      <c r="E32" s="17"/>
      <c r="F32" s="17"/>
      <c r="G32" s="17"/>
      <c r="H32" s="17"/>
    </row>
    <row r="33" spans="1:8" x14ac:dyDescent="0.2">
      <c r="A33" s="17"/>
      <c r="B33" s="17"/>
      <c r="C33" s="17"/>
      <c r="D33" s="17"/>
      <c r="E33" s="17"/>
      <c r="F33" s="17"/>
      <c r="G33" s="17"/>
      <c r="H33" s="17"/>
    </row>
    <row r="34" spans="1:8" x14ac:dyDescent="0.2">
      <c r="A34" s="17"/>
      <c r="B34" s="17"/>
      <c r="C34" s="17"/>
      <c r="D34" s="17"/>
      <c r="E34" s="17"/>
      <c r="F34" s="17"/>
      <c r="G34" s="17"/>
      <c r="H34" s="17"/>
    </row>
    <row r="35" spans="1:8" x14ac:dyDescent="0.2">
      <c r="A35" s="17"/>
      <c r="B35" s="17"/>
      <c r="C35" s="17"/>
      <c r="D35" s="17"/>
      <c r="E35" s="17"/>
      <c r="F35" s="17"/>
      <c r="G35" s="17"/>
      <c r="H35" s="17"/>
    </row>
    <row r="36" spans="1:8" x14ac:dyDescent="0.2">
      <c r="A36" s="17"/>
      <c r="B36" s="17"/>
      <c r="C36" s="17"/>
      <c r="D36" s="17"/>
      <c r="E36" s="17"/>
      <c r="F36" s="17"/>
      <c r="G36" s="17"/>
      <c r="H36" s="17"/>
    </row>
    <row r="37" spans="1:8" x14ac:dyDescent="0.2">
      <c r="A37" s="17"/>
      <c r="B37" s="17"/>
      <c r="C37" s="17"/>
      <c r="D37" s="17"/>
      <c r="E37" s="17"/>
      <c r="F37" s="17"/>
      <c r="G37" s="17"/>
      <c r="H37" s="17"/>
    </row>
    <row r="38" spans="1:8" x14ac:dyDescent="0.2">
      <c r="A38" s="17"/>
      <c r="B38" s="17"/>
      <c r="C38" s="17"/>
      <c r="D38" s="17"/>
      <c r="E38" s="17"/>
      <c r="F38" s="17"/>
      <c r="G38" s="17"/>
      <c r="H38" s="17"/>
    </row>
    <row r="39" spans="1:8" x14ac:dyDescent="0.2">
      <c r="A39" s="17"/>
      <c r="B39" s="17"/>
      <c r="C39" s="17"/>
      <c r="D39" s="17"/>
      <c r="E39" s="17"/>
      <c r="F39" s="17"/>
      <c r="G39" s="17"/>
      <c r="H39" s="17"/>
    </row>
    <row r="40" spans="1:8" x14ac:dyDescent="0.2">
      <c r="A40" s="17"/>
      <c r="B40" s="17"/>
      <c r="C40" s="17"/>
      <c r="D40" s="17"/>
      <c r="E40" s="17"/>
      <c r="F40" s="17"/>
      <c r="G40" s="17"/>
      <c r="H40" s="17"/>
    </row>
    <row r="41" spans="1:8" x14ac:dyDescent="0.2">
      <c r="A41" s="17"/>
      <c r="B41" s="17"/>
      <c r="C41" s="17"/>
      <c r="D41" s="17"/>
      <c r="E41" s="17"/>
      <c r="F41" s="17"/>
      <c r="G41" s="17"/>
      <c r="H41" s="17"/>
    </row>
    <row r="42" spans="1:8" x14ac:dyDescent="0.2">
      <c r="A42" s="17"/>
      <c r="B42" s="17"/>
      <c r="C42" s="17"/>
      <c r="D42" s="17"/>
      <c r="E42" s="17"/>
      <c r="F42" s="17"/>
      <c r="G42" s="17"/>
      <c r="H42" s="17"/>
    </row>
    <row r="43" spans="1:8" x14ac:dyDescent="0.2">
      <c r="A43" s="17"/>
      <c r="B43" s="17"/>
      <c r="C43" s="17"/>
      <c r="D43" s="17"/>
      <c r="E43" s="17"/>
      <c r="F43" s="17"/>
      <c r="G43" s="17"/>
      <c r="H43" s="17"/>
    </row>
    <row r="44" spans="1:8" x14ac:dyDescent="0.2">
      <c r="A44" s="17"/>
      <c r="B44" s="17"/>
      <c r="C44" s="17"/>
      <c r="D44" s="17"/>
      <c r="E44" s="17"/>
      <c r="F44" s="17"/>
      <c r="G44" s="17"/>
      <c r="H44" s="17"/>
    </row>
    <row r="45" spans="1:8" x14ac:dyDescent="0.2">
      <c r="A45" s="17"/>
      <c r="B45" s="17"/>
      <c r="C45" s="17"/>
      <c r="D45" s="17"/>
      <c r="E45" s="17"/>
      <c r="F45" s="17"/>
      <c r="G45" s="17"/>
      <c r="H45" s="17"/>
    </row>
    <row r="46" spans="1:8" x14ac:dyDescent="0.2">
      <c r="A46" s="17"/>
      <c r="B46" s="17"/>
      <c r="C46" s="17"/>
      <c r="D46" s="17"/>
      <c r="E46" s="17"/>
      <c r="F46" s="17"/>
      <c r="G46" s="17"/>
      <c r="H46" s="17"/>
    </row>
    <row r="47" spans="1:8" x14ac:dyDescent="0.2">
      <c r="A47" s="17"/>
      <c r="B47" s="17"/>
      <c r="C47" s="17"/>
      <c r="D47" s="17"/>
      <c r="E47" s="17"/>
      <c r="F47" s="17"/>
      <c r="G47" s="17"/>
      <c r="H47" s="17"/>
    </row>
    <row r="48" spans="1:8" x14ac:dyDescent="0.2">
      <c r="A48" s="17"/>
      <c r="B48" s="17"/>
      <c r="C48" s="17"/>
      <c r="D48" s="17"/>
      <c r="E48" s="17"/>
      <c r="F48" s="17"/>
      <c r="G48" s="17"/>
      <c r="H48" s="17"/>
    </row>
    <row r="49" spans="1:8" x14ac:dyDescent="0.2">
      <c r="A49" s="17"/>
      <c r="B49" s="17"/>
      <c r="C49" s="17"/>
      <c r="D49" s="17"/>
      <c r="E49" s="17"/>
      <c r="F49" s="17"/>
      <c r="G49" s="17"/>
      <c r="H49" s="17"/>
    </row>
    <row r="50" spans="1:8" x14ac:dyDescent="0.2">
      <c r="A50" s="17"/>
      <c r="B50" s="17"/>
      <c r="C50" s="17"/>
      <c r="D50" s="17"/>
      <c r="E50" s="17"/>
      <c r="F50" s="17"/>
      <c r="G50" s="17"/>
      <c r="H50" s="17"/>
    </row>
    <row r="51" spans="1:8" x14ac:dyDescent="0.2">
      <c r="A51" s="17"/>
      <c r="B51" s="17"/>
      <c r="C51" s="17"/>
      <c r="D51" s="17"/>
      <c r="E51" s="17"/>
      <c r="F51" s="17"/>
      <c r="G51" s="17"/>
      <c r="H51" s="17"/>
    </row>
    <row r="52" spans="1:8" x14ac:dyDescent="0.2">
      <c r="A52" s="17"/>
      <c r="B52" s="17"/>
      <c r="C52" s="17"/>
      <c r="D52" s="17"/>
      <c r="E52" s="17"/>
      <c r="F52" s="17"/>
      <c r="G52" s="17"/>
      <c r="H52" s="17"/>
    </row>
    <row r="53" spans="1:8" x14ac:dyDescent="0.2">
      <c r="A53" s="17"/>
      <c r="B53" s="17"/>
      <c r="C53" s="17"/>
      <c r="D53" s="17"/>
      <c r="E53" s="17"/>
      <c r="F53" s="17"/>
      <c r="G53" s="17"/>
      <c r="H53" s="17"/>
    </row>
    <row r="54" spans="1:8" x14ac:dyDescent="0.2">
      <c r="A54" s="17"/>
      <c r="B54" s="17"/>
      <c r="C54" s="17"/>
      <c r="D54" s="17"/>
      <c r="E54" s="17"/>
      <c r="F54" s="17"/>
      <c r="G54" s="17"/>
      <c r="H54" s="17"/>
    </row>
    <row r="55" spans="1:8" x14ac:dyDescent="0.2">
      <c r="A55" s="17"/>
      <c r="B55" s="17"/>
      <c r="C55" s="17"/>
      <c r="D55" s="17"/>
      <c r="E55" s="17"/>
      <c r="F55" s="17"/>
      <c r="G55" s="17"/>
      <c r="H55" s="17"/>
    </row>
    <row r="56" spans="1:8" x14ac:dyDescent="0.2">
      <c r="A56" s="17"/>
      <c r="B56" s="17"/>
      <c r="C56" s="17"/>
      <c r="D56" s="17"/>
      <c r="E56" s="17"/>
      <c r="F56" s="17"/>
      <c r="G56" s="17"/>
      <c r="H56" s="17"/>
    </row>
    <row r="57" spans="1:8" x14ac:dyDescent="0.2">
      <c r="A57" s="17"/>
      <c r="B57" s="17"/>
      <c r="C57" s="17"/>
      <c r="D57" s="17"/>
      <c r="E57" s="17"/>
      <c r="F57" s="17"/>
      <c r="G57" s="17"/>
      <c r="H57" s="17"/>
    </row>
    <row r="58" spans="1:8" x14ac:dyDescent="0.2">
      <c r="A58" s="17"/>
      <c r="B58" s="17"/>
      <c r="C58" s="17"/>
      <c r="D58" s="17"/>
      <c r="E58" s="17"/>
      <c r="F58" s="17"/>
      <c r="G58" s="17"/>
      <c r="H58" s="17"/>
    </row>
    <row r="59" spans="1:8" x14ac:dyDescent="0.2">
      <c r="A59" s="17"/>
      <c r="B59" s="17"/>
      <c r="C59" s="17"/>
      <c r="D59" s="17"/>
      <c r="E59" s="17"/>
      <c r="F59" s="17"/>
      <c r="G59" s="17"/>
      <c r="H59" s="17"/>
    </row>
    <row r="60" spans="1:8" x14ac:dyDescent="0.2">
      <c r="A60" s="17"/>
      <c r="B60" s="17"/>
      <c r="C60" s="17"/>
      <c r="D60" s="17"/>
      <c r="E60" s="17"/>
      <c r="F60" s="17"/>
      <c r="G60" s="17"/>
      <c r="H60" s="17"/>
    </row>
    <row r="61" spans="1:8" x14ac:dyDescent="0.2">
      <c r="A61" s="17"/>
      <c r="B61" s="17"/>
      <c r="C61" s="17"/>
      <c r="D61" s="17"/>
      <c r="E61" s="17"/>
      <c r="F61" s="17"/>
      <c r="G61" s="17"/>
      <c r="H61" s="17"/>
    </row>
    <row r="62" spans="1:8" x14ac:dyDescent="0.2">
      <c r="A62" s="17"/>
      <c r="B62" s="17"/>
      <c r="C62" s="17"/>
      <c r="D62" s="17"/>
      <c r="E62" s="17"/>
      <c r="F62" s="17"/>
      <c r="G62" s="17"/>
      <c r="H62" s="17"/>
    </row>
    <row r="63" spans="1:8" x14ac:dyDescent="0.2">
      <c r="A63" s="17"/>
      <c r="B63" s="17"/>
      <c r="C63" s="17"/>
      <c r="D63" s="17"/>
      <c r="E63" s="17"/>
      <c r="F63" s="17"/>
      <c r="G63" s="17"/>
      <c r="H63" s="17"/>
    </row>
    <row r="64" spans="1:8" x14ac:dyDescent="0.2">
      <c r="A64" s="17"/>
      <c r="B64" s="17"/>
      <c r="C64" s="17"/>
      <c r="D64" s="17"/>
      <c r="E64" s="17"/>
      <c r="F64" s="17"/>
      <c r="G64" s="17"/>
      <c r="H64" s="17"/>
    </row>
    <row r="65" spans="1:8" x14ac:dyDescent="0.2">
      <c r="A65" s="17"/>
      <c r="B65" s="17"/>
      <c r="C65" s="17"/>
      <c r="D65" s="17"/>
      <c r="E65" s="17"/>
      <c r="F65" s="17"/>
      <c r="G65" s="17"/>
      <c r="H65" s="17"/>
    </row>
    <row r="66" spans="1:8" x14ac:dyDescent="0.2">
      <c r="A66" s="17"/>
      <c r="B66" s="17"/>
      <c r="C66" s="17"/>
      <c r="D66" s="17"/>
      <c r="E66" s="17"/>
      <c r="F66" s="17"/>
      <c r="G66" s="17"/>
      <c r="H66" s="17"/>
    </row>
    <row r="67" spans="1:8" x14ac:dyDescent="0.2">
      <c r="A67" s="17"/>
      <c r="B67" s="17"/>
      <c r="C67" s="17"/>
      <c r="D67" s="17"/>
      <c r="E67" s="17"/>
      <c r="F67" s="17"/>
      <c r="G67" s="17"/>
      <c r="H67" s="17"/>
    </row>
    <row r="68" spans="1:8" x14ac:dyDescent="0.2">
      <c r="A68" s="17"/>
      <c r="B68" s="17"/>
      <c r="C68" s="17"/>
      <c r="D68" s="17"/>
      <c r="E68" s="17"/>
      <c r="F68" s="17"/>
      <c r="G68" s="17"/>
      <c r="H68" s="17"/>
    </row>
    <row r="69" spans="1:8" x14ac:dyDescent="0.2">
      <c r="A69" s="17"/>
      <c r="B69" s="17"/>
      <c r="C69" s="17"/>
      <c r="D69" s="17"/>
      <c r="E69" s="17"/>
      <c r="F69" s="17"/>
      <c r="G69" s="17"/>
      <c r="H69" s="17"/>
    </row>
    <row r="70" spans="1:8" x14ac:dyDescent="0.2">
      <c r="A70" s="17"/>
      <c r="B70" s="17"/>
      <c r="C70" s="17"/>
      <c r="D70" s="17"/>
      <c r="E70" s="17"/>
      <c r="F70" s="17"/>
      <c r="G70" s="17"/>
      <c r="H70" s="17"/>
    </row>
    <row r="71" spans="1:8" x14ac:dyDescent="0.2">
      <c r="A71" s="17"/>
      <c r="B71" s="17"/>
      <c r="C71" s="17"/>
      <c r="D71" s="17"/>
      <c r="E71" s="17"/>
      <c r="F71" s="17"/>
      <c r="G71" s="17"/>
      <c r="H71" s="17"/>
    </row>
    <row r="72" spans="1:8" x14ac:dyDescent="0.2">
      <c r="A72" s="17"/>
      <c r="B72" s="17"/>
      <c r="C72" s="17"/>
      <c r="D72" s="17"/>
      <c r="E72" s="17"/>
      <c r="F72" s="17"/>
      <c r="G72" s="17"/>
      <c r="H72" s="17"/>
    </row>
    <row r="73" spans="1:8" x14ac:dyDescent="0.2">
      <c r="A73" s="17"/>
      <c r="B73" s="17"/>
      <c r="C73" s="17"/>
      <c r="D73" s="17"/>
      <c r="E73" s="17"/>
      <c r="F73" s="17"/>
      <c r="G73" s="17"/>
      <c r="H73" s="17"/>
    </row>
    <row r="74" spans="1:8" x14ac:dyDescent="0.2">
      <c r="A74" s="17"/>
      <c r="B74" s="17"/>
      <c r="C74" s="17"/>
      <c r="D74" s="17"/>
      <c r="E74" s="17"/>
      <c r="F74" s="17"/>
      <c r="G74" s="17"/>
      <c r="H74" s="17"/>
    </row>
    <row r="75" spans="1:8" x14ac:dyDescent="0.2">
      <c r="A75" s="17"/>
      <c r="B75" s="17"/>
      <c r="C75" s="17"/>
      <c r="D75" s="17"/>
      <c r="E75" s="17"/>
      <c r="F75" s="17"/>
      <c r="G75" s="17"/>
      <c r="H75" s="17"/>
    </row>
    <row r="76" spans="1:8" x14ac:dyDescent="0.2">
      <c r="A76" s="17"/>
      <c r="B76" s="17"/>
      <c r="C76" s="17"/>
      <c r="D76" s="17"/>
      <c r="E76" s="17"/>
      <c r="F76" s="17"/>
      <c r="G76" s="17"/>
      <c r="H76" s="17"/>
    </row>
    <row r="77" spans="1:8" x14ac:dyDescent="0.2">
      <c r="A77" s="17"/>
      <c r="B77" s="17"/>
      <c r="C77" s="17"/>
      <c r="D77" s="17"/>
      <c r="E77" s="17"/>
      <c r="F77" s="17"/>
      <c r="G77" s="17"/>
      <c r="H77" s="17"/>
    </row>
    <row r="78" spans="1:8" x14ac:dyDescent="0.2">
      <c r="A78" s="17"/>
      <c r="B78" s="17"/>
      <c r="C78" s="17"/>
      <c r="D78" s="17"/>
      <c r="E78" s="17"/>
      <c r="F78" s="17"/>
      <c r="G78" s="17"/>
      <c r="H78" s="17"/>
    </row>
    <row r="79" spans="1:8" x14ac:dyDescent="0.2">
      <c r="A79" s="17"/>
      <c r="B79" s="17"/>
      <c r="C79" s="17"/>
      <c r="D79" s="17"/>
      <c r="E79" s="17"/>
      <c r="F79" s="17"/>
      <c r="G79" s="17"/>
      <c r="H79" s="17"/>
    </row>
    <row r="80" spans="1:8" x14ac:dyDescent="0.2">
      <c r="A80" s="17"/>
      <c r="B80" s="17"/>
      <c r="C80" s="17"/>
      <c r="D80" s="17"/>
      <c r="E80" s="17"/>
      <c r="F80" s="17"/>
      <c r="G80" s="17"/>
      <c r="H80" s="17"/>
    </row>
    <row r="81" spans="1:8" x14ac:dyDescent="0.2">
      <c r="A81" s="17"/>
      <c r="B81" s="17"/>
      <c r="C81" s="17"/>
      <c r="D81" s="17"/>
      <c r="E81" s="17"/>
      <c r="F81" s="17"/>
      <c r="G81" s="17"/>
      <c r="H81" s="17"/>
    </row>
    <row r="82" spans="1:8" x14ac:dyDescent="0.2">
      <c r="A82" s="17"/>
      <c r="B82" s="17"/>
      <c r="C82" s="17"/>
      <c r="D82" s="17"/>
      <c r="E82" s="17"/>
      <c r="F82" s="17"/>
      <c r="G82" s="17"/>
      <c r="H82" s="17"/>
    </row>
    <row r="83" spans="1:8" x14ac:dyDescent="0.2">
      <c r="A83" s="17"/>
      <c r="B83" s="17"/>
      <c r="C83" s="17"/>
      <c r="D83" s="17"/>
      <c r="E83" s="17"/>
      <c r="F83" s="17"/>
      <c r="G83" s="17"/>
      <c r="H83" s="17"/>
    </row>
    <row r="84" spans="1:8" x14ac:dyDescent="0.2">
      <c r="A84" s="17"/>
      <c r="B84" s="17"/>
      <c r="C84" s="17"/>
      <c r="D84" s="17"/>
      <c r="E84" s="17"/>
      <c r="F84" s="17"/>
      <c r="G84" s="17"/>
      <c r="H84" s="17"/>
    </row>
    <row r="85" spans="1:8" x14ac:dyDescent="0.2">
      <c r="A85" s="17"/>
      <c r="B85" s="17"/>
      <c r="C85" s="17"/>
      <c r="D85" s="17"/>
      <c r="E85" s="17"/>
      <c r="F85" s="17"/>
      <c r="G85" s="17"/>
      <c r="H85" s="17"/>
    </row>
    <row r="86" spans="1:8" x14ac:dyDescent="0.2">
      <c r="A86" s="17"/>
      <c r="B86" s="17"/>
      <c r="C86" s="17"/>
      <c r="D86" s="17"/>
      <c r="E86" s="17"/>
      <c r="F86" s="17"/>
      <c r="G86" s="17"/>
      <c r="H86" s="17"/>
    </row>
    <row r="87" spans="1:8" x14ac:dyDescent="0.2">
      <c r="A87" s="17"/>
      <c r="B87" s="17"/>
      <c r="C87" s="17"/>
      <c r="D87" s="17"/>
      <c r="E87" s="17"/>
      <c r="F87" s="17"/>
      <c r="G87" s="17"/>
      <c r="H87" s="17"/>
    </row>
    <row r="88" spans="1:8" x14ac:dyDescent="0.2">
      <c r="A88" s="17"/>
      <c r="B88" s="17"/>
      <c r="C88" s="17"/>
      <c r="D88" s="17"/>
      <c r="E88" s="17"/>
      <c r="F88" s="17"/>
      <c r="G88" s="17"/>
      <c r="H88" s="17"/>
    </row>
    <row r="89" spans="1:8" x14ac:dyDescent="0.2">
      <c r="A89" s="17"/>
      <c r="B89" s="17"/>
      <c r="C89" s="17"/>
      <c r="D89" s="17"/>
      <c r="E89" s="17"/>
      <c r="F89" s="17"/>
      <c r="G89" s="17"/>
      <c r="H89" s="17"/>
    </row>
    <row r="90" spans="1:8" x14ac:dyDescent="0.2">
      <c r="A90" s="17"/>
      <c r="B90" s="17"/>
      <c r="C90" s="17"/>
      <c r="D90" s="17"/>
      <c r="E90" s="17"/>
      <c r="F90" s="17"/>
      <c r="G90" s="17"/>
      <c r="H90" s="17"/>
    </row>
    <row r="91" spans="1:8" x14ac:dyDescent="0.2">
      <c r="A91" s="17"/>
      <c r="B91" s="17"/>
      <c r="C91" s="17"/>
      <c r="D91" s="17"/>
      <c r="E91" s="17"/>
      <c r="F91" s="17"/>
      <c r="G91" s="17"/>
      <c r="H91" s="17"/>
    </row>
    <row r="92" spans="1:8" x14ac:dyDescent="0.2">
      <c r="A92" s="17"/>
      <c r="B92" s="17"/>
      <c r="C92" s="17"/>
      <c r="D92" s="17"/>
      <c r="E92" s="17"/>
      <c r="F92" s="17"/>
      <c r="G92" s="17"/>
      <c r="H92" s="17"/>
    </row>
    <row r="93" spans="1:8" x14ac:dyDescent="0.2">
      <c r="A93" s="17"/>
      <c r="B93" s="17"/>
      <c r="C93" s="17"/>
      <c r="D93" s="17"/>
      <c r="E93" s="17"/>
      <c r="F93" s="17"/>
      <c r="G93" s="17"/>
      <c r="H93" s="17"/>
    </row>
    <row r="94" spans="1:8" x14ac:dyDescent="0.2">
      <c r="A94" s="17"/>
      <c r="B94" s="17"/>
      <c r="C94" s="17"/>
      <c r="D94" s="17"/>
      <c r="E94" s="17"/>
      <c r="F94" s="17"/>
      <c r="G94" s="17"/>
      <c r="H94" s="17"/>
    </row>
    <row r="95" spans="1:8" x14ac:dyDescent="0.2">
      <c r="A95" s="17"/>
      <c r="B95" s="17"/>
      <c r="C95" s="17"/>
      <c r="D95" s="17"/>
      <c r="E95" s="17"/>
      <c r="F95" s="17"/>
      <c r="G95" s="17"/>
      <c r="H95" s="17"/>
    </row>
    <row r="96" spans="1:8" x14ac:dyDescent="0.2">
      <c r="A96" s="17"/>
      <c r="B96" s="17"/>
      <c r="C96" s="17"/>
      <c r="D96" s="17"/>
      <c r="E96" s="17"/>
      <c r="F96" s="17"/>
      <c r="G96" s="17"/>
      <c r="H96" s="17"/>
    </row>
    <row r="97" spans="1:8" x14ac:dyDescent="0.2">
      <c r="A97" s="17"/>
      <c r="B97" s="17"/>
      <c r="C97" s="17"/>
      <c r="D97" s="17"/>
      <c r="E97" s="17"/>
      <c r="F97" s="17"/>
      <c r="G97" s="17"/>
      <c r="H97" s="17"/>
    </row>
    <row r="98" spans="1:8" x14ac:dyDescent="0.2">
      <c r="A98" s="17"/>
      <c r="B98" s="17"/>
      <c r="C98" s="17"/>
      <c r="D98" s="17"/>
      <c r="E98" s="17"/>
      <c r="F98" s="17"/>
      <c r="G98" s="17"/>
      <c r="H98" s="17"/>
    </row>
    <row r="99" spans="1:8" x14ac:dyDescent="0.2">
      <c r="A99" s="17"/>
      <c r="B99" s="17"/>
      <c r="C99" s="17"/>
      <c r="D99" s="17"/>
      <c r="E99" s="17"/>
      <c r="F99" s="17"/>
      <c r="G99" s="17"/>
      <c r="H99" s="17"/>
    </row>
    <row r="100" spans="1:8" x14ac:dyDescent="0.2">
      <c r="A100" s="17"/>
      <c r="B100" s="17"/>
      <c r="C100" s="17"/>
      <c r="D100" s="17"/>
      <c r="E100" s="17"/>
      <c r="F100" s="17"/>
      <c r="G100" s="17"/>
      <c r="H100" s="17"/>
    </row>
    <row r="101" spans="1:8" x14ac:dyDescent="0.2">
      <c r="A101" s="17"/>
      <c r="B101" s="17"/>
      <c r="C101" s="17"/>
      <c r="D101" s="17"/>
      <c r="E101" s="17"/>
      <c r="F101" s="17"/>
      <c r="G101" s="17"/>
      <c r="H101" s="17"/>
    </row>
    <row r="102" spans="1:8" x14ac:dyDescent="0.2">
      <c r="A102" s="17"/>
      <c r="B102" s="17"/>
      <c r="C102" s="17"/>
      <c r="D102" s="17"/>
      <c r="E102" s="17"/>
      <c r="F102" s="17"/>
      <c r="G102" s="17"/>
      <c r="H102" s="17"/>
    </row>
    <row r="103" spans="1:8" x14ac:dyDescent="0.2">
      <c r="A103" s="17"/>
      <c r="B103" s="17"/>
      <c r="C103" s="17"/>
      <c r="D103" s="17"/>
      <c r="E103" s="17"/>
      <c r="F103" s="17"/>
      <c r="G103" s="17"/>
      <c r="H103" s="17"/>
    </row>
    <row r="104" spans="1:8" x14ac:dyDescent="0.2">
      <c r="A104" s="17"/>
      <c r="B104" s="17"/>
      <c r="C104" s="17"/>
      <c r="D104" s="17"/>
      <c r="E104" s="17"/>
      <c r="F104" s="17"/>
      <c r="G104" s="17"/>
      <c r="H104" s="17"/>
    </row>
    <row r="105" spans="1:8" x14ac:dyDescent="0.2">
      <c r="A105" s="17"/>
      <c r="B105" s="17"/>
      <c r="C105" s="17"/>
      <c r="D105" s="17"/>
      <c r="E105" s="17"/>
      <c r="F105" s="17"/>
      <c r="G105" s="17"/>
      <c r="H105" s="17"/>
    </row>
    <row r="106" spans="1:8" x14ac:dyDescent="0.2">
      <c r="A106" s="17"/>
      <c r="B106" s="17"/>
      <c r="C106" s="17"/>
      <c r="D106" s="17"/>
      <c r="E106" s="17"/>
      <c r="F106" s="17"/>
      <c r="G106" s="17"/>
      <c r="H106" s="17"/>
    </row>
    <row r="107" spans="1:8" x14ac:dyDescent="0.2">
      <c r="A107" s="17"/>
      <c r="B107" s="17"/>
      <c r="C107" s="17"/>
      <c r="D107" s="17"/>
      <c r="E107" s="17"/>
      <c r="F107" s="17"/>
      <c r="G107" s="17"/>
      <c r="H107" s="17"/>
    </row>
    <row r="108" spans="1:8" x14ac:dyDescent="0.2">
      <c r="A108" s="17"/>
      <c r="B108" s="17"/>
      <c r="C108" s="17"/>
      <c r="D108" s="17"/>
      <c r="E108" s="17"/>
      <c r="F108" s="17"/>
      <c r="G108" s="17"/>
      <c r="H108" s="17"/>
    </row>
    <row r="109" spans="1:8" x14ac:dyDescent="0.2">
      <c r="A109" s="17"/>
      <c r="B109" s="17"/>
      <c r="C109" s="17"/>
      <c r="D109" s="17"/>
      <c r="E109" s="17"/>
      <c r="F109" s="17"/>
      <c r="G109" s="17"/>
      <c r="H109" s="17"/>
    </row>
    <row r="110" spans="1:8" x14ac:dyDescent="0.2">
      <c r="A110" s="17"/>
      <c r="B110" s="17"/>
      <c r="C110" s="17"/>
      <c r="D110" s="17"/>
      <c r="E110" s="17"/>
      <c r="F110" s="17"/>
      <c r="G110" s="17"/>
      <c r="H110" s="17"/>
    </row>
    <row r="111" spans="1:8" x14ac:dyDescent="0.2">
      <c r="A111" s="17"/>
      <c r="B111" s="17"/>
      <c r="C111" s="17"/>
      <c r="D111" s="17"/>
      <c r="E111" s="17"/>
      <c r="F111" s="17"/>
      <c r="G111" s="17"/>
      <c r="H111" s="17"/>
    </row>
    <row r="112" spans="1:8" x14ac:dyDescent="0.2">
      <c r="A112" s="17"/>
      <c r="B112" s="17"/>
      <c r="C112" s="17"/>
      <c r="D112" s="17"/>
      <c r="E112" s="17"/>
      <c r="F112" s="17"/>
      <c r="G112" s="17"/>
      <c r="H112" s="17"/>
    </row>
    <row r="113" spans="1:8" x14ac:dyDescent="0.2">
      <c r="A113" s="17"/>
      <c r="B113" s="17"/>
      <c r="C113" s="17"/>
      <c r="D113" s="17"/>
      <c r="E113" s="17"/>
      <c r="F113" s="17"/>
      <c r="G113" s="17"/>
      <c r="H113" s="17"/>
    </row>
    <row r="114" spans="1:8" x14ac:dyDescent="0.2">
      <c r="A114" s="17"/>
      <c r="B114" s="17"/>
      <c r="C114" s="17"/>
      <c r="D114" s="17"/>
      <c r="E114" s="17"/>
      <c r="F114" s="17"/>
      <c r="G114" s="17"/>
      <c r="H114" s="17"/>
    </row>
    <row r="115" spans="1:8" x14ac:dyDescent="0.2">
      <c r="A115" s="17"/>
      <c r="B115" s="17"/>
      <c r="C115" s="17"/>
      <c r="D115" s="17"/>
      <c r="E115" s="17"/>
      <c r="F115" s="17"/>
      <c r="G115" s="17"/>
      <c r="H115" s="17"/>
    </row>
    <row r="116" spans="1:8" x14ac:dyDescent="0.2">
      <c r="A116" s="17"/>
      <c r="B116" s="17"/>
      <c r="C116" s="17"/>
      <c r="D116" s="17"/>
      <c r="E116" s="17"/>
      <c r="F116" s="17"/>
      <c r="G116" s="17"/>
      <c r="H116" s="17"/>
    </row>
    <row r="117" spans="1:8" x14ac:dyDescent="0.2">
      <c r="A117" s="17"/>
      <c r="B117" s="17"/>
      <c r="C117" s="17"/>
      <c r="D117" s="17"/>
      <c r="E117" s="17"/>
      <c r="F117" s="17"/>
      <c r="G117" s="17"/>
      <c r="H117" s="17"/>
    </row>
    <row r="118" spans="1:8" x14ac:dyDescent="0.2">
      <c r="A118" s="17"/>
      <c r="B118" s="17"/>
      <c r="C118" s="17"/>
      <c r="D118" s="17"/>
      <c r="E118" s="17"/>
      <c r="F118" s="17"/>
      <c r="G118" s="17"/>
      <c r="H118" s="17"/>
    </row>
    <row r="119" spans="1:8" x14ac:dyDescent="0.2">
      <c r="A119" s="17"/>
      <c r="B119" s="17"/>
      <c r="C119" s="17"/>
      <c r="D119" s="17"/>
      <c r="E119" s="17"/>
      <c r="F119" s="17"/>
      <c r="G119" s="17"/>
      <c r="H119" s="17"/>
    </row>
    <row r="120" spans="1:8" x14ac:dyDescent="0.2">
      <c r="A120" s="17"/>
      <c r="B120" s="17"/>
      <c r="C120" s="17"/>
      <c r="D120" s="17"/>
      <c r="E120" s="17"/>
      <c r="F120" s="17"/>
      <c r="G120" s="17"/>
      <c r="H120" s="17"/>
    </row>
    <row r="121" spans="1:8" x14ac:dyDescent="0.2">
      <c r="A121" s="17"/>
      <c r="B121" s="17"/>
      <c r="C121" s="17"/>
      <c r="D121" s="17"/>
      <c r="E121" s="17"/>
      <c r="F121" s="17"/>
      <c r="G121" s="17"/>
      <c r="H121" s="17"/>
    </row>
    <row r="122" spans="1:8" x14ac:dyDescent="0.2">
      <c r="A122" s="17"/>
      <c r="B122" s="17"/>
      <c r="C122" s="17"/>
      <c r="D122" s="17"/>
      <c r="E122" s="17"/>
      <c r="F122" s="17"/>
      <c r="G122" s="17"/>
      <c r="H122" s="17"/>
    </row>
    <row r="123" spans="1:8" x14ac:dyDescent="0.2">
      <c r="A123" s="17"/>
      <c r="B123" s="17"/>
      <c r="C123" s="17"/>
      <c r="D123" s="17"/>
      <c r="E123" s="17"/>
      <c r="F123" s="17"/>
      <c r="G123" s="17"/>
      <c r="H123" s="17"/>
    </row>
    <row r="124" spans="1:8" x14ac:dyDescent="0.2">
      <c r="A124" s="17"/>
      <c r="B124" s="17"/>
      <c r="C124" s="17"/>
      <c r="D124" s="17"/>
      <c r="E124" s="17"/>
      <c r="F124" s="17"/>
      <c r="G124" s="17"/>
      <c r="H124" s="17"/>
    </row>
    <row r="125" spans="1:8" x14ac:dyDescent="0.2">
      <c r="A125" s="17"/>
      <c r="B125" s="17"/>
      <c r="C125" s="17"/>
      <c r="D125" s="17"/>
      <c r="E125" s="17"/>
      <c r="F125" s="17"/>
      <c r="G125" s="17"/>
      <c r="H125" s="17"/>
    </row>
    <row r="126" spans="1:8" x14ac:dyDescent="0.2">
      <c r="A126" s="17"/>
      <c r="B126" s="17"/>
      <c r="C126" s="17"/>
      <c r="D126" s="17"/>
      <c r="E126" s="17"/>
      <c r="F126" s="17"/>
      <c r="G126" s="17"/>
      <c r="H126" s="17"/>
    </row>
    <row r="127" spans="1:8" x14ac:dyDescent="0.2">
      <c r="A127" s="17"/>
      <c r="B127" s="17"/>
      <c r="C127" s="17"/>
      <c r="D127" s="17"/>
      <c r="E127" s="17"/>
      <c r="F127" s="17"/>
      <c r="G127" s="17"/>
      <c r="H127" s="17"/>
    </row>
    <row r="128" spans="1:8" x14ac:dyDescent="0.2">
      <c r="A128" s="17"/>
      <c r="B128" s="17"/>
      <c r="C128" s="17"/>
      <c r="D128" s="17"/>
      <c r="E128" s="17"/>
      <c r="F128" s="17"/>
      <c r="G128" s="17"/>
      <c r="H128" s="17"/>
    </row>
    <row r="129" spans="1:8" x14ac:dyDescent="0.2">
      <c r="A129" s="17"/>
      <c r="B129" s="17"/>
      <c r="C129" s="17"/>
      <c r="D129" s="17"/>
      <c r="E129" s="17"/>
      <c r="F129" s="17"/>
      <c r="G129" s="17"/>
      <c r="H129" s="17"/>
    </row>
    <row r="130" spans="1:8" x14ac:dyDescent="0.2">
      <c r="A130" s="17"/>
      <c r="B130" s="17"/>
      <c r="C130" s="17"/>
      <c r="D130" s="17"/>
      <c r="E130" s="17"/>
      <c r="F130" s="17"/>
      <c r="G130" s="17"/>
      <c r="H130" s="17"/>
    </row>
    <row r="131" spans="1:8" x14ac:dyDescent="0.2">
      <c r="A131" s="17"/>
      <c r="B131" s="17"/>
      <c r="C131" s="17"/>
      <c r="D131" s="17"/>
      <c r="E131" s="17"/>
      <c r="F131" s="17"/>
      <c r="G131" s="17"/>
      <c r="H131" s="17"/>
    </row>
    <row r="132" spans="1:8" x14ac:dyDescent="0.2">
      <c r="A132" s="17"/>
      <c r="B132" s="17"/>
      <c r="C132" s="17"/>
      <c r="D132" s="17"/>
      <c r="E132" s="17"/>
      <c r="F132" s="17"/>
      <c r="G132" s="17"/>
      <c r="H132" s="17"/>
    </row>
    <row r="133" spans="1:8" x14ac:dyDescent="0.2">
      <c r="A133" s="17"/>
      <c r="B133" s="17"/>
      <c r="C133" s="17"/>
      <c r="D133" s="17"/>
      <c r="E133" s="17"/>
      <c r="F133" s="17"/>
      <c r="G133" s="17"/>
      <c r="H133" s="17"/>
    </row>
    <row r="134" spans="1:8" x14ac:dyDescent="0.2">
      <c r="A134" s="17"/>
      <c r="B134" s="17"/>
      <c r="C134" s="17"/>
      <c r="D134" s="17"/>
      <c r="E134" s="17"/>
      <c r="F134" s="17"/>
      <c r="G134" s="17"/>
      <c r="H134" s="17"/>
    </row>
    <row r="135" spans="1:8" x14ac:dyDescent="0.2">
      <c r="A135" s="17"/>
      <c r="B135" s="17"/>
      <c r="C135" s="17"/>
      <c r="D135" s="17"/>
      <c r="E135" s="17"/>
      <c r="F135" s="17"/>
      <c r="G135" s="17"/>
      <c r="H135" s="17"/>
    </row>
    <row r="136" spans="1:8" x14ac:dyDescent="0.2">
      <c r="A136" s="17"/>
      <c r="B136" s="17"/>
      <c r="C136" s="17"/>
      <c r="D136" s="17"/>
      <c r="E136" s="17"/>
      <c r="F136" s="17"/>
      <c r="G136" s="17"/>
      <c r="H136" s="17"/>
    </row>
    <row r="137" spans="1:8" x14ac:dyDescent="0.2">
      <c r="A137" s="17"/>
      <c r="B137" s="17"/>
      <c r="C137" s="17"/>
      <c r="D137" s="17"/>
      <c r="E137" s="17"/>
      <c r="F137" s="17"/>
      <c r="G137" s="17"/>
      <c r="H137" s="17"/>
    </row>
    <row r="138" spans="1:8" x14ac:dyDescent="0.2">
      <c r="A138" s="17"/>
      <c r="B138" s="17"/>
      <c r="C138" s="17"/>
      <c r="D138" s="17"/>
      <c r="E138" s="17"/>
      <c r="F138" s="17"/>
      <c r="G138" s="17"/>
      <c r="H138" s="17"/>
    </row>
    <row r="139" spans="1:8" x14ac:dyDescent="0.2">
      <c r="A139" s="17"/>
      <c r="B139" s="17"/>
      <c r="C139" s="17"/>
      <c r="D139" s="17"/>
      <c r="E139" s="17"/>
      <c r="F139" s="17"/>
      <c r="G139" s="17"/>
      <c r="H139" s="17"/>
    </row>
    <row r="140" spans="1:8" x14ac:dyDescent="0.2">
      <c r="A140" s="17"/>
      <c r="B140" s="17"/>
      <c r="C140" s="17"/>
      <c r="D140" s="17"/>
      <c r="E140" s="17"/>
      <c r="F140" s="17"/>
      <c r="G140" s="17"/>
      <c r="H140" s="17"/>
    </row>
    <row r="141" spans="1:8" x14ac:dyDescent="0.2">
      <c r="A141" s="17"/>
      <c r="B141" s="17"/>
      <c r="C141" s="17"/>
      <c r="D141" s="17"/>
      <c r="E141" s="17"/>
      <c r="F141" s="17"/>
      <c r="G141" s="17"/>
      <c r="H141" s="17"/>
    </row>
    <row r="142" spans="1:8" x14ac:dyDescent="0.2">
      <c r="A142" s="17"/>
      <c r="B142" s="17"/>
      <c r="C142" s="17"/>
      <c r="D142" s="17"/>
      <c r="E142" s="17"/>
      <c r="F142" s="17"/>
      <c r="G142" s="17"/>
      <c r="H142" s="17"/>
    </row>
    <row r="143" spans="1:8" x14ac:dyDescent="0.2">
      <c r="A143" s="17"/>
      <c r="B143" s="17"/>
      <c r="C143" s="17"/>
      <c r="D143" s="17"/>
      <c r="E143" s="17"/>
      <c r="F143" s="17"/>
      <c r="G143" s="17"/>
      <c r="H143" s="17"/>
    </row>
    <row r="144" spans="1:8" x14ac:dyDescent="0.2">
      <c r="A144" s="17"/>
      <c r="B144" s="17"/>
      <c r="C144" s="17"/>
      <c r="D144" s="17"/>
      <c r="E144" s="17"/>
      <c r="F144" s="17"/>
      <c r="G144" s="17"/>
      <c r="H144" s="17"/>
    </row>
    <row r="145" spans="1:8" x14ac:dyDescent="0.2">
      <c r="A145" s="17"/>
      <c r="B145" s="17"/>
      <c r="C145" s="17"/>
      <c r="D145" s="17"/>
      <c r="E145" s="17"/>
      <c r="F145" s="17"/>
      <c r="G145" s="17"/>
      <c r="H145" s="17"/>
    </row>
    <row r="146" spans="1:8" x14ac:dyDescent="0.2">
      <c r="A146" s="17"/>
      <c r="B146" s="17"/>
      <c r="C146" s="17"/>
      <c r="D146" s="17"/>
      <c r="E146" s="17"/>
      <c r="F146" s="17"/>
      <c r="G146" s="17"/>
      <c r="H146" s="17"/>
    </row>
    <row r="147" spans="1:8" x14ac:dyDescent="0.2">
      <c r="A147" s="17"/>
      <c r="B147" s="17"/>
      <c r="C147" s="17"/>
      <c r="D147" s="17"/>
      <c r="E147" s="17"/>
      <c r="F147" s="17"/>
      <c r="G147" s="17"/>
      <c r="H147" s="17"/>
    </row>
    <row r="148" spans="1:8" x14ac:dyDescent="0.2">
      <c r="A148" s="17"/>
      <c r="B148" s="17"/>
      <c r="C148" s="17"/>
      <c r="D148" s="17"/>
      <c r="E148" s="17"/>
      <c r="F148" s="17"/>
      <c r="G148" s="17"/>
      <c r="H148" s="17"/>
    </row>
    <row r="149" spans="1:8" x14ac:dyDescent="0.2">
      <c r="A149" s="17"/>
      <c r="B149" s="17"/>
      <c r="C149" s="17"/>
      <c r="D149" s="17"/>
      <c r="E149" s="17"/>
      <c r="F149" s="17"/>
      <c r="G149" s="17"/>
      <c r="H149" s="17"/>
    </row>
    <row r="150" spans="1:8" x14ac:dyDescent="0.2">
      <c r="A150" s="17"/>
      <c r="B150" s="17"/>
      <c r="C150" s="17"/>
      <c r="D150" s="17"/>
      <c r="E150" s="17"/>
      <c r="F150" s="17"/>
      <c r="G150" s="17"/>
      <c r="H150" s="17"/>
    </row>
    <row r="151" spans="1:8" x14ac:dyDescent="0.2">
      <c r="A151" s="17"/>
      <c r="B151" s="17"/>
      <c r="C151" s="17"/>
      <c r="D151" s="17"/>
      <c r="E151" s="17"/>
      <c r="F151" s="17"/>
      <c r="G151" s="17"/>
      <c r="H151" s="17"/>
    </row>
    <row r="152" spans="1:8" x14ac:dyDescent="0.2">
      <c r="A152" s="17"/>
      <c r="B152" s="17"/>
      <c r="C152" s="17"/>
      <c r="D152" s="17"/>
      <c r="E152" s="17"/>
      <c r="F152" s="17"/>
      <c r="G152" s="17"/>
      <c r="H152" s="17"/>
    </row>
    <row r="153" spans="1:8" x14ac:dyDescent="0.2">
      <c r="A153" s="17"/>
      <c r="B153" s="17"/>
      <c r="C153" s="17"/>
      <c r="D153" s="17"/>
      <c r="E153" s="17"/>
      <c r="F153" s="17"/>
      <c r="G153" s="17"/>
      <c r="H153" s="17"/>
    </row>
    <row r="154" spans="1:8" x14ac:dyDescent="0.2">
      <c r="A154" s="17"/>
      <c r="B154" s="17"/>
      <c r="C154" s="17"/>
      <c r="D154" s="17"/>
      <c r="E154" s="17"/>
      <c r="F154" s="17"/>
      <c r="G154" s="17"/>
      <c r="H154" s="17"/>
    </row>
    <row r="155" spans="1:8" x14ac:dyDescent="0.2">
      <c r="A155" s="17"/>
      <c r="B155" s="17"/>
      <c r="C155" s="17"/>
      <c r="D155" s="17"/>
      <c r="E155" s="17"/>
      <c r="F155" s="17"/>
      <c r="G155" s="17"/>
      <c r="H155" s="17"/>
    </row>
    <row r="156" spans="1:8" x14ac:dyDescent="0.2">
      <c r="A156" s="17"/>
      <c r="B156" s="17"/>
      <c r="C156" s="17"/>
      <c r="D156" s="17"/>
      <c r="E156" s="17"/>
      <c r="F156" s="17"/>
      <c r="G156" s="17"/>
      <c r="H156" s="17"/>
    </row>
    <row r="157" spans="1:8" x14ac:dyDescent="0.2">
      <c r="A157" s="17"/>
      <c r="B157" s="17"/>
      <c r="C157" s="17"/>
      <c r="D157" s="17"/>
      <c r="E157" s="17"/>
      <c r="F157" s="17"/>
      <c r="G157" s="17"/>
      <c r="H157" s="17"/>
    </row>
    <row r="158" spans="1:8" x14ac:dyDescent="0.2">
      <c r="A158" s="17"/>
      <c r="B158" s="17"/>
      <c r="C158" s="17"/>
      <c r="D158" s="17"/>
      <c r="E158" s="17"/>
      <c r="F158" s="17"/>
      <c r="G158" s="17"/>
      <c r="H158" s="17"/>
    </row>
    <row r="159" spans="1:8" x14ac:dyDescent="0.2">
      <c r="A159" s="17"/>
      <c r="B159" s="17"/>
      <c r="C159" s="17"/>
      <c r="D159" s="17"/>
      <c r="E159" s="17"/>
      <c r="F159" s="17"/>
      <c r="G159" s="17"/>
      <c r="H159" s="17"/>
    </row>
    <row r="160" spans="1:8" x14ac:dyDescent="0.2">
      <c r="A160" s="17"/>
      <c r="B160" s="17"/>
      <c r="C160" s="17"/>
      <c r="D160" s="17"/>
      <c r="E160" s="17"/>
      <c r="F160" s="17"/>
      <c r="G160" s="17"/>
      <c r="H160" s="17"/>
    </row>
    <row r="161" spans="1:8" x14ac:dyDescent="0.2">
      <c r="A161" s="17"/>
      <c r="B161" s="17"/>
      <c r="C161" s="17"/>
      <c r="D161" s="17"/>
      <c r="E161" s="17"/>
      <c r="F161" s="17"/>
      <c r="G161" s="17"/>
      <c r="H161" s="17"/>
    </row>
    <row r="162" spans="1:8" x14ac:dyDescent="0.2">
      <c r="A162" s="17"/>
      <c r="B162" s="17"/>
      <c r="C162" s="17"/>
      <c r="D162" s="17"/>
      <c r="E162" s="17"/>
      <c r="F162" s="17"/>
      <c r="G162" s="17"/>
      <c r="H162" s="17"/>
    </row>
    <row r="163" spans="1:8" x14ac:dyDescent="0.2">
      <c r="A163" s="17"/>
      <c r="B163" s="17"/>
      <c r="C163" s="17"/>
      <c r="D163" s="17"/>
      <c r="E163" s="17"/>
      <c r="F163" s="17"/>
      <c r="G163" s="17"/>
      <c r="H163" s="17"/>
    </row>
    <row r="164" spans="1:8" x14ac:dyDescent="0.2">
      <c r="A164" s="17"/>
      <c r="B164" s="17"/>
      <c r="C164" s="17"/>
      <c r="D164" s="17"/>
      <c r="E164" s="17"/>
      <c r="F164" s="17"/>
      <c r="G164" s="17"/>
      <c r="H164" s="17"/>
    </row>
    <row r="165" spans="1:8" x14ac:dyDescent="0.2">
      <c r="A165" s="17"/>
      <c r="B165" s="17"/>
      <c r="C165" s="17"/>
      <c r="D165" s="17"/>
      <c r="E165" s="17"/>
      <c r="F165" s="17"/>
      <c r="G165" s="17"/>
      <c r="H165" s="17"/>
    </row>
    <row r="166" spans="1:8" x14ac:dyDescent="0.2">
      <c r="A166" s="17"/>
      <c r="B166" s="17"/>
      <c r="C166" s="17"/>
      <c r="D166" s="17"/>
      <c r="E166" s="17"/>
      <c r="F166" s="17"/>
      <c r="G166" s="17"/>
      <c r="H166" s="17"/>
    </row>
    <row r="167" spans="1:8" x14ac:dyDescent="0.2">
      <c r="A167" s="17"/>
      <c r="B167" s="17"/>
      <c r="C167" s="17"/>
      <c r="D167" s="17"/>
      <c r="E167" s="17"/>
      <c r="F167" s="17"/>
      <c r="G167" s="17"/>
      <c r="H167" s="17"/>
    </row>
    <row r="168" spans="1:8" x14ac:dyDescent="0.2">
      <c r="A168" s="17"/>
      <c r="B168" s="17"/>
      <c r="C168" s="17"/>
      <c r="D168" s="17"/>
      <c r="E168" s="17"/>
      <c r="F168" s="17"/>
      <c r="G168" s="17"/>
      <c r="H168" s="17"/>
    </row>
    <row r="169" spans="1:8" x14ac:dyDescent="0.2">
      <c r="A169" s="17"/>
      <c r="B169" s="17"/>
      <c r="C169" s="17"/>
      <c r="D169" s="17"/>
      <c r="E169" s="17"/>
      <c r="F169" s="17"/>
      <c r="G169" s="17"/>
      <c r="H169" s="17"/>
    </row>
    <row r="170" spans="1:8" x14ac:dyDescent="0.2">
      <c r="A170" s="17"/>
      <c r="B170" s="17"/>
      <c r="C170" s="17"/>
      <c r="D170" s="17"/>
      <c r="E170" s="17"/>
      <c r="F170" s="17"/>
      <c r="G170" s="17"/>
      <c r="H170" s="17"/>
    </row>
    <row r="171" spans="1:8" x14ac:dyDescent="0.2">
      <c r="A171" s="17"/>
      <c r="B171" s="17"/>
      <c r="C171" s="17"/>
      <c r="D171" s="17"/>
      <c r="E171" s="17"/>
      <c r="F171" s="17"/>
      <c r="G171" s="17"/>
      <c r="H171" s="17"/>
    </row>
    <row r="172" spans="1:8" x14ac:dyDescent="0.2">
      <c r="A172" s="17"/>
      <c r="B172" s="17"/>
      <c r="C172" s="17"/>
      <c r="D172" s="17"/>
      <c r="E172" s="17"/>
      <c r="F172" s="17"/>
      <c r="G172" s="17"/>
      <c r="H172" s="17"/>
    </row>
    <row r="173" spans="1:8" x14ac:dyDescent="0.2">
      <c r="A173" s="17"/>
      <c r="B173" s="17"/>
      <c r="C173" s="17"/>
      <c r="D173" s="17"/>
      <c r="E173" s="17"/>
      <c r="F173" s="17"/>
      <c r="G173" s="17"/>
      <c r="H173" s="17"/>
    </row>
    <row r="174" spans="1:8" x14ac:dyDescent="0.2">
      <c r="A174" s="17"/>
      <c r="B174" s="17"/>
      <c r="C174" s="17"/>
      <c r="D174" s="17"/>
      <c r="E174" s="17"/>
      <c r="F174" s="17"/>
      <c r="G174" s="17"/>
      <c r="H174" s="17"/>
    </row>
    <row r="175" spans="1:8" x14ac:dyDescent="0.2">
      <c r="A175" s="17"/>
      <c r="B175" s="17"/>
      <c r="C175" s="17"/>
      <c r="D175" s="17"/>
      <c r="E175" s="17"/>
      <c r="F175" s="17"/>
      <c r="G175" s="17"/>
      <c r="H175" s="17"/>
    </row>
    <row r="176" spans="1:8" x14ac:dyDescent="0.2">
      <c r="A176" s="17"/>
      <c r="B176" s="17"/>
      <c r="C176" s="17"/>
      <c r="D176" s="17"/>
      <c r="E176" s="17"/>
      <c r="F176" s="17"/>
      <c r="G176" s="17"/>
      <c r="H176" s="17"/>
    </row>
    <row r="177" spans="1:8" x14ac:dyDescent="0.2">
      <c r="A177" s="17"/>
      <c r="B177" s="17"/>
      <c r="C177" s="17"/>
      <c r="D177" s="17"/>
      <c r="E177" s="17"/>
      <c r="F177" s="17"/>
      <c r="G177" s="17"/>
      <c r="H177" s="17"/>
    </row>
    <row r="178" spans="1:8" x14ac:dyDescent="0.2">
      <c r="A178" s="17"/>
      <c r="B178" s="17"/>
      <c r="C178" s="17"/>
      <c r="D178" s="17"/>
      <c r="E178" s="17"/>
      <c r="F178" s="17"/>
      <c r="G178" s="17"/>
      <c r="H178" s="17"/>
    </row>
    <row r="179" spans="1:8" x14ac:dyDescent="0.2">
      <c r="A179" s="17"/>
      <c r="B179" s="17"/>
      <c r="C179" s="17"/>
      <c r="D179" s="17"/>
      <c r="E179" s="17"/>
      <c r="F179" s="17"/>
      <c r="G179" s="17"/>
      <c r="H179" s="17"/>
    </row>
    <row r="180" spans="1:8" x14ac:dyDescent="0.2">
      <c r="A180" s="17"/>
      <c r="B180" s="17"/>
      <c r="C180" s="17"/>
      <c r="D180" s="17"/>
      <c r="E180" s="17"/>
      <c r="F180" s="17"/>
      <c r="G180" s="17"/>
      <c r="H180" s="17"/>
    </row>
    <row r="181" spans="1:8" x14ac:dyDescent="0.2">
      <c r="A181" s="17"/>
      <c r="B181" s="17"/>
      <c r="C181" s="17"/>
      <c r="D181" s="17"/>
      <c r="E181" s="17"/>
      <c r="F181" s="17"/>
      <c r="G181" s="17"/>
      <c r="H181" s="17"/>
    </row>
    <row r="182" spans="1:8" x14ac:dyDescent="0.2">
      <c r="A182" s="17"/>
      <c r="B182" s="17"/>
      <c r="C182" s="17"/>
      <c r="D182" s="17"/>
      <c r="E182" s="17"/>
      <c r="F182" s="17"/>
      <c r="G182" s="17"/>
      <c r="H182" s="17"/>
    </row>
    <row r="183" spans="1:8" x14ac:dyDescent="0.2">
      <c r="A183" s="17"/>
      <c r="B183" s="17"/>
      <c r="C183" s="17"/>
      <c r="D183" s="17"/>
      <c r="E183" s="17"/>
      <c r="F183" s="17"/>
      <c r="G183" s="17"/>
      <c r="H183" s="17"/>
    </row>
    <row r="184" spans="1:8" x14ac:dyDescent="0.2">
      <c r="A184" s="17"/>
      <c r="B184" s="17"/>
      <c r="C184" s="17"/>
      <c r="D184" s="17"/>
      <c r="E184" s="17"/>
      <c r="F184" s="17"/>
      <c r="G184" s="17"/>
      <c r="H184" s="17"/>
    </row>
    <row r="185" spans="1:8" x14ac:dyDescent="0.2">
      <c r="A185" s="17"/>
      <c r="B185" s="17"/>
      <c r="C185" s="17"/>
      <c r="D185" s="17"/>
      <c r="E185" s="17"/>
      <c r="F185" s="17"/>
      <c r="G185" s="17"/>
      <c r="H185" s="17"/>
    </row>
    <row r="186" spans="1:8" x14ac:dyDescent="0.2">
      <c r="A186" s="17"/>
      <c r="B186" s="17"/>
      <c r="C186" s="17"/>
      <c r="D186" s="17"/>
      <c r="E186" s="17"/>
      <c r="F186" s="17"/>
      <c r="G186" s="17"/>
      <c r="H186" s="17"/>
    </row>
    <row r="187" spans="1:8" x14ac:dyDescent="0.2">
      <c r="A187" s="17"/>
      <c r="B187" s="17"/>
      <c r="C187" s="17"/>
      <c r="D187" s="17"/>
      <c r="E187" s="17"/>
      <c r="F187" s="17"/>
      <c r="G187" s="17"/>
      <c r="H187" s="17"/>
    </row>
    <row r="188" spans="1:8" x14ac:dyDescent="0.2">
      <c r="A188" s="17"/>
      <c r="B188" s="17"/>
      <c r="C188" s="17"/>
      <c r="D188" s="17"/>
      <c r="E188" s="17"/>
      <c r="F188" s="17"/>
      <c r="G188" s="17"/>
      <c r="H188" s="17"/>
    </row>
    <row r="189" spans="1:8" x14ac:dyDescent="0.2">
      <c r="A189" s="17"/>
      <c r="B189" s="17"/>
      <c r="C189" s="17"/>
      <c r="D189" s="17"/>
      <c r="E189" s="17"/>
      <c r="F189" s="17"/>
      <c r="G189" s="17"/>
      <c r="H189" s="17"/>
    </row>
    <row r="190" spans="1:8" x14ac:dyDescent="0.2">
      <c r="A190" s="17"/>
      <c r="B190" s="17"/>
      <c r="C190" s="17"/>
      <c r="D190" s="17"/>
      <c r="E190" s="17"/>
      <c r="F190" s="17"/>
      <c r="G190" s="17"/>
      <c r="H190" s="17"/>
    </row>
    <row r="191" spans="1:8" x14ac:dyDescent="0.2">
      <c r="A191" s="17"/>
      <c r="B191" s="17"/>
      <c r="C191" s="17"/>
      <c r="D191" s="17"/>
      <c r="E191" s="17"/>
      <c r="F191" s="17"/>
      <c r="G191" s="17"/>
      <c r="H191" s="17"/>
    </row>
    <row r="192" spans="1:8" x14ac:dyDescent="0.2">
      <c r="A192" s="17"/>
      <c r="B192" s="17"/>
      <c r="C192" s="17"/>
      <c r="D192" s="17"/>
      <c r="E192" s="17"/>
      <c r="F192" s="17"/>
      <c r="G192" s="17"/>
      <c r="H192" s="17"/>
    </row>
    <row r="193" spans="1:8" x14ac:dyDescent="0.2">
      <c r="A193" s="17"/>
      <c r="B193" s="17"/>
      <c r="C193" s="17"/>
      <c r="D193" s="17"/>
      <c r="E193" s="17"/>
      <c r="F193" s="17"/>
      <c r="G193" s="17"/>
      <c r="H193" s="17"/>
    </row>
    <row r="194" spans="1:8" x14ac:dyDescent="0.2">
      <c r="A194" s="17"/>
      <c r="B194" s="17"/>
      <c r="C194" s="17"/>
      <c r="D194" s="17"/>
      <c r="E194" s="17"/>
      <c r="F194" s="17"/>
      <c r="G194" s="17"/>
      <c r="H194" s="17"/>
    </row>
    <row r="195" spans="1:8" x14ac:dyDescent="0.2">
      <c r="A195" s="17"/>
      <c r="B195" s="17"/>
      <c r="C195" s="17"/>
      <c r="D195" s="17"/>
      <c r="E195" s="17"/>
      <c r="F195" s="17"/>
      <c r="G195" s="17"/>
      <c r="H195" s="17"/>
    </row>
    <row r="196" spans="1:8" x14ac:dyDescent="0.2">
      <c r="A196" s="17"/>
      <c r="B196" s="17"/>
      <c r="C196" s="17"/>
      <c r="D196" s="17"/>
      <c r="E196" s="17"/>
      <c r="F196" s="17"/>
      <c r="G196" s="17"/>
      <c r="H196" s="17"/>
    </row>
    <row r="197" spans="1:8" x14ac:dyDescent="0.2">
      <c r="A197" s="17"/>
      <c r="B197" s="17"/>
      <c r="C197" s="17"/>
      <c r="D197" s="17"/>
      <c r="E197" s="17"/>
      <c r="F197" s="17"/>
      <c r="G197" s="17"/>
      <c r="H197" s="17"/>
    </row>
    <row r="198" spans="1:8" x14ac:dyDescent="0.2">
      <c r="A198" s="17"/>
      <c r="B198" s="17"/>
      <c r="C198" s="17"/>
      <c r="D198" s="17"/>
      <c r="E198" s="17"/>
      <c r="F198" s="17"/>
      <c r="G198" s="17"/>
      <c r="H198" s="17"/>
    </row>
    <row r="199" spans="1:8" x14ac:dyDescent="0.2">
      <c r="A199" s="17"/>
      <c r="B199" s="17"/>
      <c r="C199" s="17"/>
      <c r="D199" s="17"/>
      <c r="E199" s="17"/>
      <c r="F199" s="17"/>
      <c r="G199" s="17"/>
      <c r="H199" s="17"/>
    </row>
    <row r="200" spans="1:8" x14ac:dyDescent="0.2">
      <c r="A200" s="17"/>
      <c r="B200" s="17"/>
      <c r="C200" s="17"/>
      <c r="D200" s="17"/>
      <c r="E200" s="17"/>
      <c r="F200" s="17"/>
      <c r="G200" s="17"/>
      <c r="H200" s="17"/>
    </row>
    <row r="201" spans="1:8" x14ac:dyDescent="0.2">
      <c r="C201" s="17"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bestFit="1" customWidth="1"/>
    <col min="2" max="2" width="16.85546875" bestFit="1" customWidth="1"/>
    <col min="3" max="3" width="20.42578125" bestFit="1" customWidth="1"/>
    <col min="4" max="4" width="10.5703125" bestFit="1" customWidth="1"/>
    <col min="5" max="5" width="15.7109375" bestFit="1" customWidth="1"/>
    <col min="11" max="11" width="12.42578125" bestFit="1" customWidth="1"/>
    <col min="12" max="12" width="15.28515625" bestFit="1" customWidth="1"/>
  </cols>
  <sheetData>
    <row r="1" spans="1:15" x14ac:dyDescent="0.2">
      <c r="A1" s="692" t="s">
        <v>2418</v>
      </c>
      <c r="B1" s="688"/>
      <c r="C1" s="688"/>
      <c r="D1" s="688"/>
      <c r="E1" s="688"/>
    </row>
    <row r="2" spans="1:15" x14ac:dyDescent="0.2">
      <c r="A2" s="386" t="s">
        <v>2419</v>
      </c>
      <c r="B2" s="386" t="s">
        <v>2420</v>
      </c>
      <c r="C2" s="386" t="s">
        <v>2421</v>
      </c>
      <c r="D2" s="386" t="s">
        <v>2422</v>
      </c>
      <c r="E2" s="386" t="s">
        <v>2423</v>
      </c>
      <c r="I2" s="365" t="s">
        <v>2419</v>
      </c>
      <c r="J2" s="365" t="s">
        <v>2420</v>
      </c>
      <c r="K2" s="365" t="s">
        <v>2424</v>
      </c>
      <c r="L2" s="365" t="s">
        <v>2425</v>
      </c>
      <c r="N2" s="351" t="s">
        <v>2426</v>
      </c>
    </row>
    <row r="3" spans="1:15" x14ac:dyDescent="0.2">
      <c r="A3" s="17"/>
      <c r="B3" s="17"/>
      <c r="C3" s="17"/>
      <c r="D3" s="17"/>
      <c r="E3" s="17"/>
      <c r="I3" s="17">
        <v>1</v>
      </c>
      <c r="J3" s="17">
        <v>0</v>
      </c>
      <c r="K3" s="248" t="s">
        <v>84</v>
      </c>
      <c r="L3" s="17">
        <v>85</v>
      </c>
      <c r="N3" s="17" t="s">
        <v>2427</v>
      </c>
      <c r="O3" s="17" t="s">
        <v>2424</v>
      </c>
    </row>
    <row r="4" spans="1:15" x14ac:dyDescent="0.2">
      <c r="A4" s="17"/>
      <c r="B4" s="17"/>
      <c r="C4" s="17"/>
      <c r="D4" s="17"/>
      <c r="E4" s="17"/>
      <c r="I4" s="17">
        <v>2</v>
      </c>
      <c r="J4" s="17">
        <v>1</v>
      </c>
      <c r="K4" s="248" t="s">
        <v>2428</v>
      </c>
      <c r="L4" s="17">
        <v>107</v>
      </c>
      <c r="N4" s="17">
        <v>1</v>
      </c>
      <c r="O4" s="17" t="s">
        <v>2429</v>
      </c>
    </row>
    <row r="5" spans="1:15" x14ac:dyDescent="0.2">
      <c r="A5" s="17"/>
      <c r="B5" s="17"/>
      <c r="C5" s="17"/>
      <c r="D5" s="17"/>
      <c r="E5" s="17"/>
      <c r="I5" s="17">
        <v>3</v>
      </c>
      <c r="J5" s="17">
        <v>1</v>
      </c>
      <c r="K5" s="248" t="s">
        <v>2430</v>
      </c>
      <c r="L5" s="17">
        <v>115</v>
      </c>
      <c r="N5" s="17">
        <v>2</v>
      </c>
      <c r="O5" s="17"/>
    </row>
    <row r="6" spans="1:15" x14ac:dyDescent="0.2">
      <c r="A6" s="17"/>
      <c r="B6" s="17"/>
      <c r="C6" s="17"/>
      <c r="D6" s="17"/>
      <c r="E6" s="17"/>
      <c r="N6" s="17">
        <v>3</v>
      </c>
      <c r="O6" s="17"/>
    </row>
    <row r="7" spans="1:15" x14ac:dyDescent="0.2">
      <c r="A7" s="17"/>
      <c r="B7" s="17"/>
      <c r="C7" s="17"/>
      <c r="D7" s="17"/>
      <c r="E7" s="17"/>
      <c r="K7" s="367" t="s">
        <v>2431</v>
      </c>
      <c r="N7" s="17">
        <v>4</v>
      </c>
      <c r="O7" s="17"/>
    </row>
    <row r="8" spans="1:15" x14ac:dyDescent="0.2">
      <c r="A8" s="17"/>
      <c r="B8" s="17"/>
      <c r="C8" s="17"/>
      <c r="D8" s="17"/>
      <c r="E8" s="17"/>
      <c r="N8" s="17" t="s">
        <v>2432</v>
      </c>
      <c r="O8" s="17" t="s">
        <v>2429</v>
      </c>
    </row>
    <row r="9" spans="1:15" x14ac:dyDescent="0.2">
      <c r="A9" s="17"/>
      <c r="B9" s="17"/>
      <c r="C9" s="17"/>
      <c r="D9" s="17"/>
      <c r="E9" s="17"/>
    </row>
    <row r="10" spans="1:15" x14ac:dyDescent="0.2">
      <c r="A10" s="17"/>
      <c r="B10" s="17"/>
      <c r="C10" s="17"/>
      <c r="D10" s="17"/>
      <c r="E10" s="17"/>
      <c r="L10" s="49" t="s">
        <v>2433</v>
      </c>
    </row>
    <row r="11" spans="1:15" x14ac:dyDescent="0.2">
      <c r="A11" s="17"/>
      <c r="B11" s="17"/>
      <c r="C11" s="17"/>
      <c r="D11" s="17"/>
      <c r="E11" s="17"/>
      <c r="L11" s="49" t="s">
        <v>2434</v>
      </c>
    </row>
    <row r="12" spans="1:15" x14ac:dyDescent="0.2">
      <c r="A12" s="17"/>
      <c r="B12" s="17"/>
      <c r="C12" s="17"/>
      <c r="D12" s="17"/>
      <c r="E12" s="17"/>
    </row>
    <row r="13" spans="1:15" x14ac:dyDescent="0.2">
      <c r="A13" s="17"/>
      <c r="B13" s="17"/>
      <c r="C13" s="17"/>
      <c r="D13" s="17"/>
      <c r="E13" s="17"/>
      <c r="H13" s="382" t="s">
        <v>2435</v>
      </c>
    </row>
    <row r="14" spans="1:15" x14ac:dyDescent="0.2">
      <c r="A14" s="17"/>
      <c r="B14" s="17"/>
      <c r="C14" s="17"/>
      <c r="D14" s="17"/>
      <c r="E14" s="17"/>
    </row>
    <row r="15" spans="1:15" x14ac:dyDescent="0.2">
      <c r="A15" s="17"/>
      <c r="B15" s="17"/>
      <c r="C15" s="17"/>
      <c r="D15" s="17"/>
      <c r="E15" s="17"/>
    </row>
    <row r="16" spans="1:15" x14ac:dyDescent="0.2">
      <c r="A16" s="17"/>
      <c r="B16" s="17"/>
      <c r="C16" s="17"/>
      <c r="D16" s="17"/>
      <c r="E16" s="17"/>
    </row>
    <row r="17" spans="1:5" x14ac:dyDescent="0.2">
      <c r="A17" s="17"/>
      <c r="B17" s="17"/>
      <c r="C17" s="17"/>
      <c r="D17" s="17"/>
      <c r="E17" s="17"/>
    </row>
    <row r="18" spans="1:5" x14ac:dyDescent="0.2">
      <c r="A18" s="17"/>
      <c r="B18" s="17"/>
      <c r="C18" s="17"/>
      <c r="D18" s="17"/>
      <c r="E18" s="17"/>
    </row>
    <row r="19" spans="1:5" x14ac:dyDescent="0.2">
      <c r="A19" s="17"/>
      <c r="B19" s="17"/>
      <c r="C19" s="17"/>
      <c r="D19" s="17"/>
      <c r="E19" s="17"/>
    </row>
    <row r="20" spans="1:5" x14ac:dyDescent="0.2">
      <c r="A20" s="17"/>
      <c r="B20" s="17"/>
      <c r="C20" s="17"/>
      <c r="D20" s="17"/>
      <c r="E20" s="17"/>
    </row>
    <row r="21" spans="1:5" x14ac:dyDescent="0.2">
      <c r="A21" s="17"/>
      <c r="B21" s="17"/>
      <c r="C21" s="17"/>
      <c r="D21" s="17"/>
      <c r="E21" s="17"/>
    </row>
    <row r="22" spans="1:5" x14ac:dyDescent="0.2">
      <c r="A22" s="17"/>
      <c r="B22" s="17"/>
      <c r="C22" s="17"/>
      <c r="D22" s="17"/>
      <c r="E22" s="17"/>
    </row>
    <row r="23" spans="1:5" x14ac:dyDescent="0.2">
      <c r="A23" s="17"/>
      <c r="B23" s="17"/>
      <c r="C23" s="17"/>
      <c r="D23" s="17"/>
      <c r="E23" s="17"/>
    </row>
    <row r="24" spans="1:5" x14ac:dyDescent="0.2">
      <c r="A24" s="17"/>
      <c r="B24" s="17"/>
      <c r="C24" s="17"/>
      <c r="D24" s="17"/>
      <c r="E24" s="17"/>
    </row>
    <row r="25" spans="1:5" x14ac:dyDescent="0.2">
      <c r="A25" s="17"/>
      <c r="B25" s="17"/>
      <c r="C25" s="17"/>
      <c r="D25" s="17"/>
      <c r="E25" s="17"/>
    </row>
    <row r="26" spans="1:5" x14ac:dyDescent="0.2">
      <c r="A26" s="17"/>
      <c r="B26" s="17"/>
      <c r="C26" s="17"/>
      <c r="D26" s="17"/>
      <c r="E26" s="17"/>
    </row>
    <row r="27" spans="1:5" x14ac:dyDescent="0.2">
      <c r="A27" s="17"/>
      <c r="B27" s="17"/>
      <c r="C27" s="17"/>
      <c r="D27" s="17"/>
      <c r="E27" s="17"/>
    </row>
    <row r="28" spans="1:5" x14ac:dyDescent="0.2">
      <c r="A28" s="17"/>
      <c r="B28" s="17"/>
      <c r="C28" s="17"/>
      <c r="D28" s="17"/>
      <c r="E28" s="17"/>
    </row>
    <row r="29" spans="1:5" x14ac:dyDescent="0.2">
      <c r="A29" s="17"/>
      <c r="B29" s="17"/>
      <c r="C29" s="17"/>
      <c r="D29" s="17"/>
      <c r="E29" s="17"/>
    </row>
    <row r="30" spans="1:5" x14ac:dyDescent="0.2">
      <c r="A30" s="17"/>
      <c r="B30" s="17"/>
      <c r="C30" s="17"/>
      <c r="D30" s="17"/>
      <c r="E30" s="17"/>
    </row>
    <row r="31" spans="1:5" x14ac:dyDescent="0.2">
      <c r="A31" s="17"/>
      <c r="B31" s="17"/>
      <c r="C31" s="17"/>
      <c r="D31" s="17"/>
      <c r="E31" s="17"/>
    </row>
    <row r="32" spans="1:5" x14ac:dyDescent="0.2">
      <c r="A32" s="17"/>
      <c r="B32" s="17"/>
      <c r="C32" s="17"/>
      <c r="D32" s="17"/>
      <c r="E32" s="17"/>
    </row>
    <row r="33" spans="1:5" x14ac:dyDescent="0.2">
      <c r="A33" s="17"/>
      <c r="B33" s="17"/>
      <c r="C33" s="17"/>
      <c r="D33" s="17"/>
      <c r="E33" s="17"/>
    </row>
    <row r="34" spans="1:5" x14ac:dyDescent="0.2">
      <c r="A34" s="17"/>
      <c r="B34" s="17"/>
      <c r="C34" s="17"/>
      <c r="D34" s="17"/>
      <c r="E34" s="17"/>
    </row>
    <row r="35" spans="1:5" x14ac:dyDescent="0.2">
      <c r="A35" s="17"/>
      <c r="B35" s="17"/>
      <c r="C35" s="17"/>
      <c r="D35" s="17"/>
      <c r="E35" s="17"/>
    </row>
    <row r="36" spans="1:5" x14ac:dyDescent="0.2">
      <c r="A36" s="17"/>
      <c r="B36" s="17"/>
      <c r="C36" s="17"/>
      <c r="D36" s="17"/>
      <c r="E36" s="17"/>
    </row>
    <row r="37" spans="1:5" x14ac:dyDescent="0.2">
      <c r="A37" s="17"/>
      <c r="B37" s="17"/>
      <c r="C37" s="17"/>
      <c r="D37" s="17"/>
      <c r="E37" s="17"/>
    </row>
    <row r="38" spans="1:5" x14ac:dyDescent="0.2">
      <c r="A38" s="17"/>
      <c r="B38" s="17"/>
      <c r="C38" s="17"/>
      <c r="D38" s="17"/>
      <c r="E38" s="17"/>
    </row>
    <row r="39" spans="1:5" x14ac:dyDescent="0.2">
      <c r="A39" s="17"/>
      <c r="B39" s="17"/>
      <c r="C39" s="17"/>
      <c r="D39" s="17"/>
      <c r="E39" s="17"/>
    </row>
    <row r="40" spans="1:5" x14ac:dyDescent="0.2">
      <c r="A40" s="17"/>
      <c r="B40" s="17"/>
      <c r="C40" s="17"/>
      <c r="D40" s="17"/>
      <c r="E40" s="17"/>
    </row>
    <row r="41" spans="1:5" x14ac:dyDescent="0.2">
      <c r="A41" s="17"/>
      <c r="B41" s="17"/>
      <c r="C41" s="17"/>
      <c r="D41" s="17"/>
      <c r="E41" s="17"/>
    </row>
    <row r="42" spans="1:5" x14ac:dyDescent="0.2">
      <c r="A42" s="17"/>
      <c r="B42" s="17"/>
      <c r="C42" s="17"/>
      <c r="D42" s="17"/>
      <c r="E42" s="17"/>
    </row>
    <row r="43" spans="1:5" x14ac:dyDescent="0.2">
      <c r="A43" s="17"/>
      <c r="B43" s="17"/>
      <c r="C43" s="17"/>
      <c r="D43" s="17"/>
      <c r="E43" s="17"/>
    </row>
    <row r="44" spans="1:5" x14ac:dyDescent="0.2">
      <c r="A44" s="17"/>
      <c r="B44" s="17"/>
      <c r="C44" s="17"/>
      <c r="D44" s="17"/>
      <c r="E44" s="17"/>
    </row>
    <row r="45" spans="1:5" x14ac:dyDescent="0.2">
      <c r="A45" s="17"/>
      <c r="B45" s="17"/>
      <c r="C45" s="17"/>
      <c r="D45" s="17"/>
      <c r="E45" s="17"/>
    </row>
    <row r="46" spans="1:5" x14ac:dyDescent="0.2">
      <c r="A46" s="17"/>
      <c r="B46" s="17"/>
      <c r="C46" s="17"/>
      <c r="D46" s="17"/>
      <c r="E46" s="17"/>
    </row>
    <row r="47" spans="1:5" x14ac:dyDescent="0.2">
      <c r="A47" s="17"/>
      <c r="B47" s="17"/>
      <c r="C47" s="17"/>
      <c r="D47" s="17"/>
      <c r="E47" s="17"/>
    </row>
    <row r="48" spans="1:5" x14ac:dyDescent="0.2">
      <c r="A48" s="17"/>
      <c r="B48" s="17"/>
      <c r="C48" s="17"/>
      <c r="D48" s="17"/>
      <c r="E48" s="17"/>
    </row>
    <row r="49" spans="1:5" x14ac:dyDescent="0.2">
      <c r="A49" s="17"/>
      <c r="B49" s="17"/>
      <c r="C49" s="17"/>
      <c r="D49" s="17"/>
      <c r="E49" s="17"/>
    </row>
    <row r="50" spans="1:5" x14ac:dyDescent="0.2">
      <c r="A50" s="17"/>
      <c r="B50" s="17"/>
      <c r="C50" s="17"/>
      <c r="D50" s="17"/>
      <c r="E50" s="17"/>
    </row>
    <row r="51" spans="1:5" x14ac:dyDescent="0.2">
      <c r="A51" s="17"/>
      <c r="B51" s="17"/>
      <c r="C51" s="17"/>
      <c r="D51" s="17"/>
      <c r="E51" s="17"/>
    </row>
    <row r="52" spans="1:5" x14ac:dyDescent="0.2">
      <c r="A52" s="17"/>
      <c r="B52" s="17"/>
      <c r="C52" s="17"/>
      <c r="D52" s="17"/>
      <c r="E52" s="17"/>
    </row>
    <row r="53" spans="1:5" x14ac:dyDescent="0.2">
      <c r="A53" s="17"/>
      <c r="B53" s="17"/>
      <c r="C53" s="17"/>
      <c r="D53" s="17"/>
      <c r="E53" s="17"/>
    </row>
    <row r="54" spans="1:5" x14ac:dyDescent="0.2">
      <c r="A54" s="17"/>
      <c r="B54" s="17"/>
      <c r="C54" s="17"/>
      <c r="D54" s="17"/>
      <c r="E54" s="17"/>
    </row>
    <row r="55" spans="1:5" x14ac:dyDescent="0.2">
      <c r="A55" s="17"/>
      <c r="B55" s="17"/>
      <c r="C55" s="17"/>
      <c r="D55" s="17"/>
      <c r="E55" s="17"/>
    </row>
    <row r="56" spans="1:5" x14ac:dyDescent="0.2">
      <c r="A56" s="17"/>
      <c r="B56" s="17"/>
      <c r="C56" s="17"/>
      <c r="D56" s="17"/>
      <c r="E56" s="17"/>
    </row>
    <row r="57" spans="1:5" x14ac:dyDescent="0.2">
      <c r="A57" s="17"/>
      <c r="B57" s="17"/>
      <c r="C57" s="17"/>
      <c r="D57" s="17"/>
      <c r="E57" s="17"/>
    </row>
    <row r="58" spans="1:5" x14ac:dyDescent="0.2">
      <c r="A58" s="17"/>
      <c r="B58" s="17"/>
      <c r="C58" s="17"/>
      <c r="D58" s="17"/>
      <c r="E58" s="17"/>
    </row>
    <row r="59" spans="1:5" x14ac:dyDescent="0.2">
      <c r="A59" s="17"/>
      <c r="B59" s="17"/>
      <c r="C59" s="17"/>
      <c r="D59" s="17"/>
      <c r="E59" s="17"/>
    </row>
    <row r="60" spans="1:5" x14ac:dyDescent="0.2">
      <c r="A60" s="17"/>
      <c r="B60" s="17"/>
      <c r="C60" s="17"/>
      <c r="D60" s="17"/>
      <c r="E60" s="17"/>
    </row>
    <row r="61" spans="1:5" x14ac:dyDescent="0.2">
      <c r="A61" s="17"/>
      <c r="B61" s="17"/>
      <c r="C61" s="17"/>
      <c r="D61" s="17"/>
      <c r="E61" s="17"/>
    </row>
    <row r="62" spans="1:5" x14ac:dyDescent="0.2">
      <c r="A62" s="17"/>
      <c r="B62" s="17"/>
      <c r="C62" s="17"/>
      <c r="D62" s="17"/>
      <c r="E62" s="17"/>
    </row>
    <row r="63" spans="1:5" x14ac:dyDescent="0.2">
      <c r="A63" s="17"/>
      <c r="B63" s="17"/>
      <c r="C63" s="17"/>
      <c r="D63" s="17"/>
      <c r="E63" s="17"/>
    </row>
    <row r="64" spans="1:5" x14ac:dyDescent="0.2">
      <c r="A64" s="17"/>
      <c r="B64" s="17"/>
      <c r="C64" s="17"/>
      <c r="D64" s="17"/>
      <c r="E64" s="17"/>
    </row>
    <row r="65" spans="1:5" x14ac:dyDescent="0.2">
      <c r="A65" s="17"/>
      <c r="B65" s="17"/>
      <c r="C65" s="17"/>
      <c r="D65" s="17"/>
      <c r="E65" s="17"/>
    </row>
    <row r="66" spans="1:5" x14ac:dyDescent="0.2">
      <c r="A66" s="17"/>
      <c r="B66" s="17"/>
      <c r="C66" s="17"/>
      <c r="D66" s="17"/>
      <c r="E66" s="17"/>
    </row>
    <row r="67" spans="1:5" x14ac:dyDescent="0.2">
      <c r="A67" s="17"/>
      <c r="B67" s="17"/>
      <c r="C67" s="17"/>
      <c r="D67" s="17"/>
      <c r="E67" s="17"/>
    </row>
    <row r="68" spans="1:5" x14ac:dyDescent="0.2">
      <c r="A68" s="17"/>
      <c r="B68" s="17"/>
      <c r="C68" s="17"/>
      <c r="D68" s="17"/>
      <c r="E68" s="17"/>
    </row>
    <row r="69" spans="1:5" x14ac:dyDescent="0.2">
      <c r="A69" s="17"/>
      <c r="B69" s="17"/>
      <c r="C69" s="17"/>
      <c r="D69" s="17"/>
      <c r="E69" s="17"/>
    </row>
    <row r="70" spans="1:5" x14ac:dyDescent="0.2">
      <c r="A70" s="17"/>
      <c r="B70" s="17"/>
      <c r="C70" s="17"/>
      <c r="D70" s="17"/>
      <c r="E70" s="17"/>
    </row>
    <row r="71" spans="1:5" x14ac:dyDescent="0.2">
      <c r="A71" s="17"/>
      <c r="B71" s="17"/>
      <c r="C71" s="17"/>
      <c r="D71" s="17"/>
      <c r="E71" s="17"/>
    </row>
    <row r="72" spans="1:5" x14ac:dyDescent="0.2">
      <c r="A72" s="17"/>
      <c r="B72" s="17"/>
      <c r="C72" s="17"/>
      <c r="D72" s="17"/>
      <c r="E72" s="17"/>
    </row>
    <row r="73" spans="1:5" x14ac:dyDescent="0.2">
      <c r="A73" s="17"/>
      <c r="B73" s="17"/>
      <c r="C73" s="17"/>
      <c r="D73" s="17"/>
      <c r="E73" s="17"/>
    </row>
    <row r="74" spans="1:5" x14ac:dyDescent="0.2">
      <c r="A74" s="17"/>
      <c r="B74" s="17"/>
      <c r="C74" s="17"/>
      <c r="D74" s="17"/>
      <c r="E74" s="17"/>
    </row>
    <row r="75" spans="1:5" x14ac:dyDescent="0.2">
      <c r="A75" s="17"/>
      <c r="B75" s="17"/>
      <c r="C75" s="17"/>
      <c r="D75" s="17"/>
      <c r="E75" s="17"/>
    </row>
    <row r="76" spans="1:5" x14ac:dyDescent="0.2">
      <c r="A76" s="17"/>
      <c r="B76" s="17"/>
      <c r="C76" s="17"/>
      <c r="D76" s="17"/>
      <c r="E76" s="17"/>
    </row>
    <row r="77" spans="1:5" x14ac:dyDescent="0.2">
      <c r="A77" s="17"/>
      <c r="B77" s="17"/>
      <c r="C77" s="17"/>
      <c r="D77" s="17"/>
      <c r="E77" s="17"/>
    </row>
    <row r="78" spans="1:5" x14ac:dyDescent="0.2">
      <c r="A78" s="17"/>
      <c r="B78" s="17"/>
      <c r="C78" s="17"/>
      <c r="D78" s="17"/>
      <c r="E78" s="17"/>
    </row>
    <row r="79" spans="1:5" x14ac:dyDescent="0.2">
      <c r="A79" s="17"/>
      <c r="B79" s="17"/>
      <c r="C79" s="17"/>
      <c r="D79" s="17"/>
      <c r="E79" s="17"/>
    </row>
    <row r="80" spans="1:5" x14ac:dyDescent="0.2">
      <c r="A80" s="17"/>
      <c r="B80" s="17"/>
      <c r="C80" s="17"/>
      <c r="D80" s="17"/>
      <c r="E80" s="17"/>
    </row>
    <row r="81" spans="1:5" x14ac:dyDescent="0.2">
      <c r="A81" s="17"/>
      <c r="B81" s="17"/>
      <c r="C81" s="17"/>
      <c r="D81" s="17"/>
      <c r="E81" s="17"/>
    </row>
    <row r="82" spans="1:5" x14ac:dyDescent="0.2">
      <c r="A82" s="17"/>
      <c r="B82" s="17"/>
      <c r="C82" s="17"/>
      <c r="D82" s="17"/>
      <c r="E82" s="17"/>
    </row>
    <row r="83" spans="1:5" x14ac:dyDescent="0.2">
      <c r="A83" s="17"/>
      <c r="B83" s="17"/>
      <c r="C83" s="17"/>
      <c r="D83" s="17"/>
      <c r="E83" s="17"/>
    </row>
    <row r="84" spans="1:5" x14ac:dyDescent="0.2">
      <c r="A84" s="17"/>
      <c r="B84" s="17"/>
      <c r="C84" s="17"/>
      <c r="D84" s="17"/>
      <c r="E84" s="17"/>
    </row>
    <row r="85" spans="1:5" x14ac:dyDescent="0.2">
      <c r="A85" s="17"/>
      <c r="B85" s="17"/>
      <c r="C85" s="17"/>
      <c r="D85" s="17"/>
      <c r="E85" s="17"/>
    </row>
    <row r="86" spans="1:5" x14ac:dyDescent="0.2">
      <c r="A86" s="17"/>
      <c r="B86" s="17"/>
      <c r="C86" s="17"/>
      <c r="D86" s="17"/>
      <c r="E86" s="17"/>
    </row>
    <row r="87" spans="1:5" x14ac:dyDescent="0.2">
      <c r="A87" s="17"/>
      <c r="B87" s="17"/>
      <c r="C87" s="17"/>
      <c r="D87" s="17"/>
      <c r="E87" s="17"/>
    </row>
    <row r="88" spans="1:5" x14ac:dyDescent="0.2">
      <c r="A88" s="17"/>
      <c r="B88" s="17"/>
      <c r="C88" s="17"/>
      <c r="D88" s="17"/>
      <c r="E88" s="17"/>
    </row>
    <row r="89" spans="1:5" x14ac:dyDescent="0.2">
      <c r="A89" s="17"/>
      <c r="B89" s="17"/>
      <c r="C89" s="17"/>
      <c r="D89" s="17"/>
      <c r="E89" s="17"/>
    </row>
    <row r="90" spans="1:5" x14ac:dyDescent="0.2">
      <c r="A90" s="17"/>
      <c r="B90" s="17"/>
      <c r="C90" s="17"/>
      <c r="D90" s="17"/>
      <c r="E90" s="17"/>
    </row>
    <row r="91" spans="1:5" x14ac:dyDescent="0.2">
      <c r="A91" s="17"/>
      <c r="B91" s="17"/>
      <c r="C91" s="17"/>
      <c r="D91" s="17"/>
      <c r="E91" s="17"/>
    </row>
    <row r="92" spans="1:5" x14ac:dyDescent="0.2">
      <c r="A92" s="17"/>
      <c r="B92" s="17"/>
      <c r="C92" s="17"/>
      <c r="D92" s="17"/>
      <c r="E92" s="17"/>
    </row>
    <row r="93" spans="1:5" x14ac:dyDescent="0.2">
      <c r="A93" s="17"/>
      <c r="B93" s="17"/>
      <c r="C93" s="17"/>
      <c r="D93" s="17"/>
      <c r="E93" s="17"/>
    </row>
    <row r="94" spans="1:5" x14ac:dyDescent="0.2">
      <c r="A94" s="17"/>
      <c r="B94" s="17"/>
      <c r="C94" s="17"/>
      <c r="D94" s="17"/>
      <c r="E94" s="17"/>
    </row>
    <row r="95" spans="1:5" x14ac:dyDescent="0.2">
      <c r="A95" s="17"/>
      <c r="B95" s="17"/>
      <c r="C95" s="17"/>
      <c r="D95" s="17"/>
      <c r="E95" s="17"/>
    </row>
    <row r="96" spans="1:5" x14ac:dyDescent="0.2">
      <c r="A96" s="17"/>
      <c r="B96" s="17"/>
      <c r="C96" s="17"/>
      <c r="D96" s="17"/>
      <c r="E96" s="17"/>
    </row>
    <row r="97" spans="1:5" x14ac:dyDescent="0.2">
      <c r="A97" s="17"/>
      <c r="B97" s="17"/>
      <c r="C97" s="17"/>
      <c r="D97" s="17"/>
      <c r="E97" s="17"/>
    </row>
    <row r="98" spans="1:5" x14ac:dyDescent="0.2">
      <c r="A98" s="17"/>
      <c r="B98" s="17"/>
      <c r="C98" s="17"/>
      <c r="D98" s="17"/>
      <c r="E98" s="17"/>
    </row>
    <row r="99" spans="1:5" x14ac:dyDescent="0.2">
      <c r="A99" s="17"/>
      <c r="B99" s="17"/>
      <c r="C99" s="17"/>
      <c r="D99" s="17"/>
      <c r="E99" s="17"/>
    </row>
    <row r="100" spans="1:5" x14ac:dyDescent="0.2">
      <c r="A100" s="17"/>
      <c r="B100" s="17"/>
      <c r="C100" s="17"/>
      <c r="D100" s="17"/>
      <c r="E100" s="17"/>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bestFit="1" customWidth="1"/>
    <col min="2" max="2" width="19.42578125" bestFit="1" customWidth="1"/>
    <col min="3" max="3" width="7.42578125" bestFit="1" customWidth="1"/>
    <col min="4" max="4" width="10" bestFit="1" customWidth="1"/>
    <col min="5" max="5" width="15" bestFit="1" customWidth="1"/>
    <col min="6" max="6" width="8.5703125" bestFit="1" customWidth="1"/>
    <col min="7" max="7" width="13.5703125" bestFit="1" customWidth="1"/>
    <col min="8" max="8" width="16.140625" bestFit="1" customWidth="1"/>
    <col min="9" max="9" width="6.140625" bestFit="1" customWidth="1"/>
    <col min="16" max="16" width="12.85546875" customWidth="1"/>
    <col min="17" max="17" width="16.140625" bestFit="1" customWidth="1"/>
  </cols>
  <sheetData>
    <row r="1" spans="1:18" x14ac:dyDescent="0.2">
      <c r="A1" s="688" t="s">
        <v>2436</v>
      </c>
      <c r="B1" s="688"/>
      <c r="C1" s="688"/>
      <c r="D1" s="688"/>
      <c r="E1" s="688"/>
      <c r="F1" s="688"/>
      <c r="G1" s="688"/>
      <c r="H1" s="688"/>
      <c r="I1" s="688"/>
      <c r="K1" s="344"/>
    </row>
    <row r="2" spans="1:18" x14ac:dyDescent="0.2">
      <c r="A2" s="370" t="s">
        <v>2103</v>
      </c>
      <c r="B2" s="370" t="s">
        <v>2437</v>
      </c>
      <c r="C2" s="370" t="s">
        <v>2371</v>
      </c>
      <c r="D2" s="370" t="s">
        <v>2419</v>
      </c>
      <c r="E2" s="385" t="s">
        <v>2372</v>
      </c>
      <c r="F2" s="370" t="s">
        <v>2408</v>
      </c>
      <c r="G2" s="385" t="s">
        <v>2399</v>
      </c>
      <c r="H2" s="365" t="s">
        <v>2438</v>
      </c>
      <c r="I2" s="365" t="s">
        <v>2425</v>
      </c>
      <c r="O2" s="365" t="s">
        <v>2419</v>
      </c>
      <c r="P2" s="365" t="s">
        <v>2413</v>
      </c>
      <c r="Q2" s="365" t="s">
        <v>2424</v>
      </c>
      <c r="R2" s="365" t="s">
        <v>2425</v>
      </c>
    </row>
    <row r="3" spans="1:18" x14ac:dyDescent="0.2">
      <c r="A3" s="17"/>
      <c r="B3" s="17"/>
      <c r="C3" s="17"/>
      <c r="D3" s="17"/>
      <c r="E3" s="17"/>
      <c r="F3" s="17"/>
      <c r="G3" s="17"/>
      <c r="H3" s="17"/>
      <c r="I3" s="17"/>
      <c r="O3" s="17">
        <v>1</v>
      </c>
      <c r="P3" s="248" t="s">
        <v>2439</v>
      </c>
      <c r="Q3" s="248" t="s">
        <v>2440</v>
      </c>
      <c r="R3" s="17">
        <v>80</v>
      </c>
    </row>
    <row r="4" spans="1:18" x14ac:dyDescent="0.2">
      <c r="A4" s="17"/>
      <c r="B4" s="17"/>
      <c r="C4" s="17"/>
      <c r="D4" s="17"/>
      <c r="E4" s="17"/>
      <c r="F4" s="17"/>
      <c r="G4" s="17"/>
      <c r="H4" s="17"/>
      <c r="I4" s="17"/>
      <c r="O4" s="17">
        <v>1</v>
      </c>
      <c r="P4" s="17">
        <v>1</v>
      </c>
      <c r="Q4" s="248" t="s">
        <v>2441</v>
      </c>
      <c r="R4" s="17">
        <v>95</v>
      </c>
    </row>
    <row r="5" spans="1:18" x14ac:dyDescent="0.2">
      <c r="A5" s="17"/>
      <c r="B5" s="17"/>
      <c r="C5" s="17"/>
      <c r="D5" s="17"/>
      <c r="E5" s="17"/>
      <c r="F5" s="17"/>
      <c r="G5" s="17"/>
      <c r="H5" s="17"/>
      <c r="I5" s="17"/>
      <c r="O5" s="17">
        <v>1</v>
      </c>
      <c r="P5" s="17">
        <v>2</v>
      </c>
      <c r="Q5" s="248" t="s">
        <v>2442</v>
      </c>
      <c r="R5" s="17">
        <v>97</v>
      </c>
    </row>
    <row r="6" spans="1:18" x14ac:dyDescent="0.2">
      <c r="A6" s="17"/>
      <c r="B6" s="17"/>
      <c r="C6" s="17"/>
      <c r="D6" s="17"/>
      <c r="E6" s="17"/>
      <c r="F6" s="17"/>
      <c r="G6" s="17"/>
      <c r="H6" s="17"/>
      <c r="I6" s="17"/>
      <c r="O6" s="17">
        <v>2</v>
      </c>
      <c r="P6" s="248" t="s">
        <v>2439</v>
      </c>
      <c r="Q6" s="248" t="s">
        <v>2440</v>
      </c>
      <c r="R6" s="17">
        <v>85</v>
      </c>
    </row>
    <row r="7" spans="1:18" x14ac:dyDescent="0.2">
      <c r="A7" s="17"/>
      <c r="B7" s="17"/>
      <c r="C7" s="17"/>
      <c r="D7" s="17"/>
      <c r="E7" s="17"/>
      <c r="F7" s="17"/>
      <c r="G7" s="17"/>
      <c r="H7" s="17"/>
      <c r="I7" s="17"/>
      <c r="O7" s="17">
        <v>2</v>
      </c>
      <c r="P7" s="17">
        <v>1</v>
      </c>
      <c r="Q7" s="248" t="s">
        <v>2441</v>
      </c>
      <c r="R7" s="17">
        <v>94</v>
      </c>
    </row>
    <row r="8" spans="1:18" x14ac:dyDescent="0.2">
      <c r="A8" s="17"/>
      <c r="B8" s="17"/>
      <c r="C8" s="17"/>
      <c r="D8" s="17"/>
      <c r="E8" s="17"/>
      <c r="F8" s="17"/>
      <c r="G8" s="17"/>
      <c r="H8" s="17"/>
      <c r="I8" s="17"/>
      <c r="O8" s="17">
        <v>2</v>
      </c>
      <c r="P8" s="17">
        <v>2</v>
      </c>
      <c r="Q8" s="248" t="s">
        <v>2442</v>
      </c>
      <c r="R8" s="17">
        <v>96</v>
      </c>
    </row>
    <row r="9" spans="1:18" x14ac:dyDescent="0.2">
      <c r="A9" s="17"/>
      <c r="B9" s="17"/>
      <c r="C9" s="17"/>
      <c r="D9" s="17"/>
      <c r="E9" s="17"/>
      <c r="F9" s="17"/>
      <c r="G9" s="17"/>
      <c r="H9" s="17"/>
      <c r="I9" s="17"/>
      <c r="O9" s="17">
        <v>2</v>
      </c>
      <c r="P9" s="17">
        <v>3</v>
      </c>
      <c r="Q9" s="248" t="s">
        <v>2443</v>
      </c>
      <c r="R9" s="17">
        <v>101</v>
      </c>
    </row>
    <row r="10" spans="1:18" x14ac:dyDescent="0.2">
      <c r="A10" s="17"/>
      <c r="B10" s="17"/>
      <c r="C10" s="17"/>
      <c r="D10" s="17"/>
      <c r="E10" s="17"/>
      <c r="F10" s="17"/>
      <c r="G10" s="17"/>
      <c r="H10" s="17"/>
      <c r="I10" s="17"/>
    </row>
    <row r="11" spans="1:18" x14ac:dyDescent="0.2">
      <c r="A11" s="17"/>
      <c r="B11" s="17"/>
      <c r="C11" s="17"/>
      <c r="D11" s="17"/>
      <c r="E11" s="17"/>
      <c r="F11" s="17"/>
      <c r="G11" s="17"/>
      <c r="H11" s="17"/>
      <c r="I11" s="17"/>
      <c r="O11" s="49" t="s">
        <v>2444</v>
      </c>
    </row>
    <row r="12" spans="1:18" x14ac:dyDescent="0.2">
      <c r="A12" s="17"/>
      <c r="B12" s="17"/>
      <c r="C12" s="17"/>
      <c r="D12" s="17"/>
      <c r="E12" s="17"/>
      <c r="F12" s="17"/>
      <c r="G12" s="17"/>
      <c r="H12" s="17"/>
      <c r="I12" s="17"/>
      <c r="O12" s="49" t="s">
        <v>2445</v>
      </c>
    </row>
    <row r="13" spans="1:18" x14ac:dyDescent="0.2">
      <c r="A13" s="17"/>
      <c r="B13" s="17"/>
      <c r="C13" s="17"/>
      <c r="D13" s="17"/>
      <c r="E13" s="17"/>
      <c r="F13" s="17"/>
      <c r="G13" s="17"/>
      <c r="H13" s="17"/>
      <c r="I13" s="17"/>
    </row>
    <row r="14" spans="1:18" x14ac:dyDescent="0.2">
      <c r="A14" s="17"/>
      <c r="B14" s="17"/>
      <c r="C14" s="17"/>
      <c r="D14" s="17"/>
      <c r="E14" s="17"/>
      <c r="F14" s="17"/>
      <c r="G14" s="17"/>
      <c r="H14" s="17"/>
      <c r="I14" s="17"/>
    </row>
    <row r="15" spans="1:18" x14ac:dyDescent="0.2">
      <c r="A15" s="17"/>
      <c r="B15" s="17"/>
      <c r="C15" s="17"/>
      <c r="D15" s="17"/>
      <c r="E15" s="17"/>
      <c r="F15" s="17"/>
      <c r="G15" s="17"/>
      <c r="H15" s="17"/>
      <c r="I15" s="17"/>
    </row>
    <row r="16" spans="1:18" x14ac:dyDescent="0.2">
      <c r="A16" s="17"/>
      <c r="B16" s="17"/>
      <c r="C16" s="17"/>
      <c r="D16" s="17"/>
      <c r="E16" s="17"/>
      <c r="F16" s="17"/>
      <c r="G16" s="17"/>
      <c r="H16" s="17"/>
      <c r="I16" s="17"/>
    </row>
    <row r="17" spans="1:9" x14ac:dyDescent="0.2">
      <c r="A17" s="17"/>
      <c r="B17" s="17"/>
      <c r="C17" s="17"/>
      <c r="D17" s="17"/>
      <c r="E17" s="17"/>
      <c r="F17" s="17"/>
      <c r="G17" s="17"/>
      <c r="H17" s="17"/>
      <c r="I17" s="17"/>
    </row>
    <row r="18" spans="1:9" x14ac:dyDescent="0.2">
      <c r="A18" s="17"/>
      <c r="B18" s="17"/>
      <c r="C18" s="17"/>
      <c r="D18" s="17"/>
      <c r="E18" s="17"/>
      <c r="F18" s="17"/>
      <c r="G18" s="17"/>
      <c r="H18" s="17"/>
      <c r="I18" s="17"/>
    </row>
    <row r="19" spans="1:9" x14ac:dyDescent="0.2">
      <c r="A19" s="17"/>
      <c r="B19" s="17"/>
      <c r="C19" s="17"/>
      <c r="D19" s="17"/>
      <c r="E19" s="17"/>
      <c r="F19" s="17"/>
      <c r="G19" s="17"/>
      <c r="H19" s="17"/>
      <c r="I19" s="17"/>
    </row>
    <row r="20" spans="1:9" x14ac:dyDescent="0.2">
      <c r="A20" s="17"/>
      <c r="B20" s="17"/>
      <c r="C20" s="17"/>
      <c r="D20" s="17"/>
      <c r="E20" s="17"/>
      <c r="F20" s="17"/>
      <c r="G20" s="17"/>
      <c r="H20" s="17"/>
      <c r="I20" s="17"/>
    </row>
    <row r="21" spans="1:9" x14ac:dyDescent="0.2">
      <c r="A21" s="17"/>
      <c r="B21" s="17"/>
      <c r="C21" s="17"/>
      <c r="D21" s="17"/>
      <c r="E21" s="17"/>
      <c r="F21" s="17"/>
      <c r="G21" s="17"/>
      <c r="H21" s="17"/>
      <c r="I21" s="17"/>
    </row>
    <row r="22" spans="1:9" x14ac:dyDescent="0.2">
      <c r="A22" s="17"/>
      <c r="B22" s="17"/>
      <c r="C22" s="17"/>
      <c r="D22" s="17"/>
      <c r="E22" s="17"/>
      <c r="F22" s="17"/>
      <c r="G22" s="17"/>
      <c r="H22" s="17"/>
      <c r="I22" s="17"/>
    </row>
    <row r="23" spans="1:9" x14ac:dyDescent="0.2">
      <c r="A23" s="17"/>
      <c r="B23" s="17"/>
      <c r="C23" s="17"/>
      <c r="D23" s="17"/>
      <c r="E23" s="17"/>
      <c r="F23" s="17"/>
      <c r="G23" s="17"/>
      <c r="H23" s="17"/>
      <c r="I23" s="17"/>
    </row>
    <row r="24" spans="1:9" x14ac:dyDescent="0.2">
      <c r="A24" s="17"/>
      <c r="B24" s="17"/>
      <c r="C24" s="17"/>
      <c r="D24" s="17"/>
      <c r="E24" s="17"/>
      <c r="F24" s="17"/>
      <c r="G24" s="17"/>
      <c r="H24" s="17"/>
      <c r="I24" s="17"/>
    </row>
    <row r="25" spans="1:9" x14ac:dyDescent="0.2">
      <c r="A25" s="17"/>
      <c r="B25" s="17"/>
      <c r="C25" s="17"/>
      <c r="D25" s="17"/>
      <c r="E25" s="17"/>
      <c r="F25" s="17"/>
      <c r="G25" s="17"/>
      <c r="H25" s="17"/>
      <c r="I25" s="17"/>
    </row>
    <row r="26" spans="1:9" x14ac:dyDescent="0.2">
      <c r="A26" s="17"/>
      <c r="B26" s="17"/>
      <c r="C26" s="17"/>
      <c r="D26" s="17"/>
      <c r="E26" s="17"/>
      <c r="F26" s="17"/>
      <c r="G26" s="17"/>
      <c r="H26" s="17"/>
      <c r="I26" s="17"/>
    </row>
    <row r="27" spans="1:9" x14ac:dyDescent="0.2">
      <c r="A27" s="17"/>
      <c r="B27" s="17"/>
      <c r="C27" s="17"/>
      <c r="D27" s="17"/>
      <c r="E27" s="17"/>
      <c r="F27" s="17"/>
      <c r="G27" s="17"/>
      <c r="H27" s="17"/>
      <c r="I27" s="17"/>
    </row>
    <row r="28" spans="1:9" x14ac:dyDescent="0.2">
      <c r="A28" s="17"/>
      <c r="B28" s="17"/>
      <c r="C28" s="17"/>
      <c r="D28" s="17"/>
      <c r="E28" s="17"/>
      <c r="F28" s="17"/>
      <c r="G28" s="17"/>
      <c r="H28" s="17"/>
      <c r="I28" s="17"/>
    </row>
    <row r="29" spans="1:9" x14ac:dyDescent="0.2">
      <c r="A29" s="17"/>
      <c r="B29" s="17"/>
      <c r="C29" s="17"/>
      <c r="D29" s="17"/>
      <c r="E29" s="17"/>
      <c r="F29" s="17"/>
      <c r="G29" s="17"/>
      <c r="H29" s="17"/>
      <c r="I29" s="17"/>
    </row>
    <row r="30" spans="1:9" x14ac:dyDescent="0.2">
      <c r="A30" s="17"/>
      <c r="B30" s="17"/>
      <c r="C30" s="17"/>
      <c r="D30" s="17"/>
      <c r="E30" s="17"/>
      <c r="F30" s="17"/>
      <c r="G30" s="17"/>
      <c r="H30" s="17"/>
      <c r="I30" s="17"/>
    </row>
    <row r="31" spans="1:9" x14ac:dyDescent="0.2">
      <c r="A31" s="17"/>
      <c r="B31" s="17"/>
      <c r="C31" s="17"/>
      <c r="D31" s="17"/>
      <c r="E31" s="17"/>
      <c r="F31" s="17"/>
      <c r="G31" s="17"/>
      <c r="H31" s="17"/>
      <c r="I31" s="17"/>
    </row>
    <row r="32" spans="1:9" x14ac:dyDescent="0.2">
      <c r="A32" s="17"/>
      <c r="B32" s="17"/>
      <c r="C32" s="17"/>
      <c r="D32" s="17"/>
      <c r="E32" s="17"/>
      <c r="F32" s="17"/>
      <c r="G32" s="17"/>
      <c r="H32" s="17"/>
      <c r="I32" s="17"/>
    </row>
    <row r="33" spans="1:9" x14ac:dyDescent="0.2">
      <c r="A33" s="17"/>
      <c r="B33" s="17"/>
      <c r="C33" s="17"/>
      <c r="D33" s="17"/>
      <c r="E33" s="17"/>
      <c r="F33" s="17"/>
      <c r="G33" s="17"/>
      <c r="H33" s="17"/>
      <c r="I33" s="17"/>
    </row>
    <row r="34" spans="1:9" x14ac:dyDescent="0.2">
      <c r="A34" s="17"/>
      <c r="B34" s="17"/>
      <c r="C34" s="17"/>
      <c r="D34" s="17"/>
      <c r="E34" s="17"/>
      <c r="F34" s="17"/>
      <c r="G34" s="17"/>
      <c r="H34" s="17"/>
      <c r="I34" s="17"/>
    </row>
    <row r="35" spans="1:9" x14ac:dyDescent="0.2">
      <c r="A35" s="17"/>
      <c r="B35" s="17"/>
      <c r="C35" s="17"/>
      <c r="D35" s="17"/>
      <c r="E35" s="17"/>
      <c r="F35" s="17"/>
      <c r="G35" s="17"/>
      <c r="H35" s="17"/>
      <c r="I35" s="17"/>
    </row>
    <row r="36" spans="1:9" x14ac:dyDescent="0.2">
      <c r="A36" s="17"/>
      <c r="B36" s="17"/>
      <c r="C36" s="17"/>
      <c r="D36" s="17"/>
      <c r="E36" s="17"/>
      <c r="F36" s="17"/>
      <c r="G36" s="17"/>
      <c r="H36" s="17"/>
      <c r="I36" s="17"/>
    </row>
    <row r="37" spans="1:9" x14ac:dyDescent="0.2">
      <c r="A37" s="17"/>
      <c r="B37" s="17"/>
      <c r="C37" s="17"/>
      <c r="D37" s="17"/>
      <c r="E37" s="17"/>
      <c r="F37" s="17"/>
      <c r="G37" s="17"/>
      <c r="H37" s="17"/>
      <c r="I37" s="17"/>
    </row>
    <row r="38" spans="1:9" x14ac:dyDescent="0.2">
      <c r="A38" s="17"/>
      <c r="B38" s="17"/>
      <c r="C38" s="17"/>
      <c r="D38" s="17"/>
      <c r="E38" s="17"/>
      <c r="F38" s="17"/>
      <c r="G38" s="17"/>
      <c r="H38" s="17"/>
      <c r="I38" s="17"/>
    </row>
    <row r="39" spans="1:9" x14ac:dyDescent="0.2">
      <c r="A39" s="17"/>
      <c r="B39" s="17"/>
      <c r="C39" s="17"/>
      <c r="D39" s="17"/>
      <c r="E39" s="17"/>
      <c r="F39" s="17"/>
      <c r="G39" s="17"/>
      <c r="H39" s="17"/>
      <c r="I39" s="17"/>
    </row>
    <row r="40" spans="1:9" x14ac:dyDescent="0.2">
      <c r="A40" s="17"/>
      <c r="B40" s="17"/>
      <c r="C40" s="17"/>
      <c r="D40" s="17"/>
      <c r="E40" s="17"/>
      <c r="F40" s="17"/>
      <c r="G40" s="17"/>
      <c r="H40" s="17"/>
      <c r="I40" s="17"/>
    </row>
    <row r="41" spans="1:9" x14ac:dyDescent="0.2">
      <c r="A41" s="17"/>
      <c r="B41" s="17"/>
      <c r="C41" s="17"/>
      <c r="D41" s="17"/>
      <c r="E41" s="17"/>
      <c r="F41" s="17"/>
      <c r="G41" s="17"/>
      <c r="H41" s="17"/>
      <c r="I41" s="17"/>
    </row>
    <row r="42" spans="1:9" x14ac:dyDescent="0.2">
      <c r="A42" s="17"/>
      <c r="B42" s="17"/>
      <c r="C42" s="17"/>
      <c r="D42" s="17"/>
      <c r="E42" s="17"/>
      <c r="F42" s="17"/>
      <c r="G42" s="17"/>
      <c r="H42" s="17"/>
      <c r="I42" s="17"/>
    </row>
    <row r="43" spans="1:9" x14ac:dyDescent="0.2">
      <c r="A43" s="17"/>
      <c r="B43" s="17"/>
      <c r="C43" s="17"/>
      <c r="D43" s="17"/>
      <c r="E43" s="17"/>
      <c r="F43" s="17"/>
      <c r="G43" s="17"/>
      <c r="H43" s="17"/>
      <c r="I43" s="17"/>
    </row>
    <row r="44" spans="1:9" x14ac:dyDescent="0.2">
      <c r="A44" s="17"/>
      <c r="B44" s="17"/>
      <c r="C44" s="17"/>
      <c r="D44" s="17"/>
      <c r="E44" s="17"/>
      <c r="F44" s="17"/>
      <c r="G44" s="17"/>
      <c r="H44" s="17"/>
      <c r="I44" s="17"/>
    </row>
    <row r="45" spans="1:9" x14ac:dyDescent="0.2">
      <c r="A45" s="17"/>
      <c r="B45" s="17"/>
      <c r="C45" s="17"/>
      <c r="D45" s="17"/>
      <c r="E45" s="17"/>
      <c r="F45" s="17"/>
      <c r="G45" s="17"/>
      <c r="H45" s="17"/>
      <c r="I45" s="17"/>
    </row>
    <row r="46" spans="1:9" x14ac:dyDescent="0.2">
      <c r="A46" s="17"/>
      <c r="B46" s="17"/>
      <c r="C46" s="17"/>
      <c r="D46" s="17"/>
      <c r="E46" s="17"/>
      <c r="F46" s="17"/>
      <c r="G46" s="17"/>
      <c r="H46" s="17"/>
      <c r="I46" s="17"/>
    </row>
    <row r="47" spans="1:9" x14ac:dyDescent="0.2">
      <c r="A47" s="17"/>
      <c r="B47" s="17"/>
      <c r="C47" s="17"/>
      <c r="D47" s="17"/>
      <c r="E47" s="17"/>
      <c r="F47" s="17"/>
      <c r="G47" s="17"/>
      <c r="H47" s="17"/>
      <c r="I47" s="17"/>
    </row>
    <row r="48" spans="1:9" x14ac:dyDescent="0.2">
      <c r="A48" s="17"/>
      <c r="B48" s="17"/>
      <c r="C48" s="17"/>
      <c r="D48" s="17"/>
      <c r="E48" s="17"/>
      <c r="F48" s="17"/>
      <c r="G48" s="17"/>
      <c r="H48" s="17"/>
      <c r="I48" s="17"/>
    </row>
    <row r="49" spans="1:9" x14ac:dyDescent="0.2">
      <c r="A49" s="17"/>
      <c r="B49" s="17"/>
      <c r="C49" s="17"/>
      <c r="D49" s="17"/>
      <c r="E49" s="17"/>
      <c r="F49" s="17"/>
      <c r="G49" s="17"/>
      <c r="H49" s="17"/>
      <c r="I49" s="17"/>
    </row>
    <row r="50" spans="1:9" x14ac:dyDescent="0.2">
      <c r="A50" s="17"/>
      <c r="B50" s="17"/>
      <c r="C50" s="17"/>
      <c r="D50" s="17"/>
      <c r="E50" s="17"/>
      <c r="F50" s="17"/>
      <c r="G50" s="17"/>
      <c r="H50" s="17"/>
      <c r="I50" s="17"/>
    </row>
    <row r="51" spans="1:9" x14ac:dyDescent="0.2">
      <c r="A51" s="17"/>
      <c r="B51" s="17"/>
      <c r="C51" s="17"/>
      <c r="D51" s="17"/>
      <c r="E51" s="17"/>
      <c r="F51" s="17"/>
      <c r="G51" s="17"/>
      <c r="H51" s="17"/>
      <c r="I51" s="17"/>
    </row>
    <row r="52" spans="1:9" x14ac:dyDescent="0.2">
      <c r="A52" s="17"/>
      <c r="B52" s="17"/>
      <c r="C52" s="17"/>
      <c r="D52" s="17"/>
      <c r="E52" s="17"/>
      <c r="F52" s="17"/>
      <c r="G52" s="17"/>
      <c r="H52" s="17"/>
      <c r="I52" s="17"/>
    </row>
    <row r="53" spans="1:9" x14ac:dyDescent="0.2">
      <c r="A53" s="17"/>
      <c r="B53" s="17"/>
      <c r="C53" s="17"/>
      <c r="D53" s="17"/>
      <c r="E53" s="17"/>
      <c r="F53" s="17"/>
      <c r="G53" s="17"/>
      <c r="H53" s="17"/>
      <c r="I53" s="17"/>
    </row>
    <row r="54" spans="1:9" x14ac:dyDescent="0.2">
      <c r="A54" s="17"/>
      <c r="B54" s="17"/>
      <c r="C54" s="17"/>
      <c r="D54" s="17"/>
      <c r="E54" s="17"/>
      <c r="F54" s="17"/>
      <c r="G54" s="17"/>
      <c r="H54" s="17"/>
      <c r="I54" s="17"/>
    </row>
    <row r="55" spans="1:9" x14ac:dyDescent="0.2">
      <c r="A55" s="17"/>
      <c r="B55" s="17"/>
      <c r="C55" s="17"/>
      <c r="D55" s="17"/>
      <c r="E55" s="17"/>
      <c r="F55" s="17"/>
      <c r="G55" s="17"/>
      <c r="H55" s="17"/>
      <c r="I55" s="17"/>
    </row>
    <row r="56" spans="1:9" x14ac:dyDescent="0.2">
      <c r="A56" s="17"/>
      <c r="B56" s="17"/>
      <c r="C56" s="17"/>
      <c r="D56" s="17"/>
      <c r="E56" s="17"/>
      <c r="F56" s="17"/>
      <c r="G56" s="17"/>
      <c r="H56" s="17"/>
      <c r="I56" s="17"/>
    </row>
    <row r="57" spans="1:9" x14ac:dyDescent="0.2">
      <c r="A57" s="17"/>
      <c r="B57" s="17"/>
      <c r="C57" s="17"/>
      <c r="D57" s="17"/>
      <c r="E57" s="17"/>
      <c r="F57" s="17"/>
      <c r="G57" s="17"/>
      <c r="H57" s="17"/>
      <c r="I57" s="17"/>
    </row>
    <row r="58" spans="1:9" x14ac:dyDescent="0.2">
      <c r="A58" s="17"/>
      <c r="B58" s="17"/>
      <c r="C58" s="17"/>
      <c r="D58" s="17"/>
      <c r="E58" s="17"/>
      <c r="F58" s="17"/>
      <c r="G58" s="17"/>
      <c r="H58" s="17"/>
      <c r="I58" s="17"/>
    </row>
    <row r="59" spans="1:9" x14ac:dyDescent="0.2">
      <c r="A59" s="17"/>
      <c r="B59" s="17"/>
      <c r="C59" s="17"/>
      <c r="D59" s="17"/>
      <c r="E59" s="17"/>
      <c r="F59" s="17"/>
      <c r="G59" s="17"/>
      <c r="H59" s="17"/>
      <c r="I59" s="17"/>
    </row>
    <row r="60" spans="1:9" x14ac:dyDescent="0.2">
      <c r="A60" s="17"/>
      <c r="B60" s="17"/>
      <c r="C60" s="17"/>
      <c r="D60" s="17"/>
      <c r="E60" s="17"/>
      <c r="F60" s="17"/>
      <c r="G60" s="17"/>
      <c r="H60" s="17"/>
      <c r="I60" s="17"/>
    </row>
    <row r="61" spans="1:9" x14ac:dyDescent="0.2">
      <c r="A61" s="17"/>
      <c r="B61" s="17"/>
      <c r="C61" s="17"/>
      <c r="D61" s="17"/>
      <c r="E61" s="17"/>
      <c r="F61" s="17"/>
      <c r="G61" s="17"/>
      <c r="H61" s="17"/>
      <c r="I61" s="17"/>
    </row>
    <row r="62" spans="1:9" x14ac:dyDescent="0.2">
      <c r="A62" s="17"/>
      <c r="B62" s="17"/>
      <c r="C62" s="17"/>
      <c r="D62" s="17"/>
      <c r="E62" s="17"/>
      <c r="F62" s="17"/>
      <c r="G62" s="17"/>
      <c r="H62" s="17"/>
      <c r="I62" s="17"/>
    </row>
    <row r="63" spans="1:9" x14ac:dyDescent="0.2">
      <c r="A63" s="17"/>
      <c r="B63" s="17"/>
      <c r="C63" s="17"/>
      <c r="D63" s="17"/>
      <c r="E63" s="17"/>
      <c r="F63" s="17"/>
      <c r="G63" s="17"/>
      <c r="H63" s="17"/>
      <c r="I63" s="17"/>
    </row>
    <row r="64" spans="1:9" x14ac:dyDescent="0.2">
      <c r="A64" s="17"/>
      <c r="B64" s="17"/>
      <c r="C64" s="17"/>
      <c r="D64" s="17"/>
      <c r="E64" s="17"/>
      <c r="F64" s="17"/>
      <c r="G64" s="17"/>
      <c r="H64" s="17"/>
      <c r="I64" s="17"/>
    </row>
    <row r="65" spans="1:9" x14ac:dyDescent="0.2">
      <c r="A65" s="17"/>
      <c r="B65" s="17"/>
      <c r="C65" s="17"/>
      <c r="D65" s="17"/>
      <c r="E65" s="17"/>
      <c r="F65" s="17"/>
      <c r="G65" s="17"/>
      <c r="H65" s="17"/>
      <c r="I65" s="17"/>
    </row>
    <row r="66" spans="1:9" x14ac:dyDescent="0.2">
      <c r="A66" s="17"/>
      <c r="B66" s="17"/>
      <c r="C66" s="17"/>
      <c r="D66" s="17"/>
      <c r="E66" s="17"/>
      <c r="F66" s="17"/>
      <c r="G66" s="17"/>
      <c r="H66" s="17"/>
      <c r="I66" s="17"/>
    </row>
    <row r="67" spans="1:9" x14ac:dyDescent="0.2">
      <c r="A67" s="17"/>
      <c r="B67" s="17"/>
      <c r="C67" s="17"/>
      <c r="D67" s="17"/>
      <c r="E67" s="17"/>
      <c r="F67" s="17"/>
      <c r="G67" s="17"/>
      <c r="H67" s="17"/>
      <c r="I67" s="17"/>
    </row>
    <row r="68" spans="1:9" x14ac:dyDescent="0.2">
      <c r="A68" s="17"/>
      <c r="B68" s="17"/>
      <c r="C68" s="17"/>
      <c r="D68" s="17"/>
      <c r="E68" s="17"/>
      <c r="F68" s="17"/>
      <c r="G68" s="17"/>
      <c r="H68" s="17"/>
      <c r="I68" s="17"/>
    </row>
    <row r="69" spans="1:9" x14ac:dyDescent="0.2">
      <c r="A69" s="17"/>
      <c r="B69" s="17"/>
      <c r="C69" s="17"/>
      <c r="D69" s="17"/>
      <c r="E69" s="17"/>
      <c r="F69" s="17"/>
      <c r="G69" s="17"/>
      <c r="H69" s="17"/>
      <c r="I69" s="17"/>
    </row>
    <row r="70" spans="1:9" x14ac:dyDescent="0.2">
      <c r="A70" s="17"/>
      <c r="B70" s="17"/>
      <c r="C70" s="17"/>
      <c r="D70" s="17"/>
      <c r="E70" s="17"/>
      <c r="F70" s="17"/>
      <c r="G70" s="17"/>
      <c r="H70" s="17"/>
      <c r="I70" s="17"/>
    </row>
    <row r="71" spans="1:9" x14ac:dyDescent="0.2">
      <c r="A71" s="17"/>
      <c r="B71" s="17"/>
      <c r="C71" s="17"/>
      <c r="D71" s="17"/>
      <c r="E71" s="17"/>
      <c r="F71" s="17"/>
      <c r="G71" s="17"/>
      <c r="H71" s="17"/>
      <c r="I71" s="17"/>
    </row>
    <row r="72" spans="1:9" x14ac:dyDescent="0.2">
      <c r="A72" s="17"/>
      <c r="B72" s="17"/>
      <c r="C72" s="17"/>
      <c r="D72" s="17"/>
      <c r="E72" s="17"/>
      <c r="F72" s="17"/>
      <c r="G72" s="17"/>
      <c r="H72" s="17"/>
      <c r="I72" s="17"/>
    </row>
    <row r="73" spans="1:9" x14ac:dyDescent="0.2">
      <c r="A73" s="17"/>
      <c r="B73" s="17"/>
      <c r="C73" s="17"/>
      <c r="D73" s="17"/>
      <c r="E73" s="17"/>
      <c r="F73" s="17"/>
      <c r="G73" s="17"/>
      <c r="H73" s="17"/>
      <c r="I73" s="17"/>
    </row>
    <row r="74" spans="1:9" x14ac:dyDescent="0.2">
      <c r="A74" s="17"/>
      <c r="B74" s="17"/>
      <c r="C74" s="17"/>
      <c r="D74" s="17"/>
      <c r="E74" s="17"/>
      <c r="F74" s="17"/>
      <c r="G74" s="17"/>
      <c r="H74" s="17"/>
      <c r="I74" s="17"/>
    </row>
    <row r="75" spans="1:9" x14ac:dyDescent="0.2">
      <c r="A75" s="17"/>
      <c r="B75" s="17"/>
      <c r="C75" s="17"/>
      <c r="D75" s="17"/>
      <c r="E75" s="17"/>
      <c r="F75" s="17"/>
      <c r="G75" s="17"/>
      <c r="H75" s="17"/>
      <c r="I75" s="17"/>
    </row>
    <row r="76" spans="1:9" x14ac:dyDescent="0.2">
      <c r="A76" s="17"/>
      <c r="B76" s="17"/>
      <c r="C76" s="17"/>
      <c r="D76" s="17"/>
      <c r="E76" s="17"/>
      <c r="F76" s="17"/>
      <c r="G76" s="17"/>
      <c r="H76" s="17"/>
      <c r="I76" s="17"/>
    </row>
    <row r="77" spans="1:9" x14ac:dyDescent="0.2">
      <c r="A77" s="17"/>
      <c r="B77" s="17"/>
      <c r="C77" s="17"/>
      <c r="D77" s="17"/>
      <c r="E77" s="17"/>
      <c r="F77" s="17"/>
      <c r="G77" s="17"/>
      <c r="H77" s="17"/>
      <c r="I77" s="17"/>
    </row>
    <row r="78" spans="1:9" x14ac:dyDescent="0.2">
      <c r="A78" s="17"/>
      <c r="B78" s="17"/>
      <c r="C78" s="17"/>
      <c r="D78" s="17"/>
      <c r="E78" s="17"/>
      <c r="F78" s="17"/>
      <c r="G78" s="17"/>
      <c r="H78" s="17"/>
      <c r="I78" s="17"/>
    </row>
    <row r="79" spans="1:9" x14ac:dyDescent="0.2">
      <c r="A79" s="17"/>
      <c r="B79" s="17"/>
      <c r="C79" s="17"/>
      <c r="D79" s="17"/>
      <c r="E79" s="17"/>
      <c r="F79" s="17"/>
      <c r="G79" s="17"/>
      <c r="H79" s="17"/>
      <c r="I79" s="17"/>
    </row>
    <row r="80" spans="1:9" x14ac:dyDescent="0.2">
      <c r="A80" s="17"/>
      <c r="B80" s="17"/>
      <c r="C80" s="17"/>
      <c r="D80" s="17"/>
      <c r="E80" s="17"/>
      <c r="F80" s="17"/>
      <c r="G80" s="17"/>
      <c r="H80" s="17"/>
      <c r="I80" s="17"/>
    </row>
    <row r="81" spans="1:9" x14ac:dyDescent="0.2">
      <c r="A81" s="17"/>
      <c r="B81" s="17"/>
      <c r="C81" s="17"/>
      <c r="D81" s="17"/>
      <c r="E81" s="17"/>
      <c r="F81" s="17"/>
      <c r="G81" s="17"/>
      <c r="H81" s="17"/>
      <c r="I81" s="17"/>
    </row>
    <row r="82" spans="1:9" x14ac:dyDescent="0.2">
      <c r="A82" s="17"/>
      <c r="B82" s="17"/>
      <c r="C82" s="17"/>
      <c r="D82" s="17"/>
      <c r="E82" s="17"/>
      <c r="F82" s="17"/>
      <c r="G82" s="17"/>
      <c r="H82" s="17"/>
      <c r="I82" s="17"/>
    </row>
    <row r="83" spans="1:9" x14ac:dyDescent="0.2">
      <c r="A83" s="17"/>
      <c r="B83" s="17"/>
      <c r="C83" s="17"/>
      <c r="D83" s="17"/>
      <c r="E83" s="17"/>
      <c r="F83" s="17"/>
      <c r="G83" s="17"/>
      <c r="H83" s="17"/>
      <c r="I83" s="17"/>
    </row>
    <row r="84" spans="1:9" x14ac:dyDescent="0.2">
      <c r="A84" s="17"/>
      <c r="B84" s="17"/>
      <c r="C84" s="17"/>
      <c r="D84" s="17"/>
      <c r="E84" s="17"/>
      <c r="F84" s="17"/>
      <c r="G84" s="17"/>
      <c r="H84" s="17"/>
      <c r="I84" s="17"/>
    </row>
    <row r="85" spans="1:9" x14ac:dyDescent="0.2">
      <c r="A85" s="17"/>
      <c r="B85" s="17"/>
      <c r="C85" s="17"/>
      <c r="D85" s="17"/>
      <c r="E85" s="17"/>
      <c r="F85" s="17"/>
      <c r="G85" s="17"/>
      <c r="H85" s="17"/>
      <c r="I85" s="17"/>
    </row>
    <row r="86" spans="1:9" x14ac:dyDescent="0.2">
      <c r="A86" s="17"/>
      <c r="B86" s="17"/>
      <c r="C86" s="17"/>
      <c r="D86" s="17"/>
      <c r="E86" s="17"/>
      <c r="F86" s="17"/>
      <c r="G86" s="17"/>
      <c r="H86" s="17"/>
      <c r="I86" s="17"/>
    </row>
    <row r="87" spans="1:9" x14ac:dyDescent="0.2">
      <c r="A87" s="17"/>
      <c r="B87" s="17"/>
      <c r="C87" s="17"/>
      <c r="D87" s="17"/>
      <c r="E87" s="17"/>
      <c r="F87" s="17"/>
      <c r="G87" s="17"/>
      <c r="H87" s="17"/>
      <c r="I87" s="17"/>
    </row>
    <row r="88" spans="1:9" x14ac:dyDescent="0.2">
      <c r="A88" s="17"/>
      <c r="B88" s="17"/>
      <c r="C88" s="17"/>
      <c r="D88" s="17"/>
      <c r="E88" s="17"/>
      <c r="F88" s="17"/>
      <c r="G88" s="17"/>
      <c r="H88" s="17"/>
      <c r="I88" s="17"/>
    </row>
    <row r="89" spans="1:9" x14ac:dyDescent="0.2">
      <c r="A89" s="17"/>
      <c r="B89" s="17"/>
      <c r="C89" s="17"/>
      <c r="D89" s="17"/>
      <c r="E89" s="17"/>
      <c r="F89" s="17"/>
      <c r="G89" s="17"/>
      <c r="H89" s="17"/>
      <c r="I89" s="17"/>
    </row>
    <row r="90" spans="1:9" x14ac:dyDescent="0.2">
      <c r="A90" s="17"/>
      <c r="B90" s="17"/>
      <c r="C90" s="17"/>
      <c r="D90" s="17"/>
      <c r="E90" s="17"/>
      <c r="F90" s="17"/>
      <c r="G90" s="17"/>
      <c r="H90" s="17"/>
      <c r="I90" s="17"/>
    </row>
    <row r="91" spans="1:9" x14ac:dyDescent="0.2">
      <c r="A91" s="17"/>
      <c r="B91" s="17"/>
      <c r="C91" s="17"/>
      <c r="D91" s="17"/>
      <c r="E91" s="17"/>
      <c r="F91" s="17"/>
      <c r="G91" s="17"/>
      <c r="H91" s="17"/>
      <c r="I91" s="17"/>
    </row>
    <row r="92" spans="1:9" x14ac:dyDescent="0.2">
      <c r="A92" s="17"/>
      <c r="B92" s="17"/>
      <c r="C92" s="17"/>
      <c r="D92" s="17"/>
      <c r="E92" s="17"/>
      <c r="F92" s="17"/>
      <c r="G92" s="17"/>
      <c r="H92" s="17"/>
      <c r="I92" s="17"/>
    </row>
    <row r="93" spans="1:9" x14ac:dyDescent="0.2">
      <c r="A93" s="17"/>
      <c r="B93" s="17"/>
      <c r="C93" s="17"/>
      <c r="D93" s="17"/>
      <c r="E93" s="17"/>
      <c r="F93" s="17"/>
      <c r="G93" s="17"/>
      <c r="H93" s="17"/>
      <c r="I93" s="17"/>
    </row>
    <row r="94" spans="1:9" x14ac:dyDescent="0.2">
      <c r="A94" s="17"/>
      <c r="B94" s="17"/>
      <c r="C94" s="17"/>
      <c r="D94" s="17"/>
      <c r="E94" s="17"/>
      <c r="F94" s="17"/>
      <c r="G94" s="17"/>
      <c r="H94" s="17"/>
      <c r="I94" s="17"/>
    </row>
    <row r="95" spans="1:9" x14ac:dyDescent="0.2">
      <c r="A95" s="17"/>
      <c r="B95" s="17"/>
      <c r="C95" s="17"/>
      <c r="D95" s="17"/>
      <c r="E95" s="17"/>
      <c r="F95" s="17"/>
      <c r="G95" s="17"/>
      <c r="H95" s="17"/>
      <c r="I95" s="17"/>
    </row>
    <row r="96" spans="1:9" x14ac:dyDescent="0.2">
      <c r="A96" s="17"/>
      <c r="B96" s="17"/>
      <c r="C96" s="17"/>
      <c r="D96" s="17"/>
      <c r="E96" s="17"/>
      <c r="F96" s="17"/>
      <c r="G96" s="17"/>
      <c r="H96" s="17"/>
      <c r="I96" s="17"/>
    </row>
    <row r="97" spans="1:9" x14ac:dyDescent="0.2">
      <c r="A97" s="17"/>
      <c r="B97" s="17"/>
      <c r="C97" s="17"/>
      <c r="D97" s="17"/>
      <c r="E97" s="17"/>
      <c r="F97" s="17"/>
      <c r="G97" s="17"/>
      <c r="H97" s="17"/>
      <c r="I97" s="17"/>
    </row>
    <row r="98" spans="1:9" x14ac:dyDescent="0.2">
      <c r="A98" s="17"/>
      <c r="B98" s="17"/>
      <c r="C98" s="17"/>
      <c r="D98" s="17"/>
      <c r="E98" s="17"/>
      <c r="F98" s="17"/>
      <c r="G98" s="17"/>
      <c r="H98" s="17"/>
      <c r="I98" s="17"/>
    </row>
    <row r="99" spans="1:9" x14ac:dyDescent="0.2">
      <c r="A99" s="17"/>
      <c r="B99" s="17"/>
      <c r="C99" s="17"/>
      <c r="D99" s="17"/>
      <c r="E99" s="17"/>
      <c r="F99" s="17"/>
      <c r="G99" s="17"/>
      <c r="H99" s="17"/>
      <c r="I99" s="17"/>
    </row>
    <row r="100" spans="1:9" x14ac:dyDescent="0.2">
      <c r="A100" s="17"/>
      <c r="B100" s="17"/>
      <c r="C100" s="17"/>
      <c r="D100" s="17"/>
      <c r="E100" s="17"/>
      <c r="F100" s="17"/>
      <c r="G100" s="17"/>
      <c r="H100" s="17"/>
      <c r="I100" s="17"/>
    </row>
    <row r="101" spans="1:9" x14ac:dyDescent="0.2">
      <c r="A101" s="17"/>
      <c r="B101" s="17"/>
      <c r="C101" s="17"/>
      <c r="D101" s="17"/>
      <c r="E101" s="17"/>
      <c r="F101" s="17"/>
      <c r="G101" s="17"/>
      <c r="H101" s="17"/>
      <c r="I101" s="17"/>
    </row>
    <row r="102" spans="1:9" x14ac:dyDescent="0.2">
      <c r="A102" s="17"/>
      <c r="B102" s="17"/>
      <c r="C102" s="17"/>
      <c r="D102" s="17"/>
      <c r="E102" s="17"/>
      <c r="F102" s="17"/>
      <c r="G102" s="17"/>
      <c r="H102" s="17"/>
      <c r="I102" s="17"/>
    </row>
    <row r="103" spans="1:9" x14ac:dyDescent="0.2">
      <c r="A103" s="17"/>
      <c r="B103" s="17"/>
      <c r="C103" s="17"/>
      <c r="D103" s="17"/>
      <c r="E103" s="17"/>
      <c r="F103" s="17"/>
      <c r="G103" s="17"/>
      <c r="H103" s="17"/>
      <c r="I103" s="17"/>
    </row>
    <row r="104" spans="1:9" x14ac:dyDescent="0.2">
      <c r="A104" s="17"/>
      <c r="B104" s="17"/>
      <c r="C104" s="17"/>
      <c r="D104" s="17"/>
      <c r="E104" s="17"/>
      <c r="F104" s="17"/>
      <c r="G104" s="17"/>
      <c r="H104" s="17"/>
      <c r="I104" s="17"/>
    </row>
    <row r="105" spans="1:9" x14ac:dyDescent="0.2">
      <c r="A105" s="17"/>
      <c r="B105" s="17"/>
      <c r="C105" s="17"/>
      <c r="D105" s="17"/>
      <c r="E105" s="17"/>
      <c r="F105" s="17"/>
      <c r="G105" s="17"/>
      <c r="H105" s="17"/>
      <c r="I105" s="17"/>
    </row>
    <row r="106" spans="1:9" x14ac:dyDescent="0.2">
      <c r="A106" s="17"/>
      <c r="B106" s="17"/>
      <c r="C106" s="17"/>
      <c r="D106" s="17"/>
      <c r="E106" s="17"/>
      <c r="F106" s="17"/>
      <c r="G106" s="17"/>
      <c r="H106" s="17"/>
      <c r="I106" s="17"/>
    </row>
    <row r="107" spans="1:9" x14ac:dyDescent="0.2">
      <c r="A107" s="17"/>
      <c r="B107" s="17"/>
      <c r="C107" s="17"/>
      <c r="D107" s="17"/>
      <c r="E107" s="17"/>
      <c r="F107" s="17"/>
      <c r="G107" s="17"/>
      <c r="H107" s="17"/>
      <c r="I107" s="17"/>
    </row>
    <row r="108" spans="1:9" x14ac:dyDescent="0.2">
      <c r="A108" s="17"/>
      <c r="B108" s="17"/>
      <c r="C108" s="17"/>
      <c r="D108" s="17"/>
      <c r="E108" s="17"/>
      <c r="F108" s="17"/>
      <c r="G108" s="17"/>
      <c r="H108" s="17"/>
      <c r="I108" s="17"/>
    </row>
    <row r="109" spans="1:9" x14ac:dyDescent="0.2">
      <c r="A109" s="17"/>
      <c r="B109" s="17"/>
      <c r="C109" s="17"/>
      <c r="D109" s="17"/>
      <c r="E109" s="17"/>
      <c r="F109" s="17"/>
      <c r="G109" s="17"/>
      <c r="H109" s="17"/>
      <c r="I109" s="17"/>
    </row>
    <row r="110" spans="1:9" x14ac:dyDescent="0.2">
      <c r="A110" s="17"/>
      <c r="B110" s="17"/>
      <c r="C110" s="17"/>
      <c r="D110" s="17"/>
      <c r="E110" s="17"/>
      <c r="F110" s="17"/>
      <c r="G110" s="17"/>
      <c r="H110" s="17"/>
      <c r="I110" s="17"/>
    </row>
    <row r="111" spans="1:9" x14ac:dyDescent="0.2">
      <c r="A111" s="17"/>
      <c r="B111" s="17"/>
      <c r="C111" s="17"/>
      <c r="D111" s="17"/>
      <c r="E111" s="17"/>
      <c r="F111" s="17"/>
      <c r="G111" s="17"/>
      <c r="H111" s="17"/>
      <c r="I111" s="17"/>
    </row>
    <row r="112" spans="1:9" x14ac:dyDescent="0.2">
      <c r="A112" s="17"/>
      <c r="B112" s="17"/>
      <c r="C112" s="17"/>
      <c r="D112" s="17"/>
      <c r="E112" s="17"/>
      <c r="F112" s="17"/>
      <c r="G112" s="17"/>
      <c r="H112" s="17"/>
      <c r="I112" s="17"/>
    </row>
    <row r="113" spans="1:9" x14ac:dyDescent="0.2">
      <c r="A113" s="17"/>
      <c r="B113" s="17"/>
      <c r="C113" s="17"/>
      <c r="D113" s="17"/>
      <c r="E113" s="17"/>
      <c r="F113" s="17"/>
      <c r="G113" s="17"/>
      <c r="H113" s="17"/>
      <c r="I113" s="17"/>
    </row>
    <row r="114" spans="1:9" x14ac:dyDescent="0.2">
      <c r="A114" s="17"/>
      <c r="B114" s="17"/>
      <c r="C114" s="17"/>
      <c r="D114" s="17"/>
      <c r="E114" s="17"/>
      <c r="F114" s="17"/>
      <c r="G114" s="17"/>
      <c r="H114" s="17"/>
      <c r="I114" s="17"/>
    </row>
    <row r="115" spans="1:9" x14ac:dyDescent="0.2">
      <c r="A115" s="17"/>
      <c r="B115" s="17"/>
      <c r="C115" s="17"/>
      <c r="D115" s="17"/>
      <c r="E115" s="17"/>
      <c r="F115" s="17"/>
      <c r="G115" s="17"/>
      <c r="H115" s="17"/>
      <c r="I115" s="17"/>
    </row>
    <row r="116" spans="1:9" x14ac:dyDescent="0.2">
      <c r="A116" s="17"/>
      <c r="B116" s="17"/>
      <c r="C116" s="17"/>
      <c r="D116" s="17"/>
      <c r="E116" s="17"/>
      <c r="F116" s="17"/>
      <c r="G116" s="17"/>
      <c r="H116" s="17"/>
      <c r="I116" s="17"/>
    </row>
    <row r="117" spans="1:9" x14ac:dyDescent="0.2">
      <c r="A117" s="17"/>
      <c r="B117" s="17"/>
      <c r="C117" s="17"/>
      <c r="D117" s="17"/>
      <c r="E117" s="17"/>
      <c r="F117" s="17"/>
      <c r="G117" s="17"/>
      <c r="H117" s="17"/>
      <c r="I117" s="17"/>
    </row>
    <row r="118" spans="1:9" x14ac:dyDescent="0.2">
      <c r="A118" s="17"/>
      <c r="B118" s="17"/>
      <c r="C118" s="17"/>
      <c r="D118" s="17"/>
      <c r="E118" s="17"/>
      <c r="F118" s="17"/>
      <c r="G118" s="17"/>
      <c r="H118" s="17"/>
      <c r="I118" s="17"/>
    </row>
    <row r="119" spans="1:9" x14ac:dyDescent="0.2">
      <c r="A119" s="17"/>
      <c r="B119" s="17"/>
      <c r="C119" s="17"/>
      <c r="D119" s="17"/>
      <c r="E119" s="17"/>
      <c r="F119" s="17"/>
      <c r="G119" s="17"/>
      <c r="H119" s="17"/>
      <c r="I119" s="17"/>
    </row>
    <row r="120" spans="1:9" x14ac:dyDescent="0.2">
      <c r="A120" s="17"/>
      <c r="B120" s="17"/>
      <c r="C120" s="17"/>
      <c r="D120" s="17"/>
      <c r="E120" s="17"/>
      <c r="F120" s="17"/>
      <c r="G120" s="17"/>
      <c r="H120" s="17"/>
      <c r="I120" s="17"/>
    </row>
    <row r="121" spans="1:9" x14ac:dyDescent="0.2">
      <c r="A121" s="17"/>
      <c r="B121" s="17"/>
      <c r="C121" s="17"/>
      <c r="D121" s="17"/>
      <c r="E121" s="17"/>
      <c r="F121" s="17"/>
      <c r="G121" s="17"/>
      <c r="H121" s="17"/>
      <c r="I121" s="17"/>
    </row>
    <row r="122" spans="1:9" x14ac:dyDescent="0.2">
      <c r="A122" s="17"/>
      <c r="B122" s="17"/>
      <c r="C122" s="17"/>
      <c r="D122" s="17"/>
      <c r="E122" s="17"/>
      <c r="F122" s="17"/>
      <c r="G122" s="17"/>
      <c r="H122" s="17"/>
      <c r="I122" s="17"/>
    </row>
    <row r="123" spans="1:9" x14ac:dyDescent="0.2">
      <c r="A123" s="17"/>
      <c r="B123" s="17"/>
      <c r="C123" s="17"/>
      <c r="D123" s="17"/>
      <c r="E123" s="17"/>
      <c r="F123" s="17"/>
      <c r="G123" s="17"/>
      <c r="H123" s="17"/>
      <c r="I123" s="17"/>
    </row>
    <row r="124" spans="1:9" x14ac:dyDescent="0.2">
      <c r="A124" s="17"/>
      <c r="B124" s="17"/>
      <c r="C124" s="17"/>
      <c r="D124" s="17"/>
      <c r="E124" s="17"/>
      <c r="F124" s="17"/>
      <c r="G124" s="17"/>
      <c r="H124" s="17"/>
      <c r="I124" s="17"/>
    </row>
    <row r="125" spans="1:9" x14ac:dyDescent="0.2">
      <c r="A125" s="17"/>
      <c r="B125" s="17"/>
      <c r="C125" s="17"/>
      <c r="D125" s="17"/>
      <c r="E125" s="17"/>
      <c r="F125" s="17"/>
      <c r="G125" s="17"/>
      <c r="H125" s="17"/>
      <c r="I125" s="17"/>
    </row>
    <row r="126" spans="1:9" x14ac:dyDescent="0.2">
      <c r="A126" s="17"/>
      <c r="B126" s="17"/>
      <c r="C126" s="17"/>
      <c r="D126" s="17"/>
      <c r="E126" s="17"/>
      <c r="F126" s="17"/>
      <c r="G126" s="17"/>
      <c r="H126" s="17"/>
      <c r="I126" s="17"/>
    </row>
    <row r="127" spans="1:9" x14ac:dyDescent="0.2">
      <c r="A127" s="17"/>
      <c r="B127" s="17"/>
      <c r="C127" s="17"/>
      <c r="D127" s="17"/>
      <c r="E127" s="17"/>
      <c r="F127" s="17"/>
      <c r="G127" s="17"/>
      <c r="H127" s="17"/>
      <c r="I127" s="17"/>
    </row>
    <row r="128" spans="1:9" x14ac:dyDescent="0.2">
      <c r="A128" s="17"/>
      <c r="B128" s="17"/>
      <c r="C128" s="17"/>
      <c r="D128" s="17"/>
      <c r="E128" s="17"/>
      <c r="F128" s="17"/>
      <c r="G128" s="17"/>
      <c r="H128" s="17"/>
      <c r="I128" s="17"/>
    </row>
    <row r="129" spans="1:9" x14ac:dyDescent="0.2">
      <c r="A129" s="17"/>
      <c r="B129" s="17"/>
      <c r="C129" s="17"/>
      <c r="D129" s="17"/>
      <c r="E129" s="17"/>
      <c r="F129" s="17"/>
      <c r="G129" s="17"/>
      <c r="H129" s="17"/>
      <c r="I129" s="17"/>
    </row>
    <row r="130" spans="1:9" x14ac:dyDescent="0.2">
      <c r="A130" s="17"/>
      <c r="B130" s="17"/>
      <c r="C130" s="17"/>
      <c r="D130" s="17"/>
      <c r="E130" s="17"/>
      <c r="F130" s="17"/>
      <c r="G130" s="17"/>
      <c r="H130" s="17"/>
      <c r="I130" s="17"/>
    </row>
    <row r="131" spans="1:9" x14ac:dyDescent="0.2">
      <c r="A131" s="17"/>
      <c r="B131" s="17"/>
      <c r="C131" s="17"/>
      <c r="D131" s="17"/>
      <c r="E131" s="17"/>
      <c r="F131" s="17"/>
      <c r="G131" s="17"/>
      <c r="H131" s="17"/>
      <c r="I131" s="17"/>
    </row>
    <row r="132" spans="1:9" x14ac:dyDescent="0.2">
      <c r="A132" s="17"/>
      <c r="B132" s="17"/>
      <c r="C132" s="17"/>
      <c r="D132" s="17"/>
      <c r="E132" s="17"/>
      <c r="F132" s="17"/>
      <c r="G132" s="17"/>
      <c r="H132" s="17"/>
      <c r="I132" s="17"/>
    </row>
    <row r="133" spans="1:9" x14ac:dyDescent="0.2">
      <c r="A133" s="17"/>
      <c r="B133" s="17"/>
      <c r="C133" s="17"/>
      <c r="D133" s="17"/>
      <c r="E133" s="17"/>
      <c r="F133" s="17"/>
      <c r="G133" s="17"/>
      <c r="H133" s="17"/>
      <c r="I133" s="17"/>
    </row>
    <row r="134" spans="1:9" x14ac:dyDescent="0.2">
      <c r="A134" s="17"/>
      <c r="B134" s="17"/>
      <c r="C134" s="17"/>
      <c r="D134" s="17"/>
      <c r="E134" s="17"/>
      <c r="F134" s="17"/>
      <c r="G134" s="17"/>
      <c r="H134" s="17"/>
      <c r="I134" s="17"/>
    </row>
    <row r="135" spans="1:9" x14ac:dyDescent="0.2">
      <c r="A135" s="17"/>
      <c r="B135" s="17"/>
      <c r="C135" s="17"/>
      <c r="D135" s="17"/>
      <c r="E135" s="17"/>
      <c r="F135" s="17"/>
      <c r="G135" s="17"/>
      <c r="H135" s="17"/>
      <c r="I135" s="17"/>
    </row>
    <row r="136" spans="1:9" x14ac:dyDescent="0.2">
      <c r="A136" s="17"/>
      <c r="B136" s="17"/>
      <c r="C136" s="17"/>
      <c r="D136" s="17"/>
      <c r="E136" s="17"/>
      <c r="F136" s="17"/>
      <c r="G136" s="17"/>
      <c r="H136" s="17"/>
      <c r="I136" s="17"/>
    </row>
    <row r="137" spans="1:9" x14ac:dyDescent="0.2">
      <c r="A137" s="17"/>
      <c r="B137" s="17"/>
      <c r="C137" s="17"/>
      <c r="D137" s="17"/>
      <c r="E137" s="17"/>
      <c r="F137" s="17"/>
      <c r="G137" s="17"/>
      <c r="H137" s="17"/>
      <c r="I137" s="17"/>
    </row>
    <row r="138" spans="1:9" x14ac:dyDescent="0.2">
      <c r="A138" s="17"/>
      <c r="B138" s="17"/>
      <c r="C138" s="17"/>
      <c r="D138" s="17"/>
      <c r="E138" s="17"/>
      <c r="F138" s="17"/>
      <c r="G138" s="17"/>
      <c r="H138" s="17"/>
      <c r="I138" s="17"/>
    </row>
    <row r="139" spans="1:9" x14ac:dyDescent="0.2">
      <c r="A139" s="17"/>
      <c r="B139" s="17"/>
      <c r="C139" s="17"/>
      <c r="D139" s="17"/>
      <c r="E139" s="17"/>
      <c r="F139" s="17"/>
      <c r="G139" s="17"/>
      <c r="H139" s="17"/>
      <c r="I139" s="17"/>
    </row>
    <row r="140" spans="1:9" x14ac:dyDescent="0.2">
      <c r="A140" s="17"/>
      <c r="B140" s="17"/>
      <c r="C140" s="17"/>
      <c r="D140" s="17"/>
      <c r="E140" s="17"/>
      <c r="F140" s="17"/>
      <c r="G140" s="17"/>
      <c r="H140" s="17"/>
      <c r="I140" s="17"/>
    </row>
    <row r="141" spans="1:9" x14ac:dyDescent="0.2">
      <c r="A141" s="17"/>
      <c r="B141" s="17"/>
      <c r="C141" s="17"/>
      <c r="D141" s="17"/>
      <c r="E141" s="17"/>
      <c r="F141" s="17"/>
      <c r="G141" s="17"/>
      <c r="H141" s="17"/>
      <c r="I141" s="17"/>
    </row>
    <row r="142" spans="1:9" x14ac:dyDescent="0.2">
      <c r="A142" s="17"/>
      <c r="B142" s="17"/>
      <c r="C142" s="17"/>
      <c r="D142" s="17"/>
      <c r="E142" s="17"/>
      <c r="F142" s="17"/>
      <c r="G142" s="17"/>
      <c r="H142" s="17"/>
      <c r="I142" s="17"/>
    </row>
    <row r="143" spans="1:9" x14ac:dyDescent="0.2">
      <c r="A143" s="17"/>
      <c r="B143" s="17"/>
      <c r="C143" s="17"/>
      <c r="D143" s="17"/>
      <c r="E143" s="17"/>
      <c r="F143" s="17"/>
      <c r="G143" s="17"/>
      <c r="H143" s="17"/>
      <c r="I143" s="17"/>
    </row>
    <row r="144" spans="1:9" x14ac:dyDescent="0.2">
      <c r="A144" s="17"/>
      <c r="B144" s="17"/>
      <c r="C144" s="17"/>
      <c r="D144" s="17"/>
      <c r="E144" s="17"/>
      <c r="F144" s="17"/>
      <c r="G144" s="17"/>
      <c r="H144" s="17"/>
      <c r="I144" s="17"/>
    </row>
    <row r="145" spans="1:9" x14ac:dyDescent="0.2">
      <c r="A145" s="17"/>
      <c r="B145" s="17"/>
      <c r="C145" s="17"/>
      <c r="D145" s="17"/>
      <c r="E145" s="17"/>
      <c r="F145" s="17"/>
      <c r="G145" s="17"/>
      <c r="H145" s="17"/>
      <c r="I145" s="17"/>
    </row>
    <row r="146" spans="1:9" x14ac:dyDescent="0.2">
      <c r="A146" s="17"/>
      <c r="B146" s="17"/>
      <c r="C146" s="17"/>
      <c r="D146" s="17"/>
      <c r="E146" s="17"/>
      <c r="F146" s="17"/>
      <c r="G146" s="17"/>
      <c r="H146" s="17"/>
      <c r="I146" s="17"/>
    </row>
    <row r="147" spans="1:9" x14ac:dyDescent="0.2">
      <c r="A147" s="17"/>
      <c r="B147" s="17"/>
      <c r="C147" s="17"/>
      <c r="D147" s="17"/>
      <c r="E147" s="17"/>
      <c r="F147" s="17"/>
      <c r="G147" s="17"/>
      <c r="H147" s="17"/>
      <c r="I147" s="17"/>
    </row>
    <row r="148" spans="1:9" x14ac:dyDescent="0.2">
      <c r="A148" s="17"/>
      <c r="B148" s="17"/>
      <c r="C148" s="17"/>
      <c r="D148" s="17"/>
      <c r="E148" s="17"/>
      <c r="F148" s="17"/>
      <c r="G148" s="17"/>
      <c r="H148" s="17"/>
      <c r="I148" s="17"/>
    </row>
    <row r="149" spans="1:9" x14ac:dyDescent="0.2">
      <c r="A149" s="17"/>
      <c r="B149" s="17"/>
      <c r="C149" s="17"/>
      <c r="D149" s="17"/>
      <c r="E149" s="17"/>
      <c r="F149" s="17"/>
      <c r="G149" s="17"/>
      <c r="H149" s="17"/>
      <c r="I149" s="17"/>
    </row>
    <row r="150" spans="1:9" x14ac:dyDescent="0.2">
      <c r="A150" s="17"/>
      <c r="B150" s="17"/>
      <c r="C150" s="17"/>
      <c r="D150" s="17"/>
      <c r="E150" s="17"/>
      <c r="F150" s="17"/>
      <c r="G150" s="17"/>
      <c r="H150" s="17"/>
      <c r="I150" s="17"/>
    </row>
    <row r="151" spans="1:9" x14ac:dyDescent="0.2">
      <c r="A151" s="17"/>
      <c r="B151" s="17"/>
      <c r="C151" s="17"/>
      <c r="D151" s="17"/>
      <c r="E151" s="17"/>
      <c r="F151" s="17"/>
      <c r="G151" s="17"/>
      <c r="H151" s="17"/>
      <c r="I151" s="17"/>
    </row>
    <row r="152" spans="1:9" x14ac:dyDescent="0.2">
      <c r="A152" s="17"/>
      <c r="B152" s="17"/>
      <c r="C152" s="17"/>
      <c r="D152" s="17"/>
      <c r="E152" s="17"/>
      <c r="F152" s="17"/>
      <c r="G152" s="17"/>
      <c r="H152" s="17"/>
      <c r="I152" s="17"/>
    </row>
    <row r="153" spans="1:9" x14ac:dyDescent="0.2">
      <c r="A153" s="17"/>
      <c r="B153" s="17"/>
      <c r="C153" s="17"/>
      <c r="D153" s="17"/>
      <c r="E153" s="17"/>
      <c r="F153" s="17"/>
      <c r="G153" s="17"/>
      <c r="H153" s="17"/>
      <c r="I153" s="17"/>
    </row>
    <row r="154" spans="1:9" x14ac:dyDescent="0.2">
      <c r="A154" s="17"/>
      <c r="B154" s="17"/>
      <c r="C154" s="17"/>
      <c r="D154" s="17"/>
      <c r="E154" s="17"/>
      <c r="F154" s="17"/>
      <c r="G154" s="17"/>
      <c r="H154" s="17"/>
      <c r="I154" s="17"/>
    </row>
    <row r="155" spans="1:9" x14ac:dyDescent="0.2">
      <c r="A155" s="17"/>
      <c r="B155" s="17"/>
      <c r="C155" s="17"/>
      <c r="D155" s="17"/>
      <c r="E155" s="17"/>
      <c r="F155" s="17"/>
      <c r="G155" s="17"/>
      <c r="H155" s="17"/>
      <c r="I155" s="17"/>
    </row>
    <row r="156" spans="1:9" x14ac:dyDescent="0.2">
      <c r="A156" s="17"/>
      <c r="B156" s="17"/>
      <c r="C156" s="17"/>
      <c r="D156" s="17"/>
      <c r="E156" s="17"/>
      <c r="F156" s="17"/>
      <c r="G156" s="17"/>
      <c r="H156" s="17"/>
      <c r="I156" s="17"/>
    </row>
    <row r="157" spans="1:9" x14ac:dyDescent="0.2">
      <c r="A157" s="17"/>
      <c r="B157" s="17"/>
      <c r="C157" s="17"/>
      <c r="D157" s="17"/>
      <c r="E157" s="17"/>
      <c r="F157" s="17"/>
      <c r="G157" s="17"/>
      <c r="H157" s="17"/>
      <c r="I157" s="17"/>
    </row>
    <row r="158" spans="1:9" x14ac:dyDescent="0.2">
      <c r="A158" s="17"/>
      <c r="B158" s="17"/>
      <c r="C158" s="17"/>
      <c r="D158" s="17"/>
      <c r="E158" s="17"/>
      <c r="F158" s="17"/>
      <c r="G158" s="17"/>
      <c r="H158" s="17"/>
      <c r="I158" s="17"/>
    </row>
    <row r="159" spans="1:9" x14ac:dyDescent="0.2">
      <c r="A159" s="17"/>
      <c r="B159" s="17"/>
      <c r="C159" s="17"/>
      <c r="D159" s="17"/>
      <c r="E159" s="17"/>
      <c r="F159" s="17"/>
      <c r="G159" s="17"/>
      <c r="H159" s="17"/>
      <c r="I159" s="17"/>
    </row>
    <row r="160" spans="1:9" x14ac:dyDescent="0.2">
      <c r="A160" s="17"/>
      <c r="B160" s="17"/>
      <c r="C160" s="17"/>
      <c r="D160" s="17"/>
      <c r="E160" s="17"/>
      <c r="F160" s="17"/>
      <c r="G160" s="17"/>
      <c r="H160" s="17"/>
      <c r="I160" s="17"/>
    </row>
    <row r="161" spans="1:9" x14ac:dyDescent="0.2">
      <c r="A161" s="17"/>
      <c r="B161" s="17"/>
      <c r="C161" s="17"/>
      <c r="D161" s="17"/>
      <c r="E161" s="17"/>
      <c r="F161" s="17"/>
      <c r="G161" s="17"/>
      <c r="H161" s="17"/>
      <c r="I161" s="17"/>
    </row>
    <row r="162" spans="1:9" x14ac:dyDescent="0.2">
      <c r="A162" s="17"/>
      <c r="B162" s="17"/>
      <c r="C162" s="17"/>
      <c r="D162" s="17"/>
      <c r="E162" s="17"/>
      <c r="F162" s="17"/>
      <c r="G162" s="17"/>
      <c r="H162" s="17"/>
      <c r="I162" s="17"/>
    </row>
    <row r="163" spans="1:9" x14ac:dyDescent="0.2">
      <c r="A163" s="17"/>
      <c r="B163" s="17"/>
      <c r="C163" s="17"/>
      <c r="D163" s="17"/>
      <c r="E163" s="17"/>
      <c r="F163" s="17"/>
      <c r="G163" s="17"/>
      <c r="H163" s="17"/>
      <c r="I163" s="17"/>
    </row>
    <row r="164" spans="1:9" x14ac:dyDescent="0.2">
      <c r="A164" s="17"/>
      <c r="B164" s="17"/>
      <c r="C164" s="17"/>
      <c r="D164" s="17"/>
      <c r="E164" s="17"/>
      <c r="F164" s="17"/>
      <c r="G164" s="17"/>
      <c r="H164" s="17"/>
      <c r="I164" s="17"/>
    </row>
    <row r="165" spans="1:9" x14ac:dyDescent="0.2">
      <c r="A165" s="17"/>
      <c r="B165" s="17"/>
      <c r="C165" s="17"/>
      <c r="D165" s="17"/>
      <c r="E165" s="17"/>
      <c r="F165" s="17"/>
      <c r="G165" s="17"/>
      <c r="H165" s="17"/>
      <c r="I165" s="17"/>
    </row>
    <row r="166" spans="1:9" x14ac:dyDescent="0.2">
      <c r="A166" s="17"/>
      <c r="B166" s="17"/>
      <c r="C166" s="17"/>
      <c r="D166" s="17"/>
      <c r="E166" s="17"/>
      <c r="F166" s="17"/>
      <c r="G166" s="17"/>
      <c r="H166" s="17"/>
      <c r="I166" s="17"/>
    </row>
    <row r="167" spans="1:9" x14ac:dyDescent="0.2">
      <c r="A167" s="17"/>
      <c r="B167" s="17"/>
      <c r="C167" s="17"/>
      <c r="D167" s="17"/>
      <c r="E167" s="17"/>
      <c r="F167" s="17"/>
      <c r="G167" s="17"/>
      <c r="H167" s="17"/>
      <c r="I167" s="17"/>
    </row>
    <row r="168" spans="1:9" x14ac:dyDescent="0.2">
      <c r="A168" s="17"/>
      <c r="B168" s="17"/>
      <c r="C168" s="17"/>
      <c r="D168" s="17"/>
      <c r="E168" s="17"/>
      <c r="F168" s="17"/>
      <c r="G168" s="17"/>
      <c r="H168" s="17"/>
      <c r="I168" s="17"/>
    </row>
    <row r="169" spans="1:9" x14ac:dyDescent="0.2">
      <c r="A169" s="17"/>
      <c r="B169" s="17"/>
      <c r="C169" s="17"/>
      <c r="D169" s="17"/>
      <c r="E169" s="17"/>
      <c r="F169" s="17"/>
      <c r="G169" s="17"/>
      <c r="H169" s="17"/>
      <c r="I169" s="17"/>
    </row>
    <row r="170" spans="1:9" x14ac:dyDescent="0.2">
      <c r="A170" s="17"/>
      <c r="B170" s="17"/>
      <c r="C170" s="17"/>
      <c r="D170" s="17"/>
      <c r="E170" s="17"/>
      <c r="F170" s="17"/>
      <c r="G170" s="17"/>
      <c r="H170" s="17"/>
      <c r="I170" s="17"/>
    </row>
    <row r="171" spans="1:9" x14ac:dyDescent="0.2">
      <c r="A171" s="17"/>
      <c r="B171" s="17"/>
      <c r="C171" s="17"/>
      <c r="D171" s="17"/>
      <c r="E171" s="17"/>
      <c r="F171" s="17"/>
      <c r="G171" s="17"/>
      <c r="H171" s="17"/>
      <c r="I171" s="17"/>
    </row>
    <row r="172" spans="1:9" x14ac:dyDescent="0.2">
      <c r="A172" s="17"/>
      <c r="B172" s="17"/>
      <c r="C172" s="17"/>
      <c r="D172" s="17"/>
      <c r="E172" s="17"/>
      <c r="F172" s="17"/>
      <c r="G172" s="17"/>
      <c r="H172" s="17"/>
      <c r="I172" s="17"/>
    </row>
    <row r="173" spans="1:9" x14ac:dyDescent="0.2">
      <c r="A173" s="17"/>
      <c r="B173" s="17"/>
      <c r="C173" s="17"/>
      <c r="D173" s="17"/>
      <c r="E173" s="17"/>
      <c r="F173" s="17"/>
      <c r="G173" s="17"/>
      <c r="H173" s="17"/>
      <c r="I173" s="17"/>
    </row>
    <row r="174" spans="1:9" x14ac:dyDescent="0.2">
      <c r="A174" s="17"/>
      <c r="B174" s="17"/>
      <c r="C174" s="17"/>
      <c r="D174" s="17"/>
      <c r="E174" s="17"/>
      <c r="F174" s="17"/>
      <c r="G174" s="17"/>
      <c r="H174" s="17"/>
      <c r="I174" s="17"/>
    </row>
    <row r="175" spans="1:9" x14ac:dyDescent="0.2">
      <c r="A175" s="17"/>
      <c r="B175" s="17"/>
      <c r="C175" s="17"/>
      <c r="D175" s="17"/>
      <c r="E175" s="17"/>
      <c r="F175" s="17"/>
      <c r="G175" s="17"/>
      <c r="H175" s="17"/>
      <c r="I175" s="17"/>
    </row>
    <row r="176" spans="1:9" x14ac:dyDescent="0.2">
      <c r="A176" s="17"/>
      <c r="B176" s="17"/>
      <c r="C176" s="17"/>
      <c r="D176" s="17"/>
      <c r="E176" s="17"/>
      <c r="F176" s="17"/>
      <c r="G176" s="17"/>
      <c r="H176" s="17"/>
      <c r="I176" s="17"/>
    </row>
    <row r="177" spans="1:9" x14ac:dyDescent="0.2">
      <c r="A177" s="17"/>
      <c r="B177" s="17"/>
      <c r="C177" s="17"/>
      <c r="D177" s="17"/>
      <c r="E177" s="17"/>
      <c r="F177" s="17"/>
      <c r="G177" s="17"/>
      <c r="H177" s="17"/>
      <c r="I177" s="17"/>
    </row>
    <row r="178" spans="1:9" x14ac:dyDescent="0.2">
      <c r="A178" s="17"/>
      <c r="B178" s="17"/>
      <c r="C178" s="17"/>
      <c r="D178" s="17"/>
      <c r="E178" s="17"/>
      <c r="F178" s="17"/>
      <c r="G178" s="17"/>
      <c r="H178" s="17"/>
      <c r="I178" s="17"/>
    </row>
    <row r="179" spans="1:9" x14ac:dyDescent="0.2">
      <c r="A179" s="17"/>
      <c r="B179" s="17"/>
      <c r="C179" s="17"/>
      <c r="D179" s="17"/>
      <c r="E179" s="17"/>
      <c r="F179" s="17"/>
      <c r="G179" s="17"/>
      <c r="H179" s="17"/>
      <c r="I179" s="17"/>
    </row>
    <row r="180" spans="1:9" x14ac:dyDescent="0.2">
      <c r="A180" s="17"/>
      <c r="B180" s="17"/>
      <c r="C180" s="17"/>
      <c r="D180" s="17"/>
      <c r="E180" s="17"/>
      <c r="F180" s="17"/>
      <c r="G180" s="17"/>
      <c r="H180" s="17"/>
      <c r="I180" s="17"/>
    </row>
    <row r="181" spans="1:9" x14ac:dyDescent="0.2">
      <c r="A181" s="17"/>
      <c r="B181" s="17"/>
      <c r="C181" s="17"/>
      <c r="D181" s="17"/>
      <c r="E181" s="17"/>
      <c r="F181" s="17"/>
      <c r="G181" s="17"/>
      <c r="H181" s="17"/>
      <c r="I181" s="17"/>
    </row>
    <row r="182" spans="1:9" x14ac:dyDescent="0.2">
      <c r="A182" s="17"/>
      <c r="B182" s="17"/>
      <c r="C182" s="17"/>
      <c r="D182" s="17"/>
      <c r="E182" s="17"/>
      <c r="F182" s="17"/>
      <c r="G182" s="17"/>
      <c r="H182" s="17"/>
      <c r="I182" s="17"/>
    </row>
    <row r="183" spans="1:9" x14ac:dyDescent="0.2">
      <c r="A183" s="17"/>
      <c r="B183" s="17"/>
      <c r="C183" s="17"/>
      <c r="D183" s="17"/>
      <c r="E183" s="17"/>
      <c r="F183" s="17"/>
      <c r="G183" s="17"/>
      <c r="H183" s="17"/>
      <c r="I183" s="17"/>
    </row>
    <row r="184" spans="1:9" x14ac:dyDescent="0.2">
      <c r="A184" s="17"/>
      <c r="B184" s="17"/>
      <c r="C184" s="17"/>
      <c r="D184" s="17"/>
      <c r="E184" s="17"/>
      <c r="F184" s="17"/>
      <c r="G184" s="17"/>
      <c r="H184" s="17"/>
      <c r="I184" s="17"/>
    </row>
    <row r="185" spans="1:9" x14ac:dyDescent="0.2">
      <c r="A185" s="17"/>
      <c r="B185" s="17"/>
      <c r="C185" s="17"/>
      <c r="D185" s="17"/>
      <c r="E185" s="17"/>
      <c r="F185" s="17"/>
      <c r="G185" s="17"/>
      <c r="H185" s="17"/>
      <c r="I185" s="17"/>
    </row>
    <row r="186" spans="1:9" x14ac:dyDescent="0.2">
      <c r="A186" s="17"/>
      <c r="B186" s="17"/>
      <c r="C186" s="17"/>
      <c r="D186" s="17"/>
      <c r="E186" s="17"/>
      <c r="F186" s="17"/>
      <c r="G186" s="17"/>
      <c r="H186" s="17"/>
      <c r="I186" s="17"/>
    </row>
    <row r="187" spans="1:9" x14ac:dyDescent="0.2">
      <c r="A187" s="17"/>
      <c r="B187" s="17"/>
      <c r="C187" s="17"/>
      <c r="D187" s="17"/>
      <c r="E187" s="17"/>
      <c r="F187" s="17"/>
      <c r="G187" s="17"/>
      <c r="H187" s="17"/>
      <c r="I187" s="17"/>
    </row>
    <row r="188" spans="1:9" x14ac:dyDescent="0.2">
      <c r="A188" s="17"/>
      <c r="B188" s="17"/>
      <c r="C188" s="17"/>
      <c r="D188" s="17"/>
      <c r="E188" s="17"/>
      <c r="F188" s="17"/>
      <c r="G188" s="17"/>
      <c r="H188" s="17"/>
      <c r="I188" s="17"/>
    </row>
    <row r="189" spans="1:9" x14ac:dyDescent="0.2">
      <c r="A189" s="17"/>
      <c r="B189" s="17"/>
      <c r="C189" s="17"/>
      <c r="D189" s="17"/>
      <c r="E189" s="17"/>
      <c r="F189" s="17"/>
      <c r="G189" s="17"/>
      <c r="H189" s="17"/>
      <c r="I189" s="17"/>
    </row>
    <row r="190" spans="1:9" x14ac:dyDescent="0.2">
      <c r="A190" s="17"/>
      <c r="B190" s="17"/>
      <c r="C190" s="17"/>
      <c r="D190" s="17"/>
      <c r="E190" s="17"/>
      <c r="F190" s="17"/>
      <c r="G190" s="17"/>
      <c r="H190" s="17"/>
      <c r="I190" s="17"/>
    </row>
    <row r="191" spans="1:9" x14ac:dyDescent="0.2">
      <c r="A191" s="17"/>
      <c r="B191" s="17"/>
      <c r="C191" s="17"/>
      <c r="D191" s="17"/>
      <c r="E191" s="17"/>
      <c r="F191" s="17"/>
      <c r="G191" s="17"/>
      <c r="H191" s="17"/>
      <c r="I191" s="17"/>
    </row>
    <row r="192" spans="1:9" x14ac:dyDescent="0.2">
      <c r="A192" s="17"/>
      <c r="B192" s="17"/>
      <c r="C192" s="17"/>
      <c r="D192" s="17"/>
      <c r="E192" s="17"/>
      <c r="F192" s="17"/>
      <c r="G192" s="17"/>
      <c r="H192" s="17"/>
      <c r="I192" s="17"/>
    </row>
    <row r="193" spans="1:9" x14ac:dyDescent="0.2">
      <c r="A193" s="17"/>
      <c r="B193" s="17"/>
      <c r="C193" s="17"/>
      <c r="D193" s="17"/>
      <c r="E193" s="17"/>
      <c r="F193" s="17"/>
      <c r="G193" s="17"/>
      <c r="H193" s="17"/>
      <c r="I193" s="17"/>
    </row>
    <row r="194" spans="1:9" x14ac:dyDescent="0.2">
      <c r="A194" s="17"/>
      <c r="B194" s="17"/>
      <c r="C194" s="17"/>
      <c r="D194" s="17"/>
      <c r="E194" s="17"/>
      <c r="F194" s="17"/>
      <c r="G194" s="17"/>
      <c r="H194" s="17"/>
      <c r="I194" s="17"/>
    </row>
    <row r="195" spans="1:9" x14ac:dyDescent="0.2">
      <c r="A195" s="17"/>
      <c r="B195" s="17"/>
      <c r="C195" s="17"/>
      <c r="D195" s="17"/>
      <c r="E195" s="17"/>
      <c r="F195" s="17"/>
      <c r="G195" s="17"/>
      <c r="H195" s="17"/>
      <c r="I195" s="17"/>
    </row>
    <row r="196" spans="1:9" x14ac:dyDescent="0.2">
      <c r="A196" s="17"/>
      <c r="B196" s="17"/>
      <c r="C196" s="17"/>
      <c r="D196" s="17"/>
      <c r="E196" s="17"/>
      <c r="F196" s="17"/>
      <c r="G196" s="17"/>
      <c r="H196" s="17"/>
      <c r="I196" s="17"/>
    </row>
    <row r="197" spans="1:9" x14ac:dyDescent="0.2">
      <c r="A197" s="17"/>
      <c r="B197" s="17"/>
      <c r="C197" s="17"/>
      <c r="D197" s="17"/>
      <c r="E197" s="17"/>
      <c r="F197" s="17"/>
      <c r="G197" s="17"/>
      <c r="H197" s="17"/>
      <c r="I197" s="17"/>
    </row>
    <row r="198" spans="1:9" x14ac:dyDescent="0.2">
      <c r="A198" s="17"/>
      <c r="B198" s="17"/>
      <c r="C198" s="17"/>
      <c r="D198" s="17"/>
      <c r="E198" s="17"/>
      <c r="F198" s="17"/>
      <c r="G198" s="17"/>
      <c r="H198" s="17"/>
      <c r="I198" s="17"/>
    </row>
    <row r="199" spans="1:9" x14ac:dyDescent="0.2">
      <c r="A199" s="17"/>
      <c r="B199" s="17"/>
      <c r="C199" s="17"/>
      <c r="D199" s="17"/>
      <c r="E199" s="17"/>
      <c r="F199" s="17"/>
      <c r="G199" s="17"/>
      <c r="H199" s="17"/>
      <c r="I199" s="17"/>
    </row>
    <row r="200" spans="1:9" x14ac:dyDescent="0.2">
      <c r="A200" s="17"/>
      <c r="B200" s="17"/>
      <c r="C200" s="17"/>
      <c r="D200" s="17"/>
      <c r="E200" s="17"/>
      <c r="F200" s="17"/>
      <c r="G200" s="17"/>
      <c r="H200" s="17"/>
      <c r="I200" s="17"/>
    </row>
    <row r="201" spans="1:9" x14ac:dyDescent="0.2">
      <c r="A201" s="17"/>
      <c r="B201" s="17"/>
      <c r="C201" s="17"/>
      <c r="D201" s="17"/>
      <c r="E201" s="17"/>
      <c r="F201" s="17"/>
      <c r="G201" s="17"/>
      <c r="H201" s="17"/>
      <c r="I201" s="17"/>
    </row>
    <row r="202" spans="1:9" x14ac:dyDescent="0.2">
      <c r="A202" s="17"/>
      <c r="B202" s="17"/>
      <c r="C202" s="17"/>
      <c r="D202" s="17"/>
      <c r="E202" s="17"/>
      <c r="F202" s="17"/>
      <c r="G202" s="17"/>
      <c r="H202" s="17"/>
      <c r="I202" s="17"/>
    </row>
    <row r="203" spans="1:9" x14ac:dyDescent="0.2">
      <c r="A203" s="17"/>
      <c r="B203" s="17"/>
      <c r="C203" s="17"/>
      <c r="D203" s="17"/>
      <c r="E203" s="17"/>
      <c r="F203" s="17"/>
      <c r="G203" s="17"/>
      <c r="H203" s="17"/>
      <c r="I203" s="17"/>
    </row>
    <row r="204" spans="1:9" x14ac:dyDescent="0.2">
      <c r="A204" s="17"/>
      <c r="B204" s="17"/>
      <c r="C204" s="17"/>
      <c r="D204" s="17"/>
      <c r="E204" s="17"/>
      <c r="F204" s="17"/>
      <c r="G204" s="17"/>
      <c r="H204" s="17"/>
      <c r="I204" s="17"/>
    </row>
    <row r="205" spans="1:9" x14ac:dyDescent="0.2">
      <c r="A205" s="17"/>
      <c r="B205" s="17"/>
      <c r="C205" s="17"/>
      <c r="D205" s="17"/>
      <c r="E205" s="17"/>
      <c r="F205" s="17"/>
      <c r="G205" s="17"/>
      <c r="H205" s="17"/>
      <c r="I205" s="17"/>
    </row>
    <row r="206" spans="1:9" x14ac:dyDescent="0.2">
      <c r="A206" s="17"/>
      <c r="B206" s="17"/>
      <c r="C206" s="17"/>
      <c r="D206" s="17"/>
      <c r="E206" s="17"/>
      <c r="F206" s="17"/>
      <c r="G206" s="17"/>
      <c r="H206" s="17"/>
      <c r="I206" s="17"/>
    </row>
    <row r="207" spans="1:9" x14ac:dyDescent="0.2">
      <c r="A207" s="17"/>
      <c r="B207" s="17"/>
      <c r="C207" s="17"/>
      <c r="D207" s="17"/>
      <c r="E207" s="17"/>
      <c r="F207" s="17"/>
      <c r="G207" s="17"/>
      <c r="H207" s="17"/>
      <c r="I207" s="17"/>
    </row>
    <row r="208" spans="1:9" x14ac:dyDescent="0.2">
      <c r="A208" s="17"/>
      <c r="B208" s="17"/>
      <c r="C208" s="17"/>
      <c r="D208" s="17"/>
      <c r="E208" s="17"/>
      <c r="F208" s="17"/>
      <c r="G208" s="17"/>
      <c r="H208" s="17"/>
      <c r="I208" s="17"/>
    </row>
    <row r="209" spans="1:9" x14ac:dyDescent="0.2">
      <c r="A209" s="17"/>
      <c r="B209" s="17"/>
      <c r="C209" s="17"/>
      <c r="D209" s="17"/>
      <c r="E209" s="17"/>
      <c r="F209" s="17"/>
      <c r="G209" s="17"/>
      <c r="H209" s="17"/>
      <c r="I209" s="17"/>
    </row>
    <row r="210" spans="1:9" x14ac:dyDescent="0.2">
      <c r="A210" s="17"/>
      <c r="B210" s="17"/>
      <c r="C210" s="17"/>
      <c r="D210" s="17"/>
      <c r="E210" s="17"/>
      <c r="F210" s="17"/>
      <c r="G210" s="17"/>
      <c r="H210" s="17"/>
      <c r="I210" s="17"/>
    </row>
    <row r="211" spans="1:9" x14ac:dyDescent="0.2">
      <c r="A211" s="17"/>
      <c r="B211" s="17"/>
      <c r="C211" s="17"/>
      <c r="D211" s="17"/>
      <c r="E211" s="17"/>
      <c r="F211" s="17"/>
      <c r="G211" s="17"/>
      <c r="H211" s="17"/>
      <c r="I211" s="17"/>
    </row>
    <row r="212" spans="1:9" x14ac:dyDescent="0.2">
      <c r="A212" s="17"/>
      <c r="B212" s="17"/>
      <c r="C212" s="17"/>
      <c r="D212" s="17"/>
      <c r="E212" s="17"/>
      <c r="F212" s="17"/>
      <c r="G212" s="17"/>
      <c r="H212" s="17"/>
      <c r="I212" s="17"/>
    </row>
    <row r="213" spans="1:9" x14ac:dyDescent="0.2">
      <c r="A213" s="17"/>
      <c r="B213" s="17"/>
      <c r="C213" s="17"/>
      <c r="D213" s="17"/>
      <c r="E213" s="17"/>
      <c r="F213" s="17"/>
      <c r="G213" s="17"/>
      <c r="H213" s="17"/>
      <c r="I213" s="17"/>
    </row>
    <row r="214" spans="1:9" x14ac:dyDescent="0.2">
      <c r="A214" s="17"/>
      <c r="B214" s="17"/>
      <c r="C214" s="17"/>
      <c r="D214" s="17"/>
      <c r="E214" s="17"/>
      <c r="F214" s="17"/>
      <c r="G214" s="17"/>
      <c r="H214" s="17"/>
      <c r="I214" s="17"/>
    </row>
    <row r="215" spans="1:9" x14ac:dyDescent="0.2">
      <c r="A215" s="17"/>
      <c r="B215" s="17"/>
      <c r="C215" s="17"/>
      <c r="D215" s="17"/>
      <c r="E215" s="17"/>
      <c r="F215" s="17"/>
      <c r="G215" s="17"/>
      <c r="H215" s="17"/>
      <c r="I215" s="17"/>
    </row>
    <row r="216" spans="1:9" x14ac:dyDescent="0.2">
      <c r="A216" s="17"/>
      <c r="B216" s="17"/>
      <c r="C216" s="17"/>
      <c r="D216" s="17"/>
      <c r="E216" s="17"/>
      <c r="F216" s="17"/>
      <c r="G216" s="17"/>
      <c r="H216" s="17"/>
      <c r="I216" s="17"/>
    </row>
    <row r="217" spans="1:9" x14ac:dyDescent="0.2">
      <c r="A217" s="17"/>
      <c r="B217" s="17"/>
      <c r="C217" s="17"/>
      <c r="D217" s="17"/>
      <c r="E217" s="17"/>
      <c r="F217" s="17"/>
      <c r="G217" s="17"/>
      <c r="H217" s="17"/>
      <c r="I217" s="17"/>
    </row>
    <row r="218" spans="1:9" x14ac:dyDescent="0.2">
      <c r="A218" s="17"/>
      <c r="B218" s="17"/>
      <c r="C218" s="17"/>
      <c r="D218" s="17"/>
      <c r="E218" s="17"/>
      <c r="F218" s="17"/>
      <c r="G218" s="17"/>
      <c r="H218" s="17"/>
      <c r="I218" s="17"/>
    </row>
    <row r="219" spans="1:9" x14ac:dyDescent="0.2">
      <c r="A219" s="17"/>
      <c r="B219" s="17"/>
      <c r="C219" s="17"/>
      <c r="D219" s="17"/>
      <c r="E219" s="17"/>
      <c r="F219" s="17"/>
      <c r="G219" s="17"/>
      <c r="H219" s="17"/>
      <c r="I219" s="17"/>
    </row>
    <row r="220" spans="1:9" x14ac:dyDescent="0.2">
      <c r="A220" s="17"/>
      <c r="B220" s="17"/>
      <c r="C220" s="17"/>
      <c r="D220" s="17"/>
      <c r="E220" s="17"/>
      <c r="F220" s="17"/>
      <c r="G220" s="17"/>
      <c r="H220" s="17"/>
      <c r="I220" s="17"/>
    </row>
    <row r="221" spans="1:9" x14ac:dyDescent="0.2">
      <c r="A221" s="17"/>
      <c r="B221" s="17"/>
      <c r="C221" s="17"/>
      <c r="D221" s="17"/>
      <c r="E221" s="17"/>
      <c r="F221" s="17"/>
      <c r="G221" s="17"/>
      <c r="H221" s="17"/>
      <c r="I221" s="17"/>
    </row>
    <row r="222" spans="1:9" x14ac:dyDescent="0.2">
      <c r="A222" s="17"/>
      <c r="B222" s="17"/>
      <c r="C222" s="17"/>
      <c r="D222" s="17"/>
      <c r="E222" s="17"/>
      <c r="F222" s="17"/>
      <c r="G222" s="17"/>
      <c r="H222" s="17"/>
      <c r="I222" s="17"/>
    </row>
    <row r="223" spans="1:9" x14ac:dyDescent="0.2">
      <c r="A223" s="17"/>
      <c r="B223" s="17"/>
      <c r="C223" s="17"/>
      <c r="D223" s="17"/>
      <c r="E223" s="17"/>
      <c r="F223" s="17"/>
      <c r="G223" s="17"/>
      <c r="H223" s="17"/>
      <c r="I223" s="17"/>
    </row>
    <row r="224" spans="1:9" x14ac:dyDescent="0.2">
      <c r="A224" s="17"/>
      <c r="B224" s="17"/>
      <c r="C224" s="17"/>
      <c r="D224" s="17"/>
      <c r="E224" s="17"/>
      <c r="F224" s="17"/>
      <c r="G224" s="17"/>
      <c r="H224" s="17"/>
      <c r="I224" s="17"/>
    </row>
    <row r="225" spans="1:9" x14ac:dyDescent="0.2">
      <c r="A225" s="17"/>
      <c r="B225" s="17"/>
      <c r="C225" s="17"/>
      <c r="D225" s="17"/>
      <c r="E225" s="17"/>
      <c r="F225" s="17"/>
      <c r="G225" s="17"/>
      <c r="H225" s="17"/>
      <c r="I225" s="17"/>
    </row>
    <row r="226" spans="1:9" x14ac:dyDescent="0.2">
      <c r="A226" s="17"/>
      <c r="B226" s="17"/>
      <c r="C226" s="17"/>
      <c r="D226" s="17"/>
      <c r="E226" s="17"/>
      <c r="F226" s="17"/>
      <c r="G226" s="17"/>
      <c r="H226" s="17"/>
      <c r="I226" s="17"/>
    </row>
    <row r="227" spans="1:9" x14ac:dyDescent="0.2">
      <c r="A227" s="17"/>
      <c r="B227" s="17"/>
      <c r="C227" s="17"/>
      <c r="D227" s="17"/>
      <c r="E227" s="17"/>
      <c r="F227" s="17"/>
      <c r="G227" s="17"/>
      <c r="H227" s="17"/>
      <c r="I227" s="17"/>
    </row>
    <row r="228" spans="1:9" x14ac:dyDescent="0.2">
      <c r="A228" s="17"/>
      <c r="B228" s="17"/>
      <c r="C228" s="17"/>
      <c r="D228" s="17"/>
      <c r="E228" s="17"/>
      <c r="F228" s="17"/>
      <c r="G228" s="17"/>
      <c r="H228" s="17"/>
      <c r="I228" s="17"/>
    </row>
    <row r="229" spans="1:9" x14ac:dyDescent="0.2">
      <c r="A229" s="17"/>
      <c r="B229" s="17"/>
      <c r="C229" s="17"/>
      <c r="D229" s="17"/>
      <c r="E229" s="17"/>
      <c r="F229" s="17"/>
      <c r="G229" s="17"/>
      <c r="H229" s="17"/>
      <c r="I229" s="17"/>
    </row>
    <row r="230" spans="1:9" x14ac:dyDescent="0.2">
      <c r="A230" s="17"/>
      <c r="B230" s="17"/>
      <c r="C230" s="17"/>
      <c r="D230" s="17"/>
      <c r="E230" s="17"/>
      <c r="F230" s="17"/>
      <c r="G230" s="17"/>
      <c r="H230" s="17"/>
      <c r="I230" s="17"/>
    </row>
    <row r="231" spans="1:9" x14ac:dyDescent="0.2">
      <c r="A231" s="17"/>
      <c r="B231" s="17"/>
      <c r="C231" s="17"/>
      <c r="D231" s="17"/>
      <c r="E231" s="17"/>
      <c r="F231" s="17"/>
      <c r="G231" s="17"/>
      <c r="H231" s="17"/>
      <c r="I231" s="17"/>
    </row>
    <row r="232" spans="1:9" x14ac:dyDescent="0.2">
      <c r="A232" s="17"/>
      <c r="B232" s="17"/>
      <c r="C232" s="17"/>
      <c r="D232" s="17"/>
      <c r="E232" s="17"/>
      <c r="F232" s="17"/>
      <c r="G232" s="17"/>
      <c r="H232" s="17"/>
      <c r="I232" s="17"/>
    </row>
    <row r="233" spans="1:9" x14ac:dyDescent="0.2">
      <c r="A233" s="17"/>
      <c r="B233" s="17"/>
      <c r="C233" s="17"/>
      <c r="D233" s="17"/>
      <c r="E233" s="17"/>
      <c r="F233" s="17"/>
      <c r="G233" s="17"/>
      <c r="H233" s="17"/>
      <c r="I233" s="17"/>
    </row>
    <row r="234" spans="1:9" x14ac:dyDescent="0.2">
      <c r="A234" s="17"/>
      <c r="B234" s="17"/>
      <c r="C234" s="17"/>
      <c r="D234" s="17"/>
      <c r="E234" s="17"/>
      <c r="F234" s="17"/>
      <c r="G234" s="17"/>
      <c r="H234" s="17"/>
      <c r="I234" s="17"/>
    </row>
    <row r="235" spans="1:9" x14ac:dyDescent="0.2">
      <c r="A235" s="17"/>
      <c r="B235" s="17"/>
      <c r="C235" s="17"/>
      <c r="D235" s="17"/>
      <c r="E235" s="17"/>
      <c r="F235" s="17"/>
      <c r="G235" s="17"/>
      <c r="H235" s="17"/>
      <c r="I235" s="17"/>
    </row>
    <row r="236" spans="1:9" x14ac:dyDescent="0.2">
      <c r="A236" s="17"/>
      <c r="B236" s="17"/>
      <c r="C236" s="17"/>
      <c r="D236" s="17"/>
      <c r="E236" s="17"/>
      <c r="F236" s="17"/>
      <c r="G236" s="17"/>
      <c r="H236" s="17"/>
      <c r="I236" s="17"/>
    </row>
    <row r="237" spans="1:9" x14ac:dyDescent="0.2">
      <c r="A237" s="17"/>
      <c r="B237" s="17"/>
      <c r="C237" s="17"/>
      <c r="D237" s="17"/>
      <c r="E237" s="17"/>
      <c r="F237" s="17"/>
      <c r="G237" s="17"/>
      <c r="H237" s="17"/>
      <c r="I237" s="17"/>
    </row>
    <row r="238" spans="1:9" x14ac:dyDescent="0.2">
      <c r="A238" s="17"/>
      <c r="B238" s="17"/>
      <c r="C238" s="17"/>
      <c r="D238" s="17"/>
      <c r="E238" s="17"/>
      <c r="F238" s="17"/>
      <c r="G238" s="17"/>
      <c r="H238" s="17"/>
      <c r="I238" s="17"/>
    </row>
    <row r="239" spans="1:9" x14ac:dyDescent="0.2">
      <c r="A239" s="17"/>
      <c r="B239" s="17"/>
      <c r="C239" s="17"/>
      <c r="D239" s="17"/>
      <c r="E239" s="17"/>
      <c r="F239" s="17"/>
      <c r="G239" s="17"/>
      <c r="H239" s="17"/>
      <c r="I239" s="17"/>
    </row>
    <row r="240" spans="1:9" x14ac:dyDescent="0.2">
      <c r="A240" s="17"/>
      <c r="B240" s="17"/>
      <c r="C240" s="17"/>
      <c r="D240" s="17"/>
      <c r="E240" s="17"/>
      <c r="F240" s="17"/>
      <c r="G240" s="17"/>
      <c r="H240" s="17"/>
      <c r="I240" s="17"/>
    </row>
    <row r="241" spans="1:9" x14ac:dyDescent="0.2">
      <c r="A241" s="17"/>
      <c r="B241" s="17"/>
      <c r="C241" s="17"/>
      <c r="D241" s="17"/>
      <c r="E241" s="17"/>
      <c r="F241" s="17"/>
      <c r="G241" s="17"/>
      <c r="H241" s="17"/>
      <c r="I241" s="17"/>
    </row>
    <row r="242" spans="1:9" x14ac:dyDescent="0.2">
      <c r="A242" s="17"/>
      <c r="B242" s="17"/>
      <c r="C242" s="17"/>
      <c r="D242" s="17"/>
      <c r="E242" s="17"/>
      <c r="F242" s="17"/>
      <c r="G242" s="17"/>
      <c r="H242" s="17"/>
      <c r="I242" s="17"/>
    </row>
    <row r="243" spans="1:9" x14ac:dyDescent="0.2">
      <c r="A243" s="17"/>
      <c r="B243" s="17"/>
      <c r="C243" s="17"/>
      <c r="D243" s="17"/>
      <c r="E243" s="17"/>
      <c r="F243" s="17"/>
      <c r="G243" s="17"/>
      <c r="H243" s="17"/>
      <c r="I243" s="17"/>
    </row>
    <row r="244" spans="1:9" x14ac:dyDescent="0.2">
      <c r="A244" s="17"/>
      <c r="B244" s="17"/>
      <c r="C244" s="17"/>
      <c r="D244" s="17"/>
      <c r="E244" s="17"/>
      <c r="F244" s="17"/>
      <c r="G244" s="17"/>
      <c r="H244" s="17"/>
      <c r="I244" s="17"/>
    </row>
    <row r="245" spans="1:9" x14ac:dyDescent="0.2">
      <c r="A245" s="17"/>
      <c r="B245" s="17"/>
      <c r="C245" s="17"/>
      <c r="D245" s="17"/>
      <c r="E245" s="17"/>
      <c r="F245" s="17"/>
      <c r="G245" s="17"/>
      <c r="H245" s="17"/>
      <c r="I245" s="17"/>
    </row>
    <row r="246" spans="1:9" x14ac:dyDescent="0.2">
      <c r="A246" s="17"/>
      <c r="B246" s="17"/>
      <c r="C246" s="17"/>
      <c r="D246" s="17"/>
      <c r="E246" s="17"/>
      <c r="F246" s="17"/>
      <c r="G246" s="17"/>
      <c r="H246" s="17"/>
      <c r="I246" s="17"/>
    </row>
    <row r="247" spans="1:9" x14ac:dyDescent="0.2">
      <c r="A247" s="17"/>
      <c r="B247" s="17"/>
      <c r="C247" s="17"/>
      <c r="D247" s="17"/>
      <c r="E247" s="17"/>
      <c r="F247" s="17"/>
      <c r="G247" s="17"/>
      <c r="H247" s="17"/>
      <c r="I247" s="17"/>
    </row>
    <row r="248" spans="1:9" x14ac:dyDescent="0.2">
      <c r="A248" s="17"/>
      <c r="B248" s="17"/>
      <c r="C248" s="17"/>
      <c r="D248" s="17"/>
      <c r="E248" s="17"/>
      <c r="F248" s="17"/>
      <c r="G248" s="17"/>
      <c r="H248" s="17"/>
      <c r="I248" s="17"/>
    </row>
    <row r="249" spans="1:9" x14ac:dyDescent="0.2">
      <c r="A249" s="17"/>
      <c r="B249" s="17"/>
      <c r="C249" s="17"/>
      <c r="D249" s="17"/>
      <c r="E249" s="17"/>
      <c r="F249" s="17"/>
      <c r="G249" s="17"/>
      <c r="H249" s="17"/>
      <c r="I249" s="17"/>
    </row>
    <row r="250" spans="1:9" x14ac:dyDescent="0.2">
      <c r="A250" s="17"/>
      <c r="B250" s="17"/>
      <c r="C250" s="17"/>
      <c r="D250" s="17"/>
      <c r="E250" s="17"/>
      <c r="F250" s="17"/>
      <c r="G250" s="17"/>
      <c r="H250" s="17"/>
      <c r="I250" s="17"/>
    </row>
    <row r="251" spans="1:9" x14ac:dyDescent="0.2">
      <c r="A251" s="17"/>
      <c r="B251" s="17"/>
      <c r="C251" s="17"/>
      <c r="D251" s="17"/>
      <c r="E251" s="17"/>
      <c r="F251" s="17"/>
      <c r="G251" s="17"/>
      <c r="H251" s="17"/>
      <c r="I251" s="17"/>
    </row>
    <row r="252" spans="1:9" x14ac:dyDescent="0.2">
      <c r="A252" s="17"/>
      <c r="B252" s="17"/>
      <c r="C252" s="17"/>
      <c r="D252" s="17"/>
      <c r="E252" s="17"/>
      <c r="F252" s="17"/>
      <c r="G252" s="17"/>
      <c r="H252" s="17"/>
      <c r="I252" s="17"/>
    </row>
    <row r="253" spans="1:9" x14ac:dyDescent="0.2">
      <c r="A253" s="17"/>
      <c r="B253" s="17"/>
      <c r="C253" s="17"/>
      <c r="D253" s="17"/>
      <c r="E253" s="17"/>
      <c r="F253" s="17"/>
      <c r="G253" s="17"/>
      <c r="H253" s="17"/>
      <c r="I253" s="17"/>
    </row>
    <row r="254" spans="1:9" x14ac:dyDescent="0.2">
      <c r="A254" s="17"/>
      <c r="B254" s="17"/>
      <c r="C254" s="17"/>
      <c r="D254" s="17"/>
      <c r="E254" s="17"/>
      <c r="F254" s="17"/>
      <c r="G254" s="17"/>
      <c r="H254" s="17"/>
      <c r="I254" s="17"/>
    </row>
    <row r="255" spans="1:9" x14ac:dyDescent="0.2">
      <c r="A255" s="17"/>
      <c r="B255" s="17"/>
      <c r="C255" s="17"/>
      <c r="D255" s="17"/>
      <c r="E255" s="17"/>
      <c r="F255" s="17"/>
      <c r="G255" s="17"/>
      <c r="H255" s="17"/>
      <c r="I255" s="17"/>
    </row>
    <row r="256" spans="1:9" x14ac:dyDescent="0.2">
      <c r="A256" s="17"/>
      <c r="B256" s="17"/>
      <c r="C256" s="17"/>
      <c r="D256" s="17"/>
      <c r="E256" s="17"/>
      <c r="F256" s="17"/>
      <c r="G256" s="17"/>
      <c r="H256" s="17"/>
      <c r="I256" s="17"/>
    </row>
    <row r="257" spans="1:9" x14ac:dyDescent="0.2">
      <c r="A257" s="17"/>
      <c r="B257" s="17"/>
      <c r="C257" s="17"/>
      <c r="D257" s="17"/>
      <c r="E257" s="17"/>
      <c r="F257" s="17"/>
      <c r="G257" s="17"/>
      <c r="H257" s="17"/>
      <c r="I257" s="17"/>
    </row>
    <row r="258" spans="1:9" x14ac:dyDescent="0.2">
      <c r="A258" s="17"/>
      <c r="B258" s="17"/>
      <c r="C258" s="17"/>
      <c r="D258" s="17"/>
      <c r="E258" s="17"/>
      <c r="F258" s="17"/>
      <c r="G258" s="17"/>
      <c r="H258" s="17"/>
      <c r="I258" s="17"/>
    </row>
    <row r="259" spans="1:9" x14ac:dyDescent="0.2">
      <c r="A259" s="17"/>
      <c r="B259" s="17"/>
      <c r="C259" s="17"/>
      <c r="D259" s="17"/>
      <c r="E259" s="17"/>
      <c r="F259" s="17"/>
      <c r="G259" s="17"/>
      <c r="H259" s="17"/>
      <c r="I259" s="17"/>
    </row>
    <row r="260" spans="1:9" x14ac:dyDescent="0.2">
      <c r="A260" s="17"/>
      <c r="B260" s="17"/>
      <c r="C260" s="17"/>
      <c r="D260" s="17"/>
      <c r="E260" s="17"/>
      <c r="F260" s="17"/>
      <c r="G260" s="17"/>
      <c r="H260" s="17"/>
      <c r="I260" s="17"/>
    </row>
    <row r="261" spans="1:9" x14ac:dyDescent="0.2">
      <c r="A261" s="17"/>
      <c r="B261" s="17"/>
      <c r="C261" s="17"/>
      <c r="D261" s="17"/>
      <c r="E261" s="17"/>
      <c r="F261" s="17"/>
      <c r="G261" s="17"/>
      <c r="H261" s="17"/>
      <c r="I261" s="17"/>
    </row>
    <row r="262" spans="1:9" x14ac:dyDescent="0.2">
      <c r="A262" s="17"/>
      <c r="B262" s="17"/>
      <c r="C262" s="17"/>
      <c r="D262" s="17"/>
      <c r="E262" s="17"/>
      <c r="F262" s="17"/>
      <c r="G262" s="17"/>
      <c r="H262" s="17"/>
      <c r="I262" s="17"/>
    </row>
    <row r="263" spans="1:9" x14ac:dyDescent="0.2">
      <c r="A263" s="17"/>
      <c r="B263" s="17"/>
      <c r="C263" s="17"/>
      <c r="D263" s="17"/>
      <c r="E263" s="17"/>
      <c r="F263" s="17"/>
      <c r="G263" s="17"/>
      <c r="H263" s="17"/>
      <c r="I263" s="17"/>
    </row>
    <row r="264" spans="1:9" x14ac:dyDescent="0.2">
      <c r="A264" s="17"/>
      <c r="B264" s="17"/>
      <c r="C264" s="17"/>
      <c r="D264" s="17"/>
      <c r="E264" s="17"/>
      <c r="F264" s="17"/>
      <c r="G264" s="17"/>
      <c r="H264" s="17"/>
      <c r="I264" s="17"/>
    </row>
    <row r="265" spans="1:9" x14ac:dyDescent="0.2">
      <c r="A265" s="17"/>
      <c r="B265" s="17"/>
      <c r="C265" s="17"/>
      <c r="D265" s="17"/>
      <c r="E265" s="17"/>
      <c r="F265" s="17"/>
      <c r="G265" s="17"/>
      <c r="H265" s="17"/>
      <c r="I265" s="17"/>
    </row>
    <row r="266" spans="1:9" x14ac:dyDescent="0.2">
      <c r="A266" s="17"/>
      <c r="B266" s="17"/>
      <c r="C266" s="17"/>
      <c r="D266" s="17"/>
      <c r="E266" s="17"/>
      <c r="F266" s="17"/>
      <c r="G266" s="17"/>
      <c r="H266" s="17"/>
      <c r="I266" s="17"/>
    </row>
    <row r="267" spans="1:9" x14ac:dyDescent="0.2">
      <c r="A267" s="17"/>
      <c r="B267" s="17"/>
      <c r="C267" s="17"/>
      <c r="D267" s="17"/>
      <c r="E267" s="17"/>
      <c r="F267" s="17"/>
      <c r="G267" s="17"/>
      <c r="H267" s="17"/>
      <c r="I267" s="17"/>
    </row>
    <row r="268" spans="1:9" x14ac:dyDescent="0.2">
      <c r="A268" s="17"/>
      <c r="B268" s="17"/>
      <c r="C268" s="17"/>
      <c r="D268" s="17"/>
      <c r="E268" s="17"/>
      <c r="F268" s="17"/>
      <c r="G268" s="17"/>
      <c r="H268" s="17"/>
      <c r="I268" s="17"/>
    </row>
    <row r="269" spans="1:9" x14ac:dyDescent="0.2">
      <c r="A269" s="17"/>
      <c r="B269" s="17"/>
      <c r="C269" s="17"/>
      <c r="D269" s="17"/>
      <c r="E269" s="17"/>
      <c r="F269" s="17"/>
      <c r="G269" s="17"/>
      <c r="H269" s="17"/>
      <c r="I269" s="17"/>
    </row>
    <row r="270" spans="1:9" x14ac:dyDescent="0.2">
      <c r="A270" s="17"/>
      <c r="B270" s="17"/>
      <c r="C270" s="17"/>
      <c r="D270" s="17"/>
      <c r="E270" s="17"/>
      <c r="F270" s="17"/>
      <c r="G270" s="17"/>
      <c r="H270" s="17"/>
      <c r="I270" s="17"/>
    </row>
    <row r="271" spans="1:9" x14ac:dyDescent="0.2">
      <c r="A271" s="17"/>
      <c r="B271" s="17"/>
      <c r="C271" s="17"/>
      <c r="D271" s="17"/>
      <c r="E271" s="17"/>
      <c r="F271" s="17"/>
      <c r="G271" s="17"/>
      <c r="H271" s="17"/>
      <c r="I271" s="17"/>
    </row>
    <row r="272" spans="1:9" x14ac:dyDescent="0.2">
      <c r="A272" s="17"/>
      <c r="B272" s="17"/>
      <c r="C272" s="17"/>
      <c r="D272" s="17"/>
      <c r="E272" s="17"/>
      <c r="F272" s="17"/>
      <c r="G272" s="17"/>
      <c r="H272" s="17"/>
      <c r="I272" s="17"/>
    </row>
    <row r="273" spans="1:9" x14ac:dyDescent="0.2">
      <c r="A273" s="17"/>
      <c r="B273" s="17"/>
      <c r="C273" s="17"/>
      <c r="D273" s="17"/>
      <c r="E273" s="17"/>
      <c r="F273" s="17"/>
      <c r="G273" s="17"/>
      <c r="H273" s="17"/>
      <c r="I273" s="17"/>
    </row>
    <row r="274" spans="1:9" x14ac:dyDescent="0.2">
      <c r="A274" s="17"/>
      <c r="B274" s="17"/>
      <c r="C274" s="17"/>
      <c r="D274" s="17"/>
      <c r="E274" s="17"/>
      <c r="F274" s="17"/>
      <c r="G274" s="17"/>
      <c r="H274" s="17"/>
      <c r="I274" s="17"/>
    </row>
    <row r="275" spans="1:9" x14ac:dyDescent="0.2">
      <c r="A275" s="17"/>
      <c r="B275" s="17"/>
      <c r="C275" s="17"/>
      <c r="D275" s="17"/>
      <c r="E275" s="17"/>
      <c r="F275" s="17"/>
      <c r="G275" s="17"/>
      <c r="H275" s="17"/>
      <c r="I275" s="17"/>
    </row>
    <row r="276" spans="1:9" x14ac:dyDescent="0.2">
      <c r="A276" s="17"/>
      <c r="B276" s="17"/>
      <c r="C276" s="17"/>
      <c r="D276" s="17"/>
      <c r="E276" s="17"/>
      <c r="F276" s="17"/>
      <c r="G276" s="17"/>
      <c r="H276" s="17"/>
      <c r="I276" s="17"/>
    </row>
    <row r="277" spans="1:9" x14ac:dyDescent="0.2">
      <c r="A277" s="17"/>
      <c r="B277" s="17"/>
      <c r="C277" s="17"/>
      <c r="D277" s="17"/>
      <c r="E277" s="17"/>
      <c r="F277" s="17"/>
      <c r="G277" s="17"/>
      <c r="H277" s="17"/>
      <c r="I277" s="17"/>
    </row>
    <row r="278" spans="1:9" x14ac:dyDescent="0.2">
      <c r="A278" s="17"/>
      <c r="B278" s="17"/>
      <c r="C278" s="17"/>
      <c r="D278" s="17"/>
      <c r="E278" s="17"/>
      <c r="F278" s="17"/>
      <c r="G278" s="17"/>
      <c r="H278" s="17"/>
      <c r="I278" s="17"/>
    </row>
    <row r="279" spans="1:9" x14ac:dyDescent="0.2">
      <c r="A279" s="17"/>
      <c r="B279" s="17"/>
      <c r="C279" s="17"/>
      <c r="D279" s="17"/>
      <c r="E279" s="17"/>
      <c r="F279" s="17"/>
      <c r="G279" s="17"/>
      <c r="H279" s="17"/>
      <c r="I279" s="17"/>
    </row>
    <row r="280" spans="1:9" x14ac:dyDescent="0.2">
      <c r="A280" s="17"/>
      <c r="B280" s="17"/>
      <c r="C280" s="17"/>
      <c r="D280" s="17"/>
      <c r="E280" s="17"/>
      <c r="F280" s="17"/>
      <c r="G280" s="17"/>
      <c r="H280" s="17"/>
      <c r="I280" s="17"/>
    </row>
    <row r="281" spans="1:9" x14ac:dyDescent="0.2">
      <c r="A281" s="17"/>
      <c r="B281" s="17"/>
      <c r="C281" s="17"/>
      <c r="D281" s="17"/>
      <c r="E281" s="17"/>
      <c r="F281" s="17"/>
      <c r="G281" s="17"/>
      <c r="H281" s="17"/>
      <c r="I281" s="17"/>
    </row>
    <row r="282" spans="1:9" x14ac:dyDescent="0.2">
      <c r="A282" s="17"/>
      <c r="B282" s="17"/>
      <c r="C282" s="17"/>
      <c r="D282" s="17"/>
      <c r="E282" s="17"/>
      <c r="F282" s="17"/>
      <c r="G282" s="17"/>
      <c r="H282" s="17"/>
      <c r="I282" s="17"/>
    </row>
    <row r="283" spans="1:9" x14ac:dyDescent="0.2">
      <c r="A283" s="17"/>
      <c r="B283" s="17"/>
      <c r="C283" s="17"/>
      <c r="D283" s="17"/>
      <c r="E283" s="17"/>
      <c r="F283" s="17"/>
      <c r="G283" s="17"/>
      <c r="H283" s="17"/>
      <c r="I283" s="17"/>
    </row>
    <row r="284" spans="1:9" x14ac:dyDescent="0.2">
      <c r="A284" s="17"/>
      <c r="B284" s="17"/>
      <c r="C284" s="17"/>
      <c r="D284" s="17"/>
      <c r="E284" s="17"/>
      <c r="F284" s="17"/>
      <c r="G284" s="17"/>
      <c r="H284" s="17"/>
      <c r="I284" s="17"/>
    </row>
    <row r="285" spans="1:9" x14ac:dyDescent="0.2">
      <c r="A285" s="17"/>
      <c r="B285" s="17"/>
      <c r="C285" s="17"/>
      <c r="D285" s="17"/>
      <c r="E285" s="17"/>
      <c r="F285" s="17"/>
      <c r="G285" s="17"/>
      <c r="H285" s="17"/>
      <c r="I285" s="17"/>
    </row>
    <row r="286" spans="1:9" x14ac:dyDescent="0.2">
      <c r="A286" s="17"/>
      <c r="B286" s="17"/>
      <c r="C286" s="17"/>
      <c r="D286" s="17"/>
      <c r="E286" s="17"/>
      <c r="F286" s="17"/>
      <c r="G286" s="17"/>
      <c r="H286" s="17"/>
      <c r="I286" s="17"/>
    </row>
    <row r="287" spans="1:9" x14ac:dyDescent="0.2">
      <c r="A287" s="17"/>
      <c r="B287" s="17"/>
      <c r="C287" s="17"/>
      <c r="D287" s="17"/>
      <c r="E287" s="17"/>
      <c r="F287" s="17"/>
      <c r="G287" s="17"/>
      <c r="H287" s="17"/>
      <c r="I287" s="17"/>
    </row>
    <row r="288" spans="1:9" x14ac:dyDescent="0.2">
      <c r="A288" s="17"/>
      <c r="B288" s="17"/>
      <c r="C288" s="17"/>
      <c r="D288" s="17"/>
      <c r="E288" s="17"/>
      <c r="F288" s="17"/>
      <c r="G288" s="17"/>
      <c r="H288" s="17"/>
      <c r="I288" s="17"/>
    </row>
    <row r="289" spans="1:9" x14ac:dyDescent="0.2">
      <c r="A289" s="17"/>
      <c r="B289" s="17"/>
      <c r="C289" s="17"/>
      <c r="D289" s="17"/>
      <c r="E289" s="17"/>
      <c r="F289" s="17"/>
      <c r="G289" s="17"/>
      <c r="H289" s="17"/>
      <c r="I289" s="17"/>
    </row>
    <row r="290" spans="1:9" x14ac:dyDescent="0.2">
      <c r="A290" s="17"/>
      <c r="B290" s="17"/>
      <c r="C290" s="17"/>
      <c r="D290" s="17"/>
      <c r="E290" s="17"/>
      <c r="F290" s="17"/>
      <c r="G290" s="17"/>
      <c r="H290" s="17"/>
      <c r="I290" s="17"/>
    </row>
    <row r="291" spans="1:9" x14ac:dyDescent="0.2">
      <c r="A291" s="17"/>
      <c r="B291" s="17"/>
      <c r="C291" s="17"/>
      <c r="D291" s="17"/>
      <c r="E291" s="17"/>
      <c r="F291" s="17"/>
      <c r="G291" s="17"/>
      <c r="H291" s="17"/>
      <c r="I291" s="17"/>
    </row>
    <row r="292" spans="1:9" x14ac:dyDescent="0.2">
      <c r="A292" s="17"/>
      <c r="B292" s="17"/>
      <c r="C292" s="17"/>
      <c r="D292" s="17"/>
      <c r="E292" s="17"/>
      <c r="F292" s="17"/>
      <c r="G292" s="17"/>
      <c r="H292" s="17"/>
      <c r="I292" s="17"/>
    </row>
    <row r="293" spans="1:9" x14ac:dyDescent="0.2">
      <c r="A293" s="17"/>
      <c r="B293" s="17"/>
      <c r="C293" s="17"/>
      <c r="D293" s="17"/>
      <c r="E293" s="17"/>
      <c r="F293" s="17"/>
      <c r="G293" s="17"/>
      <c r="H293" s="17"/>
      <c r="I293" s="17"/>
    </row>
    <row r="294" spans="1:9" x14ac:dyDescent="0.2">
      <c r="A294" s="17"/>
      <c r="B294" s="17"/>
      <c r="C294" s="17"/>
      <c r="D294" s="17"/>
      <c r="E294" s="17"/>
      <c r="F294" s="17"/>
      <c r="G294" s="17"/>
      <c r="H294" s="17"/>
      <c r="I294" s="17"/>
    </row>
    <row r="295" spans="1:9" x14ac:dyDescent="0.2">
      <c r="A295" s="17"/>
      <c r="B295" s="17"/>
      <c r="C295" s="17"/>
      <c r="D295" s="17"/>
      <c r="E295" s="17"/>
      <c r="F295" s="17"/>
      <c r="G295" s="17"/>
      <c r="H295" s="17"/>
      <c r="I295" s="17"/>
    </row>
    <row r="296" spans="1:9" x14ac:dyDescent="0.2">
      <c r="A296" s="17"/>
      <c r="B296" s="17"/>
      <c r="C296" s="17"/>
      <c r="D296" s="17"/>
      <c r="E296" s="17"/>
      <c r="F296" s="17"/>
      <c r="G296" s="17"/>
      <c r="H296" s="17"/>
      <c r="I296" s="17"/>
    </row>
    <row r="297" spans="1:9" x14ac:dyDescent="0.2">
      <c r="A297" s="17"/>
      <c r="B297" s="17"/>
      <c r="C297" s="17"/>
      <c r="D297" s="17"/>
      <c r="E297" s="17"/>
      <c r="F297" s="17"/>
      <c r="G297" s="17"/>
      <c r="H297" s="17"/>
      <c r="I297" s="17"/>
    </row>
    <row r="298" spans="1:9" x14ac:dyDescent="0.2">
      <c r="A298" s="17"/>
      <c r="B298" s="17"/>
      <c r="C298" s="17"/>
      <c r="D298" s="17"/>
      <c r="E298" s="17"/>
      <c r="F298" s="17"/>
      <c r="G298" s="17"/>
      <c r="H298" s="17"/>
      <c r="I298" s="17"/>
    </row>
    <row r="299" spans="1:9" x14ac:dyDescent="0.2">
      <c r="A299" s="17"/>
      <c r="B299" s="17"/>
      <c r="C299" s="17"/>
      <c r="D299" s="17"/>
      <c r="E299" s="17"/>
      <c r="F299" s="17"/>
      <c r="G299" s="17"/>
      <c r="H299" s="17"/>
      <c r="I299" s="17"/>
    </row>
    <row r="300" spans="1:9" x14ac:dyDescent="0.2">
      <c r="A300" s="17"/>
      <c r="B300" s="17"/>
      <c r="C300" s="17"/>
      <c r="D300" s="17"/>
      <c r="E300" s="17"/>
      <c r="F300" s="17"/>
      <c r="G300" s="17"/>
      <c r="H300" s="17"/>
      <c r="I300" s="17"/>
    </row>
    <row r="301" spans="1:9" x14ac:dyDescent="0.2">
      <c r="A301" s="17"/>
      <c r="B301" s="17"/>
      <c r="C301" s="17"/>
      <c r="D301" s="17"/>
      <c r="E301" s="17"/>
      <c r="F301" s="17"/>
      <c r="G301" s="17"/>
      <c r="H301" s="17"/>
      <c r="I301" s="17"/>
    </row>
    <row r="302" spans="1:9" x14ac:dyDescent="0.2">
      <c r="A302" s="17"/>
      <c r="B302" s="17"/>
      <c r="C302" s="17"/>
      <c r="D302" s="17"/>
      <c r="E302" s="17"/>
      <c r="F302" s="17"/>
      <c r="G302" s="17"/>
      <c r="H302" s="17"/>
      <c r="I302" s="17"/>
    </row>
    <row r="303" spans="1:9" x14ac:dyDescent="0.2">
      <c r="A303" s="17"/>
      <c r="B303" s="17"/>
      <c r="C303" s="17"/>
      <c r="D303" s="17"/>
      <c r="E303" s="17"/>
      <c r="F303" s="17"/>
      <c r="G303" s="17"/>
      <c r="H303" s="17"/>
      <c r="I303" s="17"/>
    </row>
    <row r="304" spans="1:9" x14ac:dyDescent="0.2">
      <c r="A304" s="17"/>
      <c r="B304" s="17"/>
      <c r="C304" s="17"/>
      <c r="D304" s="17"/>
      <c r="E304" s="17"/>
      <c r="F304" s="17"/>
      <c r="G304" s="17"/>
      <c r="H304" s="17"/>
      <c r="I304" s="17"/>
    </row>
    <row r="305" spans="1:9" x14ac:dyDescent="0.2">
      <c r="A305" s="17"/>
      <c r="B305" s="17"/>
      <c r="C305" s="17"/>
      <c r="D305" s="17"/>
      <c r="E305" s="17"/>
      <c r="F305" s="17"/>
      <c r="G305" s="17"/>
      <c r="H305" s="17"/>
      <c r="I305" s="17"/>
    </row>
    <row r="306" spans="1:9" x14ac:dyDescent="0.2">
      <c r="A306" s="17"/>
      <c r="B306" s="17"/>
      <c r="C306" s="17"/>
      <c r="D306" s="17"/>
      <c r="E306" s="17"/>
      <c r="F306" s="17"/>
      <c r="G306" s="17"/>
      <c r="H306" s="17"/>
      <c r="I306" s="17"/>
    </row>
    <row r="307" spans="1:9" x14ac:dyDescent="0.2">
      <c r="A307" s="17"/>
      <c r="B307" s="17"/>
      <c r="C307" s="17"/>
      <c r="D307" s="17"/>
      <c r="E307" s="17"/>
      <c r="F307" s="17"/>
      <c r="G307" s="17"/>
      <c r="H307" s="17"/>
      <c r="I307" s="17"/>
    </row>
    <row r="308" spans="1:9" x14ac:dyDescent="0.2">
      <c r="A308" s="17"/>
      <c r="B308" s="17"/>
      <c r="C308" s="17"/>
      <c r="D308" s="17"/>
      <c r="E308" s="17"/>
      <c r="F308" s="17"/>
      <c r="G308" s="17"/>
      <c r="H308" s="17"/>
      <c r="I308" s="17"/>
    </row>
    <row r="309" spans="1:9" x14ac:dyDescent="0.2">
      <c r="A309" s="17"/>
      <c r="B309" s="17"/>
      <c r="C309" s="17"/>
      <c r="D309" s="17"/>
      <c r="E309" s="17"/>
      <c r="F309" s="17"/>
      <c r="G309" s="17"/>
      <c r="H309" s="17"/>
      <c r="I309" s="17"/>
    </row>
    <row r="310" spans="1:9" x14ac:dyDescent="0.2">
      <c r="A310" s="17"/>
      <c r="B310" s="17"/>
      <c r="C310" s="17"/>
      <c r="D310" s="17"/>
      <c r="E310" s="17"/>
      <c r="F310" s="17"/>
      <c r="G310" s="17"/>
      <c r="H310" s="17"/>
      <c r="I310" s="17"/>
    </row>
    <row r="311" spans="1:9" x14ac:dyDescent="0.2">
      <c r="A311" s="17"/>
      <c r="B311" s="17"/>
      <c r="C311" s="17"/>
      <c r="D311" s="17"/>
      <c r="E311" s="17"/>
      <c r="F311" s="17"/>
      <c r="G311" s="17"/>
      <c r="H311" s="17"/>
      <c r="I311" s="17"/>
    </row>
    <row r="312" spans="1:9" x14ac:dyDescent="0.2">
      <c r="A312" s="17"/>
      <c r="B312" s="17"/>
      <c r="C312" s="17"/>
      <c r="D312" s="17"/>
      <c r="E312" s="17"/>
      <c r="F312" s="17"/>
      <c r="G312" s="17"/>
      <c r="H312" s="17"/>
      <c r="I312" s="17"/>
    </row>
    <row r="313" spans="1:9" x14ac:dyDescent="0.2">
      <c r="A313" s="17"/>
      <c r="B313" s="17"/>
      <c r="C313" s="17"/>
      <c r="D313" s="17"/>
      <c r="E313" s="17"/>
      <c r="F313" s="17"/>
      <c r="G313" s="17"/>
      <c r="H313" s="17"/>
      <c r="I313" s="17"/>
    </row>
    <row r="314" spans="1:9" x14ac:dyDescent="0.2">
      <c r="A314" s="17"/>
      <c r="B314" s="17"/>
      <c r="C314" s="17"/>
      <c r="D314" s="17"/>
      <c r="E314" s="17"/>
      <c r="F314" s="17"/>
      <c r="G314" s="17"/>
      <c r="H314" s="17"/>
      <c r="I314" s="17"/>
    </row>
    <row r="315" spans="1:9" x14ac:dyDescent="0.2">
      <c r="A315" s="17"/>
      <c r="B315" s="17"/>
      <c r="C315" s="17"/>
      <c r="D315" s="17"/>
      <c r="E315" s="17"/>
      <c r="F315" s="17"/>
      <c r="G315" s="17"/>
      <c r="H315" s="17"/>
      <c r="I315" s="17"/>
    </row>
    <row r="316" spans="1:9" x14ac:dyDescent="0.2">
      <c r="A316" s="17"/>
      <c r="B316" s="17"/>
      <c r="C316" s="17"/>
      <c r="D316" s="17"/>
      <c r="E316" s="17"/>
      <c r="F316" s="17"/>
      <c r="G316" s="17"/>
      <c r="H316" s="17"/>
      <c r="I316" s="17"/>
    </row>
    <row r="317" spans="1:9" x14ac:dyDescent="0.2">
      <c r="A317" s="17"/>
      <c r="B317" s="17"/>
      <c r="C317" s="17"/>
      <c r="D317" s="17"/>
      <c r="E317" s="17"/>
      <c r="F317" s="17"/>
      <c r="G317" s="17"/>
      <c r="H317" s="17"/>
      <c r="I317" s="17"/>
    </row>
    <row r="318" spans="1:9" x14ac:dyDescent="0.2">
      <c r="A318" s="17"/>
      <c r="B318" s="17"/>
      <c r="C318" s="17"/>
      <c r="D318" s="17"/>
      <c r="E318" s="17"/>
      <c r="F318" s="17"/>
      <c r="G318" s="17"/>
      <c r="H318" s="17"/>
      <c r="I318" s="17"/>
    </row>
    <row r="319" spans="1:9" x14ac:dyDescent="0.2">
      <c r="A319" s="17"/>
      <c r="B319" s="17"/>
      <c r="C319" s="17"/>
      <c r="D319" s="17"/>
      <c r="E319" s="17"/>
      <c r="F319" s="17"/>
      <c r="G319" s="17"/>
      <c r="H319" s="17"/>
      <c r="I319" s="17"/>
    </row>
    <row r="320" spans="1:9" x14ac:dyDescent="0.2">
      <c r="A320" s="17"/>
      <c r="B320" s="17"/>
      <c r="C320" s="17"/>
      <c r="D320" s="17"/>
      <c r="E320" s="17"/>
      <c r="F320" s="17"/>
      <c r="G320" s="17"/>
      <c r="H320" s="17"/>
      <c r="I320" s="17"/>
    </row>
    <row r="321" spans="1:9" x14ac:dyDescent="0.2">
      <c r="A321" s="17"/>
      <c r="B321" s="17"/>
      <c r="C321" s="17"/>
      <c r="D321" s="17"/>
      <c r="E321" s="17"/>
      <c r="F321" s="17"/>
      <c r="G321" s="17"/>
      <c r="H321" s="17"/>
      <c r="I321" s="17"/>
    </row>
    <row r="322" spans="1:9" x14ac:dyDescent="0.2">
      <c r="A322" s="17"/>
      <c r="B322" s="17"/>
      <c r="C322" s="17"/>
      <c r="D322" s="17"/>
      <c r="E322" s="17"/>
      <c r="F322" s="17"/>
      <c r="G322" s="17"/>
      <c r="H322" s="17"/>
      <c r="I322" s="17"/>
    </row>
    <row r="323" spans="1:9" x14ac:dyDescent="0.2">
      <c r="A323" s="17"/>
      <c r="B323" s="17"/>
      <c r="C323" s="17"/>
      <c r="D323" s="17"/>
      <c r="E323" s="17"/>
      <c r="F323" s="17"/>
      <c r="G323" s="17"/>
      <c r="H323" s="17"/>
      <c r="I323" s="17"/>
    </row>
    <row r="324" spans="1:9" x14ac:dyDescent="0.2">
      <c r="A324" s="17"/>
      <c r="B324" s="17"/>
      <c r="C324" s="17"/>
      <c r="D324" s="17"/>
      <c r="E324" s="17"/>
      <c r="F324" s="17"/>
      <c r="G324" s="17"/>
      <c r="H324" s="17"/>
      <c r="I324" s="17"/>
    </row>
    <row r="325" spans="1:9" x14ac:dyDescent="0.2">
      <c r="A325" s="17"/>
      <c r="B325" s="17"/>
      <c r="C325" s="17"/>
      <c r="D325" s="17"/>
      <c r="E325" s="17"/>
      <c r="F325" s="17"/>
      <c r="G325" s="17"/>
      <c r="H325" s="17"/>
      <c r="I325" s="17"/>
    </row>
    <row r="326" spans="1:9" x14ac:dyDescent="0.2">
      <c r="A326" s="17"/>
      <c r="B326" s="17"/>
      <c r="C326" s="17"/>
      <c r="D326" s="17"/>
      <c r="E326" s="17"/>
      <c r="F326" s="17"/>
      <c r="G326" s="17"/>
      <c r="H326" s="17"/>
      <c r="I326" s="17"/>
    </row>
    <row r="327" spans="1:9" x14ac:dyDescent="0.2">
      <c r="A327" s="17"/>
      <c r="B327" s="17"/>
      <c r="C327" s="17"/>
      <c r="D327" s="17"/>
      <c r="E327" s="17"/>
      <c r="F327" s="17"/>
      <c r="G327" s="17"/>
      <c r="H327" s="17"/>
      <c r="I327" s="17"/>
    </row>
    <row r="328" spans="1:9" x14ac:dyDescent="0.2">
      <c r="A328" s="17"/>
      <c r="B328" s="17"/>
      <c r="C328" s="17"/>
      <c r="D328" s="17"/>
      <c r="E328" s="17"/>
      <c r="F328" s="17"/>
      <c r="G328" s="17"/>
      <c r="H328" s="17"/>
      <c r="I328" s="17"/>
    </row>
    <row r="329" spans="1:9" x14ac:dyDescent="0.2">
      <c r="A329" s="17"/>
      <c r="B329" s="17"/>
      <c r="C329" s="17"/>
      <c r="D329" s="17"/>
      <c r="E329" s="17"/>
      <c r="F329" s="17"/>
      <c r="G329" s="17"/>
      <c r="H329" s="17"/>
      <c r="I329" s="17"/>
    </row>
    <row r="330" spans="1:9" x14ac:dyDescent="0.2">
      <c r="A330" s="17"/>
      <c r="B330" s="17"/>
      <c r="C330" s="17"/>
      <c r="D330" s="17"/>
      <c r="E330" s="17"/>
      <c r="F330" s="17"/>
      <c r="G330" s="17"/>
      <c r="H330" s="17"/>
      <c r="I330" s="17"/>
    </row>
    <row r="331" spans="1:9" x14ac:dyDescent="0.2">
      <c r="A331" s="17"/>
      <c r="B331" s="17"/>
      <c r="C331" s="17"/>
      <c r="D331" s="17"/>
      <c r="E331" s="17"/>
      <c r="F331" s="17"/>
      <c r="G331" s="17"/>
      <c r="H331" s="17"/>
      <c r="I331" s="17"/>
    </row>
    <row r="332" spans="1:9" x14ac:dyDescent="0.2">
      <c r="A332" s="17"/>
      <c r="B332" s="17"/>
      <c r="C332" s="17"/>
      <c r="D332" s="17"/>
      <c r="E332" s="17"/>
      <c r="F332" s="17"/>
      <c r="G332" s="17"/>
      <c r="H332" s="17"/>
      <c r="I332" s="17"/>
    </row>
    <row r="333" spans="1:9" x14ac:dyDescent="0.2">
      <c r="A333" s="17"/>
      <c r="B333" s="17"/>
      <c r="C333" s="17"/>
      <c r="D333" s="17"/>
      <c r="E333" s="17"/>
      <c r="F333" s="17"/>
      <c r="G333" s="17"/>
      <c r="H333" s="17"/>
      <c r="I333" s="17"/>
    </row>
    <row r="334" spans="1:9" x14ac:dyDescent="0.2">
      <c r="A334" s="17"/>
      <c r="B334" s="17"/>
      <c r="C334" s="17"/>
      <c r="D334" s="17"/>
      <c r="E334" s="17"/>
      <c r="F334" s="17"/>
      <c r="G334" s="17"/>
      <c r="H334" s="17"/>
      <c r="I334" s="17"/>
    </row>
    <row r="335" spans="1:9" x14ac:dyDescent="0.2">
      <c r="A335" s="17"/>
      <c r="B335" s="17"/>
      <c r="C335" s="17"/>
      <c r="D335" s="17"/>
      <c r="E335" s="17"/>
      <c r="F335" s="17"/>
      <c r="G335" s="17"/>
      <c r="H335" s="17"/>
      <c r="I335" s="17"/>
    </row>
    <row r="336" spans="1:9" x14ac:dyDescent="0.2">
      <c r="A336" s="17"/>
      <c r="B336" s="17"/>
      <c r="C336" s="17"/>
      <c r="D336" s="17"/>
      <c r="E336" s="17"/>
      <c r="F336" s="17"/>
      <c r="G336" s="17"/>
      <c r="H336" s="17"/>
      <c r="I336" s="17"/>
    </row>
    <row r="337" spans="1:9" x14ac:dyDescent="0.2">
      <c r="A337" s="17"/>
      <c r="B337" s="17"/>
      <c r="C337" s="17"/>
      <c r="D337" s="17"/>
      <c r="E337" s="17"/>
      <c r="F337" s="17"/>
      <c r="G337" s="17"/>
      <c r="H337" s="17"/>
      <c r="I337" s="17"/>
    </row>
    <row r="338" spans="1:9" x14ac:dyDescent="0.2">
      <c r="A338" s="17"/>
      <c r="B338" s="17"/>
      <c r="C338" s="17"/>
      <c r="D338" s="17"/>
      <c r="E338" s="17"/>
      <c r="F338" s="17"/>
      <c r="G338" s="17"/>
      <c r="H338" s="17"/>
      <c r="I338" s="17"/>
    </row>
    <row r="339" spans="1:9" x14ac:dyDescent="0.2">
      <c r="A339" s="17"/>
      <c r="B339" s="17"/>
      <c r="C339" s="17"/>
      <c r="D339" s="17"/>
      <c r="E339" s="17"/>
      <c r="F339" s="17"/>
      <c r="G339" s="17"/>
      <c r="H339" s="17"/>
      <c r="I339" s="17"/>
    </row>
    <row r="340" spans="1:9" x14ac:dyDescent="0.2">
      <c r="A340" s="17"/>
      <c r="B340" s="17"/>
      <c r="C340" s="17"/>
      <c r="D340" s="17"/>
      <c r="E340" s="17"/>
      <c r="F340" s="17"/>
      <c r="G340" s="17"/>
      <c r="H340" s="17"/>
      <c r="I340" s="17"/>
    </row>
    <row r="341" spans="1:9" x14ac:dyDescent="0.2">
      <c r="A341" s="17"/>
      <c r="B341" s="17"/>
      <c r="C341" s="17"/>
      <c r="D341" s="17"/>
      <c r="E341" s="17"/>
      <c r="F341" s="17"/>
      <c r="G341" s="17"/>
      <c r="H341" s="17"/>
      <c r="I341" s="17"/>
    </row>
    <row r="342" spans="1:9" x14ac:dyDescent="0.2">
      <c r="A342" s="17"/>
      <c r="B342" s="17"/>
      <c r="C342" s="17"/>
      <c r="D342" s="17"/>
      <c r="E342" s="17"/>
      <c r="F342" s="17"/>
      <c r="G342" s="17"/>
      <c r="H342" s="17"/>
      <c r="I342" s="17"/>
    </row>
    <row r="343" spans="1:9" x14ac:dyDescent="0.2">
      <c r="A343" s="17"/>
      <c r="B343" s="17"/>
      <c r="C343" s="17"/>
      <c r="D343" s="17"/>
      <c r="E343" s="17"/>
      <c r="F343" s="17"/>
      <c r="G343" s="17"/>
      <c r="H343" s="17"/>
      <c r="I343" s="17"/>
    </row>
    <row r="344" spans="1:9" x14ac:dyDescent="0.2">
      <c r="A344" s="17"/>
      <c r="B344" s="17"/>
      <c r="C344" s="17"/>
      <c r="D344" s="17"/>
      <c r="E344" s="17"/>
      <c r="F344" s="17"/>
      <c r="G344" s="17"/>
      <c r="H344" s="17"/>
      <c r="I344" s="17"/>
    </row>
    <row r="345" spans="1:9" x14ac:dyDescent="0.2">
      <c r="A345" s="17"/>
      <c r="B345" s="17"/>
      <c r="C345" s="17"/>
      <c r="D345" s="17"/>
      <c r="E345" s="17"/>
      <c r="F345" s="17"/>
      <c r="G345" s="17"/>
      <c r="H345" s="17"/>
      <c r="I345" s="17"/>
    </row>
    <row r="346" spans="1:9" x14ac:dyDescent="0.2">
      <c r="A346" s="17"/>
      <c r="B346" s="17"/>
      <c r="C346" s="17"/>
      <c r="D346" s="17"/>
      <c r="E346" s="17"/>
      <c r="F346" s="17"/>
      <c r="G346" s="17"/>
      <c r="H346" s="17"/>
      <c r="I346" s="17"/>
    </row>
    <row r="347" spans="1:9" x14ac:dyDescent="0.2">
      <c r="A347" s="17"/>
      <c r="B347" s="17"/>
      <c r="C347" s="17"/>
      <c r="D347" s="17"/>
      <c r="E347" s="17"/>
      <c r="F347" s="17"/>
      <c r="G347" s="17"/>
      <c r="H347" s="17"/>
      <c r="I347" s="17"/>
    </row>
    <row r="348" spans="1:9" x14ac:dyDescent="0.2">
      <c r="A348" s="17"/>
      <c r="B348" s="17"/>
      <c r="C348" s="17"/>
      <c r="D348" s="17"/>
      <c r="E348" s="17"/>
      <c r="F348" s="17"/>
      <c r="G348" s="17"/>
      <c r="H348" s="17"/>
      <c r="I348" s="17"/>
    </row>
    <row r="349" spans="1:9" x14ac:dyDescent="0.2">
      <c r="A349" s="17"/>
      <c r="B349" s="17"/>
      <c r="C349" s="17"/>
      <c r="D349" s="17"/>
      <c r="E349" s="17"/>
      <c r="F349" s="17"/>
      <c r="G349" s="17"/>
      <c r="H349" s="17"/>
      <c r="I349" s="17"/>
    </row>
    <row r="350" spans="1:9" x14ac:dyDescent="0.2">
      <c r="A350" s="17"/>
      <c r="B350" s="17"/>
      <c r="C350" s="17"/>
      <c r="D350" s="17"/>
      <c r="E350" s="17"/>
      <c r="F350" s="17"/>
      <c r="G350" s="17"/>
      <c r="H350" s="17"/>
      <c r="I350" s="17"/>
    </row>
    <row r="351" spans="1:9" x14ac:dyDescent="0.2">
      <c r="A351" s="17"/>
      <c r="B351" s="17"/>
      <c r="C351" s="17"/>
      <c r="D351" s="17"/>
      <c r="E351" s="17"/>
      <c r="F351" s="17"/>
      <c r="G351" s="17"/>
      <c r="H351" s="17"/>
      <c r="I351" s="17"/>
    </row>
    <row r="352" spans="1:9" x14ac:dyDescent="0.2">
      <c r="A352" s="17"/>
      <c r="B352" s="17"/>
      <c r="C352" s="17"/>
      <c r="D352" s="17"/>
      <c r="E352" s="17"/>
      <c r="F352" s="17"/>
      <c r="G352" s="17"/>
      <c r="H352" s="17"/>
      <c r="I352" s="17"/>
    </row>
    <row r="353" spans="1:9" x14ac:dyDescent="0.2">
      <c r="A353" s="17"/>
      <c r="B353" s="17"/>
      <c r="C353" s="17"/>
      <c r="D353" s="17"/>
      <c r="E353" s="17"/>
      <c r="F353" s="17"/>
      <c r="G353" s="17"/>
      <c r="H353" s="17"/>
      <c r="I353" s="17"/>
    </row>
    <row r="354" spans="1:9" x14ac:dyDescent="0.2">
      <c r="A354" s="17"/>
      <c r="B354" s="17"/>
      <c r="C354" s="17"/>
      <c r="D354" s="17"/>
      <c r="E354" s="17"/>
      <c r="F354" s="17"/>
      <c r="G354" s="17"/>
      <c r="H354" s="17"/>
      <c r="I354" s="17"/>
    </row>
    <row r="355" spans="1:9" x14ac:dyDescent="0.2">
      <c r="A355" s="17"/>
      <c r="B355" s="17"/>
      <c r="C355" s="17"/>
      <c r="D355" s="17"/>
      <c r="E355" s="17"/>
      <c r="F355" s="17"/>
      <c r="G355" s="17"/>
      <c r="H355" s="17"/>
      <c r="I355" s="17"/>
    </row>
    <row r="356" spans="1:9" x14ac:dyDescent="0.2">
      <c r="A356" s="17"/>
      <c r="B356" s="17"/>
      <c r="C356" s="17"/>
      <c r="D356" s="17"/>
      <c r="E356" s="17"/>
      <c r="F356" s="17"/>
      <c r="G356" s="17"/>
      <c r="H356" s="17"/>
      <c r="I356" s="17"/>
    </row>
    <row r="357" spans="1:9" x14ac:dyDescent="0.2">
      <c r="A357" s="17"/>
      <c r="B357" s="17"/>
      <c r="C357" s="17"/>
      <c r="D357" s="17"/>
      <c r="E357" s="17"/>
      <c r="F357" s="17"/>
      <c r="G357" s="17"/>
      <c r="H357" s="17"/>
      <c r="I357" s="17"/>
    </row>
    <row r="358" spans="1:9" x14ac:dyDescent="0.2">
      <c r="A358" s="17"/>
      <c r="B358" s="17"/>
      <c r="C358" s="17"/>
      <c r="D358" s="17"/>
      <c r="E358" s="17"/>
      <c r="F358" s="17"/>
      <c r="G358" s="17"/>
      <c r="H358" s="17"/>
      <c r="I358" s="17"/>
    </row>
    <row r="359" spans="1:9" x14ac:dyDescent="0.2">
      <c r="A359" s="17"/>
      <c r="B359" s="17"/>
      <c r="C359" s="17"/>
      <c r="D359" s="17"/>
      <c r="E359" s="17"/>
      <c r="F359" s="17"/>
      <c r="G359" s="17"/>
      <c r="H359" s="17"/>
      <c r="I359" s="17"/>
    </row>
    <row r="360" spans="1:9" x14ac:dyDescent="0.2">
      <c r="A360" s="17"/>
      <c r="B360" s="17"/>
      <c r="C360" s="17"/>
      <c r="D360" s="17"/>
      <c r="E360" s="17"/>
      <c r="F360" s="17"/>
      <c r="G360" s="17"/>
      <c r="H360" s="17"/>
      <c r="I360" s="17"/>
    </row>
    <row r="361" spans="1:9" x14ac:dyDescent="0.2">
      <c r="A361" s="17"/>
      <c r="B361" s="17"/>
      <c r="C361" s="17"/>
      <c r="D361" s="17"/>
      <c r="E361" s="17"/>
      <c r="F361" s="17"/>
      <c r="G361" s="17"/>
      <c r="H361" s="17"/>
      <c r="I361" s="17"/>
    </row>
    <row r="362" spans="1:9" x14ac:dyDescent="0.2">
      <c r="A362" s="17"/>
      <c r="B362" s="17"/>
      <c r="C362" s="17"/>
      <c r="D362" s="17"/>
      <c r="E362" s="17"/>
      <c r="F362" s="17"/>
      <c r="G362" s="17"/>
      <c r="H362" s="17"/>
      <c r="I362" s="17"/>
    </row>
    <row r="363" spans="1:9" x14ac:dyDescent="0.2">
      <c r="A363" s="17"/>
      <c r="B363" s="17"/>
      <c r="C363" s="17"/>
      <c r="D363" s="17"/>
      <c r="E363" s="17"/>
      <c r="F363" s="17"/>
      <c r="G363" s="17"/>
      <c r="H363" s="17"/>
      <c r="I363" s="17"/>
    </row>
    <row r="364" spans="1:9" x14ac:dyDescent="0.2">
      <c r="A364" s="17"/>
      <c r="B364" s="17"/>
      <c r="C364" s="17"/>
      <c r="D364" s="17"/>
      <c r="E364" s="17"/>
      <c r="F364" s="17"/>
      <c r="G364" s="17"/>
      <c r="H364" s="17"/>
      <c r="I364" s="17"/>
    </row>
    <row r="365" spans="1:9" x14ac:dyDescent="0.2">
      <c r="A365" s="17"/>
      <c r="B365" s="17"/>
      <c r="C365" s="17"/>
      <c r="D365" s="17"/>
      <c r="E365" s="17"/>
      <c r="F365" s="17"/>
      <c r="G365" s="17"/>
      <c r="H365" s="17"/>
      <c r="I365" s="17"/>
    </row>
    <row r="366" spans="1:9" x14ac:dyDescent="0.2">
      <c r="A366" s="17"/>
      <c r="B366" s="17"/>
      <c r="C366" s="17"/>
      <c r="D366" s="17"/>
      <c r="E366" s="17"/>
      <c r="F366" s="17"/>
      <c r="G366" s="17"/>
      <c r="H366" s="17"/>
      <c r="I366" s="17"/>
    </row>
    <row r="367" spans="1:9" x14ac:dyDescent="0.2">
      <c r="A367" s="17"/>
      <c r="B367" s="17"/>
      <c r="C367" s="17"/>
      <c r="D367" s="17"/>
      <c r="E367" s="17"/>
      <c r="F367" s="17"/>
      <c r="G367" s="17"/>
      <c r="H367" s="17"/>
      <c r="I367" s="17"/>
    </row>
    <row r="368" spans="1:9" x14ac:dyDescent="0.2">
      <c r="A368" s="17"/>
      <c r="B368" s="17"/>
      <c r="C368" s="17"/>
      <c r="D368" s="17"/>
      <c r="E368" s="17"/>
      <c r="F368" s="17"/>
      <c r="G368" s="17"/>
      <c r="H368" s="17"/>
      <c r="I368" s="17"/>
    </row>
    <row r="369" spans="1:9" x14ac:dyDescent="0.2">
      <c r="A369" s="17"/>
      <c r="B369" s="17"/>
      <c r="C369" s="17"/>
      <c r="D369" s="17"/>
      <c r="E369" s="17"/>
      <c r="F369" s="17"/>
      <c r="G369" s="17"/>
      <c r="H369" s="17"/>
      <c r="I369" s="17"/>
    </row>
    <row r="370" spans="1:9" x14ac:dyDescent="0.2">
      <c r="A370" s="17"/>
      <c r="B370" s="17"/>
      <c r="C370" s="17"/>
      <c r="D370" s="17"/>
      <c r="E370" s="17"/>
      <c r="F370" s="17"/>
      <c r="G370" s="17"/>
      <c r="H370" s="17"/>
      <c r="I370" s="17"/>
    </row>
    <row r="371" spans="1:9" x14ac:dyDescent="0.2">
      <c r="A371" s="17"/>
      <c r="B371" s="17"/>
      <c r="C371" s="17"/>
      <c r="D371" s="17"/>
      <c r="E371" s="17"/>
      <c r="F371" s="17"/>
      <c r="G371" s="17"/>
      <c r="H371" s="17"/>
      <c r="I371" s="17"/>
    </row>
    <row r="372" spans="1:9" x14ac:dyDescent="0.2">
      <c r="A372" s="17"/>
      <c r="B372" s="17"/>
      <c r="C372" s="17"/>
      <c r="D372" s="17"/>
      <c r="E372" s="17"/>
      <c r="F372" s="17"/>
      <c r="G372" s="17"/>
      <c r="H372" s="17"/>
      <c r="I372" s="17"/>
    </row>
    <row r="373" spans="1:9" x14ac:dyDescent="0.2">
      <c r="A373" s="17"/>
      <c r="B373" s="17"/>
      <c r="C373" s="17"/>
      <c r="D373" s="17"/>
      <c r="E373" s="17"/>
      <c r="F373" s="17"/>
      <c r="G373" s="17"/>
      <c r="H373" s="17"/>
      <c r="I373" s="17"/>
    </row>
    <row r="374" spans="1:9" x14ac:dyDescent="0.2">
      <c r="A374" s="17"/>
      <c r="B374" s="17"/>
      <c r="C374" s="17"/>
      <c r="D374" s="17"/>
      <c r="E374" s="17"/>
      <c r="F374" s="17"/>
      <c r="G374" s="17"/>
      <c r="H374" s="17"/>
      <c r="I374" s="17"/>
    </row>
    <row r="375" spans="1:9" x14ac:dyDescent="0.2">
      <c r="A375" s="17"/>
      <c r="B375" s="17"/>
      <c r="C375" s="17"/>
      <c r="D375" s="17"/>
      <c r="E375" s="17"/>
      <c r="F375" s="17"/>
      <c r="G375" s="17"/>
      <c r="H375" s="17"/>
      <c r="I375" s="17"/>
    </row>
    <row r="376" spans="1:9" x14ac:dyDescent="0.2">
      <c r="A376" s="17"/>
      <c r="B376" s="17"/>
      <c r="C376" s="17"/>
      <c r="D376" s="17"/>
      <c r="E376" s="17"/>
      <c r="F376" s="17"/>
      <c r="G376" s="17"/>
      <c r="H376" s="17"/>
      <c r="I376" s="17"/>
    </row>
    <row r="377" spans="1:9" x14ac:dyDescent="0.2">
      <c r="A377" s="17"/>
      <c r="B377" s="17"/>
      <c r="C377" s="17"/>
      <c r="D377" s="17"/>
      <c r="E377" s="17"/>
      <c r="F377" s="17"/>
      <c r="G377" s="17"/>
      <c r="H377" s="17"/>
      <c r="I377" s="17"/>
    </row>
    <row r="378" spans="1:9" x14ac:dyDescent="0.2">
      <c r="A378" s="17"/>
      <c r="B378" s="17"/>
      <c r="C378" s="17"/>
      <c r="D378" s="17"/>
      <c r="E378" s="17"/>
      <c r="F378" s="17"/>
      <c r="G378" s="17"/>
      <c r="H378" s="17"/>
      <c r="I378" s="17"/>
    </row>
    <row r="379" spans="1:9" x14ac:dyDescent="0.2">
      <c r="A379" s="17"/>
      <c r="B379" s="17"/>
      <c r="C379" s="17"/>
      <c r="D379" s="17"/>
      <c r="E379" s="17"/>
      <c r="F379" s="17"/>
      <c r="G379" s="17"/>
      <c r="H379" s="17"/>
      <c r="I379" s="17"/>
    </row>
    <row r="380" spans="1:9" x14ac:dyDescent="0.2">
      <c r="A380" s="17"/>
      <c r="B380" s="17"/>
      <c r="C380" s="17"/>
      <c r="D380" s="17"/>
      <c r="E380" s="17"/>
      <c r="F380" s="17"/>
      <c r="G380" s="17"/>
      <c r="H380" s="17"/>
      <c r="I380" s="17"/>
    </row>
    <row r="381" spans="1:9" x14ac:dyDescent="0.2">
      <c r="A381" s="17"/>
      <c r="B381" s="17"/>
      <c r="C381" s="17"/>
      <c r="D381" s="17"/>
      <c r="E381" s="17"/>
      <c r="F381" s="17"/>
      <c r="G381" s="17"/>
      <c r="H381" s="17"/>
      <c r="I381" s="17"/>
    </row>
    <row r="382" spans="1:9" x14ac:dyDescent="0.2">
      <c r="A382" s="17"/>
      <c r="B382" s="17"/>
      <c r="C382" s="17"/>
      <c r="D382" s="17"/>
      <c r="E382" s="17"/>
      <c r="F382" s="17"/>
      <c r="G382" s="17"/>
      <c r="H382" s="17"/>
      <c r="I382" s="17"/>
    </row>
    <row r="383" spans="1:9" x14ac:dyDescent="0.2">
      <c r="A383" s="17"/>
      <c r="B383" s="17"/>
      <c r="C383" s="17"/>
      <c r="D383" s="17"/>
      <c r="E383" s="17"/>
      <c r="F383" s="17"/>
      <c r="G383" s="17"/>
      <c r="H383" s="17"/>
      <c r="I383" s="17"/>
    </row>
    <row r="384" spans="1:9" x14ac:dyDescent="0.2">
      <c r="A384" s="17"/>
      <c r="B384" s="17"/>
      <c r="C384" s="17"/>
      <c r="D384" s="17"/>
      <c r="E384" s="17"/>
      <c r="F384" s="17"/>
      <c r="G384" s="17"/>
      <c r="H384" s="17"/>
      <c r="I384" s="17"/>
    </row>
    <row r="385" spans="1:9" x14ac:dyDescent="0.2">
      <c r="A385" s="17"/>
      <c r="B385" s="17"/>
      <c r="C385" s="17"/>
      <c r="D385" s="17"/>
      <c r="E385" s="17"/>
      <c r="F385" s="17"/>
      <c r="G385" s="17"/>
      <c r="H385" s="17"/>
      <c r="I385" s="17"/>
    </row>
    <row r="386" spans="1:9" x14ac:dyDescent="0.2">
      <c r="A386" s="17"/>
      <c r="B386" s="17"/>
      <c r="C386" s="17"/>
      <c r="D386" s="17"/>
      <c r="E386" s="17"/>
      <c r="F386" s="17"/>
      <c r="G386" s="17"/>
      <c r="H386" s="17"/>
      <c r="I386" s="17"/>
    </row>
    <row r="387" spans="1:9" x14ac:dyDescent="0.2">
      <c r="A387" s="17"/>
      <c r="B387" s="17"/>
      <c r="C387" s="17"/>
      <c r="D387" s="17"/>
      <c r="E387" s="17"/>
      <c r="F387" s="17"/>
      <c r="G387" s="17"/>
      <c r="H387" s="17"/>
      <c r="I387" s="17"/>
    </row>
    <row r="388" spans="1:9" x14ac:dyDescent="0.2">
      <c r="A388" s="17"/>
      <c r="B388" s="17"/>
      <c r="C388" s="17"/>
      <c r="D388" s="17"/>
      <c r="E388" s="17"/>
      <c r="F388" s="17"/>
      <c r="G388" s="17"/>
      <c r="H388" s="17"/>
      <c r="I388" s="17"/>
    </row>
    <row r="389" spans="1:9" x14ac:dyDescent="0.2">
      <c r="A389" s="17"/>
      <c r="B389" s="17"/>
      <c r="C389" s="17"/>
      <c r="D389" s="17"/>
      <c r="E389" s="17"/>
      <c r="F389" s="17"/>
      <c r="G389" s="17"/>
      <c r="H389" s="17"/>
      <c r="I389" s="17"/>
    </row>
    <row r="390" spans="1:9" x14ac:dyDescent="0.2">
      <c r="A390" s="17"/>
      <c r="B390" s="17"/>
      <c r="C390" s="17"/>
      <c r="D390" s="17"/>
      <c r="E390" s="17"/>
      <c r="F390" s="17"/>
      <c r="G390" s="17"/>
      <c r="H390" s="17"/>
      <c r="I390" s="17"/>
    </row>
    <row r="391" spans="1:9" x14ac:dyDescent="0.2">
      <c r="A391" s="17"/>
      <c r="B391" s="17"/>
      <c r="C391" s="17"/>
      <c r="D391" s="17"/>
      <c r="E391" s="17"/>
      <c r="F391" s="17"/>
      <c r="G391" s="17"/>
      <c r="H391" s="17"/>
      <c r="I391" s="17"/>
    </row>
    <row r="392" spans="1:9" x14ac:dyDescent="0.2">
      <c r="A392" s="17"/>
      <c r="B392" s="17"/>
      <c r="C392" s="17"/>
      <c r="D392" s="17"/>
      <c r="E392" s="17"/>
      <c r="F392" s="17"/>
      <c r="G392" s="17"/>
      <c r="H392" s="17"/>
      <c r="I392" s="17"/>
    </row>
    <row r="393" spans="1:9" x14ac:dyDescent="0.2">
      <c r="A393" s="17"/>
      <c r="B393" s="17"/>
      <c r="C393" s="17"/>
      <c r="D393" s="17"/>
      <c r="E393" s="17"/>
      <c r="F393" s="17"/>
      <c r="G393" s="17"/>
      <c r="H393" s="17"/>
      <c r="I393" s="17"/>
    </row>
    <row r="394" spans="1:9" x14ac:dyDescent="0.2">
      <c r="A394" s="17"/>
      <c r="B394" s="17"/>
      <c r="C394" s="17"/>
      <c r="D394" s="17"/>
      <c r="E394" s="17"/>
      <c r="F394" s="17"/>
      <c r="G394" s="17"/>
      <c r="H394" s="17"/>
      <c r="I394" s="17"/>
    </row>
    <row r="395" spans="1:9" x14ac:dyDescent="0.2">
      <c r="A395" s="17"/>
      <c r="B395" s="17"/>
      <c r="C395" s="17"/>
      <c r="D395" s="17"/>
      <c r="E395" s="17"/>
      <c r="F395" s="17"/>
      <c r="G395" s="17"/>
      <c r="H395" s="17"/>
      <c r="I395" s="17"/>
    </row>
    <row r="396" spans="1:9" x14ac:dyDescent="0.2">
      <c r="A396" s="17"/>
      <c r="B396" s="17"/>
      <c r="C396" s="17"/>
      <c r="D396" s="17"/>
      <c r="E396" s="17"/>
      <c r="F396" s="17"/>
      <c r="G396" s="17"/>
      <c r="H396" s="17"/>
      <c r="I396" s="17"/>
    </row>
    <row r="397" spans="1:9" x14ac:dyDescent="0.2">
      <c r="A397" s="17"/>
      <c r="B397" s="17"/>
      <c r="C397" s="17"/>
      <c r="D397" s="17"/>
      <c r="E397" s="17"/>
      <c r="F397" s="17"/>
      <c r="G397" s="17"/>
      <c r="H397" s="17"/>
      <c r="I397" s="17"/>
    </row>
    <row r="398" spans="1:9" x14ac:dyDescent="0.2">
      <c r="A398" s="17"/>
      <c r="B398" s="17"/>
      <c r="C398" s="17"/>
      <c r="D398" s="17"/>
      <c r="E398" s="17"/>
      <c r="F398" s="17"/>
      <c r="G398" s="17"/>
      <c r="H398" s="17"/>
      <c r="I398" s="17"/>
    </row>
    <row r="399" spans="1:9" x14ac:dyDescent="0.2">
      <c r="A399" s="17"/>
      <c r="B399" s="17"/>
      <c r="C399" s="17"/>
      <c r="D399" s="17"/>
      <c r="E399" s="17"/>
      <c r="F399" s="17"/>
      <c r="G399" s="17"/>
      <c r="H399" s="17"/>
      <c r="I399" s="17"/>
    </row>
    <row r="400" spans="1:9" x14ac:dyDescent="0.2">
      <c r="A400" s="17"/>
      <c r="B400" s="17"/>
      <c r="C400" s="17"/>
      <c r="D400" s="17"/>
      <c r="E400" s="17"/>
      <c r="F400" s="17"/>
      <c r="G400" s="17"/>
      <c r="H400" s="17"/>
      <c r="I400" s="17"/>
    </row>
    <row r="401" spans="1:9" x14ac:dyDescent="0.2">
      <c r="A401" s="17"/>
      <c r="B401" s="17"/>
      <c r="C401" s="17"/>
      <c r="D401" s="17"/>
      <c r="E401" s="17"/>
      <c r="F401" s="17"/>
      <c r="G401" s="17"/>
      <c r="H401" s="17"/>
      <c r="I401" s="17"/>
    </row>
    <row r="402" spans="1:9" x14ac:dyDescent="0.2">
      <c r="A402" s="17"/>
      <c r="B402" s="17"/>
      <c r="C402" s="17"/>
      <c r="D402" s="17"/>
      <c r="E402" s="17"/>
      <c r="F402" s="17"/>
      <c r="G402" s="17"/>
      <c r="H402" s="17"/>
      <c r="I402" s="17"/>
    </row>
    <row r="403" spans="1:9" x14ac:dyDescent="0.2">
      <c r="A403" s="17"/>
      <c r="B403" s="17"/>
      <c r="C403" s="17"/>
      <c r="D403" s="17"/>
      <c r="E403" s="17"/>
      <c r="F403" s="17"/>
      <c r="G403" s="17"/>
      <c r="H403" s="17"/>
      <c r="I403" s="17"/>
    </row>
    <row r="404" spans="1:9" x14ac:dyDescent="0.2">
      <c r="A404" s="17"/>
      <c r="B404" s="17"/>
      <c r="C404" s="17"/>
      <c r="D404" s="17"/>
      <c r="E404" s="17"/>
      <c r="F404" s="17"/>
      <c r="G404" s="17"/>
      <c r="H404" s="17"/>
      <c r="I404" s="17"/>
    </row>
    <row r="405" spans="1:9" x14ac:dyDescent="0.2">
      <c r="A405" s="17"/>
      <c r="B405" s="17"/>
      <c r="C405" s="17"/>
      <c r="D405" s="17"/>
      <c r="E405" s="17"/>
      <c r="F405" s="17"/>
      <c r="G405" s="17"/>
      <c r="H405" s="17"/>
      <c r="I405" s="17"/>
    </row>
    <row r="406" spans="1:9" x14ac:dyDescent="0.2">
      <c r="A406" s="17"/>
      <c r="B406" s="17"/>
      <c r="C406" s="17"/>
      <c r="D406" s="17"/>
      <c r="E406" s="17"/>
      <c r="F406" s="17"/>
      <c r="G406" s="17"/>
      <c r="H406" s="17"/>
      <c r="I406" s="17"/>
    </row>
    <row r="407" spans="1:9" x14ac:dyDescent="0.2">
      <c r="A407" s="17"/>
      <c r="B407" s="17"/>
      <c r="C407" s="17"/>
      <c r="D407" s="17"/>
      <c r="E407" s="17"/>
      <c r="F407" s="17"/>
      <c r="G407" s="17"/>
      <c r="H407" s="17"/>
      <c r="I407" s="17"/>
    </row>
    <row r="408" spans="1:9" x14ac:dyDescent="0.2">
      <c r="A408" s="17"/>
      <c r="B408" s="17"/>
      <c r="C408" s="17"/>
      <c r="D408" s="17"/>
      <c r="E408" s="17"/>
      <c r="F408" s="17"/>
      <c r="G408" s="17"/>
      <c r="H408" s="17"/>
      <c r="I408" s="17"/>
    </row>
    <row r="409" spans="1:9" x14ac:dyDescent="0.2">
      <c r="A409" s="17"/>
      <c r="B409" s="17"/>
      <c r="C409" s="17"/>
      <c r="D409" s="17"/>
      <c r="E409" s="17"/>
      <c r="F409" s="17"/>
      <c r="G409" s="17"/>
      <c r="H409" s="17"/>
      <c r="I409" s="17"/>
    </row>
    <row r="410" spans="1:9" x14ac:dyDescent="0.2">
      <c r="A410" s="17"/>
      <c r="B410" s="17"/>
      <c r="C410" s="17"/>
      <c r="D410" s="17"/>
      <c r="E410" s="17"/>
      <c r="F410" s="17"/>
      <c r="G410" s="17"/>
      <c r="H410" s="17"/>
      <c r="I410" s="17"/>
    </row>
    <row r="411" spans="1:9" x14ac:dyDescent="0.2">
      <c r="A411" s="17"/>
      <c r="B411" s="17"/>
      <c r="C411" s="17"/>
      <c r="D411" s="17"/>
      <c r="E411" s="17"/>
      <c r="F411" s="17"/>
      <c r="G411" s="17"/>
      <c r="H411" s="17"/>
      <c r="I411" s="17"/>
    </row>
    <row r="412" spans="1:9" x14ac:dyDescent="0.2">
      <c r="A412" s="17"/>
      <c r="B412" s="17"/>
      <c r="C412" s="17"/>
      <c r="D412" s="17"/>
      <c r="E412" s="17"/>
      <c r="F412" s="17"/>
      <c r="G412" s="17"/>
      <c r="H412" s="17"/>
      <c r="I412" s="17"/>
    </row>
    <row r="413" spans="1:9" x14ac:dyDescent="0.2">
      <c r="A413" s="17"/>
      <c r="B413" s="17"/>
      <c r="C413" s="17"/>
      <c r="D413" s="17"/>
      <c r="E413" s="17"/>
      <c r="F413" s="17"/>
      <c r="G413" s="17"/>
      <c r="H413" s="17"/>
      <c r="I413" s="17"/>
    </row>
    <row r="414" spans="1:9" x14ac:dyDescent="0.2">
      <c r="A414" s="17"/>
      <c r="B414" s="17"/>
      <c r="C414" s="17"/>
      <c r="D414" s="17"/>
      <c r="E414" s="17"/>
      <c r="F414" s="17"/>
      <c r="G414" s="17"/>
      <c r="H414" s="17"/>
      <c r="I414" s="17"/>
    </row>
    <row r="415" spans="1:9" x14ac:dyDescent="0.2">
      <c r="A415" s="17"/>
      <c r="B415" s="17"/>
      <c r="C415" s="17"/>
      <c r="D415" s="17"/>
      <c r="E415" s="17"/>
      <c r="F415" s="17"/>
      <c r="G415" s="17"/>
      <c r="H415" s="17"/>
      <c r="I415" s="17"/>
    </row>
    <row r="416" spans="1:9" x14ac:dyDescent="0.2">
      <c r="A416" s="17"/>
      <c r="B416" s="17"/>
      <c r="C416" s="17"/>
      <c r="D416" s="17"/>
      <c r="E416" s="17"/>
      <c r="F416" s="17"/>
      <c r="G416" s="17"/>
      <c r="H416" s="17"/>
      <c r="I416" s="17"/>
    </row>
    <row r="417" spans="1:9" x14ac:dyDescent="0.2">
      <c r="A417" s="17"/>
      <c r="B417" s="17"/>
      <c r="C417" s="17"/>
      <c r="D417" s="17"/>
      <c r="E417" s="17"/>
      <c r="F417" s="17"/>
      <c r="G417" s="17"/>
      <c r="H417" s="17"/>
      <c r="I417" s="17"/>
    </row>
    <row r="418" spans="1:9" x14ac:dyDescent="0.2">
      <c r="A418" s="17"/>
      <c r="B418" s="17"/>
      <c r="C418" s="17"/>
      <c r="D418" s="17"/>
      <c r="E418" s="17"/>
      <c r="F418" s="17"/>
      <c r="G418" s="17"/>
      <c r="H418" s="17"/>
      <c r="I418" s="17"/>
    </row>
    <row r="419" spans="1:9" x14ac:dyDescent="0.2">
      <c r="A419" s="17"/>
      <c r="B419" s="17"/>
      <c r="C419" s="17"/>
      <c r="D419" s="17"/>
      <c r="E419" s="17"/>
      <c r="F419" s="17"/>
      <c r="G419" s="17"/>
      <c r="H419" s="17"/>
      <c r="I419" s="17"/>
    </row>
    <row r="420" spans="1:9" x14ac:dyDescent="0.2">
      <c r="A420" s="17"/>
      <c r="B420" s="17"/>
      <c r="C420" s="17"/>
      <c r="D420" s="17"/>
      <c r="E420" s="17"/>
      <c r="F420" s="17"/>
      <c r="G420" s="17"/>
      <c r="H420" s="17"/>
      <c r="I420" s="17"/>
    </row>
    <row r="421" spans="1:9" x14ac:dyDescent="0.2">
      <c r="A421" s="17"/>
      <c r="B421" s="17"/>
      <c r="C421" s="17"/>
      <c r="D421" s="17"/>
      <c r="E421" s="17"/>
      <c r="F421" s="17"/>
      <c r="G421" s="17"/>
      <c r="H421" s="17"/>
      <c r="I421" s="17"/>
    </row>
    <row r="422" spans="1:9" x14ac:dyDescent="0.2">
      <c r="A422" s="17"/>
      <c r="B422" s="17"/>
      <c r="C422" s="17"/>
      <c r="D422" s="17"/>
      <c r="E422" s="17"/>
      <c r="F422" s="17"/>
      <c r="G422" s="17"/>
      <c r="H422" s="17"/>
      <c r="I422" s="17"/>
    </row>
    <row r="423" spans="1:9" x14ac:dyDescent="0.2">
      <c r="A423" s="17"/>
      <c r="B423" s="17"/>
      <c r="C423" s="17"/>
      <c r="D423" s="17"/>
      <c r="E423" s="17"/>
      <c r="F423" s="17"/>
      <c r="G423" s="17"/>
      <c r="H423" s="17"/>
      <c r="I423" s="17"/>
    </row>
    <row r="424" spans="1:9" x14ac:dyDescent="0.2">
      <c r="A424" s="17"/>
      <c r="B424" s="17"/>
      <c r="C424" s="17"/>
      <c r="D424" s="17"/>
      <c r="E424" s="17"/>
      <c r="F424" s="17"/>
      <c r="G424" s="17"/>
      <c r="H424" s="17"/>
      <c r="I424" s="17"/>
    </row>
    <row r="425" spans="1:9" x14ac:dyDescent="0.2">
      <c r="A425" s="17"/>
      <c r="B425" s="17"/>
      <c r="C425" s="17"/>
      <c r="D425" s="17"/>
      <c r="E425" s="17"/>
      <c r="F425" s="17"/>
      <c r="G425" s="17"/>
      <c r="H425" s="17"/>
      <c r="I425" s="17"/>
    </row>
    <row r="426" spans="1:9" x14ac:dyDescent="0.2">
      <c r="A426" s="17"/>
      <c r="B426" s="17"/>
      <c r="C426" s="17"/>
      <c r="D426" s="17"/>
      <c r="E426" s="17"/>
      <c r="F426" s="17"/>
      <c r="G426" s="17"/>
      <c r="H426" s="17"/>
      <c r="I426" s="17"/>
    </row>
    <row r="427" spans="1:9" x14ac:dyDescent="0.2">
      <c r="A427" s="17"/>
      <c r="B427" s="17"/>
      <c r="C427" s="17"/>
      <c r="D427" s="17"/>
      <c r="E427" s="17"/>
      <c r="F427" s="17"/>
      <c r="G427" s="17"/>
      <c r="H427" s="17"/>
      <c r="I427" s="17"/>
    </row>
    <row r="428" spans="1:9" x14ac:dyDescent="0.2">
      <c r="A428" s="17"/>
      <c r="B428" s="17"/>
      <c r="C428" s="17"/>
      <c r="D428" s="17"/>
      <c r="E428" s="17"/>
      <c r="F428" s="17"/>
      <c r="G428" s="17"/>
      <c r="H428" s="17"/>
      <c r="I428" s="17"/>
    </row>
    <row r="429" spans="1:9" x14ac:dyDescent="0.2">
      <c r="A429" s="17"/>
      <c r="B429" s="17"/>
      <c r="C429" s="17"/>
      <c r="D429" s="17"/>
      <c r="E429" s="17"/>
      <c r="F429" s="17"/>
      <c r="G429" s="17"/>
      <c r="H429" s="17"/>
      <c r="I429" s="17"/>
    </row>
    <row r="430" spans="1:9" x14ac:dyDescent="0.2">
      <c r="A430" s="17"/>
      <c r="B430" s="17"/>
      <c r="C430" s="17"/>
      <c r="D430" s="17"/>
      <c r="E430" s="17"/>
      <c r="F430" s="17"/>
      <c r="G430" s="17"/>
      <c r="H430" s="17"/>
      <c r="I430" s="17"/>
    </row>
    <row r="431" spans="1:9" x14ac:dyDescent="0.2">
      <c r="A431" s="17"/>
      <c r="B431" s="17"/>
      <c r="C431" s="17"/>
      <c r="D431" s="17"/>
      <c r="E431" s="17"/>
      <c r="F431" s="17"/>
      <c r="G431" s="17"/>
      <c r="H431" s="17"/>
      <c r="I431" s="17"/>
    </row>
    <row r="432" spans="1:9" x14ac:dyDescent="0.2">
      <c r="A432" s="17"/>
      <c r="B432" s="17"/>
      <c r="C432" s="17"/>
      <c r="D432" s="17"/>
      <c r="E432" s="17"/>
      <c r="F432" s="17"/>
      <c r="G432" s="17"/>
      <c r="H432" s="17"/>
      <c r="I432" s="17"/>
    </row>
    <row r="433" spans="1:9" x14ac:dyDescent="0.2">
      <c r="A433" s="17"/>
      <c r="B433" s="17"/>
      <c r="C433" s="17"/>
      <c r="D433" s="17"/>
      <c r="E433" s="17"/>
      <c r="F433" s="17"/>
      <c r="G433" s="17"/>
      <c r="H433" s="17"/>
      <c r="I433" s="17"/>
    </row>
    <row r="434" spans="1:9" x14ac:dyDescent="0.2">
      <c r="A434" s="17"/>
      <c r="B434" s="17"/>
      <c r="C434" s="17"/>
      <c r="D434" s="17"/>
      <c r="E434" s="17"/>
      <c r="F434" s="17"/>
      <c r="G434" s="17"/>
      <c r="H434" s="17"/>
      <c r="I434" s="17"/>
    </row>
    <row r="435" spans="1:9" x14ac:dyDescent="0.2">
      <c r="A435" s="17"/>
      <c r="B435" s="17"/>
      <c r="C435" s="17"/>
      <c r="D435" s="17"/>
      <c r="E435" s="17"/>
      <c r="F435" s="17"/>
      <c r="G435" s="17"/>
      <c r="H435" s="17"/>
      <c r="I435" s="17"/>
    </row>
    <row r="436" spans="1:9" x14ac:dyDescent="0.2">
      <c r="A436" s="17"/>
      <c r="B436" s="17"/>
      <c r="C436" s="17"/>
      <c r="D436" s="17"/>
      <c r="E436" s="17"/>
      <c r="F436" s="17"/>
      <c r="G436" s="17"/>
      <c r="H436" s="17"/>
      <c r="I436" s="17"/>
    </row>
    <row r="437" spans="1:9" x14ac:dyDescent="0.2">
      <c r="A437" s="17"/>
      <c r="B437" s="17"/>
      <c r="C437" s="17"/>
      <c r="D437" s="17"/>
      <c r="E437" s="17"/>
      <c r="F437" s="17"/>
      <c r="G437" s="17"/>
      <c r="H437" s="17"/>
      <c r="I437" s="17"/>
    </row>
    <row r="438" spans="1:9" x14ac:dyDescent="0.2">
      <c r="A438" s="17"/>
      <c r="B438" s="17"/>
      <c r="C438" s="17"/>
      <c r="D438" s="17"/>
      <c r="E438" s="17"/>
      <c r="F438" s="17"/>
      <c r="G438" s="17"/>
      <c r="H438" s="17"/>
      <c r="I438" s="17"/>
    </row>
    <row r="439" spans="1:9" x14ac:dyDescent="0.2">
      <c r="A439" s="17"/>
      <c r="B439" s="17"/>
      <c r="C439" s="17"/>
      <c r="D439" s="17"/>
      <c r="E439" s="17"/>
      <c r="F439" s="17"/>
      <c r="G439" s="17"/>
      <c r="H439" s="17"/>
      <c r="I439" s="17"/>
    </row>
    <row r="440" spans="1:9" x14ac:dyDescent="0.2">
      <c r="A440" s="17"/>
      <c r="B440" s="17"/>
      <c r="C440" s="17"/>
      <c r="D440" s="17"/>
      <c r="E440" s="17"/>
      <c r="F440" s="17"/>
      <c r="G440" s="17"/>
      <c r="H440" s="17"/>
      <c r="I440" s="17"/>
    </row>
    <row r="441" spans="1:9" x14ac:dyDescent="0.2">
      <c r="A441" s="17"/>
      <c r="B441" s="17"/>
      <c r="C441" s="17"/>
      <c r="D441" s="17"/>
      <c r="E441" s="17"/>
      <c r="F441" s="17"/>
      <c r="G441" s="17"/>
      <c r="H441" s="17"/>
      <c r="I441" s="17"/>
    </row>
    <row r="442" spans="1:9" x14ac:dyDescent="0.2">
      <c r="A442" s="17"/>
      <c r="B442" s="17"/>
      <c r="C442" s="17"/>
      <c r="D442" s="17"/>
      <c r="E442" s="17"/>
      <c r="F442" s="17"/>
      <c r="G442" s="17"/>
      <c r="H442" s="17"/>
      <c r="I442" s="17"/>
    </row>
    <row r="443" spans="1:9" x14ac:dyDescent="0.2">
      <c r="A443" s="17"/>
      <c r="B443" s="17"/>
      <c r="C443" s="17"/>
      <c r="D443" s="17"/>
      <c r="E443" s="17"/>
      <c r="F443" s="17"/>
      <c r="G443" s="17"/>
      <c r="H443" s="17"/>
      <c r="I443" s="17"/>
    </row>
    <row r="444" spans="1:9" x14ac:dyDescent="0.2">
      <c r="A444" s="17"/>
      <c r="B444" s="17"/>
      <c r="C444" s="17"/>
      <c r="D444" s="17"/>
      <c r="E444" s="17"/>
      <c r="F444" s="17"/>
      <c r="G444" s="17"/>
      <c r="H444" s="17"/>
      <c r="I444" s="17"/>
    </row>
    <row r="445" spans="1:9" x14ac:dyDescent="0.2">
      <c r="A445" s="17"/>
      <c r="B445" s="17"/>
      <c r="C445" s="17"/>
      <c r="D445" s="17"/>
      <c r="E445" s="17"/>
      <c r="F445" s="17"/>
      <c r="G445" s="17"/>
      <c r="H445" s="17"/>
      <c r="I445" s="17"/>
    </row>
    <row r="446" spans="1:9" x14ac:dyDescent="0.2">
      <c r="A446" s="17"/>
      <c r="B446" s="17"/>
      <c r="C446" s="17"/>
      <c r="D446" s="17"/>
      <c r="E446" s="17"/>
      <c r="F446" s="17"/>
      <c r="G446" s="17"/>
      <c r="H446" s="17"/>
      <c r="I446" s="17"/>
    </row>
    <row r="447" spans="1:9" x14ac:dyDescent="0.2">
      <c r="A447" s="17"/>
      <c r="B447" s="17"/>
      <c r="C447" s="17"/>
      <c r="D447" s="17"/>
      <c r="E447" s="17"/>
      <c r="F447" s="17"/>
      <c r="G447" s="17"/>
      <c r="H447" s="17"/>
      <c r="I447" s="17"/>
    </row>
    <row r="448" spans="1:9" x14ac:dyDescent="0.2">
      <c r="A448" s="17"/>
      <c r="B448" s="17"/>
      <c r="C448" s="17"/>
      <c r="D448" s="17"/>
      <c r="E448" s="17"/>
      <c r="F448" s="17"/>
      <c r="G448" s="17"/>
      <c r="H448" s="17"/>
      <c r="I448" s="17"/>
    </row>
    <row r="449" spans="1:9" x14ac:dyDescent="0.2">
      <c r="A449" s="17"/>
      <c r="B449" s="17"/>
      <c r="C449" s="17"/>
      <c r="D449" s="17"/>
      <c r="E449" s="17"/>
      <c r="F449" s="17"/>
      <c r="G449" s="17"/>
      <c r="H449" s="17"/>
      <c r="I449" s="17"/>
    </row>
    <row r="450" spans="1:9" x14ac:dyDescent="0.2">
      <c r="A450" s="17"/>
      <c r="B450" s="17"/>
      <c r="C450" s="17"/>
      <c r="D450" s="17"/>
      <c r="E450" s="17"/>
      <c r="F450" s="17"/>
      <c r="G450" s="17"/>
      <c r="H450" s="17"/>
      <c r="I450" s="17"/>
    </row>
    <row r="451" spans="1:9" x14ac:dyDescent="0.2">
      <c r="A451" s="17"/>
      <c r="B451" s="17"/>
      <c r="C451" s="17"/>
      <c r="D451" s="17"/>
      <c r="E451" s="17"/>
      <c r="F451" s="17"/>
      <c r="G451" s="17"/>
      <c r="H451" s="17"/>
      <c r="I451" s="17"/>
    </row>
    <row r="452" spans="1:9" x14ac:dyDescent="0.2">
      <c r="A452" s="17"/>
      <c r="B452" s="17"/>
      <c r="C452" s="17"/>
      <c r="D452" s="17"/>
      <c r="E452" s="17"/>
      <c r="F452" s="17"/>
      <c r="G452" s="17"/>
      <c r="H452" s="17"/>
      <c r="I452" s="17"/>
    </row>
    <row r="453" spans="1:9" x14ac:dyDescent="0.2">
      <c r="A453" s="17"/>
      <c r="B453" s="17"/>
      <c r="C453" s="17"/>
      <c r="D453" s="17"/>
      <c r="E453" s="17"/>
      <c r="F453" s="17"/>
      <c r="G453" s="17"/>
      <c r="H453" s="17"/>
      <c r="I453" s="17"/>
    </row>
    <row r="454" spans="1:9" x14ac:dyDescent="0.2">
      <c r="A454" s="17"/>
      <c r="B454" s="17"/>
      <c r="C454" s="17"/>
      <c r="D454" s="17"/>
      <c r="E454" s="17"/>
      <c r="F454" s="17"/>
      <c r="G454" s="17"/>
      <c r="H454" s="17"/>
      <c r="I454" s="17"/>
    </row>
    <row r="455" spans="1:9" x14ac:dyDescent="0.2">
      <c r="A455" s="17"/>
      <c r="B455" s="17"/>
      <c r="C455" s="17"/>
      <c r="D455" s="17"/>
      <c r="E455" s="17"/>
      <c r="F455" s="17"/>
      <c r="G455" s="17"/>
      <c r="H455" s="17"/>
      <c r="I455" s="17"/>
    </row>
    <row r="456" spans="1:9" x14ac:dyDescent="0.2">
      <c r="A456" s="17"/>
      <c r="B456" s="17"/>
      <c r="C456" s="17"/>
      <c r="D456" s="17"/>
      <c r="E456" s="17"/>
      <c r="F456" s="17"/>
      <c r="G456" s="17"/>
      <c r="H456" s="17"/>
      <c r="I456" s="17"/>
    </row>
    <row r="457" spans="1:9" x14ac:dyDescent="0.2">
      <c r="A457" s="17"/>
      <c r="B457" s="17"/>
      <c r="C457" s="17"/>
      <c r="D457" s="17"/>
      <c r="E457" s="17"/>
      <c r="F457" s="17"/>
      <c r="G457" s="17"/>
      <c r="H457" s="17"/>
      <c r="I457" s="17"/>
    </row>
    <row r="458" spans="1:9" x14ac:dyDescent="0.2">
      <c r="A458" s="17"/>
      <c r="B458" s="17"/>
      <c r="C458" s="17"/>
      <c r="D458" s="17"/>
      <c r="E458" s="17"/>
      <c r="F458" s="17"/>
      <c r="G458" s="17"/>
      <c r="H458" s="17"/>
      <c r="I458" s="17"/>
    </row>
    <row r="459" spans="1:9" x14ac:dyDescent="0.2">
      <c r="A459" s="17"/>
      <c r="B459" s="17"/>
      <c r="C459" s="17"/>
      <c r="D459" s="17"/>
      <c r="E459" s="17"/>
      <c r="F459" s="17"/>
      <c r="G459" s="17"/>
      <c r="H459" s="17"/>
      <c r="I459" s="17"/>
    </row>
    <row r="460" spans="1:9" x14ac:dyDescent="0.2">
      <c r="A460" s="17"/>
      <c r="B460" s="17"/>
      <c r="C460" s="17"/>
      <c r="D460" s="17"/>
      <c r="E460" s="17"/>
      <c r="F460" s="17"/>
      <c r="G460" s="17"/>
      <c r="H460" s="17"/>
      <c r="I460" s="17"/>
    </row>
    <row r="461" spans="1:9" x14ac:dyDescent="0.2">
      <c r="A461" s="17"/>
      <c r="B461" s="17"/>
      <c r="C461" s="17"/>
      <c r="D461" s="17"/>
      <c r="E461" s="17"/>
      <c r="F461" s="17"/>
      <c r="G461" s="17"/>
      <c r="H461" s="17"/>
      <c r="I461" s="17"/>
    </row>
    <row r="462" spans="1:9" x14ac:dyDescent="0.2">
      <c r="A462" s="17"/>
      <c r="B462" s="17"/>
      <c r="C462" s="17"/>
      <c r="D462" s="17"/>
      <c r="E462" s="17"/>
      <c r="F462" s="17"/>
      <c r="G462" s="17"/>
      <c r="H462" s="17"/>
      <c r="I462" s="17"/>
    </row>
    <row r="463" spans="1:9" x14ac:dyDescent="0.2">
      <c r="A463" s="17"/>
      <c r="B463" s="17"/>
      <c r="C463" s="17"/>
      <c r="D463" s="17"/>
      <c r="E463" s="17"/>
      <c r="F463" s="17"/>
      <c r="G463" s="17"/>
      <c r="H463" s="17"/>
      <c r="I463" s="17"/>
    </row>
    <row r="464" spans="1:9" x14ac:dyDescent="0.2">
      <c r="A464" s="17"/>
      <c r="B464" s="17"/>
      <c r="C464" s="17"/>
      <c r="D464" s="17"/>
      <c r="E464" s="17"/>
      <c r="F464" s="17"/>
      <c r="G464" s="17"/>
      <c r="H464" s="17"/>
      <c r="I464" s="17"/>
    </row>
    <row r="465" spans="1:9" x14ac:dyDescent="0.2">
      <c r="A465" s="17"/>
      <c r="B465" s="17"/>
      <c r="C465" s="17"/>
      <c r="D465" s="17"/>
      <c r="E465" s="17"/>
      <c r="F465" s="17"/>
      <c r="G465" s="17"/>
      <c r="H465" s="17"/>
      <c r="I465" s="17"/>
    </row>
    <row r="466" spans="1:9" x14ac:dyDescent="0.2">
      <c r="A466" s="17"/>
      <c r="B466" s="17"/>
      <c r="C466" s="17"/>
      <c r="D466" s="17"/>
      <c r="E466" s="17"/>
      <c r="F466" s="17"/>
      <c r="G466" s="17"/>
      <c r="H466" s="17"/>
      <c r="I466" s="17"/>
    </row>
    <row r="467" spans="1:9" x14ac:dyDescent="0.2">
      <c r="A467" s="17"/>
      <c r="B467" s="17"/>
      <c r="C467" s="17"/>
      <c r="D467" s="17"/>
      <c r="E467" s="17"/>
      <c r="F467" s="17"/>
      <c r="G467" s="17"/>
      <c r="H467" s="17"/>
      <c r="I467" s="17"/>
    </row>
    <row r="468" spans="1:9" x14ac:dyDescent="0.2">
      <c r="A468" s="17"/>
      <c r="B468" s="17"/>
      <c r="C468" s="17"/>
      <c r="D468" s="17"/>
      <c r="E468" s="17"/>
      <c r="F468" s="17"/>
      <c r="G468" s="17"/>
      <c r="H468" s="17"/>
      <c r="I468" s="17"/>
    </row>
    <row r="469" spans="1:9" x14ac:dyDescent="0.2">
      <c r="A469" s="17"/>
      <c r="B469" s="17"/>
      <c r="C469" s="17"/>
      <c r="D469" s="17"/>
      <c r="E469" s="17"/>
      <c r="F469" s="17"/>
      <c r="G469" s="17"/>
      <c r="H469" s="17"/>
      <c r="I469" s="17"/>
    </row>
    <row r="470" spans="1:9" x14ac:dyDescent="0.2">
      <c r="A470" s="17"/>
      <c r="B470" s="17"/>
      <c r="C470" s="17"/>
      <c r="D470" s="17"/>
      <c r="E470" s="17"/>
      <c r="F470" s="17"/>
      <c r="G470" s="17"/>
      <c r="H470" s="17"/>
      <c r="I470" s="17"/>
    </row>
    <row r="471" spans="1:9" x14ac:dyDescent="0.2">
      <c r="A471" s="17"/>
      <c r="B471" s="17"/>
      <c r="C471" s="17"/>
      <c r="D471" s="17"/>
      <c r="E471" s="17"/>
      <c r="F471" s="17"/>
      <c r="G471" s="17"/>
      <c r="H471" s="17"/>
      <c r="I471" s="17"/>
    </row>
    <row r="472" spans="1:9" x14ac:dyDescent="0.2">
      <c r="A472" s="17"/>
      <c r="B472" s="17"/>
      <c r="C472" s="17"/>
      <c r="D472" s="17"/>
      <c r="E472" s="17"/>
      <c r="F472" s="17"/>
      <c r="G472" s="17"/>
      <c r="H472" s="17"/>
      <c r="I472" s="17"/>
    </row>
    <row r="473" spans="1:9" x14ac:dyDescent="0.2">
      <c r="A473" s="17"/>
      <c r="B473" s="17"/>
      <c r="C473" s="17"/>
      <c r="D473" s="17"/>
      <c r="E473" s="17"/>
      <c r="F473" s="17"/>
      <c r="G473" s="17"/>
      <c r="H473" s="17"/>
      <c r="I473" s="17"/>
    </row>
    <row r="474" spans="1:9" x14ac:dyDescent="0.2">
      <c r="A474" s="17"/>
      <c r="B474" s="17"/>
      <c r="C474" s="17"/>
      <c r="D474" s="17"/>
      <c r="E474" s="17"/>
      <c r="F474" s="17"/>
      <c r="G474" s="17"/>
      <c r="H474" s="17"/>
      <c r="I474" s="17"/>
    </row>
    <row r="475" spans="1:9" x14ac:dyDescent="0.2">
      <c r="A475" s="17"/>
      <c r="B475" s="17"/>
      <c r="C475" s="17"/>
      <c r="D475" s="17"/>
      <c r="E475" s="17"/>
      <c r="F475" s="17"/>
      <c r="G475" s="17"/>
      <c r="H475" s="17"/>
      <c r="I475" s="17"/>
    </row>
    <row r="476" spans="1:9" x14ac:dyDescent="0.2">
      <c r="A476" s="17"/>
      <c r="B476" s="17"/>
      <c r="C476" s="17"/>
      <c r="D476" s="17"/>
      <c r="E476" s="17"/>
      <c r="F476" s="17"/>
      <c r="G476" s="17"/>
      <c r="H476" s="17"/>
      <c r="I476" s="17"/>
    </row>
    <row r="477" spans="1:9" x14ac:dyDescent="0.2">
      <c r="A477" s="17"/>
      <c r="B477" s="17"/>
      <c r="C477" s="17"/>
      <c r="D477" s="17"/>
      <c r="E477" s="17"/>
      <c r="F477" s="17"/>
      <c r="G477" s="17"/>
      <c r="H477" s="17"/>
      <c r="I477" s="17"/>
    </row>
    <row r="478" spans="1:9" x14ac:dyDescent="0.2">
      <c r="A478" s="17"/>
      <c r="B478" s="17"/>
      <c r="C478" s="17"/>
      <c r="D478" s="17"/>
      <c r="E478" s="17"/>
      <c r="F478" s="17"/>
      <c r="G478" s="17"/>
      <c r="H478" s="17"/>
      <c r="I478" s="17"/>
    </row>
    <row r="479" spans="1:9" x14ac:dyDescent="0.2">
      <c r="A479" s="17"/>
      <c r="B479" s="17"/>
      <c r="C479" s="17"/>
      <c r="D479" s="17"/>
      <c r="E479" s="17"/>
      <c r="F479" s="17"/>
      <c r="G479" s="17"/>
      <c r="H479" s="17"/>
      <c r="I479" s="17"/>
    </row>
    <row r="480" spans="1:9" x14ac:dyDescent="0.2">
      <c r="A480" s="17"/>
      <c r="B480" s="17"/>
      <c r="C480" s="17"/>
      <c r="D480" s="17"/>
      <c r="E480" s="17"/>
      <c r="F480" s="17"/>
      <c r="G480" s="17"/>
      <c r="H480" s="17"/>
      <c r="I480" s="17"/>
    </row>
    <row r="481" spans="1:9" x14ac:dyDescent="0.2">
      <c r="A481" s="17"/>
      <c r="B481" s="17"/>
      <c r="C481" s="17"/>
      <c r="D481" s="17"/>
      <c r="E481" s="17"/>
      <c r="F481" s="17"/>
      <c r="G481" s="17"/>
      <c r="H481" s="17"/>
      <c r="I481" s="17"/>
    </row>
    <row r="482" spans="1:9" x14ac:dyDescent="0.2">
      <c r="A482" s="17"/>
      <c r="B482" s="17"/>
      <c r="C482" s="17"/>
      <c r="D482" s="17"/>
      <c r="E482" s="17"/>
      <c r="F482" s="17"/>
      <c r="G482" s="17"/>
      <c r="H482" s="17"/>
      <c r="I482" s="17"/>
    </row>
    <row r="483" spans="1:9" x14ac:dyDescent="0.2">
      <c r="A483" s="17"/>
      <c r="B483" s="17"/>
      <c r="C483" s="17"/>
      <c r="D483" s="17"/>
      <c r="E483" s="17"/>
      <c r="F483" s="17"/>
      <c r="G483" s="17"/>
      <c r="H483" s="17"/>
      <c r="I483" s="17"/>
    </row>
    <row r="484" spans="1:9" x14ac:dyDescent="0.2">
      <c r="A484" s="17"/>
      <c r="B484" s="17"/>
      <c r="C484" s="17"/>
      <c r="D484" s="17"/>
      <c r="E484" s="17"/>
      <c r="F484" s="17"/>
      <c r="G484" s="17"/>
      <c r="H484" s="17"/>
      <c r="I484" s="17"/>
    </row>
    <row r="485" spans="1:9" x14ac:dyDescent="0.2">
      <c r="A485" s="17"/>
      <c r="B485" s="17"/>
      <c r="C485" s="17"/>
      <c r="D485" s="17"/>
      <c r="E485" s="17"/>
      <c r="F485" s="17"/>
      <c r="G485" s="17"/>
      <c r="H485" s="17"/>
      <c r="I485" s="17"/>
    </row>
    <row r="486" spans="1:9" x14ac:dyDescent="0.2">
      <c r="A486" s="17"/>
      <c r="B486" s="17"/>
      <c r="C486" s="17"/>
      <c r="D486" s="17"/>
      <c r="E486" s="17"/>
      <c r="F486" s="17"/>
      <c r="G486" s="17"/>
      <c r="H486" s="17"/>
      <c r="I486" s="17"/>
    </row>
    <row r="487" spans="1:9" x14ac:dyDescent="0.2">
      <c r="A487" s="17"/>
      <c r="B487" s="17"/>
      <c r="C487" s="17"/>
      <c r="D487" s="17"/>
      <c r="E487" s="17"/>
      <c r="F487" s="17"/>
      <c r="G487" s="17"/>
      <c r="H487" s="17"/>
      <c r="I487" s="17"/>
    </row>
    <row r="488" spans="1:9" x14ac:dyDescent="0.2">
      <c r="A488" s="17"/>
      <c r="B488" s="17"/>
      <c r="C488" s="17"/>
      <c r="D488" s="17"/>
      <c r="E488" s="17"/>
      <c r="F488" s="17"/>
      <c r="G488" s="17"/>
      <c r="H488" s="17"/>
      <c r="I488" s="17"/>
    </row>
    <row r="489" spans="1:9" x14ac:dyDescent="0.2">
      <c r="A489" s="17"/>
      <c r="B489" s="17"/>
      <c r="C489" s="17"/>
      <c r="D489" s="17"/>
      <c r="E489" s="17"/>
      <c r="F489" s="17"/>
      <c r="G489" s="17"/>
      <c r="H489" s="17"/>
      <c r="I489" s="17"/>
    </row>
    <row r="490" spans="1:9" x14ac:dyDescent="0.2">
      <c r="A490" s="17"/>
      <c r="B490" s="17"/>
      <c r="C490" s="17"/>
      <c r="D490" s="17"/>
      <c r="E490" s="17"/>
      <c r="F490" s="17"/>
      <c r="G490" s="17"/>
      <c r="H490" s="17"/>
      <c r="I490" s="17"/>
    </row>
    <row r="491" spans="1:9" x14ac:dyDescent="0.2">
      <c r="A491" s="17"/>
      <c r="B491" s="17"/>
      <c r="C491" s="17"/>
      <c r="D491" s="17"/>
      <c r="E491" s="17"/>
      <c r="F491" s="17"/>
      <c r="G491" s="17"/>
      <c r="H491" s="17"/>
      <c r="I491" s="17"/>
    </row>
    <row r="492" spans="1:9" x14ac:dyDescent="0.2">
      <c r="A492" s="17"/>
      <c r="B492" s="17"/>
      <c r="C492" s="17"/>
      <c r="D492" s="17"/>
      <c r="E492" s="17"/>
      <c r="F492" s="17"/>
      <c r="G492" s="17"/>
      <c r="H492" s="17"/>
      <c r="I492" s="17"/>
    </row>
    <row r="493" spans="1:9" x14ac:dyDescent="0.2">
      <c r="A493" s="17"/>
      <c r="B493" s="17"/>
      <c r="C493" s="17"/>
      <c r="D493" s="17"/>
      <c r="E493" s="17"/>
      <c r="F493" s="17"/>
      <c r="G493" s="17"/>
      <c r="H493" s="17"/>
      <c r="I493" s="17"/>
    </row>
    <row r="494" spans="1:9" x14ac:dyDescent="0.2">
      <c r="A494" s="17"/>
      <c r="B494" s="17"/>
      <c r="C494" s="17"/>
      <c r="D494" s="17"/>
      <c r="E494" s="17"/>
      <c r="F494" s="17"/>
      <c r="G494" s="17"/>
      <c r="H494" s="17"/>
      <c r="I494" s="17"/>
    </row>
    <row r="495" spans="1:9" x14ac:dyDescent="0.2">
      <c r="A495" s="17"/>
      <c r="B495" s="17"/>
      <c r="C495" s="17"/>
      <c r="D495" s="17"/>
      <c r="E495" s="17"/>
      <c r="F495" s="17"/>
      <c r="G495" s="17"/>
      <c r="H495" s="17"/>
      <c r="I495" s="17"/>
    </row>
    <row r="496" spans="1:9" x14ac:dyDescent="0.2">
      <c r="A496" s="17"/>
      <c r="B496" s="17"/>
      <c r="C496" s="17"/>
      <c r="D496" s="17"/>
      <c r="E496" s="17"/>
      <c r="F496" s="17"/>
      <c r="G496" s="17"/>
      <c r="H496" s="17"/>
      <c r="I496" s="17"/>
    </row>
    <row r="497" spans="1:9" x14ac:dyDescent="0.2">
      <c r="A497" s="17"/>
      <c r="B497" s="17"/>
      <c r="C497" s="17"/>
      <c r="D497" s="17"/>
      <c r="E497" s="17"/>
      <c r="F497" s="17"/>
      <c r="G497" s="17"/>
      <c r="H497" s="17"/>
      <c r="I497" s="17"/>
    </row>
    <row r="498" spans="1:9" x14ac:dyDescent="0.2">
      <c r="A498" s="17"/>
      <c r="B498" s="17"/>
      <c r="C498" s="17"/>
      <c r="D498" s="17"/>
      <c r="E498" s="17"/>
      <c r="F498" s="17"/>
      <c r="G498" s="17"/>
      <c r="H498" s="17"/>
      <c r="I498" s="17"/>
    </row>
    <row r="499" spans="1:9" x14ac:dyDescent="0.2">
      <c r="A499" s="17"/>
      <c r="B499" s="17"/>
      <c r="C499" s="17"/>
      <c r="D499" s="17"/>
      <c r="E499" s="17"/>
      <c r="F499" s="17"/>
      <c r="G499" s="17"/>
      <c r="H499" s="17"/>
      <c r="I499" s="17"/>
    </row>
    <row r="500" spans="1:9" x14ac:dyDescent="0.2">
      <c r="A500" s="17"/>
      <c r="B500" s="17"/>
      <c r="C500" s="17"/>
      <c r="D500" s="17"/>
      <c r="E500" s="17"/>
      <c r="F500" s="17"/>
      <c r="G500" s="17"/>
      <c r="H500" s="17"/>
      <c r="I500" s="17"/>
    </row>
    <row r="501" spans="1:9" x14ac:dyDescent="0.2">
      <c r="A501" s="17"/>
      <c r="B501" s="17"/>
      <c r="C501" s="17"/>
      <c r="D501" s="17"/>
      <c r="E501" s="17"/>
      <c r="F501" s="17"/>
      <c r="G501" s="17"/>
      <c r="H501" s="17"/>
      <c r="I501" s="17"/>
    </row>
    <row r="502" spans="1:9" x14ac:dyDescent="0.2">
      <c r="A502" s="17"/>
      <c r="B502" s="17"/>
      <c r="C502" s="17"/>
      <c r="D502" s="17"/>
      <c r="E502" s="17"/>
      <c r="F502" s="17"/>
      <c r="G502" s="17"/>
      <c r="H502" s="17"/>
      <c r="I502" s="17"/>
    </row>
    <row r="503" spans="1:9" x14ac:dyDescent="0.2">
      <c r="A503" s="17"/>
      <c r="B503" s="17"/>
      <c r="C503" s="17"/>
      <c r="D503" s="17"/>
      <c r="E503" s="17"/>
      <c r="F503" s="17"/>
      <c r="G503" s="17"/>
      <c r="H503" s="17"/>
      <c r="I503" s="17"/>
    </row>
    <row r="504" spans="1:9" x14ac:dyDescent="0.2">
      <c r="A504" s="17"/>
      <c r="B504" s="17"/>
      <c r="C504" s="17"/>
      <c r="D504" s="17"/>
      <c r="E504" s="17"/>
      <c r="F504" s="17"/>
      <c r="G504" s="17"/>
      <c r="H504" s="17"/>
      <c r="I504" s="17"/>
    </row>
    <row r="505" spans="1:9" x14ac:dyDescent="0.2">
      <c r="A505" s="17"/>
      <c r="B505" s="17"/>
      <c r="C505" s="17"/>
      <c r="D505" s="17"/>
      <c r="E505" s="17"/>
      <c r="F505" s="17"/>
      <c r="G505" s="17"/>
      <c r="H505" s="17"/>
      <c r="I505" s="17"/>
    </row>
    <row r="506" spans="1:9" x14ac:dyDescent="0.2">
      <c r="A506" s="17"/>
      <c r="B506" s="17"/>
      <c r="C506" s="17"/>
      <c r="D506" s="17"/>
      <c r="E506" s="17"/>
      <c r="F506" s="17"/>
      <c r="G506" s="17"/>
      <c r="H506" s="17"/>
      <c r="I506" s="17"/>
    </row>
    <row r="507" spans="1:9" x14ac:dyDescent="0.2">
      <c r="A507" s="17"/>
      <c r="B507" s="17"/>
      <c r="C507" s="17"/>
      <c r="D507" s="17"/>
      <c r="E507" s="17"/>
      <c r="F507" s="17"/>
      <c r="G507" s="17"/>
      <c r="H507" s="17"/>
      <c r="I507" s="17"/>
    </row>
    <row r="508" spans="1:9" x14ac:dyDescent="0.2">
      <c r="A508" s="17"/>
      <c r="B508" s="17"/>
      <c r="C508" s="17"/>
      <c r="D508" s="17"/>
      <c r="E508" s="17"/>
      <c r="F508" s="17"/>
      <c r="G508" s="17"/>
      <c r="H508" s="17"/>
      <c r="I508" s="17"/>
    </row>
    <row r="509" spans="1:9" x14ac:dyDescent="0.2">
      <c r="A509" s="17"/>
      <c r="B509" s="17"/>
      <c r="C509" s="17"/>
      <c r="D509" s="17"/>
      <c r="E509" s="17"/>
      <c r="F509" s="17"/>
      <c r="G509" s="17"/>
      <c r="H509" s="17"/>
      <c r="I509" s="17"/>
    </row>
    <row r="510" spans="1:9" x14ac:dyDescent="0.2">
      <c r="A510" s="17"/>
      <c r="B510" s="17"/>
      <c r="C510" s="17"/>
      <c r="D510" s="17"/>
      <c r="E510" s="17"/>
      <c r="F510" s="17"/>
      <c r="G510" s="17"/>
      <c r="H510" s="17"/>
      <c r="I510" s="17"/>
    </row>
    <row r="511" spans="1:9" x14ac:dyDescent="0.2">
      <c r="A511" s="17"/>
      <c r="B511" s="17"/>
      <c r="C511" s="17"/>
      <c r="D511" s="17"/>
      <c r="E511" s="17"/>
      <c r="F511" s="17"/>
      <c r="G511" s="17"/>
      <c r="H511" s="17"/>
      <c r="I511" s="17"/>
    </row>
    <row r="512" spans="1:9" x14ac:dyDescent="0.2">
      <c r="A512" s="17"/>
      <c r="B512" s="17"/>
      <c r="C512" s="17"/>
      <c r="D512" s="17"/>
      <c r="E512" s="17"/>
      <c r="F512" s="17"/>
      <c r="G512" s="17"/>
      <c r="H512" s="17"/>
      <c r="I512" s="17"/>
    </row>
    <row r="513" spans="1:9" x14ac:dyDescent="0.2">
      <c r="A513" s="17"/>
      <c r="B513" s="17"/>
      <c r="C513" s="17"/>
      <c r="D513" s="17"/>
      <c r="E513" s="17"/>
      <c r="F513" s="17"/>
      <c r="G513" s="17"/>
      <c r="H513" s="17"/>
      <c r="I513" s="17"/>
    </row>
    <row r="514" spans="1:9" x14ac:dyDescent="0.2">
      <c r="A514" s="17"/>
      <c r="B514" s="17"/>
      <c r="C514" s="17"/>
      <c r="D514" s="17"/>
      <c r="E514" s="17"/>
      <c r="F514" s="17"/>
      <c r="G514" s="17"/>
      <c r="H514" s="17"/>
      <c r="I514" s="17"/>
    </row>
    <row r="515" spans="1:9" x14ac:dyDescent="0.2">
      <c r="A515" s="17"/>
      <c r="B515" s="17"/>
      <c r="C515" s="17"/>
      <c r="D515" s="17"/>
      <c r="E515" s="17"/>
      <c r="F515" s="17"/>
      <c r="G515" s="17"/>
      <c r="H515" s="17"/>
      <c r="I515" s="17"/>
    </row>
    <row r="516" spans="1:9" x14ac:dyDescent="0.2">
      <c r="A516" s="17"/>
      <c r="B516" s="17"/>
      <c r="C516" s="17"/>
      <c r="D516" s="17"/>
      <c r="E516" s="17"/>
      <c r="F516" s="17"/>
      <c r="G516" s="17"/>
      <c r="H516" s="17"/>
      <c r="I516" s="17"/>
    </row>
    <row r="517" spans="1:9" x14ac:dyDescent="0.2">
      <c r="A517" s="17"/>
      <c r="B517" s="17"/>
      <c r="C517" s="17"/>
      <c r="D517" s="17"/>
      <c r="E517" s="17"/>
      <c r="F517" s="17"/>
      <c r="G517" s="17"/>
      <c r="H517" s="17"/>
      <c r="I517" s="17"/>
    </row>
    <row r="518" spans="1:9" x14ac:dyDescent="0.2">
      <c r="A518" s="17"/>
      <c r="B518" s="17"/>
      <c r="C518" s="17"/>
      <c r="D518" s="17"/>
      <c r="E518" s="17"/>
      <c r="F518" s="17"/>
      <c r="G518" s="17"/>
      <c r="H518" s="17"/>
      <c r="I518" s="17"/>
    </row>
    <row r="519" spans="1:9" x14ac:dyDescent="0.2">
      <c r="A519" s="17"/>
      <c r="B519" s="17"/>
      <c r="C519" s="17"/>
      <c r="D519" s="17"/>
      <c r="E519" s="17"/>
      <c r="F519" s="17"/>
      <c r="G519" s="17"/>
      <c r="H519" s="17"/>
      <c r="I519" s="17"/>
    </row>
    <row r="520" spans="1:9" x14ac:dyDescent="0.2">
      <c r="A520" s="17"/>
      <c r="B520" s="17"/>
      <c r="C520" s="17"/>
      <c r="D520" s="17"/>
      <c r="E520" s="17"/>
      <c r="F520" s="17"/>
      <c r="G520" s="17"/>
      <c r="H520" s="17"/>
      <c r="I520" s="17"/>
    </row>
    <row r="521" spans="1:9" x14ac:dyDescent="0.2">
      <c r="A521" s="17"/>
      <c r="B521" s="17"/>
      <c r="C521" s="17"/>
      <c r="D521" s="17"/>
      <c r="E521" s="17"/>
      <c r="F521" s="17"/>
      <c r="G521" s="17"/>
      <c r="H521" s="17"/>
      <c r="I521" s="17"/>
    </row>
    <row r="522" spans="1:9" x14ac:dyDescent="0.2">
      <c r="A522" s="17"/>
      <c r="B522" s="17"/>
      <c r="C522" s="17"/>
      <c r="D522" s="17"/>
      <c r="E522" s="17"/>
      <c r="F522" s="17"/>
      <c r="G522" s="17"/>
      <c r="H522" s="17"/>
      <c r="I522" s="17"/>
    </row>
    <row r="523" spans="1:9" x14ac:dyDescent="0.2">
      <c r="A523" s="17"/>
      <c r="B523" s="17"/>
      <c r="C523" s="17"/>
      <c r="D523" s="17"/>
      <c r="E523" s="17"/>
      <c r="F523" s="17"/>
      <c r="G523" s="17"/>
      <c r="H523" s="17"/>
      <c r="I523" s="17"/>
    </row>
    <row r="524" spans="1:9" x14ac:dyDescent="0.2">
      <c r="A524" s="17"/>
      <c r="B524" s="17"/>
      <c r="C524" s="17"/>
      <c r="D524" s="17"/>
      <c r="E524" s="17"/>
      <c r="F524" s="17"/>
      <c r="G524" s="17"/>
      <c r="H524" s="17"/>
      <c r="I524" s="17"/>
    </row>
    <row r="525" spans="1:9" x14ac:dyDescent="0.2">
      <c r="A525" s="17"/>
      <c r="B525" s="17"/>
      <c r="C525" s="17"/>
      <c r="D525" s="17"/>
      <c r="E525" s="17"/>
      <c r="F525" s="17"/>
      <c r="G525" s="17"/>
      <c r="H525" s="17"/>
      <c r="I525" s="17"/>
    </row>
    <row r="526" spans="1:9" x14ac:dyDescent="0.2">
      <c r="A526" s="17"/>
      <c r="B526" s="17"/>
      <c r="C526" s="17"/>
      <c r="D526" s="17"/>
      <c r="E526" s="17"/>
      <c r="F526" s="17"/>
      <c r="G526" s="17"/>
      <c r="H526" s="17"/>
      <c r="I526" s="17"/>
    </row>
    <row r="527" spans="1:9" x14ac:dyDescent="0.2">
      <c r="A527" s="17"/>
      <c r="B527" s="17"/>
      <c r="C527" s="17"/>
      <c r="D527" s="17"/>
      <c r="E527" s="17"/>
      <c r="F527" s="17"/>
      <c r="G527" s="17"/>
      <c r="H527" s="17"/>
      <c r="I527" s="17"/>
    </row>
    <row r="528" spans="1:9" x14ac:dyDescent="0.2">
      <c r="A528" s="17"/>
      <c r="B528" s="17"/>
      <c r="C528" s="17"/>
      <c r="D528" s="17"/>
      <c r="E528" s="17"/>
      <c r="F528" s="17"/>
      <c r="G528" s="17"/>
      <c r="H528" s="17"/>
      <c r="I528" s="17"/>
    </row>
    <row r="529" spans="1:9" x14ac:dyDescent="0.2">
      <c r="A529" s="17"/>
      <c r="B529" s="17"/>
      <c r="C529" s="17"/>
      <c r="D529" s="17"/>
      <c r="E529" s="17"/>
      <c r="F529" s="17"/>
      <c r="G529" s="17"/>
      <c r="H529" s="17"/>
      <c r="I529" s="17"/>
    </row>
    <row r="530" spans="1:9" x14ac:dyDescent="0.2">
      <c r="A530" s="17"/>
      <c r="B530" s="17"/>
      <c r="C530" s="17"/>
      <c r="D530" s="17"/>
      <c r="E530" s="17"/>
      <c r="F530" s="17"/>
      <c r="G530" s="17"/>
      <c r="H530" s="17"/>
      <c r="I530" s="17"/>
    </row>
    <row r="531" spans="1:9" x14ac:dyDescent="0.2">
      <c r="A531" s="17"/>
      <c r="B531" s="17"/>
      <c r="C531" s="17"/>
      <c r="D531" s="17"/>
      <c r="E531" s="17"/>
      <c r="F531" s="17"/>
      <c r="G531" s="17"/>
      <c r="H531" s="17"/>
      <c r="I531" s="17"/>
    </row>
    <row r="532" spans="1:9" x14ac:dyDescent="0.2">
      <c r="A532" s="17"/>
      <c r="B532" s="17"/>
      <c r="C532" s="17"/>
      <c r="D532" s="17"/>
      <c r="E532" s="17"/>
      <c r="F532" s="17"/>
      <c r="G532" s="17"/>
      <c r="H532" s="17"/>
      <c r="I532" s="17"/>
    </row>
    <row r="533" spans="1:9" x14ac:dyDescent="0.2">
      <c r="A533" s="17"/>
      <c r="B533" s="17"/>
      <c r="C533" s="17"/>
      <c r="D533" s="17"/>
      <c r="E533" s="17"/>
      <c r="F533" s="17"/>
      <c r="G533" s="17"/>
      <c r="H533" s="17"/>
      <c r="I533" s="17"/>
    </row>
    <row r="534" spans="1:9" x14ac:dyDescent="0.2">
      <c r="A534" s="17"/>
      <c r="B534" s="17"/>
      <c r="C534" s="17"/>
      <c r="D534" s="17"/>
      <c r="E534" s="17"/>
      <c r="F534" s="17"/>
      <c r="G534" s="17"/>
      <c r="H534" s="17"/>
      <c r="I534" s="17"/>
    </row>
    <row r="535" spans="1:9" x14ac:dyDescent="0.2">
      <c r="A535" s="17"/>
      <c r="B535" s="17"/>
      <c r="C535" s="17"/>
      <c r="D535" s="17"/>
      <c r="E535" s="17"/>
      <c r="F535" s="17"/>
      <c r="G535" s="17"/>
      <c r="H535" s="17"/>
      <c r="I535" s="17"/>
    </row>
    <row r="536" spans="1:9" x14ac:dyDescent="0.2">
      <c r="A536" s="17"/>
      <c r="B536" s="17"/>
      <c r="C536" s="17"/>
      <c r="D536" s="17"/>
      <c r="E536" s="17"/>
      <c r="F536" s="17"/>
      <c r="G536" s="17"/>
      <c r="H536" s="17"/>
      <c r="I536" s="17"/>
    </row>
    <row r="537" spans="1:9" x14ac:dyDescent="0.2">
      <c r="A537" s="17"/>
      <c r="B537" s="17"/>
      <c r="C537" s="17"/>
      <c r="D537" s="17"/>
      <c r="E537" s="17"/>
      <c r="F537" s="17"/>
      <c r="G537" s="17"/>
      <c r="H537" s="17"/>
      <c r="I537" s="17"/>
    </row>
    <row r="538" spans="1:9" x14ac:dyDescent="0.2">
      <c r="A538" s="17"/>
      <c r="B538" s="17"/>
      <c r="C538" s="17"/>
      <c r="D538" s="17"/>
      <c r="E538" s="17"/>
      <c r="F538" s="17"/>
      <c r="G538" s="17"/>
      <c r="H538" s="17"/>
      <c r="I538" s="17"/>
    </row>
    <row r="539" spans="1:9" x14ac:dyDescent="0.2">
      <c r="A539" s="17"/>
      <c r="B539" s="17"/>
      <c r="C539" s="17"/>
      <c r="D539" s="17"/>
      <c r="E539" s="17"/>
      <c r="F539" s="17"/>
      <c r="G539" s="17"/>
      <c r="H539" s="17"/>
      <c r="I539" s="17"/>
    </row>
    <row r="540" spans="1:9" x14ac:dyDescent="0.2">
      <c r="A540" s="17"/>
      <c r="B540" s="17"/>
      <c r="C540" s="17"/>
      <c r="D540" s="17"/>
      <c r="E540" s="17"/>
      <c r="F540" s="17"/>
      <c r="G540" s="17"/>
      <c r="H540" s="17"/>
      <c r="I540" s="17"/>
    </row>
    <row r="541" spans="1:9" x14ac:dyDescent="0.2">
      <c r="A541" s="17"/>
      <c r="B541" s="17"/>
      <c r="C541" s="17"/>
      <c r="D541" s="17"/>
      <c r="E541" s="17"/>
      <c r="F541" s="17"/>
      <c r="G541" s="17"/>
      <c r="H541" s="17"/>
      <c r="I541" s="17"/>
    </row>
    <row r="542" spans="1:9" x14ac:dyDescent="0.2">
      <c r="A542" s="17"/>
      <c r="B542" s="17"/>
      <c r="C542" s="17"/>
      <c r="D542" s="17"/>
      <c r="E542" s="17"/>
      <c r="F542" s="17"/>
      <c r="G542" s="17"/>
      <c r="H542" s="17"/>
      <c r="I542" s="17"/>
    </row>
    <row r="543" spans="1:9" x14ac:dyDescent="0.2">
      <c r="A543" s="17"/>
      <c r="B543" s="17"/>
      <c r="C543" s="17"/>
      <c r="D543" s="17"/>
      <c r="E543" s="17"/>
      <c r="F543" s="17"/>
      <c r="G543" s="17"/>
      <c r="H543" s="17"/>
      <c r="I543" s="17"/>
    </row>
    <row r="544" spans="1:9" x14ac:dyDescent="0.2">
      <c r="A544" s="17"/>
      <c r="B544" s="17"/>
      <c r="C544" s="17"/>
      <c r="D544" s="17"/>
      <c r="E544" s="17"/>
      <c r="F544" s="17"/>
      <c r="G544" s="17"/>
      <c r="H544" s="17"/>
      <c r="I544" s="17"/>
    </row>
    <row r="545" spans="1:9" x14ac:dyDescent="0.2">
      <c r="A545" s="17"/>
      <c r="B545" s="17"/>
      <c r="C545" s="17"/>
      <c r="D545" s="17"/>
      <c r="E545" s="17"/>
      <c r="F545" s="17"/>
      <c r="G545" s="17"/>
      <c r="H545" s="17"/>
      <c r="I545" s="17"/>
    </row>
    <row r="546" spans="1:9" x14ac:dyDescent="0.2">
      <c r="A546" s="17"/>
      <c r="B546" s="17"/>
      <c r="C546" s="17"/>
      <c r="D546" s="17"/>
      <c r="E546" s="17"/>
      <c r="F546" s="17"/>
      <c r="G546" s="17"/>
      <c r="H546" s="17"/>
      <c r="I546" s="17"/>
    </row>
    <row r="547" spans="1:9" x14ac:dyDescent="0.2">
      <c r="A547" s="17"/>
      <c r="B547" s="17"/>
      <c r="C547" s="17"/>
      <c r="D547" s="17"/>
      <c r="E547" s="17"/>
      <c r="F547" s="17"/>
      <c r="G547" s="17"/>
      <c r="H547" s="17"/>
      <c r="I547" s="17"/>
    </row>
    <row r="548" spans="1:9" x14ac:dyDescent="0.2">
      <c r="A548" s="17"/>
      <c r="B548" s="17"/>
      <c r="C548" s="17"/>
      <c r="D548" s="17"/>
      <c r="E548" s="17"/>
      <c r="F548" s="17"/>
      <c r="G548" s="17"/>
      <c r="H548" s="17"/>
      <c r="I548" s="17"/>
    </row>
    <row r="549" spans="1:9" x14ac:dyDescent="0.2">
      <c r="A549" s="17"/>
      <c r="B549" s="17"/>
      <c r="C549" s="17"/>
      <c r="D549" s="17"/>
      <c r="E549" s="17"/>
      <c r="F549" s="17"/>
      <c r="G549" s="17"/>
      <c r="H549" s="17"/>
      <c r="I549" s="17"/>
    </row>
    <row r="550" spans="1:9" x14ac:dyDescent="0.2">
      <c r="A550" s="17"/>
      <c r="B550" s="17"/>
      <c r="C550" s="17"/>
      <c r="D550" s="17"/>
      <c r="E550" s="17"/>
      <c r="F550" s="17"/>
      <c r="G550" s="17"/>
      <c r="H550" s="17"/>
      <c r="I550" s="17"/>
    </row>
    <row r="551" spans="1:9" x14ac:dyDescent="0.2">
      <c r="A551" s="17"/>
      <c r="B551" s="17"/>
      <c r="C551" s="17"/>
      <c r="D551" s="17"/>
      <c r="E551" s="17"/>
      <c r="F551" s="17"/>
      <c r="G551" s="17"/>
      <c r="H551" s="17"/>
      <c r="I551" s="17"/>
    </row>
    <row r="552" spans="1:9" x14ac:dyDescent="0.2">
      <c r="A552" s="17"/>
      <c r="B552" s="17"/>
      <c r="C552" s="17"/>
      <c r="D552" s="17"/>
      <c r="E552" s="17"/>
      <c r="F552" s="17"/>
      <c r="G552" s="17"/>
      <c r="H552" s="17"/>
      <c r="I552" s="17"/>
    </row>
    <row r="553" spans="1:9" x14ac:dyDescent="0.2">
      <c r="A553" s="17"/>
      <c r="B553" s="17"/>
      <c r="C553" s="17"/>
      <c r="D553" s="17"/>
      <c r="E553" s="17"/>
      <c r="F553" s="17"/>
      <c r="G553" s="17"/>
      <c r="H553" s="17"/>
      <c r="I553" s="17"/>
    </row>
    <row r="554" spans="1:9" x14ac:dyDescent="0.2">
      <c r="A554" s="17"/>
      <c r="B554" s="17"/>
      <c r="C554" s="17"/>
      <c r="D554" s="17"/>
      <c r="E554" s="17"/>
      <c r="F554" s="17"/>
      <c r="G554" s="17"/>
      <c r="H554" s="17"/>
      <c r="I554" s="17"/>
    </row>
    <row r="555" spans="1:9" x14ac:dyDescent="0.2">
      <c r="A555" s="17"/>
      <c r="B555" s="17"/>
      <c r="C555" s="17"/>
      <c r="D555" s="17"/>
      <c r="E555" s="17"/>
      <c r="F555" s="17"/>
      <c r="G555" s="17"/>
      <c r="H555" s="17"/>
      <c r="I555" s="17"/>
    </row>
    <row r="556" spans="1:9" x14ac:dyDescent="0.2">
      <c r="A556" s="17"/>
      <c r="B556" s="17"/>
      <c r="C556" s="17"/>
      <c r="D556" s="17"/>
      <c r="E556" s="17"/>
      <c r="F556" s="17"/>
      <c r="G556" s="17"/>
      <c r="H556" s="17"/>
      <c r="I556" s="17"/>
    </row>
    <row r="557" spans="1:9" x14ac:dyDescent="0.2">
      <c r="A557" s="17"/>
      <c r="B557" s="17"/>
      <c r="C557" s="17"/>
      <c r="D557" s="17"/>
      <c r="E557" s="17"/>
      <c r="F557" s="17"/>
      <c r="G557" s="17"/>
      <c r="H557" s="17"/>
      <c r="I557" s="17"/>
    </row>
    <row r="558" spans="1:9" x14ac:dyDescent="0.2">
      <c r="A558" s="17"/>
      <c r="B558" s="17"/>
      <c r="C558" s="17"/>
      <c r="D558" s="17"/>
      <c r="E558" s="17"/>
      <c r="F558" s="17"/>
      <c r="G558" s="17"/>
      <c r="H558" s="17"/>
      <c r="I558" s="17"/>
    </row>
    <row r="559" spans="1:9" x14ac:dyDescent="0.2">
      <c r="A559" s="17"/>
      <c r="B559" s="17"/>
      <c r="C559" s="17"/>
      <c r="D559" s="17"/>
      <c r="E559" s="17"/>
      <c r="F559" s="17"/>
      <c r="G559" s="17"/>
      <c r="H559" s="17"/>
      <c r="I559" s="17"/>
    </row>
    <row r="560" spans="1:9" x14ac:dyDescent="0.2">
      <c r="A560" s="17"/>
      <c r="B560" s="17"/>
      <c r="C560" s="17"/>
      <c r="D560" s="17"/>
      <c r="E560" s="17"/>
      <c r="F560" s="17"/>
      <c r="G560" s="17"/>
      <c r="H560" s="17"/>
      <c r="I560" s="17"/>
    </row>
    <row r="561" spans="1:9" x14ac:dyDescent="0.2">
      <c r="A561" s="17"/>
      <c r="B561" s="17"/>
      <c r="C561" s="17"/>
      <c r="D561" s="17"/>
      <c r="E561" s="17"/>
      <c r="F561" s="17"/>
      <c r="G561" s="17"/>
      <c r="H561" s="17"/>
      <c r="I561" s="17"/>
    </row>
    <row r="562" spans="1:9" x14ac:dyDescent="0.2">
      <c r="A562" s="17"/>
      <c r="B562" s="17"/>
      <c r="C562" s="17"/>
      <c r="D562" s="17"/>
      <c r="E562" s="17"/>
      <c r="F562" s="17"/>
      <c r="G562" s="17"/>
      <c r="H562" s="17"/>
      <c r="I562" s="17"/>
    </row>
    <row r="563" spans="1:9" x14ac:dyDescent="0.2">
      <c r="A563" s="17"/>
      <c r="B563" s="17"/>
      <c r="C563" s="17"/>
      <c r="D563" s="17"/>
      <c r="E563" s="17"/>
      <c r="F563" s="17"/>
      <c r="G563" s="17"/>
      <c r="H563" s="17"/>
      <c r="I563" s="17"/>
    </row>
    <row r="564" spans="1:9" x14ac:dyDescent="0.2">
      <c r="A564" s="17"/>
      <c r="B564" s="17"/>
      <c r="C564" s="17"/>
      <c r="D564" s="17"/>
      <c r="E564" s="17"/>
      <c r="F564" s="17"/>
      <c r="G564" s="17"/>
      <c r="H564" s="17"/>
      <c r="I564" s="17"/>
    </row>
    <row r="565" spans="1:9" x14ac:dyDescent="0.2">
      <c r="A565" s="17"/>
      <c r="B565" s="17"/>
      <c r="C565" s="17"/>
      <c r="D565" s="17"/>
      <c r="E565" s="17"/>
      <c r="F565" s="17"/>
      <c r="G565" s="17"/>
      <c r="H565" s="17"/>
      <c r="I565" s="17"/>
    </row>
    <row r="566" spans="1:9" x14ac:dyDescent="0.2">
      <c r="A566" s="17"/>
      <c r="B566" s="17"/>
      <c r="C566" s="17"/>
      <c r="D566" s="17"/>
      <c r="E566" s="17"/>
      <c r="F566" s="17"/>
      <c r="G566" s="17"/>
      <c r="H566" s="17"/>
      <c r="I566" s="17"/>
    </row>
    <row r="567" spans="1:9" x14ac:dyDescent="0.2">
      <c r="A567" s="17"/>
      <c r="B567" s="17"/>
      <c r="C567" s="17"/>
      <c r="D567" s="17"/>
      <c r="E567" s="17"/>
      <c r="F567" s="17"/>
      <c r="G567" s="17"/>
      <c r="H567" s="17"/>
      <c r="I567" s="17"/>
    </row>
    <row r="568" spans="1:9" x14ac:dyDescent="0.2">
      <c r="A568" s="17"/>
      <c r="B568" s="17"/>
      <c r="C568" s="17"/>
      <c r="D568" s="17"/>
      <c r="E568" s="17"/>
      <c r="F568" s="17"/>
      <c r="G568" s="17"/>
      <c r="H568" s="17"/>
      <c r="I568" s="17"/>
    </row>
    <row r="569" spans="1:9" x14ac:dyDescent="0.2">
      <c r="A569" s="17"/>
      <c r="B569" s="17"/>
      <c r="C569" s="17"/>
      <c r="D569" s="17"/>
      <c r="E569" s="17"/>
      <c r="F569" s="17"/>
      <c r="G569" s="17"/>
      <c r="H569" s="17"/>
      <c r="I569" s="17"/>
    </row>
    <row r="570" spans="1:9" x14ac:dyDescent="0.2">
      <c r="A570" s="17"/>
      <c r="B570" s="17"/>
      <c r="C570" s="17"/>
      <c r="D570" s="17"/>
      <c r="E570" s="17"/>
      <c r="F570" s="17"/>
      <c r="G570" s="17"/>
      <c r="H570" s="17"/>
      <c r="I570" s="17"/>
    </row>
    <row r="571" spans="1:9" x14ac:dyDescent="0.2">
      <c r="A571" s="17"/>
      <c r="B571" s="17"/>
      <c r="C571" s="17"/>
      <c r="D571" s="17"/>
      <c r="E571" s="17"/>
      <c r="F571" s="17"/>
      <c r="G571" s="17"/>
      <c r="H571" s="17"/>
      <c r="I571" s="17"/>
    </row>
    <row r="572" spans="1:9" x14ac:dyDescent="0.2">
      <c r="A572" s="17"/>
      <c r="B572" s="17"/>
      <c r="C572" s="17"/>
      <c r="D572" s="17"/>
      <c r="E572" s="17"/>
      <c r="F572" s="17"/>
      <c r="G572" s="17"/>
      <c r="H572" s="17"/>
      <c r="I572" s="17"/>
    </row>
    <row r="573" spans="1:9" x14ac:dyDescent="0.2">
      <c r="A573" s="17"/>
      <c r="B573" s="17"/>
      <c r="C573" s="17"/>
      <c r="D573" s="17"/>
      <c r="E573" s="17"/>
      <c r="F573" s="17"/>
      <c r="G573" s="17"/>
      <c r="H573" s="17"/>
      <c r="I573" s="17"/>
    </row>
    <row r="574" spans="1:9" x14ac:dyDescent="0.2">
      <c r="A574" s="17"/>
      <c r="B574" s="17"/>
      <c r="C574" s="17"/>
      <c r="D574" s="17"/>
      <c r="E574" s="17"/>
      <c r="F574" s="17"/>
      <c r="G574" s="17"/>
      <c r="H574" s="17"/>
      <c r="I574" s="17"/>
    </row>
    <row r="575" spans="1:9" x14ac:dyDescent="0.2">
      <c r="A575" s="17"/>
      <c r="B575" s="17"/>
      <c r="C575" s="17"/>
      <c r="D575" s="17"/>
      <c r="E575" s="17"/>
      <c r="F575" s="17"/>
      <c r="G575" s="17"/>
      <c r="H575" s="17"/>
      <c r="I575" s="17"/>
    </row>
    <row r="576" spans="1:9" x14ac:dyDescent="0.2">
      <c r="A576" s="17"/>
      <c r="B576" s="17"/>
      <c r="C576" s="17"/>
      <c r="D576" s="17"/>
      <c r="E576" s="17"/>
      <c r="F576" s="17"/>
      <c r="G576" s="17"/>
      <c r="H576" s="17"/>
      <c r="I576" s="17"/>
    </row>
    <row r="577" spans="1:9" x14ac:dyDescent="0.2">
      <c r="A577" s="17"/>
      <c r="B577" s="17"/>
      <c r="C577" s="17"/>
      <c r="D577" s="17"/>
      <c r="E577" s="17"/>
      <c r="F577" s="17"/>
      <c r="G577" s="17"/>
      <c r="H577" s="17"/>
      <c r="I577" s="17"/>
    </row>
    <row r="578" spans="1:9" x14ac:dyDescent="0.2">
      <c r="A578" s="17"/>
      <c r="B578" s="17"/>
      <c r="C578" s="17"/>
      <c r="D578" s="17"/>
      <c r="E578" s="17"/>
      <c r="F578" s="17"/>
      <c r="G578" s="17"/>
      <c r="H578" s="17"/>
      <c r="I578" s="17"/>
    </row>
    <row r="579" spans="1:9" x14ac:dyDescent="0.2">
      <c r="A579" s="17"/>
      <c r="B579" s="17"/>
      <c r="C579" s="17"/>
      <c r="D579" s="17"/>
      <c r="E579" s="17"/>
      <c r="F579" s="17"/>
      <c r="G579" s="17"/>
      <c r="H579" s="17"/>
      <c r="I579" s="17"/>
    </row>
    <row r="580" spans="1:9" x14ac:dyDescent="0.2">
      <c r="A580" s="17"/>
      <c r="B580" s="17"/>
      <c r="C580" s="17"/>
      <c r="D580" s="17"/>
      <c r="E580" s="17"/>
      <c r="F580" s="17"/>
      <c r="G580" s="17"/>
      <c r="H580" s="17"/>
      <c r="I580" s="17"/>
    </row>
    <row r="581" spans="1:9" x14ac:dyDescent="0.2">
      <c r="A581" s="17"/>
      <c r="B581" s="17"/>
      <c r="C581" s="17"/>
      <c r="D581" s="17"/>
      <c r="E581" s="17"/>
      <c r="F581" s="17"/>
      <c r="G581" s="17"/>
      <c r="H581" s="17"/>
      <c r="I581" s="17"/>
    </row>
    <row r="582" spans="1:9" x14ac:dyDescent="0.2">
      <c r="A582" s="17"/>
      <c r="B582" s="17"/>
      <c r="C582" s="17"/>
      <c r="D582" s="17"/>
      <c r="E582" s="17"/>
      <c r="F582" s="17"/>
      <c r="G582" s="17"/>
      <c r="H582" s="17"/>
      <c r="I582" s="17"/>
    </row>
    <row r="583" spans="1:9" x14ac:dyDescent="0.2">
      <c r="A583" s="17"/>
      <c r="B583" s="17"/>
      <c r="C583" s="17"/>
      <c r="D583" s="17"/>
      <c r="E583" s="17"/>
      <c r="F583" s="17"/>
      <c r="G583" s="17"/>
      <c r="H583" s="17"/>
      <c r="I583" s="17"/>
    </row>
    <row r="584" spans="1:9" x14ac:dyDescent="0.2">
      <c r="A584" s="17"/>
      <c r="B584" s="17"/>
      <c r="C584" s="17"/>
      <c r="D584" s="17"/>
      <c r="E584" s="17"/>
      <c r="F584" s="17"/>
      <c r="G584" s="17"/>
      <c r="H584" s="17"/>
      <c r="I584" s="17"/>
    </row>
    <row r="585" spans="1:9" x14ac:dyDescent="0.2">
      <c r="A585" s="17"/>
      <c r="B585" s="17"/>
      <c r="C585" s="17"/>
      <c r="D585" s="17"/>
      <c r="E585" s="17"/>
      <c r="F585" s="17"/>
      <c r="G585" s="17"/>
      <c r="H585" s="17"/>
      <c r="I585" s="17"/>
    </row>
    <row r="586" spans="1:9" x14ac:dyDescent="0.2">
      <c r="A586" s="17"/>
      <c r="B586" s="17"/>
      <c r="C586" s="17"/>
      <c r="D586" s="17"/>
      <c r="E586" s="17"/>
      <c r="F586" s="17"/>
      <c r="G586" s="17"/>
      <c r="H586" s="17"/>
      <c r="I586" s="17"/>
    </row>
    <row r="587" spans="1:9" x14ac:dyDescent="0.2">
      <c r="A587" s="17"/>
      <c r="B587" s="17"/>
      <c r="C587" s="17"/>
      <c r="D587" s="17"/>
      <c r="E587" s="17"/>
      <c r="F587" s="17"/>
      <c r="G587" s="17"/>
      <c r="H587" s="17"/>
      <c r="I587" s="17"/>
    </row>
    <row r="588" spans="1:9" x14ac:dyDescent="0.2">
      <c r="A588" s="17"/>
      <c r="B588" s="17"/>
      <c r="C588" s="17"/>
      <c r="D588" s="17"/>
      <c r="E588" s="17"/>
      <c r="F588" s="17"/>
      <c r="G588" s="17"/>
      <c r="H588" s="17"/>
      <c r="I588" s="17"/>
    </row>
    <row r="589" spans="1:9" x14ac:dyDescent="0.2">
      <c r="A589" s="17"/>
      <c r="B589" s="17"/>
      <c r="C589" s="17"/>
      <c r="D589" s="17"/>
      <c r="E589" s="17"/>
      <c r="F589" s="17"/>
      <c r="G589" s="17"/>
      <c r="H589" s="17"/>
      <c r="I589" s="17"/>
    </row>
    <row r="590" spans="1:9" x14ac:dyDescent="0.2">
      <c r="A590" s="17"/>
      <c r="B590" s="17"/>
      <c r="C590" s="17"/>
      <c r="D590" s="17"/>
      <c r="E590" s="17"/>
      <c r="F590" s="17"/>
      <c r="G590" s="17"/>
      <c r="H590" s="17"/>
      <c r="I590" s="17"/>
    </row>
    <row r="591" spans="1:9" x14ac:dyDescent="0.2">
      <c r="A591" s="17"/>
      <c r="B591" s="17"/>
      <c r="C591" s="17"/>
      <c r="D591" s="17"/>
      <c r="E591" s="17"/>
      <c r="F591" s="17"/>
      <c r="G591" s="17"/>
      <c r="H591" s="17"/>
      <c r="I591" s="17"/>
    </row>
    <row r="592" spans="1:9" x14ac:dyDescent="0.2">
      <c r="A592" s="17"/>
      <c r="B592" s="17"/>
      <c r="C592" s="17"/>
      <c r="D592" s="17"/>
      <c r="E592" s="17"/>
      <c r="F592" s="17"/>
      <c r="G592" s="17"/>
      <c r="H592" s="17"/>
      <c r="I592" s="17"/>
    </row>
    <row r="593" spans="1:9" x14ac:dyDescent="0.2">
      <c r="A593" s="17"/>
      <c r="B593" s="17"/>
      <c r="C593" s="17"/>
      <c r="D593" s="17"/>
      <c r="E593" s="17"/>
      <c r="F593" s="17"/>
      <c r="G593" s="17"/>
      <c r="H593" s="17"/>
      <c r="I593" s="17"/>
    </row>
    <row r="594" spans="1:9" x14ac:dyDescent="0.2">
      <c r="A594" s="17"/>
      <c r="B594" s="17"/>
      <c r="C594" s="17"/>
      <c r="D594" s="17"/>
      <c r="E594" s="17"/>
      <c r="F594" s="17"/>
      <c r="G594" s="17"/>
      <c r="H594" s="17"/>
      <c r="I594" s="17"/>
    </row>
    <row r="595" spans="1:9" x14ac:dyDescent="0.2">
      <c r="A595" s="17"/>
      <c r="B595" s="17"/>
      <c r="C595" s="17"/>
      <c r="D595" s="17"/>
      <c r="E595" s="17"/>
      <c r="F595" s="17"/>
      <c r="G595" s="17"/>
      <c r="H595" s="17"/>
      <c r="I595" s="17"/>
    </row>
    <row r="596" spans="1:9" x14ac:dyDescent="0.2">
      <c r="A596" s="17"/>
      <c r="B596" s="17"/>
      <c r="C596" s="17"/>
      <c r="D596" s="17"/>
      <c r="E596" s="17"/>
      <c r="F596" s="17"/>
      <c r="G596" s="17"/>
      <c r="H596" s="17"/>
      <c r="I596" s="17"/>
    </row>
    <row r="597" spans="1:9" x14ac:dyDescent="0.2">
      <c r="A597" s="17"/>
      <c r="B597" s="17"/>
      <c r="C597" s="17"/>
      <c r="D597" s="17"/>
      <c r="E597" s="17"/>
      <c r="F597" s="17"/>
      <c r="G597" s="17"/>
      <c r="H597" s="17"/>
      <c r="I597" s="17"/>
    </row>
    <row r="598" spans="1:9" x14ac:dyDescent="0.2">
      <c r="A598" s="17"/>
      <c r="B598" s="17"/>
      <c r="C598" s="17"/>
      <c r="D598" s="17"/>
      <c r="E598" s="17"/>
      <c r="F598" s="17"/>
      <c r="G598" s="17"/>
      <c r="H598" s="17"/>
      <c r="I598" s="17"/>
    </row>
    <row r="599" spans="1:9" x14ac:dyDescent="0.2">
      <c r="A599" s="17"/>
      <c r="B599" s="17"/>
      <c r="C599" s="17"/>
      <c r="D599" s="17"/>
      <c r="E599" s="17"/>
      <c r="F599" s="17"/>
      <c r="G599" s="17"/>
      <c r="H599" s="17"/>
      <c r="I599" s="17"/>
    </row>
    <row r="600" spans="1:9" x14ac:dyDescent="0.2">
      <c r="A600" s="17"/>
      <c r="B600" s="17"/>
      <c r="C600" s="17"/>
      <c r="D600" s="17"/>
      <c r="E600" s="17"/>
      <c r="F600" s="17"/>
      <c r="G600" s="17"/>
      <c r="H600" s="17"/>
      <c r="I600" s="17"/>
    </row>
    <row r="601" spans="1:9" x14ac:dyDescent="0.2">
      <c r="A601" s="17"/>
      <c r="B601" s="17"/>
      <c r="C601" s="17"/>
      <c r="D601" s="17"/>
      <c r="E601" s="17"/>
      <c r="F601" s="17"/>
      <c r="G601" s="17"/>
      <c r="H601" s="17"/>
      <c r="I601" s="17"/>
    </row>
    <row r="602" spans="1:9" x14ac:dyDescent="0.2">
      <c r="A602" s="17"/>
      <c r="B602" s="17"/>
      <c r="C602" s="17"/>
      <c r="D602" s="17"/>
      <c r="E602" s="17"/>
      <c r="F602" s="17"/>
      <c r="G602" s="17"/>
      <c r="H602" s="17"/>
      <c r="I602" s="17"/>
    </row>
    <row r="603" spans="1:9" x14ac:dyDescent="0.2">
      <c r="A603" s="17"/>
      <c r="B603" s="17"/>
      <c r="C603" s="17"/>
      <c r="D603" s="17"/>
      <c r="E603" s="17"/>
      <c r="F603" s="17"/>
      <c r="G603" s="17"/>
      <c r="H603" s="17"/>
      <c r="I603" s="17"/>
    </row>
    <row r="604" spans="1:9" x14ac:dyDescent="0.2">
      <c r="A604" s="17"/>
      <c r="B604" s="17"/>
      <c r="C604" s="17"/>
      <c r="D604" s="17"/>
      <c r="E604" s="17"/>
      <c r="F604" s="17"/>
      <c r="G604" s="17"/>
      <c r="H604" s="17"/>
      <c r="I604" s="17"/>
    </row>
    <row r="605" spans="1:9" x14ac:dyDescent="0.2">
      <c r="A605" s="17"/>
      <c r="B605" s="17"/>
      <c r="C605" s="17"/>
      <c r="D605" s="17"/>
      <c r="E605" s="17"/>
      <c r="F605" s="17"/>
      <c r="G605" s="17"/>
      <c r="H605" s="17"/>
      <c r="I605" s="17"/>
    </row>
    <row r="606" spans="1:9" x14ac:dyDescent="0.2">
      <c r="A606" s="17"/>
      <c r="B606" s="17"/>
      <c r="C606" s="17"/>
      <c r="D606" s="17"/>
      <c r="E606" s="17"/>
      <c r="F606" s="17"/>
      <c r="G606" s="17"/>
      <c r="H606" s="17"/>
      <c r="I606" s="17"/>
    </row>
    <row r="607" spans="1:9" x14ac:dyDescent="0.2">
      <c r="A607" s="17"/>
      <c r="B607" s="17"/>
      <c r="C607" s="17"/>
      <c r="D607" s="17"/>
      <c r="E607" s="17"/>
      <c r="F607" s="17"/>
      <c r="G607" s="17"/>
      <c r="H607" s="17"/>
      <c r="I607" s="17"/>
    </row>
    <row r="608" spans="1:9" x14ac:dyDescent="0.2">
      <c r="A608" s="17"/>
      <c r="B608" s="17"/>
      <c r="C608" s="17"/>
      <c r="D608" s="17"/>
      <c r="E608" s="17"/>
      <c r="F608" s="17"/>
      <c r="G608" s="17"/>
      <c r="H608" s="17"/>
      <c r="I608" s="17"/>
    </row>
    <row r="609" spans="1:9" x14ac:dyDescent="0.2">
      <c r="A609" s="17"/>
      <c r="B609" s="17"/>
      <c r="C609" s="17"/>
      <c r="D609" s="17"/>
      <c r="E609" s="17"/>
      <c r="F609" s="17"/>
      <c r="G609" s="17"/>
      <c r="H609" s="17"/>
      <c r="I609" s="17"/>
    </row>
    <row r="610" spans="1:9" x14ac:dyDescent="0.2">
      <c r="A610" s="17"/>
      <c r="B610" s="17"/>
      <c r="C610" s="17"/>
      <c r="D610" s="17"/>
      <c r="E610" s="17"/>
      <c r="F610" s="17"/>
      <c r="G610" s="17"/>
      <c r="H610" s="17"/>
      <c r="I610" s="17"/>
    </row>
    <row r="611" spans="1:9" x14ac:dyDescent="0.2">
      <c r="A611" s="17"/>
      <c r="B611" s="17"/>
      <c r="C611" s="17"/>
      <c r="D611" s="17"/>
      <c r="E611" s="17"/>
      <c r="F611" s="17"/>
      <c r="G611" s="17"/>
      <c r="H611" s="17"/>
      <c r="I611" s="17"/>
    </row>
    <row r="612" spans="1:9" x14ac:dyDescent="0.2">
      <c r="A612" s="17"/>
      <c r="B612" s="17"/>
      <c r="C612" s="17"/>
      <c r="D612" s="17"/>
      <c r="E612" s="17"/>
      <c r="F612" s="17"/>
      <c r="G612" s="17"/>
      <c r="H612" s="17"/>
      <c r="I612" s="17"/>
    </row>
    <row r="613" spans="1:9" x14ac:dyDescent="0.2">
      <c r="A613" s="17"/>
      <c r="B613" s="17"/>
      <c r="C613" s="17"/>
      <c r="D613" s="17"/>
      <c r="E613" s="17"/>
      <c r="F613" s="17"/>
      <c r="G613" s="17"/>
      <c r="H613" s="17"/>
      <c r="I613" s="17"/>
    </row>
    <row r="614" spans="1:9" x14ac:dyDescent="0.2">
      <c r="A614" s="17"/>
      <c r="B614" s="17"/>
      <c r="C614" s="17"/>
      <c r="D614" s="17"/>
      <c r="E614" s="17"/>
      <c r="F614" s="17"/>
      <c r="G614" s="17"/>
      <c r="H614" s="17"/>
      <c r="I614" s="17"/>
    </row>
    <row r="615" spans="1:9" x14ac:dyDescent="0.2">
      <c r="A615" s="17"/>
      <c r="B615" s="17"/>
      <c r="C615" s="17"/>
      <c r="D615" s="17"/>
      <c r="E615" s="17"/>
      <c r="F615" s="17"/>
      <c r="G615" s="17"/>
      <c r="H615" s="17"/>
      <c r="I615" s="17"/>
    </row>
    <row r="616" spans="1:9" x14ac:dyDescent="0.2">
      <c r="A616" s="17"/>
      <c r="B616" s="17"/>
      <c r="C616" s="17"/>
      <c r="D616" s="17"/>
      <c r="E616" s="17"/>
      <c r="F616" s="17"/>
      <c r="G616" s="17"/>
      <c r="H616" s="17"/>
      <c r="I616" s="17"/>
    </row>
    <row r="617" spans="1:9" x14ac:dyDescent="0.2">
      <c r="A617" s="17"/>
      <c r="B617" s="17"/>
      <c r="C617" s="17"/>
      <c r="D617" s="17"/>
      <c r="E617" s="17"/>
      <c r="F617" s="17"/>
      <c r="G617" s="17"/>
      <c r="H617" s="17"/>
      <c r="I617" s="17"/>
    </row>
    <row r="618" spans="1:9" x14ac:dyDescent="0.2">
      <c r="A618" s="17"/>
      <c r="B618" s="17"/>
      <c r="C618" s="17"/>
      <c r="D618" s="17"/>
      <c r="E618" s="17"/>
      <c r="F618" s="17"/>
      <c r="G618" s="17"/>
      <c r="H618" s="17"/>
      <c r="I618" s="17"/>
    </row>
    <row r="619" spans="1:9" x14ac:dyDescent="0.2">
      <c r="A619" s="17"/>
      <c r="B619" s="17"/>
      <c r="C619" s="17"/>
      <c r="D619" s="17"/>
      <c r="E619" s="17"/>
      <c r="F619" s="17"/>
      <c r="G619" s="17"/>
      <c r="H619" s="17"/>
      <c r="I619" s="17"/>
    </row>
    <row r="620" spans="1:9" x14ac:dyDescent="0.2">
      <c r="A620" s="17"/>
      <c r="B620" s="17"/>
      <c r="C620" s="17"/>
      <c r="D620" s="17"/>
      <c r="E620" s="17"/>
      <c r="F620" s="17"/>
      <c r="G620" s="17"/>
      <c r="H620" s="17"/>
      <c r="I620" s="17"/>
    </row>
    <row r="621" spans="1:9" x14ac:dyDescent="0.2">
      <c r="A621" s="17"/>
      <c r="B621" s="17"/>
      <c r="C621" s="17"/>
      <c r="D621" s="17"/>
      <c r="E621" s="17"/>
      <c r="F621" s="17"/>
      <c r="G621" s="17"/>
      <c r="H621" s="17"/>
      <c r="I621" s="17"/>
    </row>
    <row r="622" spans="1:9" x14ac:dyDescent="0.2">
      <c r="A622" s="17"/>
      <c r="B622" s="17"/>
      <c r="C622" s="17"/>
      <c r="D622" s="17"/>
      <c r="E622" s="17"/>
      <c r="F622" s="17"/>
      <c r="G622" s="17"/>
      <c r="H622" s="17"/>
      <c r="I622" s="17"/>
    </row>
    <row r="623" spans="1:9" x14ac:dyDescent="0.2">
      <c r="A623" s="17"/>
      <c r="B623" s="17"/>
      <c r="C623" s="17"/>
      <c r="D623" s="17"/>
      <c r="E623" s="17"/>
      <c r="F623" s="17"/>
      <c r="G623" s="17"/>
      <c r="H623" s="17"/>
      <c r="I623" s="17"/>
    </row>
    <row r="624" spans="1:9" x14ac:dyDescent="0.2">
      <c r="A624" s="17"/>
      <c r="B624" s="17"/>
      <c r="C624" s="17"/>
      <c r="D624" s="17"/>
      <c r="E624" s="17"/>
      <c r="F624" s="17"/>
      <c r="G624" s="17"/>
      <c r="H624" s="17"/>
      <c r="I624" s="17"/>
    </row>
    <row r="625" spans="1:9" x14ac:dyDescent="0.2">
      <c r="A625" s="17"/>
      <c r="B625" s="17"/>
      <c r="C625" s="17"/>
      <c r="D625" s="17"/>
      <c r="E625" s="17"/>
      <c r="F625" s="17"/>
      <c r="G625" s="17"/>
      <c r="H625" s="17"/>
      <c r="I625" s="17"/>
    </row>
    <row r="626" spans="1:9" x14ac:dyDescent="0.2">
      <c r="A626" s="17"/>
      <c r="B626" s="17"/>
      <c r="C626" s="17"/>
      <c r="D626" s="17"/>
      <c r="E626" s="17"/>
      <c r="F626" s="17"/>
      <c r="G626" s="17"/>
      <c r="H626" s="17"/>
      <c r="I626" s="17"/>
    </row>
    <row r="627" spans="1:9" x14ac:dyDescent="0.2">
      <c r="A627" s="17"/>
      <c r="B627" s="17"/>
      <c r="C627" s="17"/>
      <c r="D627" s="17"/>
      <c r="E627" s="17"/>
      <c r="F627" s="17"/>
      <c r="G627" s="17"/>
      <c r="H627" s="17"/>
      <c r="I627" s="17"/>
    </row>
    <row r="628" spans="1:9" x14ac:dyDescent="0.2">
      <c r="A628" s="17"/>
      <c r="B628" s="17"/>
      <c r="C628" s="17"/>
      <c r="D628" s="17"/>
      <c r="E628" s="17"/>
      <c r="F628" s="17"/>
      <c r="G628" s="17"/>
      <c r="H628" s="17"/>
      <c r="I628" s="17"/>
    </row>
    <row r="629" spans="1:9" x14ac:dyDescent="0.2">
      <c r="A629" s="17"/>
      <c r="B629" s="17"/>
      <c r="C629" s="17"/>
      <c r="D629" s="17"/>
      <c r="E629" s="17"/>
      <c r="F629" s="17"/>
      <c r="G629" s="17"/>
      <c r="H629" s="17"/>
      <c r="I629" s="17"/>
    </row>
    <row r="630" spans="1:9" x14ac:dyDescent="0.2">
      <c r="A630" s="17"/>
      <c r="B630" s="17"/>
      <c r="C630" s="17"/>
      <c r="D630" s="17"/>
      <c r="E630" s="17"/>
      <c r="F630" s="17"/>
      <c r="G630" s="17"/>
      <c r="H630" s="17"/>
      <c r="I630" s="17"/>
    </row>
    <row r="631" spans="1:9" x14ac:dyDescent="0.2">
      <c r="A631" s="17"/>
      <c r="B631" s="17"/>
      <c r="C631" s="17"/>
      <c r="D631" s="17"/>
      <c r="E631" s="17"/>
      <c r="F631" s="17"/>
      <c r="G631" s="17"/>
      <c r="H631" s="17"/>
      <c r="I631" s="17"/>
    </row>
    <row r="632" spans="1:9" x14ac:dyDescent="0.2">
      <c r="A632" s="17"/>
      <c r="B632" s="17"/>
      <c r="C632" s="17"/>
      <c r="D632" s="17"/>
      <c r="E632" s="17"/>
      <c r="F632" s="17"/>
      <c r="G632" s="17"/>
      <c r="H632" s="17"/>
      <c r="I632" s="17"/>
    </row>
    <row r="633" spans="1:9" x14ac:dyDescent="0.2">
      <c r="A633" s="17"/>
      <c r="B633" s="17"/>
      <c r="C633" s="17"/>
      <c r="D633" s="17"/>
      <c r="E633" s="17"/>
      <c r="F633" s="17"/>
      <c r="G633" s="17"/>
      <c r="H633" s="17"/>
      <c r="I633" s="17"/>
    </row>
    <row r="634" spans="1:9" x14ac:dyDescent="0.2">
      <c r="A634" s="17"/>
      <c r="B634" s="17"/>
      <c r="C634" s="17"/>
      <c r="D634" s="17"/>
      <c r="E634" s="17"/>
      <c r="F634" s="17"/>
      <c r="G634" s="17"/>
      <c r="H634" s="17"/>
      <c r="I634" s="17"/>
    </row>
    <row r="635" spans="1:9" x14ac:dyDescent="0.2">
      <c r="A635" s="17"/>
      <c r="B635" s="17"/>
      <c r="C635" s="17"/>
      <c r="D635" s="17"/>
      <c r="E635" s="17"/>
      <c r="F635" s="17"/>
      <c r="G635" s="17"/>
      <c r="H635" s="17"/>
      <c r="I635" s="17"/>
    </row>
    <row r="636" spans="1:9" x14ac:dyDescent="0.2">
      <c r="A636" s="17"/>
      <c r="B636" s="17"/>
      <c r="C636" s="17"/>
      <c r="D636" s="17"/>
      <c r="E636" s="17"/>
      <c r="F636" s="17"/>
      <c r="G636" s="17"/>
      <c r="H636" s="17"/>
      <c r="I636" s="17"/>
    </row>
    <row r="637" spans="1:9" x14ac:dyDescent="0.2">
      <c r="A637" s="17"/>
      <c r="B637" s="17"/>
      <c r="C637" s="17"/>
      <c r="D637" s="17"/>
      <c r="E637" s="17"/>
      <c r="F637" s="17"/>
      <c r="G637" s="17"/>
      <c r="H637" s="17"/>
      <c r="I637" s="17"/>
    </row>
    <row r="638" spans="1:9" x14ac:dyDescent="0.2">
      <c r="A638" s="17"/>
      <c r="B638" s="17"/>
      <c r="C638" s="17"/>
      <c r="D638" s="17"/>
      <c r="E638" s="17"/>
      <c r="F638" s="17"/>
      <c r="G638" s="17"/>
      <c r="H638" s="17"/>
      <c r="I638" s="17"/>
    </row>
    <row r="639" spans="1:9" x14ac:dyDescent="0.2">
      <c r="A639" s="17"/>
      <c r="B639" s="17"/>
      <c r="C639" s="17"/>
      <c r="D639" s="17"/>
      <c r="E639" s="17"/>
      <c r="F639" s="17"/>
      <c r="G639" s="17"/>
      <c r="H639" s="17"/>
      <c r="I639" s="17"/>
    </row>
    <row r="640" spans="1:9" x14ac:dyDescent="0.2">
      <c r="A640" s="17"/>
      <c r="B640" s="17"/>
      <c r="C640" s="17"/>
      <c r="D640" s="17"/>
      <c r="E640" s="17"/>
      <c r="F640" s="17"/>
      <c r="G640" s="17"/>
      <c r="H640" s="17"/>
      <c r="I640" s="17"/>
    </row>
    <row r="641" spans="1:9" x14ac:dyDescent="0.2">
      <c r="A641" s="17"/>
      <c r="B641" s="17"/>
      <c r="C641" s="17"/>
      <c r="D641" s="17"/>
      <c r="E641" s="17"/>
      <c r="F641" s="17"/>
      <c r="G641" s="17"/>
      <c r="H641" s="17"/>
      <c r="I641" s="17"/>
    </row>
    <row r="642" spans="1:9" x14ac:dyDescent="0.2">
      <c r="A642" s="17"/>
      <c r="B642" s="17"/>
      <c r="C642" s="17"/>
      <c r="D642" s="17"/>
      <c r="E642" s="17"/>
      <c r="F642" s="17"/>
      <c r="G642" s="17"/>
      <c r="H642" s="17"/>
      <c r="I642" s="17"/>
    </row>
    <row r="643" spans="1:9" x14ac:dyDescent="0.2">
      <c r="A643" s="17"/>
      <c r="B643" s="17"/>
      <c r="C643" s="17"/>
      <c r="D643" s="17"/>
      <c r="E643" s="17"/>
      <c r="F643" s="17"/>
      <c r="G643" s="17"/>
      <c r="H643" s="17"/>
      <c r="I643" s="17"/>
    </row>
    <row r="644" spans="1:9" x14ac:dyDescent="0.2">
      <c r="A644" s="17"/>
      <c r="B644" s="17"/>
      <c r="C644" s="17"/>
      <c r="D644" s="17"/>
      <c r="E644" s="17"/>
      <c r="F644" s="17"/>
      <c r="G644" s="17"/>
      <c r="H644" s="17"/>
      <c r="I644" s="17"/>
    </row>
    <row r="645" spans="1:9" x14ac:dyDescent="0.2">
      <c r="A645" s="17"/>
      <c r="B645" s="17"/>
      <c r="C645" s="17"/>
      <c r="D645" s="17"/>
      <c r="E645" s="17"/>
      <c r="F645" s="17"/>
      <c r="G645" s="17"/>
      <c r="H645" s="17"/>
      <c r="I645" s="17"/>
    </row>
    <row r="646" spans="1:9" x14ac:dyDescent="0.2">
      <c r="A646" s="17"/>
      <c r="B646" s="17"/>
      <c r="C646" s="17"/>
      <c r="D646" s="17"/>
      <c r="E646" s="17"/>
      <c r="F646" s="17"/>
      <c r="G646" s="17"/>
      <c r="H646" s="17"/>
      <c r="I646" s="17"/>
    </row>
    <row r="647" spans="1:9" x14ac:dyDescent="0.2">
      <c r="A647" s="17"/>
      <c r="B647" s="17"/>
      <c r="C647" s="17"/>
      <c r="D647" s="17"/>
      <c r="E647" s="17"/>
      <c r="F647" s="17"/>
      <c r="G647" s="17"/>
      <c r="H647" s="17"/>
      <c r="I647" s="17"/>
    </row>
    <row r="648" spans="1:9" x14ac:dyDescent="0.2">
      <c r="A648" s="17"/>
      <c r="B648" s="17"/>
      <c r="C648" s="17"/>
      <c r="D648" s="17"/>
      <c r="E648" s="17"/>
      <c r="F648" s="17"/>
      <c r="G648" s="17"/>
      <c r="H648" s="17"/>
      <c r="I648" s="17"/>
    </row>
    <row r="649" spans="1:9" x14ac:dyDescent="0.2">
      <c r="A649" s="17"/>
      <c r="B649" s="17"/>
      <c r="C649" s="17"/>
      <c r="D649" s="17"/>
      <c r="E649" s="17"/>
      <c r="F649" s="17"/>
      <c r="G649" s="17"/>
      <c r="H649" s="17"/>
      <c r="I649" s="17"/>
    </row>
    <row r="650" spans="1:9" x14ac:dyDescent="0.2">
      <c r="A650" s="17"/>
      <c r="B650" s="17"/>
      <c r="C650" s="17"/>
      <c r="D650" s="17"/>
      <c r="E650" s="17"/>
      <c r="F650" s="17"/>
      <c r="G650" s="17"/>
      <c r="H650" s="17"/>
      <c r="I650" s="17"/>
    </row>
    <row r="651" spans="1:9" x14ac:dyDescent="0.2">
      <c r="A651" s="17"/>
      <c r="B651" s="17"/>
      <c r="C651" s="17"/>
      <c r="D651" s="17"/>
      <c r="E651" s="17"/>
      <c r="F651" s="17"/>
      <c r="G651" s="17"/>
      <c r="H651" s="17"/>
      <c r="I651" s="17"/>
    </row>
    <row r="652" spans="1:9" x14ac:dyDescent="0.2">
      <c r="A652" s="17"/>
      <c r="B652" s="17"/>
      <c r="C652" s="17"/>
      <c r="D652" s="17"/>
      <c r="E652" s="17"/>
      <c r="F652" s="17"/>
      <c r="G652" s="17"/>
      <c r="H652" s="17"/>
      <c r="I652" s="17"/>
    </row>
    <row r="653" spans="1:9" x14ac:dyDescent="0.2">
      <c r="A653" s="17"/>
      <c r="B653" s="17"/>
      <c r="C653" s="17"/>
      <c r="D653" s="17"/>
      <c r="E653" s="17"/>
      <c r="F653" s="17"/>
      <c r="G653" s="17"/>
      <c r="H653" s="17"/>
      <c r="I653" s="17"/>
    </row>
    <row r="654" spans="1:9" x14ac:dyDescent="0.2">
      <c r="A654" s="17"/>
      <c r="B654" s="17"/>
      <c r="C654" s="17"/>
      <c r="D654" s="17"/>
      <c r="E654" s="17"/>
      <c r="F654" s="17"/>
      <c r="G654" s="17"/>
      <c r="H654" s="17"/>
      <c r="I654" s="17"/>
    </row>
    <row r="655" spans="1:9" x14ac:dyDescent="0.2">
      <c r="A655" s="17"/>
      <c r="B655" s="17"/>
      <c r="C655" s="17"/>
      <c r="D655" s="17"/>
      <c r="E655" s="17"/>
      <c r="F655" s="17"/>
      <c r="G655" s="17"/>
      <c r="H655" s="17"/>
      <c r="I655" s="17"/>
    </row>
    <row r="656" spans="1:9" x14ac:dyDescent="0.2">
      <c r="A656" s="17"/>
      <c r="B656" s="17"/>
      <c r="C656" s="17"/>
      <c r="D656" s="17"/>
      <c r="E656" s="17"/>
      <c r="F656" s="17"/>
      <c r="G656" s="17"/>
      <c r="H656" s="17"/>
      <c r="I656" s="17"/>
    </row>
    <row r="657" spans="1:9" x14ac:dyDescent="0.2">
      <c r="A657" s="17"/>
      <c r="B657" s="17"/>
      <c r="C657" s="17"/>
      <c r="D657" s="17"/>
      <c r="E657" s="17"/>
      <c r="F657" s="17"/>
      <c r="G657" s="17"/>
      <c r="H657" s="17"/>
      <c r="I657" s="17"/>
    </row>
    <row r="658" spans="1:9" x14ac:dyDescent="0.2">
      <c r="A658" s="17"/>
      <c r="B658" s="17"/>
      <c r="C658" s="17"/>
      <c r="D658" s="17"/>
      <c r="E658" s="17"/>
      <c r="F658" s="17"/>
      <c r="G658" s="17"/>
      <c r="H658" s="17"/>
      <c r="I658" s="17"/>
    </row>
    <row r="659" spans="1:9" x14ac:dyDescent="0.2">
      <c r="A659" s="17"/>
      <c r="B659" s="17"/>
      <c r="C659" s="17"/>
      <c r="D659" s="17"/>
      <c r="E659" s="17"/>
      <c r="F659" s="17"/>
      <c r="G659" s="17"/>
      <c r="H659" s="17"/>
      <c r="I659" s="17"/>
    </row>
    <row r="660" spans="1:9" x14ac:dyDescent="0.2">
      <c r="A660" s="17"/>
      <c r="B660" s="17"/>
      <c r="C660" s="17"/>
      <c r="D660" s="17"/>
      <c r="E660" s="17"/>
      <c r="F660" s="17"/>
      <c r="G660" s="17"/>
      <c r="H660" s="17"/>
      <c r="I660" s="17"/>
    </row>
    <row r="661" spans="1:9" x14ac:dyDescent="0.2">
      <c r="A661" s="17"/>
      <c r="B661" s="17"/>
      <c r="C661" s="17"/>
      <c r="D661" s="17"/>
      <c r="E661" s="17"/>
      <c r="F661" s="17"/>
      <c r="G661" s="17"/>
      <c r="H661" s="17"/>
      <c r="I661" s="17"/>
    </row>
    <row r="662" spans="1:9" x14ac:dyDescent="0.2">
      <c r="A662" s="17"/>
      <c r="B662" s="17"/>
      <c r="C662" s="17"/>
      <c r="D662" s="17"/>
      <c r="E662" s="17"/>
      <c r="F662" s="17"/>
      <c r="G662" s="17"/>
      <c r="H662" s="17"/>
      <c r="I662" s="17"/>
    </row>
    <row r="663" spans="1:9" x14ac:dyDescent="0.2">
      <c r="A663" s="17"/>
      <c r="B663" s="17"/>
      <c r="C663" s="17"/>
      <c r="D663" s="17"/>
      <c r="E663" s="17"/>
      <c r="F663" s="17"/>
      <c r="G663" s="17"/>
      <c r="H663" s="17"/>
      <c r="I663" s="17"/>
    </row>
    <row r="664" spans="1:9" x14ac:dyDescent="0.2">
      <c r="A664" s="17"/>
      <c r="B664" s="17"/>
      <c r="C664" s="17"/>
      <c r="D664" s="17"/>
      <c r="E664" s="17"/>
      <c r="F664" s="17"/>
      <c r="G664" s="17"/>
      <c r="H664" s="17"/>
      <c r="I664" s="17"/>
    </row>
    <row r="665" spans="1:9" x14ac:dyDescent="0.2">
      <c r="A665" s="17"/>
      <c r="B665" s="17"/>
      <c r="C665" s="17"/>
      <c r="D665" s="17"/>
      <c r="E665" s="17"/>
      <c r="F665" s="17"/>
      <c r="G665" s="17"/>
      <c r="H665" s="17"/>
      <c r="I665" s="17"/>
    </row>
    <row r="666" spans="1:9" x14ac:dyDescent="0.2">
      <c r="A666" s="17"/>
      <c r="B666" s="17"/>
      <c r="C666" s="17"/>
      <c r="D666" s="17"/>
      <c r="E666" s="17"/>
      <c r="F666" s="17"/>
      <c r="G666" s="17"/>
      <c r="H666" s="17"/>
      <c r="I666" s="17"/>
    </row>
    <row r="667" spans="1:9" x14ac:dyDescent="0.2">
      <c r="A667" s="17"/>
      <c r="B667" s="17"/>
      <c r="C667" s="17"/>
      <c r="D667" s="17"/>
      <c r="E667" s="17"/>
      <c r="F667" s="17"/>
      <c r="G667" s="17"/>
      <c r="H667" s="17"/>
      <c r="I667" s="17"/>
    </row>
    <row r="668" spans="1:9" x14ac:dyDescent="0.2">
      <c r="A668" s="17"/>
      <c r="B668" s="17"/>
      <c r="C668" s="17"/>
      <c r="D668" s="17"/>
      <c r="E668" s="17"/>
      <c r="F668" s="17"/>
      <c r="G668" s="17"/>
      <c r="H668" s="17"/>
      <c r="I668" s="17"/>
    </row>
    <row r="669" spans="1:9" x14ac:dyDescent="0.2">
      <c r="A669" s="17"/>
      <c r="B669" s="17"/>
      <c r="C669" s="17"/>
      <c r="D669" s="17"/>
      <c r="E669" s="17"/>
      <c r="F669" s="17"/>
      <c r="G669" s="17"/>
      <c r="H669" s="17"/>
      <c r="I669" s="17"/>
    </row>
    <row r="670" spans="1:9" x14ac:dyDescent="0.2">
      <c r="A670" s="17"/>
      <c r="B670" s="17"/>
      <c r="C670" s="17"/>
      <c r="D670" s="17"/>
      <c r="E670" s="17"/>
      <c r="F670" s="17"/>
      <c r="G670" s="17"/>
      <c r="H670" s="17"/>
      <c r="I670" s="17"/>
    </row>
    <row r="671" spans="1:9" x14ac:dyDescent="0.2">
      <c r="A671" s="17"/>
      <c r="B671" s="17"/>
      <c r="C671" s="17"/>
      <c r="D671" s="17"/>
      <c r="E671" s="17"/>
      <c r="F671" s="17"/>
      <c r="G671" s="17"/>
      <c r="H671" s="17"/>
      <c r="I671" s="17"/>
    </row>
    <row r="672" spans="1:9" x14ac:dyDescent="0.2">
      <c r="A672" s="17"/>
      <c r="B672" s="17"/>
      <c r="C672" s="17"/>
      <c r="D672" s="17"/>
      <c r="E672" s="17"/>
      <c r="F672" s="17"/>
      <c r="G672" s="17"/>
      <c r="H672" s="17"/>
      <c r="I672" s="17"/>
    </row>
    <row r="673" spans="1:9" x14ac:dyDescent="0.2">
      <c r="A673" s="17"/>
      <c r="B673" s="17"/>
      <c r="C673" s="17"/>
      <c r="D673" s="17"/>
      <c r="E673" s="17"/>
      <c r="F673" s="17"/>
      <c r="G673" s="17"/>
      <c r="H673" s="17"/>
      <c r="I673" s="17"/>
    </row>
    <row r="674" spans="1:9" x14ac:dyDescent="0.2">
      <c r="A674" s="17"/>
      <c r="B674" s="17"/>
      <c r="C674" s="17"/>
      <c r="D674" s="17"/>
      <c r="E674" s="17"/>
      <c r="F674" s="17"/>
      <c r="G674" s="17"/>
      <c r="H674" s="17"/>
      <c r="I674" s="17"/>
    </row>
    <row r="675" spans="1:9" x14ac:dyDescent="0.2">
      <c r="A675" s="17"/>
      <c r="B675" s="17"/>
      <c r="C675" s="17"/>
      <c r="D675" s="17"/>
      <c r="E675" s="17"/>
      <c r="F675" s="17"/>
      <c r="G675" s="17"/>
      <c r="H675" s="17"/>
      <c r="I675" s="17"/>
    </row>
    <row r="676" spans="1:9" x14ac:dyDescent="0.2">
      <c r="A676" s="17"/>
      <c r="B676" s="17"/>
      <c r="C676" s="17"/>
      <c r="D676" s="17"/>
      <c r="E676" s="17"/>
      <c r="F676" s="17"/>
      <c r="G676" s="17"/>
      <c r="H676" s="17"/>
      <c r="I676" s="17"/>
    </row>
    <row r="677" spans="1:9" x14ac:dyDescent="0.2">
      <c r="A677" s="17"/>
      <c r="B677" s="17"/>
      <c r="C677" s="17"/>
      <c r="D677" s="17"/>
      <c r="E677" s="17"/>
      <c r="F677" s="17"/>
      <c r="G677" s="17"/>
      <c r="H677" s="17"/>
      <c r="I677" s="17"/>
    </row>
    <row r="678" spans="1:9" x14ac:dyDescent="0.2">
      <c r="A678" s="17"/>
      <c r="B678" s="17"/>
      <c r="C678" s="17"/>
      <c r="D678" s="17"/>
      <c r="E678" s="17"/>
      <c r="F678" s="17"/>
      <c r="G678" s="17"/>
      <c r="H678" s="17"/>
      <c r="I678" s="17"/>
    </row>
    <row r="679" spans="1:9" x14ac:dyDescent="0.2">
      <c r="A679" s="17"/>
      <c r="B679" s="17"/>
      <c r="C679" s="17"/>
      <c r="D679" s="17"/>
      <c r="E679" s="17"/>
      <c r="F679" s="17"/>
      <c r="G679" s="17"/>
      <c r="H679" s="17"/>
      <c r="I679" s="17"/>
    </row>
    <row r="680" spans="1:9" x14ac:dyDescent="0.2">
      <c r="A680" s="17"/>
      <c r="B680" s="17"/>
      <c r="C680" s="17"/>
      <c r="D680" s="17"/>
      <c r="E680" s="17"/>
      <c r="F680" s="17"/>
      <c r="G680" s="17"/>
      <c r="H680" s="17"/>
      <c r="I680" s="17"/>
    </row>
    <row r="681" spans="1:9" x14ac:dyDescent="0.2">
      <c r="A681" s="17"/>
      <c r="B681" s="17"/>
      <c r="C681" s="17"/>
      <c r="D681" s="17"/>
      <c r="E681" s="17"/>
      <c r="F681" s="17"/>
      <c r="G681" s="17"/>
      <c r="H681" s="17"/>
      <c r="I681" s="17"/>
    </row>
    <row r="682" spans="1:9" x14ac:dyDescent="0.2">
      <c r="A682" s="17"/>
      <c r="B682" s="17"/>
      <c r="C682" s="17"/>
      <c r="D682" s="17"/>
      <c r="E682" s="17"/>
      <c r="F682" s="17"/>
      <c r="G682" s="17"/>
      <c r="H682" s="17"/>
      <c r="I682" s="17"/>
    </row>
    <row r="683" spans="1:9" x14ac:dyDescent="0.2">
      <c r="A683" s="17"/>
      <c r="B683" s="17"/>
      <c r="C683" s="17"/>
      <c r="D683" s="17"/>
      <c r="E683" s="17"/>
      <c r="F683" s="17"/>
      <c r="G683" s="17"/>
      <c r="H683" s="17"/>
      <c r="I683" s="17"/>
    </row>
    <row r="684" spans="1:9" x14ac:dyDescent="0.2">
      <c r="A684" s="17"/>
      <c r="B684" s="17"/>
      <c r="C684" s="17"/>
      <c r="D684" s="17"/>
      <c r="E684" s="17"/>
      <c r="F684" s="17"/>
      <c r="G684" s="17"/>
      <c r="H684" s="17"/>
      <c r="I684" s="17"/>
    </row>
    <row r="685" spans="1:9" x14ac:dyDescent="0.2">
      <c r="A685" s="17"/>
      <c r="B685" s="17"/>
      <c r="C685" s="17"/>
      <c r="D685" s="17"/>
      <c r="E685" s="17"/>
      <c r="F685" s="17"/>
      <c r="G685" s="17"/>
      <c r="H685" s="17"/>
      <c r="I685" s="17"/>
    </row>
    <row r="686" spans="1:9" x14ac:dyDescent="0.2">
      <c r="A686" s="17"/>
      <c r="B686" s="17"/>
      <c r="C686" s="17"/>
      <c r="D686" s="17"/>
      <c r="E686" s="17"/>
      <c r="F686" s="17"/>
      <c r="G686" s="17"/>
      <c r="H686" s="17"/>
      <c r="I686" s="17"/>
    </row>
    <row r="687" spans="1:9" x14ac:dyDescent="0.2">
      <c r="A687" s="17"/>
      <c r="B687" s="17"/>
      <c r="C687" s="17"/>
      <c r="D687" s="17"/>
      <c r="E687" s="17"/>
      <c r="F687" s="17"/>
      <c r="G687" s="17"/>
      <c r="H687" s="17"/>
      <c r="I687" s="17"/>
    </row>
    <row r="688" spans="1:9" x14ac:dyDescent="0.2">
      <c r="A688" s="17"/>
      <c r="B688" s="17"/>
      <c r="C688" s="17"/>
      <c r="D688" s="17"/>
      <c r="E688" s="17"/>
      <c r="F688" s="17"/>
      <c r="G688" s="17"/>
      <c r="H688" s="17"/>
      <c r="I688" s="17"/>
    </row>
    <row r="689" spans="1:9" x14ac:dyDescent="0.2">
      <c r="A689" s="17"/>
      <c r="B689" s="17"/>
      <c r="C689" s="17"/>
      <c r="D689" s="17"/>
      <c r="E689" s="17"/>
      <c r="F689" s="17"/>
      <c r="G689" s="17"/>
      <c r="H689" s="17"/>
      <c r="I689" s="17"/>
    </row>
    <row r="690" spans="1:9" x14ac:dyDescent="0.2">
      <c r="A690" s="17"/>
      <c r="B690" s="17"/>
      <c r="C690" s="17"/>
      <c r="D690" s="17"/>
      <c r="E690" s="17"/>
      <c r="F690" s="17"/>
      <c r="G690" s="17"/>
      <c r="H690" s="17"/>
      <c r="I690" s="17"/>
    </row>
    <row r="691" spans="1:9" x14ac:dyDescent="0.2">
      <c r="A691" s="17"/>
      <c r="B691" s="17"/>
      <c r="C691" s="17"/>
      <c r="D691" s="17"/>
      <c r="E691" s="17"/>
      <c r="F691" s="17"/>
      <c r="G691" s="17"/>
      <c r="H691" s="17"/>
      <c r="I691" s="17"/>
    </row>
    <row r="692" spans="1:9" x14ac:dyDescent="0.2">
      <c r="A692" s="17"/>
      <c r="B692" s="17"/>
      <c r="C692" s="17"/>
      <c r="D692" s="17"/>
      <c r="E692" s="17"/>
      <c r="F692" s="17"/>
      <c r="G692" s="17"/>
      <c r="H692" s="17"/>
      <c r="I692" s="17"/>
    </row>
    <row r="693" spans="1:9" x14ac:dyDescent="0.2">
      <c r="A693" s="17"/>
      <c r="B693" s="17"/>
      <c r="C693" s="17"/>
      <c r="D693" s="17"/>
      <c r="E693" s="17"/>
      <c r="F693" s="17"/>
      <c r="G693" s="17"/>
      <c r="H693" s="17"/>
      <c r="I693" s="17"/>
    </row>
    <row r="694" spans="1:9" x14ac:dyDescent="0.2">
      <c r="A694" s="17"/>
      <c r="B694" s="17"/>
      <c r="C694" s="17"/>
      <c r="D694" s="17"/>
      <c r="E694" s="17"/>
      <c r="F694" s="17"/>
      <c r="G694" s="17"/>
      <c r="H694" s="17"/>
      <c r="I694" s="17"/>
    </row>
    <row r="695" spans="1:9" x14ac:dyDescent="0.2">
      <c r="A695" s="17"/>
      <c r="B695" s="17"/>
      <c r="C695" s="17"/>
      <c r="D695" s="17"/>
      <c r="E695" s="17"/>
      <c r="F695" s="17"/>
      <c r="G695" s="17"/>
      <c r="H695" s="17"/>
      <c r="I695" s="17"/>
    </row>
    <row r="696" spans="1:9" x14ac:dyDescent="0.2">
      <c r="A696" s="17"/>
      <c r="B696" s="17"/>
      <c r="C696" s="17"/>
      <c r="D696" s="17"/>
      <c r="E696" s="17"/>
      <c r="F696" s="17"/>
      <c r="G696" s="17"/>
      <c r="H696" s="17"/>
      <c r="I696" s="17"/>
    </row>
    <row r="697" spans="1:9" x14ac:dyDescent="0.2">
      <c r="A697" s="17"/>
      <c r="B697" s="17"/>
      <c r="C697" s="17"/>
      <c r="D697" s="17"/>
      <c r="E697" s="17"/>
      <c r="F697" s="17"/>
      <c r="G697" s="17"/>
      <c r="H697" s="17"/>
      <c r="I697" s="17"/>
    </row>
    <row r="698" spans="1:9" x14ac:dyDescent="0.2">
      <c r="A698" s="17"/>
      <c r="B698" s="17"/>
      <c r="C698" s="17"/>
      <c r="D698" s="17"/>
      <c r="E698" s="17"/>
      <c r="F698" s="17"/>
      <c r="G698" s="17"/>
      <c r="H698" s="17"/>
      <c r="I698" s="17"/>
    </row>
    <row r="699" spans="1:9" x14ac:dyDescent="0.2">
      <c r="A699" s="17"/>
      <c r="B699" s="17"/>
      <c r="C699" s="17"/>
      <c r="D699" s="17"/>
      <c r="E699" s="17"/>
      <c r="F699" s="17"/>
      <c r="G699" s="17"/>
      <c r="H699" s="17"/>
      <c r="I699" s="17"/>
    </row>
    <row r="700" spans="1:9" x14ac:dyDescent="0.2">
      <c r="A700" s="17"/>
      <c r="B700" s="17"/>
      <c r="C700" s="17"/>
      <c r="D700" s="17"/>
      <c r="E700" s="17"/>
      <c r="F700" s="17"/>
      <c r="G700" s="17"/>
      <c r="H700" s="17"/>
      <c r="I700" s="17"/>
    </row>
    <row r="701" spans="1:9" x14ac:dyDescent="0.2">
      <c r="A701" s="17"/>
      <c r="B701" s="17"/>
      <c r="C701" s="17"/>
      <c r="D701" s="17"/>
      <c r="E701" s="17"/>
      <c r="F701" s="17"/>
      <c r="G701" s="17"/>
      <c r="H701" s="17"/>
      <c r="I701" s="17"/>
    </row>
    <row r="702" spans="1:9" x14ac:dyDescent="0.2">
      <c r="A702" s="17"/>
      <c r="B702" s="17"/>
      <c r="C702" s="17"/>
      <c r="D702" s="17"/>
      <c r="E702" s="17"/>
      <c r="F702" s="17"/>
      <c r="G702" s="17"/>
      <c r="H702" s="17"/>
      <c r="I702" s="17"/>
    </row>
    <row r="703" spans="1:9" x14ac:dyDescent="0.2">
      <c r="A703" s="17"/>
      <c r="B703" s="17"/>
      <c r="C703" s="17"/>
      <c r="D703" s="17"/>
      <c r="E703" s="17"/>
      <c r="F703" s="17"/>
      <c r="G703" s="17"/>
      <c r="H703" s="17"/>
      <c r="I703" s="17"/>
    </row>
    <row r="704" spans="1:9" x14ac:dyDescent="0.2">
      <c r="A704" s="17"/>
      <c r="B704" s="17"/>
      <c r="C704" s="17"/>
      <c r="D704" s="17"/>
      <c r="E704" s="17"/>
      <c r="F704" s="17"/>
      <c r="G704" s="17"/>
      <c r="H704" s="17"/>
      <c r="I704" s="17"/>
    </row>
    <row r="705" spans="1:9" x14ac:dyDescent="0.2">
      <c r="A705" s="17"/>
      <c r="B705" s="17"/>
      <c r="C705" s="17"/>
      <c r="D705" s="17"/>
      <c r="E705" s="17"/>
      <c r="F705" s="17"/>
      <c r="G705" s="17"/>
      <c r="H705" s="17"/>
      <c r="I705" s="17"/>
    </row>
    <row r="706" spans="1:9" x14ac:dyDescent="0.2">
      <c r="A706" s="17"/>
      <c r="B706" s="17"/>
      <c r="C706" s="17"/>
      <c r="D706" s="17"/>
      <c r="E706" s="17"/>
      <c r="F706" s="17"/>
      <c r="G706" s="17"/>
      <c r="H706" s="17"/>
      <c r="I706" s="17"/>
    </row>
    <row r="707" spans="1:9" x14ac:dyDescent="0.2">
      <c r="A707" s="17"/>
      <c r="B707" s="17"/>
      <c r="C707" s="17"/>
      <c r="D707" s="17"/>
      <c r="E707" s="17"/>
      <c r="F707" s="17"/>
      <c r="G707" s="17"/>
      <c r="H707" s="17"/>
      <c r="I707" s="17"/>
    </row>
    <row r="708" spans="1:9" x14ac:dyDescent="0.2">
      <c r="A708" s="17"/>
      <c r="B708" s="17"/>
      <c r="C708" s="17"/>
      <c r="D708" s="17"/>
      <c r="E708" s="17"/>
      <c r="F708" s="17"/>
      <c r="G708" s="17"/>
      <c r="H708" s="17"/>
      <c r="I708" s="17"/>
    </row>
    <row r="709" spans="1:9" x14ac:dyDescent="0.2">
      <c r="A709" s="17"/>
      <c r="B709" s="17"/>
      <c r="C709" s="17"/>
      <c r="D709" s="17"/>
      <c r="E709" s="17"/>
      <c r="F709" s="17"/>
      <c r="G709" s="17"/>
      <c r="H709" s="17"/>
      <c r="I709" s="17"/>
    </row>
    <row r="710" spans="1:9" x14ac:dyDescent="0.2">
      <c r="A710" s="17"/>
      <c r="B710" s="17"/>
      <c r="C710" s="17"/>
      <c r="D710" s="17"/>
      <c r="E710" s="17"/>
      <c r="F710" s="17"/>
      <c r="G710" s="17"/>
      <c r="H710" s="17"/>
      <c r="I710" s="17"/>
    </row>
    <row r="711" spans="1:9" x14ac:dyDescent="0.2">
      <c r="A711" s="17"/>
      <c r="B711" s="17"/>
      <c r="C711" s="17"/>
      <c r="D711" s="17"/>
      <c r="E711" s="17"/>
      <c r="F711" s="17"/>
      <c r="G711" s="17"/>
      <c r="H711" s="17"/>
      <c r="I711" s="17"/>
    </row>
    <row r="712" spans="1:9" x14ac:dyDescent="0.2">
      <c r="A712" s="17"/>
      <c r="B712" s="17"/>
      <c r="C712" s="17"/>
      <c r="D712" s="17"/>
      <c r="E712" s="17"/>
      <c r="F712" s="17"/>
      <c r="G712" s="17"/>
      <c r="H712" s="17"/>
      <c r="I712" s="17"/>
    </row>
    <row r="713" spans="1:9" x14ac:dyDescent="0.2">
      <c r="A713" s="17"/>
      <c r="B713" s="17"/>
      <c r="C713" s="17"/>
      <c r="D713" s="17"/>
      <c r="E713" s="17"/>
      <c r="F713" s="17"/>
      <c r="G713" s="17"/>
      <c r="H713" s="17"/>
      <c r="I713" s="17"/>
    </row>
    <row r="714" spans="1:9" x14ac:dyDescent="0.2">
      <c r="A714" s="17"/>
      <c r="B714" s="17"/>
      <c r="C714" s="17"/>
      <c r="D714" s="17"/>
      <c r="E714" s="17"/>
      <c r="F714" s="17"/>
      <c r="G714" s="17"/>
      <c r="H714" s="17"/>
      <c r="I714" s="17"/>
    </row>
    <row r="715" spans="1:9" x14ac:dyDescent="0.2">
      <c r="A715" s="17"/>
      <c r="B715" s="17"/>
      <c r="C715" s="17"/>
      <c r="D715" s="17"/>
      <c r="E715" s="17"/>
      <c r="F715" s="17"/>
      <c r="G715" s="17"/>
      <c r="H715" s="17"/>
      <c r="I715" s="17"/>
    </row>
    <row r="716" spans="1:9" x14ac:dyDescent="0.2">
      <c r="A716" s="17"/>
      <c r="B716" s="17"/>
      <c r="C716" s="17"/>
      <c r="D716" s="17"/>
      <c r="E716" s="17"/>
      <c r="F716" s="17"/>
      <c r="G716" s="17"/>
      <c r="H716" s="17"/>
      <c r="I716" s="17"/>
    </row>
    <row r="717" spans="1:9" x14ac:dyDescent="0.2">
      <c r="A717" s="17"/>
      <c r="B717" s="17"/>
      <c r="C717" s="17"/>
      <c r="D717" s="17"/>
      <c r="E717" s="17"/>
      <c r="F717" s="17"/>
      <c r="G717" s="17"/>
      <c r="H717" s="17"/>
      <c r="I717" s="17"/>
    </row>
    <row r="718" spans="1:9" x14ac:dyDescent="0.2">
      <c r="A718" s="17"/>
      <c r="B718" s="17"/>
      <c r="C718" s="17"/>
      <c r="D718" s="17"/>
      <c r="E718" s="17"/>
      <c r="F718" s="17"/>
      <c r="G718" s="17"/>
      <c r="H718" s="17"/>
      <c r="I718" s="17"/>
    </row>
    <row r="719" spans="1:9" x14ac:dyDescent="0.2">
      <c r="A719" s="17"/>
      <c r="B719" s="17"/>
      <c r="C719" s="17"/>
      <c r="D719" s="17"/>
      <c r="E719" s="17"/>
      <c r="F719" s="17"/>
      <c r="G719" s="17"/>
      <c r="H719" s="17"/>
      <c r="I719" s="17"/>
    </row>
    <row r="720" spans="1:9" x14ac:dyDescent="0.2">
      <c r="A720" s="17"/>
      <c r="B720" s="17"/>
      <c r="C720" s="17"/>
      <c r="D720" s="17"/>
      <c r="E720" s="17"/>
      <c r="F720" s="17"/>
      <c r="G720" s="17"/>
      <c r="H720" s="17"/>
      <c r="I720" s="17"/>
    </row>
    <row r="721" spans="1:9" x14ac:dyDescent="0.2">
      <c r="A721" s="17"/>
      <c r="B721" s="17"/>
      <c r="C721" s="17"/>
      <c r="D721" s="17"/>
      <c r="E721" s="17"/>
      <c r="F721" s="17"/>
      <c r="G721" s="17"/>
      <c r="H721" s="17"/>
      <c r="I721" s="17"/>
    </row>
    <row r="722" spans="1:9" x14ac:dyDescent="0.2">
      <c r="A722" s="17"/>
      <c r="B722" s="17"/>
      <c r="C722" s="17"/>
      <c r="D722" s="17"/>
      <c r="E722" s="17"/>
      <c r="F722" s="17"/>
      <c r="G722" s="17"/>
      <c r="H722" s="17"/>
      <c r="I722" s="17"/>
    </row>
    <row r="723" spans="1:9" x14ac:dyDescent="0.2">
      <c r="A723" s="17"/>
      <c r="B723" s="17"/>
      <c r="C723" s="17"/>
      <c r="D723" s="17"/>
      <c r="E723" s="17"/>
      <c r="F723" s="17"/>
      <c r="G723" s="17"/>
      <c r="H723" s="17"/>
      <c r="I723" s="17"/>
    </row>
    <row r="724" spans="1:9" x14ac:dyDescent="0.2">
      <c r="A724" s="17"/>
      <c r="B724" s="17"/>
      <c r="C724" s="17"/>
      <c r="D724" s="17"/>
      <c r="E724" s="17"/>
      <c r="F724" s="17"/>
      <c r="G724" s="17"/>
      <c r="H724" s="17"/>
      <c r="I724" s="17"/>
    </row>
    <row r="725" spans="1:9" x14ac:dyDescent="0.2">
      <c r="A725" s="17"/>
      <c r="B725" s="17"/>
      <c r="C725" s="17"/>
      <c r="D725" s="17"/>
      <c r="E725" s="17"/>
      <c r="F725" s="17"/>
      <c r="G725" s="17"/>
      <c r="H725" s="17"/>
      <c r="I725" s="17"/>
    </row>
    <row r="726" spans="1:9" x14ac:dyDescent="0.2">
      <c r="A726" s="17"/>
      <c r="B726" s="17"/>
      <c r="C726" s="17"/>
      <c r="D726" s="17"/>
      <c r="E726" s="17"/>
      <c r="F726" s="17"/>
      <c r="G726" s="17"/>
      <c r="H726" s="17"/>
      <c r="I726" s="17"/>
    </row>
    <row r="727" spans="1:9" x14ac:dyDescent="0.2">
      <c r="A727" s="17"/>
      <c r="B727" s="17"/>
      <c r="C727" s="17"/>
      <c r="D727" s="17"/>
      <c r="E727" s="17"/>
      <c r="F727" s="17"/>
      <c r="G727" s="17"/>
      <c r="H727" s="17"/>
      <c r="I727" s="17"/>
    </row>
    <row r="728" spans="1:9" x14ac:dyDescent="0.2">
      <c r="A728" s="17"/>
      <c r="B728" s="17"/>
      <c r="C728" s="17"/>
      <c r="D728" s="17"/>
      <c r="E728" s="17"/>
      <c r="F728" s="17"/>
      <c r="G728" s="17"/>
      <c r="H728" s="17"/>
      <c r="I728" s="17"/>
    </row>
    <row r="729" spans="1:9" x14ac:dyDescent="0.2">
      <c r="A729" s="17"/>
      <c r="B729" s="17"/>
      <c r="C729" s="17"/>
      <c r="D729" s="17"/>
      <c r="E729" s="17"/>
      <c r="F729" s="17"/>
      <c r="G729" s="17"/>
      <c r="H729" s="17"/>
      <c r="I729" s="17"/>
    </row>
    <row r="730" spans="1:9" x14ac:dyDescent="0.2">
      <c r="A730" s="17"/>
      <c r="B730" s="17"/>
      <c r="C730" s="17"/>
      <c r="D730" s="17"/>
      <c r="E730" s="17"/>
      <c r="F730" s="17"/>
      <c r="G730" s="17"/>
      <c r="H730" s="17"/>
      <c r="I730" s="17"/>
    </row>
    <row r="731" spans="1:9" x14ac:dyDescent="0.2">
      <c r="A731" s="17"/>
      <c r="B731" s="17"/>
      <c r="C731" s="17"/>
      <c r="D731" s="17"/>
      <c r="E731" s="17"/>
      <c r="F731" s="17"/>
      <c r="G731" s="17"/>
      <c r="H731" s="17"/>
      <c r="I731" s="17"/>
    </row>
    <row r="732" spans="1:9" x14ac:dyDescent="0.2">
      <c r="A732" s="17"/>
      <c r="B732" s="17"/>
      <c r="C732" s="17"/>
      <c r="D732" s="17"/>
      <c r="E732" s="17"/>
      <c r="F732" s="17"/>
      <c r="G732" s="17"/>
      <c r="H732" s="17"/>
      <c r="I732" s="17"/>
    </row>
    <row r="733" spans="1:9" x14ac:dyDescent="0.2">
      <c r="A733" s="17"/>
      <c r="B733" s="17"/>
      <c r="C733" s="17"/>
      <c r="D733" s="17"/>
      <c r="E733" s="17"/>
      <c r="F733" s="17"/>
      <c r="G733" s="17"/>
      <c r="H733" s="17"/>
      <c r="I733" s="17"/>
    </row>
    <row r="734" spans="1:9" x14ac:dyDescent="0.2">
      <c r="A734" s="17"/>
      <c r="B734" s="17"/>
      <c r="C734" s="17"/>
      <c r="D734" s="17"/>
      <c r="E734" s="17"/>
      <c r="F734" s="17"/>
      <c r="G734" s="17"/>
      <c r="H734" s="17"/>
      <c r="I734" s="17"/>
    </row>
    <row r="735" spans="1:9" x14ac:dyDescent="0.2">
      <c r="A735" s="17"/>
      <c r="B735" s="17"/>
      <c r="C735" s="17"/>
      <c r="D735" s="17"/>
      <c r="E735" s="17"/>
      <c r="F735" s="17"/>
      <c r="G735" s="17"/>
      <c r="H735" s="17"/>
      <c r="I735" s="17"/>
    </row>
    <row r="736" spans="1:9" x14ac:dyDescent="0.2">
      <c r="A736" s="17"/>
      <c r="B736" s="17"/>
      <c r="C736" s="17"/>
      <c r="D736" s="17"/>
      <c r="E736" s="17"/>
      <c r="F736" s="17"/>
      <c r="G736" s="17"/>
      <c r="H736" s="17"/>
      <c r="I736" s="17"/>
    </row>
    <row r="737" spans="1:9" x14ac:dyDescent="0.2">
      <c r="A737" s="17"/>
      <c r="B737" s="17"/>
      <c r="C737" s="17"/>
      <c r="D737" s="17"/>
      <c r="E737" s="17"/>
      <c r="F737" s="17"/>
      <c r="G737" s="17"/>
      <c r="H737" s="17"/>
      <c r="I737" s="17"/>
    </row>
    <row r="738" spans="1:9" x14ac:dyDescent="0.2">
      <c r="A738" s="17"/>
      <c r="B738" s="17"/>
      <c r="C738" s="17"/>
      <c r="D738" s="17"/>
      <c r="E738" s="17"/>
      <c r="F738" s="17"/>
      <c r="G738" s="17"/>
      <c r="H738" s="17"/>
      <c r="I738" s="17"/>
    </row>
    <row r="739" spans="1:9" x14ac:dyDescent="0.2">
      <c r="A739" s="17"/>
      <c r="B739" s="17"/>
      <c r="C739" s="17"/>
      <c r="D739" s="17"/>
      <c r="E739" s="17"/>
      <c r="F739" s="17"/>
      <c r="G739" s="17"/>
      <c r="H739" s="17"/>
      <c r="I739" s="17"/>
    </row>
    <row r="740" spans="1:9" x14ac:dyDescent="0.2">
      <c r="A740" s="17"/>
      <c r="B740" s="17"/>
      <c r="C740" s="17"/>
      <c r="D740" s="17"/>
      <c r="E740" s="17"/>
      <c r="F740" s="17"/>
      <c r="G740" s="17"/>
      <c r="H740" s="17"/>
      <c r="I740" s="17"/>
    </row>
    <row r="741" spans="1:9" x14ac:dyDescent="0.2">
      <c r="A741" s="17"/>
      <c r="B741" s="17"/>
      <c r="C741" s="17"/>
      <c r="D741" s="17"/>
      <c r="E741" s="17"/>
      <c r="F741" s="17"/>
      <c r="G741" s="17"/>
      <c r="H741" s="17"/>
      <c r="I741" s="17"/>
    </row>
    <row r="742" spans="1:9" x14ac:dyDescent="0.2">
      <c r="A742" s="17"/>
      <c r="B742" s="17"/>
      <c r="C742" s="17"/>
      <c r="D742" s="17"/>
      <c r="E742" s="17"/>
      <c r="F742" s="17"/>
      <c r="G742" s="17"/>
      <c r="H742" s="17"/>
      <c r="I742" s="17"/>
    </row>
    <row r="743" spans="1:9" x14ac:dyDescent="0.2">
      <c r="A743" s="17"/>
      <c r="B743" s="17"/>
      <c r="C743" s="17"/>
      <c r="D743" s="17"/>
      <c r="E743" s="17"/>
      <c r="F743" s="17"/>
      <c r="G743" s="17"/>
      <c r="H743" s="17"/>
      <c r="I743" s="17"/>
    </row>
    <row r="744" spans="1:9" x14ac:dyDescent="0.2">
      <c r="A744" s="17"/>
      <c r="B744" s="17"/>
      <c r="C744" s="17"/>
      <c r="D744" s="17"/>
      <c r="E744" s="17"/>
      <c r="F744" s="17"/>
      <c r="G744" s="17"/>
      <c r="H744" s="17"/>
      <c r="I744" s="17"/>
    </row>
    <row r="745" spans="1:9" x14ac:dyDescent="0.2">
      <c r="A745" s="17"/>
      <c r="B745" s="17"/>
      <c r="C745" s="17"/>
      <c r="D745" s="17"/>
      <c r="E745" s="17"/>
      <c r="F745" s="17"/>
      <c r="G745" s="17"/>
      <c r="H745" s="17"/>
      <c r="I745" s="17"/>
    </row>
    <row r="746" spans="1:9" x14ac:dyDescent="0.2">
      <c r="A746" s="17"/>
      <c r="B746" s="17"/>
      <c r="C746" s="17"/>
      <c r="D746" s="17"/>
      <c r="E746" s="17"/>
      <c r="F746" s="17"/>
      <c r="G746" s="17"/>
      <c r="H746" s="17"/>
      <c r="I746" s="17"/>
    </row>
    <row r="747" spans="1:9" x14ac:dyDescent="0.2">
      <c r="A747" s="17"/>
      <c r="B747" s="17"/>
      <c r="C747" s="17"/>
      <c r="D747" s="17"/>
      <c r="E747" s="17"/>
      <c r="F747" s="17"/>
      <c r="G747" s="17"/>
      <c r="H747" s="17"/>
      <c r="I747" s="17"/>
    </row>
    <row r="748" spans="1:9" x14ac:dyDescent="0.2">
      <c r="A748" s="17"/>
      <c r="B748" s="17"/>
      <c r="C748" s="17"/>
      <c r="D748" s="17"/>
      <c r="E748" s="17"/>
      <c r="F748" s="17"/>
      <c r="G748" s="17"/>
      <c r="H748" s="17"/>
      <c r="I748" s="17"/>
    </row>
    <row r="749" spans="1:9" x14ac:dyDescent="0.2">
      <c r="A749" s="17"/>
      <c r="B749" s="17"/>
      <c r="C749" s="17"/>
      <c r="D749" s="17"/>
      <c r="E749" s="17"/>
      <c r="F749" s="17"/>
      <c r="G749" s="17"/>
      <c r="H749" s="17"/>
      <c r="I749" s="17"/>
    </row>
    <row r="750" spans="1:9" x14ac:dyDescent="0.2">
      <c r="A750" s="17"/>
      <c r="B750" s="17"/>
      <c r="C750" s="17"/>
      <c r="D750" s="17"/>
      <c r="E750" s="17"/>
      <c r="F750" s="17"/>
      <c r="G750" s="17"/>
      <c r="H750" s="17"/>
      <c r="I750" s="17"/>
    </row>
    <row r="751" spans="1:9" x14ac:dyDescent="0.2">
      <c r="A751" s="17"/>
      <c r="B751" s="17"/>
      <c r="C751" s="17"/>
      <c r="D751" s="17"/>
      <c r="E751" s="17"/>
      <c r="F751" s="17"/>
      <c r="G751" s="17"/>
      <c r="H751" s="17"/>
      <c r="I751" s="17"/>
    </row>
    <row r="752" spans="1:9" x14ac:dyDescent="0.2">
      <c r="A752" s="17"/>
      <c r="B752" s="17"/>
      <c r="C752" s="17"/>
      <c r="D752" s="17"/>
      <c r="E752" s="17"/>
      <c r="F752" s="17"/>
      <c r="G752" s="17"/>
      <c r="H752" s="17"/>
      <c r="I752" s="17"/>
    </row>
    <row r="753" spans="1:9" x14ac:dyDescent="0.2">
      <c r="A753" s="17"/>
      <c r="B753" s="17"/>
      <c r="C753" s="17"/>
      <c r="D753" s="17"/>
      <c r="E753" s="17"/>
      <c r="F753" s="17"/>
      <c r="G753" s="17"/>
      <c r="H753" s="17"/>
      <c r="I753" s="17"/>
    </row>
    <row r="754" spans="1:9" x14ac:dyDescent="0.2">
      <c r="A754" s="17"/>
      <c r="B754" s="17"/>
      <c r="C754" s="17"/>
      <c r="D754" s="17"/>
      <c r="E754" s="17"/>
      <c r="F754" s="17"/>
      <c r="G754" s="17"/>
      <c r="H754" s="17"/>
      <c r="I754" s="17"/>
    </row>
    <row r="755" spans="1:9" x14ac:dyDescent="0.2">
      <c r="A755" s="17"/>
      <c r="B755" s="17"/>
      <c r="C755" s="17"/>
      <c r="D755" s="17"/>
      <c r="E755" s="17"/>
      <c r="F755" s="17"/>
      <c r="G755" s="17"/>
      <c r="H755" s="17"/>
      <c r="I755" s="17"/>
    </row>
    <row r="756" spans="1:9" x14ac:dyDescent="0.2">
      <c r="A756" s="17"/>
      <c r="B756" s="17"/>
      <c r="C756" s="17"/>
      <c r="D756" s="17"/>
      <c r="E756" s="17"/>
      <c r="F756" s="17"/>
      <c r="G756" s="17"/>
      <c r="H756" s="17"/>
      <c r="I756" s="17"/>
    </row>
    <row r="757" spans="1:9" x14ac:dyDescent="0.2">
      <c r="A757" s="17"/>
      <c r="B757" s="17"/>
      <c r="C757" s="17"/>
      <c r="D757" s="17"/>
      <c r="E757" s="17"/>
      <c r="F757" s="17"/>
      <c r="G757" s="17"/>
      <c r="H757" s="17"/>
      <c r="I757" s="17"/>
    </row>
    <row r="758" spans="1:9" x14ac:dyDescent="0.2">
      <c r="A758" s="17"/>
      <c r="B758" s="17"/>
      <c r="C758" s="17"/>
      <c r="D758" s="17"/>
      <c r="E758" s="17"/>
      <c r="F758" s="17"/>
      <c r="G758" s="17"/>
      <c r="H758" s="17"/>
      <c r="I758" s="17"/>
    </row>
    <row r="759" spans="1:9" x14ac:dyDescent="0.2">
      <c r="A759" s="17"/>
      <c r="B759" s="17"/>
      <c r="C759" s="17"/>
      <c r="D759" s="17"/>
      <c r="E759" s="17"/>
      <c r="F759" s="17"/>
      <c r="G759" s="17"/>
      <c r="H759" s="17"/>
      <c r="I759" s="17"/>
    </row>
    <row r="760" spans="1:9" x14ac:dyDescent="0.2">
      <c r="A760" s="17"/>
      <c r="B760" s="17"/>
      <c r="C760" s="17"/>
      <c r="D760" s="17"/>
      <c r="E760" s="17"/>
      <c r="F760" s="17"/>
      <c r="G760" s="17"/>
      <c r="H760" s="17"/>
      <c r="I760" s="17"/>
    </row>
    <row r="761" spans="1:9" x14ac:dyDescent="0.2">
      <c r="A761" s="17"/>
      <c r="B761" s="17"/>
      <c r="C761" s="17"/>
      <c r="D761" s="17"/>
      <c r="E761" s="17"/>
      <c r="F761" s="17"/>
      <c r="G761" s="17"/>
      <c r="H761" s="17"/>
      <c r="I761" s="17"/>
    </row>
    <row r="762" spans="1:9" x14ac:dyDescent="0.2">
      <c r="A762" s="17"/>
      <c r="B762" s="17"/>
      <c r="C762" s="17"/>
      <c r="D762" s="17"/>
      <c r="E762" s="17"/>
      <c r="F762" s="17"/>
      <c r="G762" s="17"/>
      <c r="H762" s="17"/>
      <c r="I762" s="17"/>
    </row>
    <row r="763" spans="1:9" x14ac:dyDescent="0.2">
      <c r="A763" s="17"/>
      <c r="B763" s="17"/>
      <c r="C763" s="17"/>
      <c r="D763" s="17"/>
      <c r="E763" s="17"/>
      <c r="F763" s="17"/>
      <c r="G763" s="17"/>
      <c r="H763" s="17"/>
      <c r="I763" s="17"/>
    </row>
    <row r="764" spans="1:9" x14ac:dyDescent="0.2">
      <c r="A764" s="17"/>
      <c r="B764" s="17"/>
      <c r="C764" s="17"/>
      <c r="D764" s="17"/>
      <c r="E764" s="17"/>
      <c r="F764" s="17"/>
      <c r="G764" s="17"/>
      <c r="H764" s="17"/>
      <c r="I764" s="17"/>
    </row>
    <row r="765" spans="1:9" x14ac:dyDescent="0.2">
      <c r="A765" s="17"/>
      <c r="B765" s="17"/>
      <c r="C765" s="17"/>
      <c r="D765" s="17"/>
      <c r="E765" s="17"/>
      <c r="F765" s="17"/>
      <c r="G765" s="17"/>
      <c r="H765" s="17"/>
      <c r="I765" s="17"/>
    </row>
    <row r="766" spans="1:9" x14ac:dyDescent="0.2">
      <c r="A766" s="17"/>
      <c r="B766" s="17"/>
      <c r="C766" s="17"/>
      <c r="D766" s="17"/>
      <c r="E766" s="17"/>
      <c r="F766" s="17"/>
      <c r="G766" s="17"/>
      <c r="H766" s="17"/>
      <c r="I766" s="17"/>
    </row>
    <row r="767" spans="1:9" x14ac:dyDescent="0.2">
      <c r="A767" s="17"/>
      <c r="B767" s="17"/>
      <c r="C767" s="17"/>
      <c r="D767" s="17"/>
      <c r="E767" s="17"/>
      <c r="F767" s="17"/>
      <c r="G767" s="17"/>
      <c r="H767" s="17"/>
      <c r="I767" s="17"/>
    </row>
    <row r="768" spans="1:9" x14ac:dyDescent="0.2">
      <c r="A768" s="17"/>
      <c r="B768" s="17"/>
      <c r="C768" s="17"/>
      <c r="D768" s="17"/>
      <c r="E768" s="17"/>
      <c r="F768" s="17"/>
      <c r="G768" s="17"/>
      <c r="H768" s="17"/>
      <c r="I768" s="17"/>
    </row>
    <row r="769" spans="1:9" x14ac:dyDescent="0.2">
      <c r="A769" s="17"/>
      <c r="B769" s="17"/>
      <c r="C769" s="17"/>
      <c r="D769" s="17"/>
      <c r="E769" s="17"/>
      <c r="F769" s="17"/>
      <c r="G769" s="17"/>
      <c r="H769" s="17"/>
      <c r="I769" s="17"/>
    </row>
    <row r="770" spans="1:9" x14ac:dyDescent="0.2">
      <c r="A770" s="17"/>
      <c r="B770" s="17"/>
      <c r="C770" s="17"/>
      <c r="D770" s="17"/>
      <c r="E770" s="17"/>
      <c r="F770" s="17"/>
      <c r="G770" s="17"/>
      <c r="H770" s="17"/>
      <c r="I770" s="17"/>
    </row>
    <row r="771" spans="1:9" x14ac:dyDescent="0.2">
      <c r="A771" s="17"/>
      <c r="B771" s="17"/>
      <c r="C771" s="17"/>
      <c r="D771" s="17"/>
      <c r="E771" s="17"/>
      <c r="F771" s="17"/>
      <c r="G771" s="17"/>
      <c r="H771" s="17"/>
      <c r="I771" s="17"/>
    </row>
    <row r="772" spans="1:9" x14ac:dyDescent="0.2">
      <c r="A772" s="17"/>
      <c r="B772" s="17"/>
      <c r="C772" s="17"/>
      <c r="D772" s="17"/>
      <c r="E772" s="17"/>
      <c r="F772" s="17"/>
      <c r="G772" s="17"/>
      <c r="H772" s="17"/>
      <c r="I772" s="17"/>
    </row>
    <row r="773" spans="1:9" x14ac:dyDescent="0.2">
      <c r="A773" s="17"/>
      <c r="B773" s="17"/>
      <c r="C773" s="17"/>
      <c r="D773" s="17"/>
      <c r="E773" s="17"/>
      <c r="F773" s="17"/>
      <c r="G773" s="17"/>
      <c r="H773" s="17"/>
      <c r="I773" s="17"/>
    </row>
    <row r="774" spans="1:9" x14ac:dyDescent="0.2">
      <c r="A774" s="17"/>
      <c r="B774" s="17"/>
      <c r="C774" s="17"/>
      <c r="D774" s="17"/>
      <c r="E774" s="17"/>
      <c r="F774" s="17"/>
      <c r="G774" s="17"/>
      <c r="H774" s="17"/>
      <c r="I774" s="17"/>
    </row>
    <row r="775" spans="1:9" x14ac:dyDescent="0.2">
      <c r="A775" s="17"/>
      <c r="B775" s="17"/>
      <c r="C775" s="17"/>
      <c r="D775" s="17"/>
      <c r="E775" s="17"/>
      <c r="F775" s="17"/>
      <c r="G775" s="17"/>
      <c r="H775" s="17"/>
      <c r="I775" s="17"/>
    </row>
    <row r="776" spans="1:9" x14ac:dyDescent="0.2">
      <c r="A776" s="17"/>
      <c r="B776" s="17"/>
      <c r="C776" s="17"/>
      <c r="D776" s="17"/>
      <c r="E776" s="17"/>
      <c r="F776" s="17"/>
      <c r="G776" s="17"/>
      <c r="H776" s="17"/>
      <c r="I776" s="17"/>
    </row>
    <row r="777" spans="1:9" x14ac:dyDescent="0.2">
      <c r="A777" s="17"/>
      <c r="B777" s="17"/>
      <c r="C777" s="17"/>
      <c r="D777" s="17"/>
      <c r="E777" s="17"/>
      <c r="F777" s="17"/>
      <c r="G777" s="17"/>
      <c r="H777" s="17"/>
      <c r="I777" s="17"/>
    </row>
    <row r="778" spans="1:9" x14ac:dyDescent="0.2">
      <c r="A778" s="17"/>
      <c r="B778" s="17"/>
      <c r="C778" s="17"/>
      <c r="D778" s="17"/>
      <c r="E778" s="17"/>
      <c r="F778" s="17"/>
      <c r="G778" s="17"/>
      <c r="H778" s="17"/>
      <c r="I778" s="17"/>
    </row>
    <row r="779" spans="1:9" x14ac:dyDescent="0.2">
      <c r="A779" s="17"/>
      <c r="B779" s="17"/>
      <c r="C779" s="17"/>
      <c r="D779" s="17"/>
      <c r="E779" s="17"/>
      <c r="F779" s="17"/>
      <c r="G779" s="17"/>
      <c r="H779" s="17"/>
      <c r="I779" s="17"/>
    </row>
    <row r="780" spans="1:9" x14ac:dyDescent="0.2">
      <c r="A780" s="17"/>
      <c r="B780" s="17"/>
      <c r="C780" s="17"/>
      <c r="D780" s="17"/>
      <c r="E780" s="17"/>
      <c r="F780" s="17"/>
      <c r="G780" s="17"/>
      <c r="H780" s="17"/>
      <c r="I780" s="17"/>
    </row>
    <row r="781" spans="1:9" x14ac:dyDescent="0.2">
      <c r="A781" s="17"/>
      <c r="B781" s="17"/>
      <c r="C781" s="17"/>
      <c r="D781" s="17"/>
      <c r="E781" s="17"/>
      <c r="F781" s="17"/>
      <c r="G781" s="17"/>
      <c r="H781" s="17"/>
      <c r="I781" s="17"/>
    </row>
    <row r="782" spans="1:9" x14ac:dyDescent="0.2">
      <c r="A782" s="17"/>
      <c r="B782" s="17"/>
      <c r="C782" s="17"/>
      <c r="D782" s="17"/>
      <c r="E782" s="17"/>
      <c r="F782" s="17"/>
      <c r="G782" s="17"/>
      <c r="H782" s="17"/>
      <c r="I782" s="17"/>
    </row>
    <row r="783" spans="1:9" x14ac:dyDescent="0.2">
      <c r="A783" s="17"/>
      <c r="B783" s="17"/>
      <c r="C783" s="17"/>
      <c r="D783" s="17"/>
      <c r="E783" s="17"/>
      <c r="F783" s="17"/>
      <c r="G783" s="17"/>
      <c r="H783" s="17"/>
      <c r="I783" s="17"/>
    </row>
    <row r="784" spans="1:9" x14ac:dyDescent="0.2">
      <c r="A784" s="17"/>
      <c r="B784" s="17"/>
      <c r="C784" s="17"/>
      <c r="D784" s="17"/>
      <c r="E784" s="17"/>
      <c r="F784" s="17"/>
      <c r="G784" s="17"/>
      <c r="H784" s="17"/>
      <c r="I784" s="17"/>
    </row>
    <row r="785" spans="1:9" x14ac:dyDescent="0.2">
      <c r="A785" s="17"/>
      <c r="B785" s="17"/>
      <c r="C785" s="17"/>
      <c r="D785" s="17"/>
      <c r="E785" s="17"/>
      <c r="F785" s="17"/>
      <c r="G785" s="17"/>
      <c r="H785" s="17"/>
      <c r="I785" s="17"/>
    </row>
    <row r="786" spans="1:9" x14ac:dyDescent="0.2">
      <c r="A786" s="17"/>
      <c r="B786" s="17"/>
      <c r="C786" s="17"/>
      <c r="D786" s="17"/>
      <c r="E786" s="17"/>
      <c r="F786" s="17"/>
      <c r="G786" s="17"/>
      <c r="H786" s="17"/>
      <c r="I786" s="17"/>
    </row>
    <row r="787" spans="1:9" x14ac:dyDescent="0.2">
      <c r="A787" s="17"/>
      <c r="B787" s="17"/>
      <c r="C787" s="17"/>
      <c r="D787" s="17"/>
      <c r="E787" s="17"/>
      <c r="F787" s="17"/>
      <c r="G787" s="17"/>
      <c r="H787" s="17"/>
      <c r="I787" s="17"/>
    </row>
    <row r="788" spans="1:9" x14ac:dyDescent="0.2">
      <c r="A788" s="17"/>
      <c r="B788" s="17"/>
      <c r="C788" s="17"/>
      <c r="D788" s="17"/>
      <c r="E788" s="17"/>
      <c r="F788" s="17"/>
      <c r="G788" s="17"/>
      <c r="H788" s="17"/>
      <c r="I788" s="17"/>
    </row>
    <row r="789" spans="1:9" x14ac:dyDescent="0.2">
      <c r="A789" s="17"/>
      <c r="B789" s="17"/>
      <c r="C789" s="17"/>
      <c r="D789" s="17"/>
      <c r="E789" s="17"/>
      <c r="F789" s="17"/>
      <c r="G789" s="17"/>
      <c r="H789" s="17"/>
      <c r="I789" s="17"/>
    </row>
    <row r="790" spans="1:9" x14ac:dyDescent="0.2">
      <c r="A790" s="17"/>
      <c r="B790" s="17"/>
      <c r="C790" s="17"/>
      <c r="D790" s="17"/>
      <c r="E790" s="17"/>
      <c r="F790" s="17"/>
      <c r="G790" s="17"/>
      <c r="H790" s="17"/>
      <c r="I790" s="17"/>
    </row>
    <row r="791" spans="1:9" x14ac:dyDescent="0.2">
      <c r="A791" s="17"/>
      <c r="B791" s="17"/>
      <c r="C791" s="17"/>
      <c r="D791" s="17"/>
      <c r="E791" s="17"/>
      <c r="F791" s="17"/>
      <c r="G791" s="17"/>
      <c r="H791" s="17"/>
      <c r="I791" s="17"/>
    </row>
    <row r="792" spans="1:9" x14ac:dyDescent="0.2">
      <c r="A792" s="17"/>
      <c r="B792" s="17"/>
      <c r="C792" s="17"/>
      <c r="D792" s="17"/>
      <c r="E792" s="17"/>
      <c r="F792" s="17"/>
      <c r="G792" s="17"/>
      <c r="H792" s="17"/>
      <c r="I792" s="17"/>
    </row>
    <row r="793" spans="1:9" x14ac:dyDescent="0.2">
      <c r="A793" s="17"/>
      <c r="B793" s="17"/>
      <c r="C793" s="17"/>
      <c r="D793" s="17"/>
      <c r="E793" s="17"/>
      <c r="F793" s="17"/>
      <c r="G793" s="17"/>
      <c r="H793" s="17"/>
      <c r="I793" s="17"/>
    </row>
    <row r="794" spans="1:9" x14ac:dyDescent="0.2">
      <c r="A794" s="17"/>
      <c r="B794" s="17"/>
      <c r="C794" s="17"/>
      <c r="D794" s="17"/>
      <c r="E794" s="17"/>
      <c r="F794" s="17"/>
      <c r="G794" s="17"/>
      <c r="H794" s="17"/>
      <c r="I794" s="17"/>
    </row>
    <row r="795" spans="1:9" x14ac:dyDescent="0.2">
      <c r="A795" s="17"/>
      <c r="B795" s="17"/>
      <c r="C795" s="17"/>
      <c r="D795" s="17"/>
      <c r="E795" s="17"/>
      <c r="F795" s="17"/>
      <c r="G795" s="17"/>
      <c r="H795" s="17"/>
      <c r="I795" s="17"/>
    </row>
    <row r="796" spans="1:9" x14ac:dyDescent="0.2">
      <c r="A796" s="17"/>
      <c r="B796" s="17"/>
      <c r="C796" s="17"/>
      <c r="D796" s="17"/>
      <c r="E796" s="17"/>
      <c r="F796" s="17"/>
      <c r="G796" s="17"/>
      <c r="H796" s="17"/>
      <c r="I796" s="17"/>
    </row>
    <row r="797" spans="1:9" x14ac:dyDescent="0.2">
      <c r="A797" s="17"/>
      <c r="B797" s="17"/>
      <c r="C797" s="17"/>
      <c r="D797" s="17"/>
      <c r="E797" s="17"/>
      <c r="F797" s="17"/>
      <c r="G797" s="17"/>
      <c r="H797" s="17"/>
      <c r="I797" s="17"/>
    </row>
    <row r="798" spans="1:9" x14ac:dyDescent="0.2">
      <c r="A798" s="17"/>
      <c r="B798" s="17"/>
      <c r="C798" s="17"/>
      <c r="D798" s="17"/>
      <c r="E798" s="17"/>
      <c r="F798" s="17"/>
      <c r="G798" s="17"/>
      <c r="H798" s="17"/>
      <c r="I798" s="17"/>
    </row>
    <row r="799" spans="1:9" x14ac:dyDescent="0.2">
      <c r="A799" s="17"/>
      <c r="B799" s="17"/>
      <c r="C799" s="17"/>
      <c r="D799" s="17"/>
      <c r="E799" s="17"/>
      <c r="F799" s="17"/>
      <c r="G799" s="17"/>
      <c r="H799" s="17"/>
      <c r="I799" s="17"/>
    </row>
    <row r="800" spans="1:9" x14ac:dyDescent="0.2">
      <c r="A800" s="17"/>
      <c r="B800" s="17"/>
      <c r="C800" s="17"/>
      <c r="D800" s="17"/>
      <c r="E800" s="17"/>
      <c r="F800" s="17"/>
      <c r="G800" s="17"/>
      <c r="H800" s="17"/>
      <c r="I800" s="17"/>
    </row>
    <row r="801" spans="1:9" x14ac:dyDescent="0.2">
      <c r="A801" s="17"/>
      <c r="B801" s="17"/>
      <c r="C801" s="17"/>
      <c r="D801" s="17"/>
      <c r="E801" s="17"/>
      <c r="F801" s="17"/>
      <c r="G801" s="17"/>
      <c r="H801" s="17"/>
      <c r="I801" s="17"/>
    </row>
    <row r="802" spans="1:9" x14ac:dyDescent="0.2">
      <c r="A802" s="17"/>
      <c r="B802" s="17"/>
      <c r="C802" s="17"/>
      <c r="D802" s="17"/>
      <c r="E802" s="17"/>
      <c r="F802" s="17"/>
      <c r="G802" s="17"/>
      <c r="H802" s="17"/>
      <c r="I802" s="17"/>
    </row>
    <row r="803" spans="1:9" x14ac:dyDescent="0.2">
      <c r="A803" s="17"/>
      <c r="B803" s="17"/>
      <c r="C803" s="17"/>
      <c r="D803" s="17"/>
      <c r="E803" s="17"/>
      <c r="F803" s="17"/>
      <c r="G803" s="17"/>
      <c r="H803" s="17"/>
      <c r="I803" s="17"/>
    </row>
    <row r="804" spans="1:9" x14ac:dyDescent="0.2">
      <c r="A804" s="17"/>
      <c r="B804" s="17"/>
      <c r="C804" s="17"/>
      <c r="D804" s="17"/>
      <c r="E804" s="17"/>
      <c r="F804" s="17"/>
      <c r="G804" s="17"/>
      <c r="H804" s="17"/>
      <c r="I804" s="17"/>
    </row>
    <row r="805" spans="1:9" x14ac:dyDescent="0.2">
      <c r="A805" s="17"/>
      <c r="B805" s="17"/>
      <c r="C805" s="17"/>
      <c r="D805" s="17"/>
      <c r="E805" s="17"/>
      <c r="F805" s="17"/>
      <c r="G805" s="17"/>
      <c r="H805" s="17"/>
      <c r="I805" s="17"/>
    </row>
    <row r="806" spans="1:9" x14ac:dyDescent="0.2">
      <c r="A806" s="17"/>
      <c r="B806" s="17"/>
      <c r="C806" s="17"/>
      <c r="D806" s="17"/>
      <c r="E806" s="17"/>
      <c r="F806" s="17"/>
      <c r="G806" s="17"/>
      <c r="H806" s="17"/>
      <c r="I806" s="17"/>
    </row>
    <row r="807" spans="1:9" x14ac:dyDescent="0.2">
      <c r="A807" s="17"/>
      <c r="B807" s="17"/>
      <c r="C807" s="17"/>
      <c r="D807" s="17"/>
      <c r="E807" s="17"/>
      <c r="F807" s="17"/>
      <c r="G807" s="17"/>
      <c r="H807" s="17"/>
      <c r="I807" s="17"/>
    </row>
    <row r="808" spans="1:9" x14ac:dyDescent="0.2">
      <c r="A808" s="17"/>
      <c r="B808" s="17"/>
      <c r="C808" s="17"/>
      <c r="D808" s="17"/>
      <c r="E808" s="17"/>
      <c r="F808" s="17"/>
      <c r="G808" s="17"/>
      <c r="H808" s="17"/>
      <c r="I808" s="17"/>
    </row>
    <row r="809" spans="1:9" x14ac:dyDescent="0.2">
      <c r="A809" s="17"/>
      <c r="B809" s="17"/>
      <c r="C809" s="17"/>
      <c r="D809" s="17"/>
      <c r="E809" s="17"/>
      <c r="F809" s="17"/>
      <c r="G809" s="17"/>
      <c r="H809" s="17"/>
      <c r="I809" s="17"/>
    </row>
    <row r="810" spans="1:9" x14ac:dyDescent="0.2">
      <c r="A810" s="17"/>
      <c r="B810" s="17"/>
      <c r="C810" s="17"/>
      <c r="D810" s="17"/>
      <c r="E810" s="17"/>
      <c r="F810" s="17"/>
      <c r="G810" s="17"/>
      <c r="H810" s="17"/>
      <c r="I810" s="17"/>
    </row>
    <row r="811" spans="1:9" x14ac:dyDescent="0.2">
      <c r="A811" s="17"/>
      <c r="B811" s="17"/>
      <c r="C811" s="17"/>
      <c r="D811" s="17"/>
      <c r="E811" s="17"/>
      <c r="F811" s="17"/>
      <c r="G811" s="17"/>
      <c r="H811" s="17"/>
      <c r="I811" s="17"/>
    </row>
    <row r="812" spans="1:9" x14ac:dyDescent="0.2">
      <c r="A812" s="17"/>
      <c r="B812" s="17"/>
      <c r="C812" s="17"/>
      <c r="D812" s="17"/>
      <c r="E812" s="17"/>
      <c r="F812" s="17"/>
      <c r="G812" s="17"/>
      <c r="H812" s="17"/>
      <c r="I812" s="17"/>
    </row>
    <row r="813" spans="1:9" x14ac:dyDescent="0.2">
      <c r="A813" s="17"/>
      <c r="B813" s="17"/>
      <c r="C813" s="17"/>
      <c r="D813" s="17"/>
      <c r="E813" s="17"/>
      <c r="F813" s="17"/>
      <c r="G813" s="17"/>
      <c r="H813" s="17"/>
      <c r="I813" s="17"/>
    </row>
    <row r="814" spans="1:9" x14ac:dyDescent="0.2">
      <c r="A814" s="17"/>
      <c r="B814" s="17"/>
      <c r="C814" s="17"/>
      <c r="D814" s="17"/>
      <c r="E814" s="17"/>
      <c r="F814" s="17"/>
      <c r="G814" s="17"/>
      <c r="H814" s="17"/>
      <c r="I814" s="17"/>
    </row>
    <row r="815" spans="1:9" x14ac:dyDescent="0.2">
      <c r="A815" s="17"/>
      <c r="B815" s="17"/>
      <c r="C815" s="17"/>
      <c r="D815" s="17"/>
      <c r="E815" s="17"/>
      <c r="F815" s="17"/>
      <c r="G815" s="17"/>
      <c r="H815" s="17"/>
      <c r="I815" s="17"/>
    </row>
    <row r="816" spans="1:9" x14ac:dyDescent="0.2">
      <c r="A816" s="17"/>
      <c r="B816" s="17"/>
      <c r="C816" s="17"/>
      <c r="D816" s="17"/>
      <c r="E816" s="17"/>
      <c r="F816" s="17"/>
      <c r="G816" s="17"/>
      <c r="H816" s="17"/>
      <c r="I816" s="17"/>
    </row>
    <row r="817" spans="1:9" x14ac:dyDescent="0.2">
      <c r="A817" s="17"/>
      <c r="B817" s="17"/>
      <c r="C817" s="17"/>
      <c r="D817" s="17"/>
      <c r="E817" s="17"/>
      <c r="F817" s="17"/>
      <c r="G817" s="17"/>
      <c r="H817" s="17"/>
      <c r="I817" s="17"/>
    </row>
    <row r="818" spans="1:9" x14ac:dyDescent="0.2">
      <c r="A818" s="17"/>
      <c r="B818" s="17"/>
      <c r="C818" s="17"/>
      <c r="D818" s="17"/>
      <c r="E818" s="17"/>
      <c r="F818" s="17"/>
      <c r="G818" s="17"/>
      <c r="H818" s="17"/>
      <c r="I818" s="17"/>
    </row>
    <row r="819" spans="1:9" x14ac:dyDescent="0.2">
      <c r="A819" s="17"/>
      <c r="B819" s="17"/>
      <c r="C819" s="17"/>
      <c r="D819" s="17"/>
      <c r="E819" s="17"/>
      <c r="F819" s="17"/>
      <c r="G819" s="17"/>
      <c r="H819" s="17"/>
      <c r="I819" s="17"/>
    </row>
    <row r="820" spans="1:9" x14ac:dyDescent="0.2">
      <c r="A820" s="17"/>
      <c r="B820" s="17"/>
      <c r="C820" s="17"/>
      <c r="D820" s="17"/>
      <c r="E820" s="17"/>
      <c r="F820" s="17"/>
      <c r="G820" s="17"/>
      <c r="H820" s="17"/>
      <c r="I820" s="17"/>
    </row>
    <row r="821" spans="1:9" x14ac:dyDescent="0.2">
      <c r="A821" s="17"/>
      <c r="B821" s="17"/>
      <c r="C821" s="17"/>
      <c r="D821" s="17"/>
      <c r="E821" s="17"/>
      <c r="F821" s="17"/>
      <c r="G821" s="17"/>
      <c r="H821" s="17"/>
      <c r="I821" s="17"/>
    </row>
    <row r="822" spans="1:9" x14ac:dyDescent="0.2">
      <c r="A822" s="17"/>
      <c r="B822" s="17"/>
      <c r="C822" s="17"/>
      <c r="D822" s="17"/>
      <c r="E822" s="17"/>
      <c r="F822" s="17"/>
      <c r="G822" s="17"/>
      <c r="H822" s="17"/>
      <c r="I822" s="17"/>
    </row>
    <row r="823" spans="1:9" x14ac:dyDescent="0.2">
      <c r="A823" s="17"/>
      <c r="B823" s="17"/>
      <c r="C823" s="17"/>
      <c r="D823" s="17"/>
      <c r="E823" s="17"/>
      <c r="F823" s="17"/>
      <c r="G823" s="17"/>
      <c r="H823" s="17"/>
      <c r="I823" s="17"/>
    </row>
    <row r="824" spans="1:9" x14ac:dyDescent="0.2">
      <c r="A824" s="17"/>
      <c r="B824" s="17"/>
      <c r="C824" s="17"/>
      <c r="D824" s="17"/>
      <c r="E824" s="17"/>
      <c r="F824" s="17"/>
      <c r="G824" s="17"/>
      <c r="H824" s="17"/>
      <c r="I824" s="17"/>
    </row>
    <row r="825" spans="1:9" x14ac:dyDescent="0.2">
      <c r="A825" s="17"/>
      <c r="B825" s="17"/>
      <c r="C825" s="17"/>
      <c r="D825" s="17"/>
      <c r="E825" s="17"/>
      <c r="F825" s="17"/>
      <c r="G825" s="17"/>
      <c r="H825" s="17"/>
      <c r="I825" s="17"/>
    </row>
    <row r="826" spans="1:9" x14ac:dyDescent="0.2">
      <c r="A826" s="17"/>
      <c r="B826" s="17"/>
      <c r="C826" s="17"/>
      <c r="D826" s="17"/>
      <c r="E826" s="17"/>
      <c r="F826" s="17"/>
      <c r="G826" s="17"/>
      <c r="H826" s="17"/>
      <c r="I826" s="17"/>
    </row>
    <row r="827" spans="1:9" x14ac:dyDescent="0.2">
      <c r="A827" s="17"/>
      <c r="B827" s="17"/>
      <c r="C827" s="17"/>
      <c r="D827" s="17"/>
      <c r="E827" s="17"/>
      <c r="F827" s="17"/>
      <c r="G827" s="17"/>
      <c r="H827" s="17"/>
      <c r="I827" s="17"/>
    </row>
    <row r="828" spans="1:9" x14ac:dyDescent="0.2">
      <c r="A828" s="17"/>
      <c r="B828" s="17"/>
      <c r="C828" s="17"/>
      <c r="D828" s="17"/>
      <c r="E828" s="17"/>
      <c r="F828" s="17"/>
      <c r="G828" s="17"/>
      <c r="H828" s="17"/>
      <c r="I828" s="17"/>
    </row>
    <row r="829" spans="1:9" x14ac:dyDescent="0.2">
      <c r="A829" s="17"/>
      <c r="B829" s="17"/>
      <c r="C829" s="17"/>
      <c r="D829" s="17"/>
      <c r="E829" s="17"/>
      <c r="F829" s="17"/>
      <c r="G829" s="17"/>
      <c r="H829" s="17"/>
      <c r="I829" s="17"/>
    </row>
    <row r="830" spans="1:9" x14ac:dyDescent="0.2">
      <c r="A830" s="17"/>
      <c r="B830" s="17"/>
      <c r="C830" s="17"/>
      <c r="D830" s="17"/>
      <c r="E830" s="17"/>
      <c r="F830" s="17"/>
      <c r="G830" s="17"/>
      <c r="H830" s="17"/>
      <c r="I830" s="17"/>
    </row>
    <row r="831" spans="1:9" x14ac:dyDescent="0.2">
      <c r="A831" s="17"/>
      <c r="B831" s="17"/>
      <c r="C831" s="17"/>
      <c r="D831" s="17"/>
      <c r="E831" s="17"/>
      <c r="F831" s="17"/>
      <c r="G831" s="17"/>
      <c r="H831" s="17"/>
      <c r="I831" s="17"/>
    </row>
    <row r="832" spans="1:9" x14ac:dyDescent="0.2">
      <c r="A832" s="17"/>
      <c r="B832" s="17"/>
      <c r="C832" s="17"/>
      <c r="D832" s="17"/>
      <c r="E832" s="17"/>
      <c r="F832" s="17"/>
      <c r="G832" s="17"/>
      <c r="H832" s="17"/>
      <c r="I832" s="17"/>
    </row>
    <row r="833" spans="1:9" x14ac:dyDescent="0.2">
      <c r="A833" s="17"/>
      <c r="B833" s="17"/>
      <c r="C833" s="17"/>
      <c r="D833" s="17"/>
      <c r="E833" s="17"/>
      <c r="F833" s="17"/>
      <c r="G833" s="17"/>
      <c r="H833" s="17"/>
      <c r="I833" s="17"/>
    </row>
    <row r="834" spans="1:9" x14ac:dyDescent="0.2">
      <c r="A834" s="17"/>
      <c r="B834" s="17"/>
      <c r="C834" s="17"/>
      <c r="D834" s="17"/>
      <c r="E834" s="17"/>
      <c r="F834" s="17"/>
      <c r="G834" s="17"/>
      <c r="H834" s="17"/>
      <c r="I834" s="17"/>
    </row>
    <row r="835" spans="1:9" x14ac:dyDescent="0.2">
      <c r="A835" s="17"/>
      <c r="B835" s="17"/>
      <c r="C835" s="17"/>
      <c r="D835" s="17"/>
      <c r="E835" s="17"/>
      <c r="F835" s="17"/>
      <c r="G835" s="17"/>
      <c r="H835" s="17"/>
      <c r="I835" s="17"/>
    </row>
    <row r="836" spans="1:9" x14ac:dyDescent="0.2">
      <c r="A836" s="17"/>
      <c r="B836" s="17"/>
      <c r="C836" s="17"/>
      <c r="D836" s="17"/>
      <c r="E836" s="17"/>
      <c r="F836" s="17"/>
      <c r="G836" s="17"/>
      <c r="H836" s="17"/>
      <c r="I836" s="17"/>
    </row>
    <row r="837" spans="1:9" x14ac:dyDescent="0.2">
      <c r="A837" s="17"/>
      <c r="B837" s="17"/>
      <c r="C837" s="17"/>
      <c r="D837" s="17"/>
      <c r="E837" s="17"/>
      <c r="F837" s="17"/>
      <c r="G837" s="17"/>
      <c r="H837" s="17"/>
      <c r="I837" s="17"/>
    </row>
    <row r="838" spans="1:9" x14ac:dyDescent="0.2">
      <c r="A838" s="17"/>
      <c r="B838" s="17"/>
      <c r="C838" s="17"/>
      <c r="D838" s="17"/>
      <c r="E838" s="17"/>
      <c r="F838" s="17"/>
      <c r="G838" s="17"/>
      <c r="H838" s="17"/>
      <c r="I838" s="17"/>
    </row>
    <row r="839" spans="1:9" x14ac:dyDescent="0.2">
      <c r="A839" s="17"/>
      <c r="B839" s="17"/>
      <c r="C839" s="17"/>
      <c r="D839" s="17"/>
      <c r="E839" s="17"/>
      <c r="F839" s="17"/>
      <c r="G839" s="17"/>
      <c r="H839" s="17"/>
      <c r="I839" s="17"/>
    </row>
    <row r="840" spans="1:9" x14ac:dyDescent="0.2">
      <c r="A840" s="17"/>
      <c r="B840" s="17"/>
      <c r="C840" s="17"/>
      <c r="D840" s="17"/>
      <c r="E840" s="17"/>
      <c r="F840" s="17"/>
      <c r="G840" s="17"/>
      <c r="H840" s="17"/>
      <c r="I840" s="17"/>
    </row>
    <row r="841" spans="1:9" x14ac:dyDescent="0.2">
      <c r="A841" s="17"/>
      <c r="B841" s="17"/>
      <c r="C841" s="17"/>
      <c r="D841" s="17"/>
      <c r="E841" s="17"/>
      <c r="F841" s="17"/>
      <c r="G841" s="17"/>
      <c r="H841" s="17"/>
      <c r="I841" s="17"/>
    </row>
    <row r="842" spans="1:9" x14ac:dyDescent="0.2">
      <c r="A842" s="17"/>
      <c r="B842" s="17"/>
      <c r="C842" s="17"/>
      <c r="D842" s="17"/>
      <c r="E842" s="17"/>
      <c r="F842" s="17"/>
      <c r="G842" s="17"/>
      <c r="H842" s="17"/>
      <c r="I842" s="17"/>
    </row>
    <row r="843" spans="1:9" x14ac:dyDescent="0.2">
      <c r="A843" s="17"/>
      <c r="B843" s="17"/>
      <c r="C843" s="17"/>
      <c r="D843" s="17"/>
      <c r="E843" s="17"/>
      <c r="F843" s="17"/>
      <c r="G843" s="17"/>
      <c r="H843" s="17"/>
      <c r="I843" s="17"/>
    </row>
    <row r="844" spans="1:9" x14ac:dyDescent="0.2">
      <c r="A844" s="17"/>
      <c r="B844" s="17"/>
      <c r="C844" s="17"/>
      <c r="D844" s="17"/>
      <c r="E844" s="17"/>
      <c r="F844" s="17"/>
      <c r="G844" s="17"/>
      <c r="H844" s="17"/>
      <c r="I844" s="17"/>
    </row>
    <row r="845" spans="1:9" x14ac:dyDescent="0.2">
      <c r="A845" s="17"/>
      <c r="B845" s="17"/>
      <c r="C845" s="17"/>
      <c r="D845" s="17"/>
      <c r="E845" s="17"/>
      <c r="F845" s="17"/>
      <c r="G845" s="17"/>
      <c r="H845" s="17"/>
      <c r="I845" s="17"/>
    </row>
    <row r="846" spans="1:9" x14ac:dyDescent="0.2">
      <c r="A846" s="17"/>
      <c r="B846" s="17"/>
      <c r="C846" s="17"/>
      <c r="D846" s="17"/>
      <c r="E846" s="17"/>
      <c r="F846" s="17"/>
      <c r="G846" s="17"/>
      <c r="H846" s="17"/>
      <c r="I846" s="17"/>
    </row>
    <row r="847" spans="1:9" x14ac:dyDescent="0.2">
      <c r="A847" s="17"/>
      <c r="B847" s="17"/>
      <c r="C847" s="17"/>
      <c r="D847" s="17"/>
      <c r="E847" s="17"/>
      <c r="F847" s="17"/>
      <c r="G847" s="17"/>
      <c r="H847" s="17"/>
      <c r="I847" s="17"/>
    </row>
    <row r="848" spans="1:9" x14ac:dyDescent="0.2">
      <c r="A848" s="17"/>
      <c r="B848" s="17"/>
      <c r="C848" s="17"/>
      <c r="D848" s="17"/>
      <c r="E848" s="17"/>
      <c r="F848" s="17"/>
      <c r="G848" s="17"/>
      <c r="H848" s="17"/>
      <c r="I848" s="17"/>
    </row>
    <row r="849" spans="1:9" x14ac:dyDescent="0.2">
      <c r="A849" s="17"/>
      <c r="B849" s="17"/>
      <c r="C849" s="17"/>
      <c r="D849" s="17"/>
      <c r="E849" s="17"/>
      <c r="F849" s="17"/>
      <c r="G849" s="17"/>
      <c r="H849" s="17"/>
      <c r="I849" s="17"/>
    </row>
    <row r="850" spans="1:9" x14ac:dyDescent="0.2">
      <c r="A850" s="17"/>
      <c r="B850" s="17"/>
      <c r="C850" s="17"/>
      <c r="D850" s="17"/>
      <c r="E850" s="17"/>
      <c r="F850" s="17"/>
      <c r="G850" s="17"/>
      <c r="H850" s="17"/>
      <c r="I850" s="17"/>
    </row>
    <row r="851" spans="1:9" x14ac:dyDescent="0.2">
      <c r="A851" s="17"/>
      <c r="B851" s="17"/>
      <c r="C851" s="17"/>
      <c r="D851" s="17"/>
      <c r="E851" s="17"/>
      <c r="F851" s="17"/>
      <c r="G851" s="17"/>
      <c r="H851" s="17"/>
      <c r="I851" s="17"/>
    </row>
    <row r="852" spans="1:9" x14ac:dyDescent="0.2">
      <c r="A852" s="17"/>
      <c r="B852" s="17"/>
      <c r="C852" s="17"/>
      <c r="D852" s="17"/>
      <c r="E852" s="17"/>
      <c r="F852" s="17"/>
      <c r="G852" s="17"/>
      <c r="H852" s="17"/>
      <c r="I852" s="17"/>
    </row>
    <row r="853" spans="1:9" x14ac:dyDescent="0.2">
      <c r="A853" s="17"/>
      <c r="B853" s="17"/>
      <c r="C853" s="17"/>
      <c r="D853" s="17"/>
      <c r="E853" s="17"/>
      <c r="F853" s="17"/>
      <c r="G853" s="17"/>
      <c r="H853" s="17"/>
      <c r="I853" s="17"/>
    </row>
    <row r="854" spans="1:9" x14ac:dyDescent="0.2">
      <c r="A854" s="17"/>
      <c r="B854" s="17"/>
      <c r="C854" s="17"/>
      <c r="D854" s="17"/>
      <c r="E854" s="17"/>
      <c r="F854" s="17"/>
      <c r="G854" s="17"/>
      <c r="H854" s="17"/>
      <c r="I854" s="17"/>
    </row>
    <row r="855" spans="1:9" x14ac:dyDescent="0.2">
      <c r="A855" s="17"/>
      <c r="B855" s="17"/>
      <c r="C855" s="17"/>
      <c r="D855" s="17"/>
      <c r="E855" s="17"/>
      <c r="F855" s="17"/>
      <c r="G855" s="17"/>
      <c r="H855" s="17"/>
      <c r="I855" s="17"/>
    </row>
    <row r="856" spans="1:9" x14ac:dyDescent="0.2">
      <c r="A856" s="17"/>
      <c r="B856" s="17"/>
      <c r="C856" s="17"/>
      <c r="D856" s="17"/>
      <c r="E856" s="17"/>
      <c r="F856" s="17"/>
      <c r="G856" s="17"/>
      <c r="H856" s="17"/>
      <c r="I856" s="17"/>
    </row>
    <row r="857" spans="1:9" x14ac:dyDescent="0.2">
      <c r="A857" s="17"/>
      <c r="B857" s="17"/>
      <c r="C857" s="17"/>
      <c r="D857" s="17"/>
      <c r="E857" s="17"/>
      <c r="F857" s="17"/>
      <c r="G857" s="17"/>
      <c r="H857" s="17"/>
      <c r="I857" s="17"/>
    </row>
    <row r="858" spans="1:9" x14ac:dyDescent="0.2">
      <c r="A858" s="17"/>
      <c r="B858" s="17"/>
      <c r="C858" s="17"/>
      <c r="D858" s="17"/>
      <c r="E858" s="17"/>
      <c r="F858" s="17"/>
      <c r="G858" s="17"/>
      <c r="H858" s="17"/>
      <c r="I858" s="17"/>
    </row>
    <row r="859" spans="1:9" x14ac:dyDescent="0.2">
      <c r="A859" s="17"/>
      <c r="B859" s="17"/>
      <c r="C859" s="17"/>
      <c r="D859" s="17"/>
      <c r="E859" s="17"/>
      <c r="F859" s="17"/>
      <c r="G859" s="17"/>
      <c r="H859" s="17"/>
      <c r="I859" s="17"/>
    </row>
    <row r="860" spans="1:9" x14ac:dyDescent="0.2">
      <c r="A860" s="17"/>
      <c r="B860" s="17"/>
      <c r="C860" s="17"/>
      <c r="D860" s="17"/>
      <c r="E860" s="17"/>
      <c r="F860" s="17"/>
      <c r="G860" s="17"/>
      <c r="H860" s="17"/>
      <c r="I860" s="17"/>
    </row>
    <row r="861" spans="1:9" x14ac:dyDescent="0.2">
      <c r="A861" s="17"/>
      <c r="B861" s="17"/>
      <c r="C861" s="17"/>
      <c r="D861" s="17"/>
      <c r="E861" s="17"/>
      <c r="F861" s="17"/>
      <c r="G861" s="17"/>
      <c r="H861" s="17"/>
      <c r="I861" s="17"/>
    </row>
    <row r="862" spans="1:9" x14ac:dyDescent="0.2">
      <c r="A862" s="17"/>
      <c r="B862" s="17"/>
      <c r="C862" s="17"/>
      <c r="D862" s="17"/>
      <c r="E862" s="17"/>
      <c r="F862" s="17"/>
      <c r="G862" s="17"/>
      <c r="H862" s="17"/>
      <c r="I862" s="17"/>
    </row>
    <row r="863" spans="1:9" x14ac:dyDescent="0.2">
      <c r="A863" s="17"/>
      <c r="B863" s="17"/>
      <c r="C863" s="17"/>
      <c r="D863" s="17"/>
      <c r="E863" s="17"/>
      <c r="F863" s="17"/>
      <c r="G863" s="17"/>
      <c r="H863" s="17"/>
      <c r="I863" s="17"/>
    </row>
    <row r="864" spans="1:9" x14ac:dyDescent="0.2">
      <c r="A864" s="17"/>
      <c r="B864" s="17"/>
      <c r="C864" s="17"/>
      <c r="D864" s="17"/>
      <c r="E864" s="17"/>
      <c r="F864" s="17"/>
      <c r="G864" s="17"/>
      <c r="H864" s="17"/>
      <c r="I864" s="17"/>
    </row>
    <row r="865" spans="1:9" x14ac:dyDescent="0.2">
      <c r="A865" s="17"/>
      <c r="B865" s="17"/>
      <c r="C865" s="17"/>
      <c r="D865" s="17"/>
      <c r="E865" s="17"/>
      <c r="F865" s="17"/>
      <c r="G865" s="17"/>
      <c r="H865" s="17"/>
      <c r="I865" s="17"/>
    </row>
    <row r="866" spans="1:9" x14ac:dyDescent="0.2">
      <c r="A866" s="17"/>
      <c r="B866" s="17"/>
      <c r="C866" s="17"/>
      <c r="D866" s="17"/>
      <c r="E866" s="17"/>
      <c r="F866" s="17"/>
      <c r="G866" s="17"/>
      <c r="H866" s="17"/>
      <c r="I866" s="17"/>
    </row>
    <row r="867" spans="1:9" x14ac:dyDescent="0.2">
      <c r="A867" s="17"/>
      <c r="B867" s="17"/>
      <c r="C867" s="17"/>
      <c r="D867" s="17"/>
      <c r="E867" s="17"/>
      <c r="F867" s="17"/>
      <c r="G867" s="17"/>
      <c r="H867" s="17"/>
      <c r="I867" s="17"/>
    </row>
    <row r="868" spans="1:9" x14ac:dyDescent="0.2">
      <c r="A868" s="17"/>
      <c r="B868" s="17"/>
      <c r="C868" s="17"/>
      <c r="D868" s="17"/>
      <c r="E868" s="17"/>
      <c r="F868" s="17"/>
      <c r="G868" s="17"/>
      <c r="H868" s="17"/>
      <c r="I868" s="17"/>
    </row>
    <row r="869" spans="1:9" x14ac:dyDescent="0.2">
      <c r="A869" s="17"/>
      <c r="B869" s="17"/>
      <c r="C869" s="17"/>
      <c r="D869" s="17"/>
      <c r="E869" s="17"/>
      <c r="F869" s="17"/>
      <c r="G869" s="17"/>
      <c r="H869" s="17"/>
      <c r="I869" s="17"/>
    </row>
    <row r="870" spans="1:9" x14ac:dyDescent="0.2">
      <c r="A870" s="17"/>
      <c r="B870" s="17"/>
      <c r="C870" s="17"/>
      <c r="D870" s="17"/>
      <c r="E870" s="17"/>
      <c r="F870" s="17"/>
      <c r="G870" s="17"/>
      <c r="H870" s="17"/>
      <c r="I870" s="17"/>
    </row>
    <row r="871" spans="1:9" x14ac:dyDescent="0.2">
      <c r="A871" s="17"/>
      <c r="B871" s="17"/>
      <c r="C871" s="17"/>
      <c r="D871" s="17"/>
      <c r="E871" s="17"/>
      <c r="F871" s="17"/>
      <c r="G871" s="17"/>
      <c r="H871" s="17"/>
      <c r="I871" s="17"/>
    </row>
    <row r="872" spans="1:9" x14ac:dyDescent="0.2">
      <c r="A872" s="17"/>
      <c r="B872" s="17"/>
      <c r="C872" s="17"/>
      <c r="D872" s="17"/>
      <c r="E872" s="17"/>
      <c r="F872" s="17"/>
      <c r="G872" s="17"/>
      <c r="H872" s="17"/>
      <c r="I872" s="17"/>
    </row>
    <row r="873" spans="1:9" x14ac:dyDescent="0.2">
      <c r="A873" s="17"/>
      <c r="B873" s="17"/>
      <c r="C873" s="17"/>
      <c r="D873" s="17"/>
      <c r="E873" s="17"/>
      <c r="F873" s="17"/>
      <c r="G873" s="17"/>
      <c r="H873" s="17"/>
      <c r="I873" s="17"/>
    </row>
    <row r="874" spans="1:9" x14ac:dyDescent="0.2">
      <c r="A874" s="17"/>
      <c r="B874" s="17"/>
      <c r="C874" s="17"/>
      <c r="D874" s="17"/>
      <c r="E874" s="17"/>
      <c r="F874" s="17"/>
      <c r="G874" s="17"/>
      <c r="H874" s="17"/>
      <c r="I874" s="17"/>
    </row>
    <row r="875" spans="1:9" x14ac:dyDescent="0.2">
      <c r="A875" s="17"/>
      <c r="B875" s="17"/>
      <c r="C875" s="17"/>
      <c r="D875" s="17"/>
      <c r="E875" s="17"/>
      <c r="F875" s="17"/>
      <c r="G875" s="17"/>
      <c r="H875" s="17"/>
      <c r="I875" s="17"/>
    </row>
    <row r="876" spans="1:9" x14ac:dyDescent="0.2">
      <c r="A876" s="17"/>
      <c r="B876" s="17"/>
      <c r="C876" s="17"/>
      <c r="D876" s="17"/>
      <c r="E876" s="17"/>
      <c r="F876" s="17"/>
      <c r="G876" s="17"/>
      <c r="H876" s="17"/>
      <c r="I876" s="17"/>
    </row>
    <row r="877" spans="1:9" x14ac:dyDescent="0.2">
      <c r="A877" s="17"/>
      <c r="B877" s="17"/>
      <c r="C877" s="17"/>
      <c r="D877" s="17"/>
      <c r="E877" s="17"/>
      <c r="F877" s="17"/>
      <c r="G877" s="17"/>
      <c r="H877" s="17"/>
      <c r="I877" s="17"/>
    </row>
    <row r="878" spans="1:9" x14ac:dyDescent="0.2">
      <c r="A878" s="17"/>
      <c r="B878" s="17"/>
      <c r="C878" s="17"/>
      <c r="D878" s="17"/>
      <c r="E878" s="17"/>
      <c r="F878" s="17"/>
      <c r="G878" s="17"/>
      <c r="H878" s="17"/>
      <c r="I878" s="17"/>
    </row>
    <row r="879" spans="1:9" x14ac:dyDescent="0.2">
      <c r="A879" s="17"/>
      <c r="B879" s="17"/>
      <c r="C879" s="17"/>
      <c r="D879" s="17"/>
      <c r="E879" s="17"/>
      <c r="F879" s="17"/>
      <c r="G879" s="17"/>
      <c r="H879" s="17"/>
      <c r="I879" s="17"/>
    </row>
    <row r="880" spans="1:9" x14ac:dyDescent="0.2">
      <c r="A880" s="17"/>
      <c r="B880" s="17"/>
      <c r="C880" s="17"/>
      <c r="D880" s="17"/>
      <c r="E880" s="17"/>
      <c r="F880" s="17"/>
      <c r="G880" s="17"/>
      <c r="H880" s="17"/>
      <c r="I880" s="17"/>
    </row>
    <row r="881" spans="1:9" x14ac:dyDescent="0.2">
      <c r="A881" s="17"/>
      <c r="B881" s="17"/>
      <c r="C881" s="17"/>
      <c r="D881" s="17"/>
      <c r="E881" s="17"/>
      <c r="F881" s="17"/>
      <c r="G881" s="17"/>
      <c r="H881" s="17"/>
      <c r="I881" s="17"/>
    </row>
    <row r="882" spans="1:9" x14ac:dyDescent="0.2">
      <c r="A882" s="17"/>
      <c r="B882" s="17"/>
      <c r="C882" s="17"/>
      <c r="D882" s="17"/>
      <c r="E882" s="17"/>
      <c r="F882" s="17"/>
      <c r="G882" s="17"/>
      <c r="H882" s="17"/>
      <c r="I882" s="17"/>
    </row>
    <row r="883" spans="1:9" x14ac:dyDescent="0.2">
      <c r="A883" s="17"/>
      <c r="B883" s="17"/>
      <c r="C883" s="17"/>
      <c r="D883" s="17"/>
      <c r="E883" s="17"/>
      <c r="F883" s="17"/>
      <c r="G883" s="17"/>
      <c r="H883" s="17"/>
      <c r="I883" s="17"/>
    </row>
    <row r="884" spans="1:9" x14ac:dyDescent="0.2">
      <c r="A884" s="17"/>
      <c r="B884" s="17"/>
      <c r="C884" s="17"/>
      <c r="D884" s="17"/>
      <c r="E884" s="17"/>
      <c r="F884" s="17"/>
      <c r="G884" s="17"/>
      <c r="H884" s="17"/>
      <c r="I884" s="17"/>
    </row>
    <row r="885" spans="1:9" x14ac:dyDescent="0.2">
      <c r="A885" s="17"/>
      <c r="B885" s="17"/>
      <c r="C885" s="17"/>
      <c r="D885" s="17"/>
      <c r="E885" s="17"/>
      <c r="F885" s="17"/>
      <c r="G885" s="17"/>
      <c r="H885" s="17"/>
      <c r="I885" s="17"/>
    </row>
    <row r="886" spans="1:9" x14ac:dyDescent="0.2">
      <c r="A886" s="17"/>
      <c r="B886" s="17"/>
      <c r="C886" s="17"/>
      <c r="D886" s="17"/>
      <c r="E886" s="17"/>
      <c r="F886" s="17"/>
      <c r="G886" s="17"/>
      <c r="H886" s="17"/>
      <c r="I886" s="17"/>
    </row>
    <row r="887" spans="1:9" x14ac:dyDescent="0.2">
      <c r="A887" s="17"/>
      <c r="B887" s="17"/>
      <c r="C887" s="17"/>
      <c r="D887" s="17"/>
      <c r="E887" s="17"/>
      <c r="F887" s="17"/>
      <c r="G887" s="17"/>
      <c r="H887" s="17"/>
      <c r="I887" s="17"/>
    </row>
    <row r="888" spans="1:9" x14ac:dyDescent="0.2">
      <c r="A888" s="17"/>
      <c r="B888" s="17"/>
      <c r="C888" s="17"/>
      <c r="D888" s="17"/>
      <c r="E888" s="17"/>
      <c r="F888" s="17"/>
      <c r="G888" s="17"/>
      <c r="H888" s="17"/>
      <c r="I888" s="17"/>
    </row>
    <row r="889" spans="1:9" x14ac:dyDescent="0.2">
      <c r="A889" s="17"/>
      <c r="B889" s="17"/>
      <c r="C889" s="17"/>
      <c r="D889" s="17"/>
      <c r="E889" s="17"/>
      <c r="F889" s="17"/>
      <c r="G889" s="17"/>
      <c r="H889" s="17"/>
      <c r="I889" s="17"/>
    </row>
    <row r="890" spans="1:9" x14ac:dyDescent="0.2">
      <c r="A890" s="17"/>
      <c r="B890" s="17"/>
      <c r="C890" s="17"/>
      <c r="D890" s="17"/>
      <c r="E890" s="17"/>
      <c r="F890" s="17"/>
      <c r="G890" s="17"/>
      <c r="H890" s="17"/>
      <c r="I890" s="17"/>
    </row>
    <row r="891" spans="1:9" x14ac:dyDescent="0.2">
      <c r="A891" s="17"/>
      <c r="B891" s="17"/>
      <c r="C891" s="17"/>
      <c r="D891" s="17"/>
      <c r="E891" s="17"/>
      <c r="F891" s="17"/>
      <c r="G891" s="17"/>
      <c r="H891" s="17"/>
      <c r="I891" s="17"/>
    </row>
    <row r="892" spans="1:9" x14ac:dyDescent="0.2">
      <c r="A892" s="17"/>
      <c r="B892" s="17"/>
      <c r="C892" s="17"/>
      <c r="D892" s="17"/>
      <c r="E892" s="17"/>
      <c r="F892" s="17"/>
      <c r="G892" s="17"/>
      <c r="H892" s="17"/>
      <c r="I892" s="17"/>
    </row>
    <row r="893" spans="1:9" x14ac:dyDescent="0.2">
      <c r="A893" s="17"/>
      <c r="B893" s="17"/>
      <c r="C893" s="17"/>
      <c r="D893" s="17"/>
      <c r="E893" s="17"/>
      <c r="F893" s="17"/>
      <c r="G893" s="17"/>
      <c r="H893" s="17"/>
      <c r="I893" s="17"/>
    </row>
    <row r="894" spans="1:9" x14ac:dyDescent="0.2">
      <c r="A894" s="17"/>
      <c r="B894" s="17"/>
      <c r="C894" s="17"/>
      <c r="D894" s="17"/>
      <c r="E894" s="17"/>
      <c r="F894" s="17"/>
      <c r="G894" s="17"/>
      <c r="H894" s="17"/>
      <c r="I894" s="17"/>
    </row>
    <row r="895" spans="1:9" x14ac:dyDescent="0.2">
      <c r="A895" s="17"/>
      <c r="B895" s="17"/>
      <c r="C895" s="17"/>
      <c r="D895" s="17"/>
      <c r="E895" s="17"/>
      <c r="F895" s="17"/>
      <c r="G895" s="17"/>
      <c r="H895" s="17"/>
      <c r="I895" s="17"/>
    </row>
    <row r="896" spans="1:9" x14ac:dyDescent="0.2">
      <c r="A896" s="17"/>
      <c r="B896" s="17"/>
      <c r="C896" s="17"/>
      <c r="D896" s="17"/>
      <c r="E896" s="17"/>
      <c r="F896" s="17"/>
      <c r="G896" s="17"/>
      <c r="H896" s="17"/>
      <c r="I896" s="17"/>
    </row>
    <row r="897" spans="1:9" x14ac:dyDescent="0.2">
      <c r="A897" s="17"/>
      <c r="B897" s="17"/>
      <c r="C897" s="17"/>
      <c r="D897" s="17"/>
      <c r="E897" s="17"/>
      <c r="F897" s="17"/>
      <c r="G897" s="17"/>
      <c r="H897" s="17"/>
      <c r="I897" s="17"/>
    </row>
    <row r="898" spans="1:9" x14ac:dyDescent="0.2">
      <c r="A898" s="17"/>
      <c r="B898" s="17"/>
      <c r="C898" s="17"/>
      <c r="D898" s="17"/>
      <c r="E898" s="17"/>
      <c r="F898" s="17"/>
      <c r="G898" s="17"/>
      <c r="H898" s="17"/>
      <c r="I898" s="17"/>
    </row>
    <row r="899" spans="1:9" x14ac:dyDescent="0.2">
      <c r="A899" s="17"/>
      <c r="B899" s="17"/>
      <c r="C899" s="17"/>
      <c r="D899" s="17"/>
      <c r="E899" s="17"/>
      <c r="F899" s="17"/>
      <c r="G899" s="17"/>
      <c r="H899" s="17"/>
      <c r="I899" s="17"/>
    </row>
    <row r="900" spans="1:9" x14ac:dyDescent="0.2">
      <c r="A900" s="17"/>
      <c r="B900" s="17"/>
      <c r="C900" s="17"/>
      <c r="D900" s="17"/>
      <c r="E900" s="17"/>
      <c r="F900" s="17"/>
      <c r="G900" s="17"/>
      <c r="H900" s="17"/>
      <c r="I900" s="17"/>
    </row>
    <row r="901" spans="1:9" x14ac:dyDescent="0.2">
      <c r="A901" s="17"/>
      <c r="B901" s="17"/>
      <c r="C901" s="17"/>
      <c r="D901" s="17"/>
      <c r="E901" s="17"/>
      <c r="F901" s="17"/>
      <c r="G901" s="17"/>
      <c r="H901" s="17"/>
      <c r="I901" s="17"/>
    </row>
    <row r="902" spans="1:9" x14ac:dyDescent="0.2">
      <c r="A902" s="17"/>
      <c r="B902" s="17"/>
      <c r="C902" s="17"/>
      <c r="D902" s="17"/>
      <c r="E902" s="17"/>
      <c r="F902" s="17"/>
      <c r="G902" s="17"/>
      <c r="H902" s="17"/>
      <c r="I902" s="17"/>
    </row>
    <row r="903" spans="1:9" x14ac:dyDescent="0.2">
      <c r="A903" s="17"/>
      <c r="B903" s="17"/>
      <c r="C903" s="17"/>
      <c r="D903" s="17"/>
      <c r="E903" s="17"/>
      <c r="F903" s="17"/>
      <c r="G903" s="17"/>
      <c r="H903" s="17"/>
      <c r="I903" s="17"/>
    </row>
    <row r="904" spans="1:9" x14ac:dyDescent="0.2">
      <c r="A904" s="17"/>
      <c r="B904" s="17"/>
      <c r="C904" s="17"/>
      <c r="D904" s="17"/>
      <c r="E904" s="17"/>
      <c r="F904" s="17"/>
      <c r="G904" s="17"/>
      <c r="H904" s="17"/>
      <c r="I904" s="17"/>
    </row>
    <row r="905" spans="1:9" x14ac:dyDescent="0.2">
      <c r="A905" s="17"/>
      <c r="B905" s="17"/>
      <c r="C905" s="17"/>
      <c r="D905" s="17"/>
      <c r="E905" s="17"/>
      <c r="F905" s="17"/>
      <c r="G905" s="17"/>
      <c r="H905" s="17"/>
      <c r="I905" s="17"/>
    </row>
    <row r="906" spans="1:9" x14ac:dyDescent="0.2">
      <c r="A906" s="17"/>
      <c r="B906" s="17"/>
      <c r="C906" s="17"/>
      <c r="D906" s="17"/>
      <c r="E906" s="17"/>
      <c r="F906" s="17"/>
      <c r="G906" s="17"/>
      <c r="H906" s="17"/>
      <c r="I906" s="17"/>
    </row>
    <row r="907" spans="1:9" x14ac:dyDescent="0.2">
      <c r="A907" s="17"/>
      <c r="B907" s="17"/>
      <c r="C907" s="17"/>
      <c r="D907" s="17"/>
      <c r="E907" s="17"/>
      <c r="F907" s="17"/>
      <c r="G907" s="17"/>
      <c r="H907" s="17"/>
      <c r="I907" s="17"/>
    </row>
    <row r="908" spans="1:9" x14ac:dyDescent="0.2">
      <c r="A908" s="17"/>
      <c r="B908" s="17"/>
      <c r="C908" s="17"/>
      <c r="D908" s="17"/>
      <c r="E908" s="17"/>
      <c r="F908" s="17"/>
      <c r="G908" s="17"/>
      <c r="H908" s="17"/>
      <c r="I908" s="17"/>
    </row>
    <row r="909" spans="1:9" x14ac:dyDescent="0.2">
      <c r="A909" s="17"/>
      <c r="B909" s="17"/>
      <c r="C909" s="17"/>
      <c r="D909" s="17"/>
      <c r="E909" s="17"/>
      <c r="F909" s="17"/>
      <c r="G909" s="17"/>
      <c r="H909" s="17"/>
      <c r="I909" s="17"/>
    </row>
    <row r="910" spans="1:9" x14ac:dyDescent="0.2">
      <c r="A910" s="17"/>
      <c r="B910" s="17"/>
      <c r="C910" s="17"/>
      <c r="D910" s="17"/>
      <c r="E910" s="17"/>
      <c r="F910" s="17"/>
      <c r="G910" s="17"/>
      <c r="H910" s="17"/>
      <c r="I910" s="17"/>
    </row>
    <row r="911" spans="1:9" x14ac:dyDescent="0.2">
      <c r="A911" s="17"/>
      <c r="B911" s="17"/>
      <c r="C911" s="17"/>
      <c r="D911" s="17"/>
      <c r="E911" s="17"/>
      <c r="F911" s="17"/>
      <c r="G911" s="17"/>
      <c r="H911" s="17"/>
      <c r="I911" s="17"/>
    </row>
    <row r="912" spans="1:9" x14ac:dyDescent="0.2">
      <c r="A912" s="17"/>
      <c r="B912" s="17"/>
      <c r="C912" s="17"/>
      <c r="D912" s="17"/>
      <c r="E912" s="17"/>
      <c r="F912" s="17"/>
      <c r="G912" s="17"/>
      <c r="H912" s="17"/>
      <c r="I912" s="17"/>
    </row>
    <row r="913" spans="1:9" x14ac:dyDescent="0.2">
      <c r="A913" s="17"/>
      <c r="B913" s="17"/>
      <c r="C913" s="17"/>
      <c r="D913" s="17"/>
      <c r="E913" s="17"/>
      <c r="F913" s="17"/>
      <c r="G913" s="17"/>
      <c r="H913" s="17"/>
      <c r="I913" s="17"/>
    </row>
    <row r="914" spans="1:9" x14ac:dyDescent="0.2">
      <c r="A914" s="17"/>
      <c r="B914" s="17"/>
      <c r="C914" s="17"/>
      <c r="D914" s="17"/>
      <c r="E914" s="17"/>
      <c r="F914" s="17"/>
      <c r="G914" s="17"/>
      <c r="H914" s="17"/>
      <c r="I914" s="17"/>
    </row>
    <row r="915" spans="1:9" x14ac:dyDescent="0.2">
      <c r="A915" s="17"/>
      <c r="B915" s="17"/>
      <c r="C915" s="17"/>
      <c r="D915" s="17"/>
      <c r="E915" s="17"/>
      <c r="F915" s="17"/>
      <c r="G915" s="17"/>
      <c r="H915" s="17"/>
      <c r="I915" s="17"/>
    </row>
    <row r="916" spans="1:9" x14ac:dyDescent="0.2">
      <c r="A916" s="17"/>
      <c r="B916" s="17"/>
      <c r="C916" s="17"/>
      <c r="D916" s="17"/>
      <c r="E916" s="17"/>
      <c r="F916" s="17"/>
      <c r="G916" s="17"/>
      <c r="H916" s="17"/>
      <c r="I916" s="17"/>
    </row>
    <row r="917" spans="1:9" x14ac:dyDescent="0.2">
      <c r="A917" s="17"/>
      <c r="B917" s="17"/>
      <c r="C917" s="17"/>
      <c r="D917" s="17"/>
      <c r="E917" s="17"/>
      <c r="F917" s="17"/>
      <c r="G917" s="17"/>
      <c r="H917" s="17"/>
      <c r="I917" s="17"/>
    </row>
    <row r="918" spans="1:9" x14ac:dyDescent="0.2">
      <c r="A918" s="17"/>
      <c r="B918" s="17"/>
      <c r="C918" s="17"/>
      <c r="D918" s="17"/>
      <c r="E918" s="17"/>
      <c r="F918" s="17"/>
      <c r="G918" s="17"/>
      <c r="H918" s="17"/>
      <c r="I918" s="17"/>
    </row>
    <row r="919" spans="1:9" x14ac:dyDescent="0.2">
      <c r="A919" s="17"/>
      <c r="B919" s="17"/>
      <c r="C919" s="17"/>
      <c r="D919" s="17"/>
      <c r="E919" s="17"/>
      <c r="F919" s="17"/>
      <c r="G919" s="17"/>
      <c r="H919" s="17"/>
      <c r="I919" s="17"/>
    </row>
    <row r="920" spans="1:9" x14ac:dyDescent="0.2">
      <c r="A920" s="17"/>
      <c r="B920" s="17"/>
      <c r="C920" s="17"/>
      <c r="D920" s="17"/>
      <c r="E920" s="17"/>
      <c r="F920" s="17"/>
      <c r="G920" s="17"/>
      <c r="H920" s="17"/>
      <c r="I920" s="17"/>
    </row>
    <row r="921" spans="1:9" x14ac:dyDescent="0.2">
      <c r="A921" s="17"/>
      <c r="B921" s="17"/>
      <c r="C921" s="17"/>
      <c r="D921" s="17"/>
      <c r="E921" s="17"/>
      <c r="F921" s="17"/>
      <c r="G921" s="17"/>
      <c r="H921" s="17"/>
      <c r="I921" s="17"/>
    </row>
    <row r="922" spans="1:9" x14ac:dyDescent="0.2">
      <c r="A922" s="17"/>
      <c r="B922" s="17"/>
      <c r="C922" s="17"/>
      <c r="D922" s="17"/>
      <c r="E922" s="17"/>
      <c r="F922" s="17"/>
      <c r="G922" s="17"/>
      <c r="H922" s="17"/>
      <c r="I922" s="17"/>
    </row>
    <row r="923" spans="1:9" x14ac:dyDescent="0.2">
      <c r="A923" s="17"/>
      <c r="B923" s="17"/>
      <c r="C923" s="17"/>
      <c r="D923" s="17"/>
      <c r="E923" s="17"/>
      <c r="F923" s="17"/>
      <c r="G923" s="17"/>
      <c r="H923" s="17"/>
      <c r="I923" s="17"/>
    </row>
    <row r="924" spans="1:9" x14ac:dyDescent="0.2">
      <c r="A924" s="17"/>
      <c r="B924" s="17"/>
      <c r="C924" s="17"/>
      <c r="D924" s="17"/>
      <c r="E924" s="17"/>
      <c r="F924" s="17"/>
      <c r="G924" s="17"/>
      <c r="H924" s="17"/>
      <c r="I924" s="17"/>
    </row>
    <row r="925" spans="1:9" x14ac:dyDescent="0.2">
      <c r="A925" s="17"/>
      <c r="B925" s="17"/>
      <c r="C925" s="17"/>
      <c r="D925" s="17"/>
      <c r="E925" s="17"/>
      <c r="F925" s="17"/>
      <c r="G925" s="17"/>
      <c r="H925" s="17"/>
      <c r="I925" s="17"/>
    </row>
    <row r="926" spans="1:9" x14ac:dyDescent="0.2">
      <c r="A926" s="17"/>
      <c r="B926" s="17"/>
      <c r="C926" s="17"/>
      <c r="D926" s="17"/>
      <c r="E926" s="17"/>
      <c r="F926" s="17"/>
      <c r="G926" s="17"/>
      <c r="H926" s="17"/>
      <c r="I926" s="17"/>
    </row>
    <row r="927" spans="1:9" x14ac:dyDescent="0.2">
      <c r="A927" s="17"/>
      <c r="B927" s="17"/>
      <c r="C927" s="17"/>
      <c r="D927" s="17"/>
      <c r="E927" s="17"/>
      <c r="F927" s="17"/>
      <c r="G927" s="17"/>
      <c r="H927" s="17"/>
      <c r="I927" s="17"/>
    </row>
    <row r="928" spans="1:9" x14ac:dyDescent="0.2">
      <c r="A928" s="17"/>
      <c r="B928" s="17"/>
      <c r="C928" s="17"/>
      <c r="D928" s="17"/>
      <c r="E928" s="17"/>
      <c r="F928" s="17"/>
      <c r="G928" s="17"/>
      <c r="H928" s="17"/>
      <c r="I928" s="17"/>
    </row>
    <row r="929" spans="1:9" x14ac:dyDescent="0.2">
      <c r="A929" s="17"/>
      <c r="B929" s="17"/>
      <c r="C929" s="17"/>
      <c r="D929" s="17"/>
      <c r="E929" s="17"/>
      <c r="F929" s="17"/>
      <c r="G929" s="17"/>
      <c r="H929" s="17"/>
      <c r="I929" s="17"/>
    </row>
    <row r="930" spans="1:9" x14ac:dyDescent="0.2">
      <c r="A930" s="17"/>
      <c r="B930" s="17"/>
      <c r="C930" s="17"/>
      <c r="D930" s="17"/>
      <c r="E930" s="17"/>
      <c r="F930" s="17"/>
      <c r="G930" s="17"/>
      <c r="H930" s="17"/>
      <c r="I930" s="17"/>
    </row>
    <row r="931" spans="1:9" x14ac:dyDescent="0.2">
      <c r="A931" s="17"/>
      <c r="B931" s="17"/>
      <c r="C931" s="17"/>
      <c r="D931" s="17"/>
      <c r="E931" s="17"/>
      <c r="F931" s="17"/>
      <c r="G931" s="17"/>
      <c r="H931" s="17"/>
      <c r="I931" s="17"/>
    </row>
    <row r="932" spans="1:9" x14ac:dyDescent="0.2">
      <c r="A932" s="17"/>
      <c r="B932" s="17"/>
      <c r="C932" s="17"/>
      <c r="D932" s="17"/>
      <c r="E932" s="17"/>
      <c r="F932" s="17"/>
      <c r="G932" s="17"/>
      <c r="H932" s="17"/>
      <c r="I932" s="17"/>
    </row>
    <row r="933" spans="1:9" x14ac:dyDescent="0.2">
      <c r="A933" s="17"/>
      <c r="B933" s="17"/>
      <c r="C933" s="17"/>
      <c r="D933" s="17"/>
      <c r="E933" s="17"/>
      <c r="F933" s="17"/>
      <c r="G933" s="17"/>
      <c r="H933" s="17"/>
      <c r="I933" s="17"/>
    </row>
    <row r="934" spans="1:9" x14ac:dyDescent="0.2">
      <c r="A934" s="17"/>
      <c r="B934" s="17"/>
      <c r="C934" s="17"/>
      <c r="D934" s="17"/>
      <c r="E934" s="17"/>
      <c r="F934" s="17"/>
      <c r="G934" s="17"/>
      <c r="H934" s="17"/>
      <c r="I934" s="17"/>
    </row>
    <row r="935" spans="1:9" x14ac:dyDescent="0.2">
      <c r="A935" s="17"/>
      <c r="B935" s="17"/>
      <c r="C935" s="17"/>
      <c r="D935" s="17"/>
      <c r="E935" s="17"/>
      <c r="F935" s="17"/>
      <c r="G935" s="17"/>
      <c r="H935" s="17"/>
      <c r="I935" s="17"/>
    </row>
    <row r="936" spans="1:9" x14ac:dyDescent="0.2">
      <c r="A936" s="17"/>
      <c r="B936" s="17"/>
      <c r="C936" s="17"/>
      <c r="D936" s="17"/>
      <c r="E936" s="17"/>
      <c r="F936" s="17"/>
      <c r="G936" s="17"/>
      <c r="H936" s="17"/>
      <c r="I936" s="17"/>
    </row>
    <row r="937" spans="1:9" x14ac:dyDescent="0.2">
      <c r="A937" s="17"/>
      <c r="B937" s="17"/>
      <c r="C937" s="17"/>
      <c r="D937" s="17"/>
      <c r="E937" s="17"/>
      <c r="F937" s="17"/>
      <c r="G937" s="17"/>
      <c r="H937" s="17"/>
      <c r="I937" s="17"/>
    </row>
    <row r="938" spans="1:9" x14ac:dyDescent="0.2">
      <c r="A938" s="17"/>
      <c r="B938" s="17"/>
      <c r="C938" s="17"/>
      <c r="D938" s="17"/>
      <c r="E938" s="17"/>
      <c r="F938" s="17"/>
      <c r="G938" s="17"/>
      <c r="H938" s="17"/>
      <c r="I938" s="17"/>
    </row>
    <row r="939" spans="1:9" x14ac:dyDescent="0.2">
      <c r="A939" s="17"/>
      <c r="B939" s="17"/>
      <c r="C939" s="17"/>
      <c r="D939" s="17"/>
      <c r="E939" s="17"/>
      <c r="F939" s="17"/>
      <c r="G939" s="17"/>
      <c r="H939" s="17"/>
      <c r="I939" s="17"/>
    </row>
    <row r="940" spans="1:9" x14ac:dyDescent="0.2">
      <c r="A940" s="17"/>
      <c r="B940" s="17"/>
      <c r="C940" s="17"/>
      <c r="D940" s="17"/>
      <c r="E940" s="17"/>
      <c r="F940" s="17"/>
      <c r="G940" s="17"/>
      <c r="H940" s="17"/>
      <c r="I940" s="17"/>
    </row>
    <row r="941" spans="1:9" x14ac:dyDescent="0.2">
      <c r="A941" s="17"/>
      <c r="B941" s="17"/>
      <c r="C941" s="17"/>
      <c r="D941" s="17"/>
      <c r="E941" s="17"/>
      <c r="F941" s="17"/>
      <c r="G941" s="17"/>
      <c r="H941" s="17"/>
      <c r="I941" s="17"/>
    </row>
    <row r="942" spans="1:9" x14ac:dyDescent="0.2">
      <c r="A942" s="17"/>
      <c r="B942" s="17"/>
      <c r="C942" s="17"/>
      <c r="D942" s="17"/>
      <c r="E942" s="17"/>
      <c r="F942" s="17"/>
      <c r="G942" s="17"/>
      <c r="H942" s="17"/>
      <c r="I942" s="17"/>
    </row>
    <row r="943" spans="1:9" x14ac:dyDescent="0.2">
      <c r="A943" s="17"/>
      <c r="B943" s="17"/>
      <c r="C943" s="17"/>
      <c r="D943" s="17"/>
      <c r="E943" s="17"/>
      <c r="F943" s="17"/>
      <c r="G943" s="17"/>
      <c r="H943" s="17"/>
      <c r="I943" s="17"/>
    </row>
    <row r="944" spans="1:9" x14ac:dyDescent="0.2">
      <c r="A944" s="17"/>
      <c r="B944" s="17"/>
      <c r="C944" s="17"/>
      <c r="D944" s="17"/>
      <c r="E944" s="17"/>
      <c r="F944" s="17"/>
      <c r="G944" s="17"/>
      <c r="H944" s="17"/>
      <c r="I944" s="17"/>
    </row>
    <row r="945" spans="1:9" x14ac:dyDescent="0.2">
      <c r="A945" s="17"/>
      <c r="B945" s="17"/>
      <c r="C945" s="17"/>
      <c r="D945" s="17"/>
      <c r="E945" s="17"/>
      <c r="F945" s="17"/>
      <c r="G945" s="17"/>
      <c r="H945" s="17"/>
      <c r="I945" s="17"/>
    </row>
    <row r="946" spans="1:9" x14ac:dyDescent="0.2">
      <c r="A946" s="17"/>
      <c r="B946" s="17"/>
      <c r="C946" s="17"/>
      <c r="D946" s="17"/>
      <c r="E946" s="17"/>
      <c r="F946" s="17"/>
      <c r="G946" s="17"/>
      <c r="H946" s="17"/>
      <c r="I946" s="17"/>
    </row>
    <row r="947" spans="1:9" x14ac:dyDescent="0.2">
      <c r="A947" s="17"/>
      <c r="B947" s="17"/>
      <c r="C947" s="17"/>
      <c r="D947" s="17"/>
      <c r="E947" s="17"/>
      <c r="F947" s="17"/>
      <c r="G947" s="17"/>
      <c r="H947" s="17"/>
      <c r="I947" s="17"/>
    </row>
    <row r="948" spans="1:9" x14ac:dyDescent="0.2">
      <c r="A948" s="17"/>
      <c r="B948" s="17"/>
      <c r="C948" s="17"/>
      <c r="D948" s="17"/>
      <c r="E948" s="17"/>
      <c r="F948" s="17"/>
      <c r="G948" s="17"/>
      <c r="H948" s="17"/>
      <c r="I948" s="17"/>
    </row>
    <row r="949" spans="1:9" x14ac:dyDescent="0.2">
      <c r="A949" s="17"/>
      <c r="B949" s="17"/>
      <c r="C949" s="17"/>
      <c r="D949" s="17"/>
      <c r="E949" s="17"/>
      <c r="F949" s="17"/>
      <c r="G949" s="17"/>
      <c r="H949" s="17"/>
      <c r="I949" s="17"/>
    </row>
    <row r="950" spans="1:9" x14ac:dyDescent="0.2">
      <c r="A950" s="17"/>
      <c r="B950" s="17"/>
      <c r="C950" s="17"/>
      <c r="D950" s="17"/>
      <c r="E950" s="17"/>
      <c r="F950" s="17"/>
      <c r="G950" s="17"/>
      <c r="H950" s="17"/>
      <c r="I950" s="17"/>
    </row>
    <row r="951" spans="1:9" x14ac:dyDescent="0.2">
      <c r="A951" s="17"/>
      <c r="B951" s="17"/>
      <c r="C951" s="17"/>
      <c r="D951" s="17"/>
      <c r="E951" s="17"/>
      <c r="F951" s="17"/>
      <c r="G951" s="17"/>
      <c r="H951" s="17"/>
      <c r="I951" s="17"/>
    </row>
    <row r="952" spans="1:9" x14ac:dyDescent="0.2">
      <c r="A952" s="17"/>
      <c r="B952" s="17"/>
      <c r="C952" s="17"/>
      <c r="D952" s="17"/>
      <c r="E952" s="17"/>
      <c r="F952" s="17"/>
      <c r="G952" s="17"/>
      <c r="H952" s="17"/>
      <c r="I952" s="17"/>
    </row>
    <row r="953" spans="1:9" x14ac:dyDescent="0.2">
      <c r="A953" s="17"/>
      <c r="B953" s="17"/>
      <c r="C953" s="17"/>
      <c r="D953" s="17"/>
      <c r="E953" s="17"/>
      <c r="F953" s="17"/>
      <c r="G953" s="17"/>
      <c r="H953" s="17"/>
      <c r="I953" s="17"/>
    </row>
    <row r="954" spans="1:9" x14ac:dyDescent="0.2">
      <c r="A954" s="17"/>
      <c r="B954" s="17"/>
      <c r="C954" s="17"/>
      <c r="D954" s="17"/>
      <c r="E954" s="17"/>
      <c r="F954" s="17"/>
      <c r="G954" s="17"/>
      <c r="H954" s="17"/>
      <c r="I954" s="17"/>
    </row>
    <row r="955" spans="1:9" x14ac:dyDescent="0.2">
      <c r="A955" s="17"/>
      <c r="B955" s="17"/>
      <c r="C955" s="17"/>
      <c r="D955" s="17"/>
      <c r="E955" s="17"/>
      <c r="F955" s="17"/>
      <c r="G955" s="17"/>
      <c r="H955" s="17"/>
      <c r="I955" s="17"/>
    </row>
    <row r="956" spans="1:9" x14ac:dyDescent="0.2">
      <c r="A956" s="17"/>
      <c r="B956" s="17"/>
      <c r="C956" s="17"/>
      <c r="D956" s="17"/>
      <c r="E956" s="17"/>
      <c r="F956" s="17"/>
      <c r="G956" s="17"/>
      <c r="H956" s="17"/>
      <c r="I956" s="17"/>
    </row>
    <row r="957" spans="1:9" x14ac:dyDescent="0.2">
      <c r="A957" s="17"/>
      <c r="B957" s="17"/>
      <c r="C957" s="17"/>
      <c r="D957" s="17"/>
      <c r="E957" s="17"/>
      <c r="F957" s="17"/>
      <c r="G957" s="17"/>
      <c r="H957" s="17"/>
      <c r="I957" s="17"/>
    </row>
    <row r="958" spans="1:9" x14ac:dyDescent="0.2">
      <c r="A958" s="17"/>
      <c r="B958" s="17"/>
      <c r="C958" s="17"/>
      <c r="D958" s="17"/>
      <c r="E958" s="17"/>
      <c r="F958" s="17"/>
      <c r="G958" s="17"/>
      <c r="H958" s="17"/>
      <c r="I958" s="17"/>
    </row>
    <row r="959" spans="1:9" x14ac:dyDescent="0.2">
      <c r="A959" s="17"/>
      <c r="B959" s="17"/>
      <c r="C959" s="17"/>
      <c r="D959" s="17"/>
      <c r="E959" s="17"/>
      <c r="F959" s="17"/>
      <c r="G959" s="17"/>
      <c r="H959" s="17"/>
      <c r="I959" s="17"/>
    </row>
    <row r="960" spans="1:9" x14ac:dyDescent="0.2">
      <c r="A960" s="17"/>
      <c r="B960" s="17"/>
      <c r="C960" s="17"/>
      <c r="D960" s="17"/>
      <c r="E960" s="17"/>
      <c r="F960" s="17"/>
      <c r="G960" s="17"/>
      <c r="H960" s="17"/>
      <c r="I960" s="17"/>
    </row>
    <row r="961" spans="1:9" x14ac:dyDescent="0.2">
      <c r="A961" s="17"/>
      <c r="B961" s="17"/>
      <c r="C961" s="17"/>
      <c r="D961" s="17"/>
      <c r="E961" s="17"/>
      <c r="F961" s="17"/>
      <c r="G961" s="17"/>
      <c r="H961" s="17"/>
      <c r="I961" s="17"/>
    </row>
    <row r="962" spans="1:9" x14ac:dyDescent="0.2">
      <c r="A962" s="17"/>
      <c r="B962" s="17"/>
      <c r="C962" s="17"/>
      <c r="D962" s="17"/>
      <c r="E962" s="17"/>
      <c r="F962" s="17"/>
      <c r="G962" s="17"/>
      <c r="H962" s="17"/>
      <c r="I962" s="17"/>
    </row>
    <row r="963" spans="1:9" x14ac:dyDescent="0.2">
      <c r="A963" s="17"/>
      <c r="B963" s="17"/>
      <c r="C963" s="17"/>
      <c r="D963" s="17"/>
      <c r="E963" s="17"/>
      <c r="F963" s="17"/>
      <c r="G963" s="17"/>
      <c r="H963" s="17"/>
      <c r="I963" s="17"/>
    </row>
    <row r="964" spans="1:9" x14ac:dyDescent="0.2">
      <c r="A964" s="17"/>
      <c r="B964" s="17"/>
      <c r="C964" s="17"/>
      <c r="D964" s="17"/>
      <c r="E964" s="17"/>
      <c r="F964" s="17"/>
      <c r="G964" s="17"/>
      <c r="H964" s="17"/>
      <c r="I964" s="17"/>
    </row>
    <row r="965" spans="1:9" x14ac:dyDescent="0.2">
      <c r="A965" s="17"/>
      <c r="B965" s="17"/>
      <c r="C965" s="17"/>
      <c r="D965" s="17"/>
      <c r="E965" s="17"/>
      <c r="F965" s="17"/>
      <c r="G965" s="17"/>
      <c r="H965" s="17"/>
      <c r="I965" s="17"/>
    </row>
    <row r="966" spans="1:9" x14ac:dyDescent="0.2">
      <c r="A966" s="17"/>
      <c r="B966" s="17"/>
      <c r="C966" s="17"/>
      <c r="D966" s="17"/>
      <c r="E966" s="17"/>
      <c r="F966" s="17"/>
      <c r="G966" s="17"/>
      <c r="H966" s="17"/>
      <c r="I966" s="17"/>
    </row>
    <row r="967" spans="1:9" x14ac:dyDescent="0.2">
      <c r="A967" s="17"/>
      <c r="B967" s="17"/>
      <c r="C967" s="17"/>
      <c r="D967" s="17"/>
      <c r="E967" s="17"/>
      <c r="F967" s="17"/>
      <c r="G967" s="17"/>
      <c r="H967" s="17"/>
      <c r="I967" s="17"/>
    </row>
    <row r="968" spans="1:9" x14ac:dyDescent="0.2">
      <c r="A968" s="17"/>
      <c r="B968" s="17"/>
      <c r="C968" s="17"/>
      <c r="D968" s="17"/>
      <c r="E968" s="17"/>
      <c r="F968" s="17"/>
      <c r="G968" s="17"/>
      <c r="H968" s="17"/>
      <c r="I968" s="17"/>
    </row>
    <row r="969" spans="1:9" x14ac:dyDescent="0.2">
      <c r="A969" s="17"/>
      <c r="B969" s="17"/>
      <c r="C969" s="17"/>
      <c r="D969" s="17"/>
      <c r="E969" s="17"/>
      <c r="F969" s="17"/>
      <c r="G969" s="17"/>
      <c r="H969" s="17"/>
      <c r="I969" s="17"/>
    </row>
    <row r="970" spans="1:9" x14ac:dyDescent="0.2">
      <c r="A970" s="17"/>
      <c r="B970" s="17"/>
      <c r="C970" s="17"/>
      <c r="D970" s="17"/>
      <c r="E970" s="17"/>
      <c r="F970" s="17"/>
      <c r="G970" s="17"/>
      <c r="H970" s="17"/>
      <c r="I970" s="17"/>
    </row>
    <row r="971" spans="1:9" x14ac:dyDescent="0.2">
      <c r="A971" s="17"/>
      <c r="B971" s="17"/>
      <c r="C971" s="17"/>
      <c r="D971" s="17"/>
      <c r="E971" s="17"/>
      <c r="F971" s="17"/>
      <c r="G971" s="17"/>
      <c r="H971" s="17"/>
      <c r="I971" s="17"/>
    </row>
    <row r="972" spans="1:9" x14ac:dyDescent="0.2">
      <c r="A972" s="17"/>
      <c r="B972" s="17"/>
      <c r="C972" s="17"/>
      <c r="D972" s="17"/>
      <c r="E972" s="17"/>
      <c r="F972" s="17"/>
      <c r="G972" s="17"/>
      <c r="H972" s="17"/>
      <c r="I972" s="17"/>
    </row>
    <row r="973" spans="1:9" x14ac:dyDescent="0.2">
      <c r="A973" s="17"/>
      <c r="B973" s="17"/>
      <c r="C973" s="17"/>
      <c r="D973" s="17"/>
      <c r="E973" s="17"/>
      <c r="F973" s="17"/>
      <c r="G973" s="17"/>
      <c r="H973" s="17"/>
      <c r="I973" s="17"/>
    </row>
    <row r="974" spans="1:9" x14ac:dyDescent="0.2">
      <c r="A974" s="17"/>
      <c r="B974" s="17"/>
      <c r="C974" s="17"/>
      <c r="D974" s="17"/>
      <c r="E974" s="17"/>
      <c r="F974" s="17"/>
      <c r="G974" s="17"/>
      <c r="H974" s="17"/>
      <c r="I974" s="17"/>
    </row>
    <row r="975" spans="1:9" x14ac:dyDescent="0.2">
      <c r="A975" s="17"/>
      <c r="B975" s="17"/>
      <c r="C975" s="17"/>
      <c r="D975" s="17"/>
      <c r="E975" s="17"/>
      <c r="F975" s="17"/>
      <c r="G975" s="17"/>
      <c r="H975" s="17"/>
      <c r="I975" s="17"/>
    </row>
    <row r="976" spans="1:9" x14ac:dyDescent="0.2">
      <c r="A976" s="17"/>
      <c r="B976" s="17"/>
      <c r="C976" s="17"/>
      <c r="D976" s="17"/>
      <c r="E976" s="17"/>
      <c r="F976" s="17"/>
      <c r="G976" s="17"/>
      <c r="H976" s="17"/>
      <c r="I976" s="17"/>
    </row>
    <row r="977" spans="1:9" x14ac:dyDescent="0.2">
      <c r="A977" s="17"/>
      <c r="B977" s="17"/>
      <c r="C977" s="17"/>
      <c r="D977" s="17"/>
      <c r="E977" s="17"/>
      <c r="F977" s="17"/>
      <c r="G977" s="17"/>
      <c r="H977" s="17"/>
      <c r="I977" s="17"/>
    </row>
    <row r="978" spans="1:9" x14ac:dyDescent="0.2">
      <c r="A978" s="17"/>
      <c r="B978" s="17"/>
      <c r="C978" s="17"/>
      <c r="D978" s="17"/>
      <c r="E978" s="17"/>
      <c r="F978" s="17"/>
      <c r="G978" s="17"/>
      <c r="H978" s="17"/>
      <c r="I978" s="17"/>
    </row>
    <row r="979" spans="1:9" x14ac:dyDescent="0.2">
      <c r="A979" s="17"/>
      <c r="B979" s="17"/>
      <c r="C979" s="17"/>
      <c r="D979" s="17"/>
      <c r="E979" s="17"/>
      <c r="F979" s="17"/>
      <c r="G979" s="17"/>
      <c r="H979" s="17"/>
      <c r="I979" s="17"/>
    </row>
    <row r="980" spans="1:9" x14ac:dyDescent="0.2">
      <c r="A980" s="17"/>
      <c r="B980" s="17"/>
      <c r="C980" s="17"/>
      <c r="D980" s="17"/>
      <c r="E980" s="17"/>
      <c r="F980" s="17"/>
      <c r="G980" s="17"/>
      <c r="H980" s="17"/>
      <c r="I980" s="17"/>
    </row>
    <row r="981" spans="1:9" x14ac:dyDescent="0.2">
      <c r="A981" s="17"/>
      <c r="B981" s="17"/>
      <c r="C981" s="17"/>
      <c r="D981" s="17"/>
      <c r="E981" s="17"/>
      <c r="F981" s="17"/>
      <c r="G981" s="17"/>
      <c r="H981" s="17"/>
      <c r="I981" s="17"/>
    </row>
    <row r="982" spans="1:9" x14ac:dyDescent="0.2">
      <c r="A982" s="17"/>
      <c r="B982" s="17"/>
      <c r="C982" s="17"/>
      <c r="D982" s="17"/>
      <c r="E982" s="17"/>
      <c r="F982" s="17"/>
      <c r="G982" s="17"/>
      <c r="H982" s="17"/>
      <c r="I982" s="17"/>
    </row>
    <row r="983" spans="1:9" x14ac:dyDescent="0.2">
      <c r="A983" s="17"/>
      <c r="B983" s="17"/>
      <c r="C983" s="17"/>
      <c r="D983" s="17"/>
      <c r="E983" s="17"/>
      <c r="F983" s="17"/>
      <c r="G983" s="17"/>
      <c r="H983" s="17"/>
      <c r="I983" s="17"/>
    </row>
    <row r="984" spans="1:9" x14ac:dyDescent="0.2">
      <c r="A984" s="17"/>
      <c r="B984" s="17"/>
      <c r="C984" s="17"/>
      <c r="D984" s="17"/>
      <c r="E984" s="17"/>
      <c r="F984" s="17"/>
      <c r="G984" s="17"/>
      <c r="H984" s="17"/>
      <c r="I984" s="17"/>
    </row>
    <row r="985" spans="1:9" x14ac:dyDescent="0.2">
      <c r="A985" s="17"/>
      <c r="B985" s="17"/>
      <c r="C985" s="17"/>
      <c r="D985" s="17"/>
      <c r="E985" s="17"/>
      <c r="F985" s="17"/>
      <c r="G985" s="17"/>
      <c r="H985" s="17"/>
      <c r="I985" s="17"/>
    </row>
    <row r="986" spans="1:9" x14ac:dyDescent="0.2">
      <c r="A986" s="17"/>
      <c r="B986" s="17"/>
      <c r="C986" s="17"/>
      <c r="D986" s="17"/>
      <c r="E986" s="17"/>
      <c r="F986" s="17"/>
      <c r="G986" s="17"/>
      <c r="H986" s="17"/>
      <c r="I986" s="17"/>
    </row>
    <row r="987" spans="1:9" x14ac:dyDescent="0.2">
      <c r="A987" s="17"/>
      <c r="B987" s="17"/>
      <c r="C987" s="17"/>
      <c r="D987" s="17"/>
      <c r="E987" s="17"/>
      <c r="F987" s="17"/>
      <c r="G987" s="17"/>
      <c r="H987" s="17"/>
      <c r="I987" s="17"/>
    </row>
    <row r="988" spans="1:9" x14ac:dyDescent="0.2">
      <c r="A988" s="17"/>
      <c r="B988" s="17"/>
      <c r="C988" s="17"/>
      <c r="D988" s="17"/>
      <c r="E988" s="17"/>
      <c r="F988" s="17"/>
      <c r="G988" s="17"/>
      <c r="H988" s="17"/>
      <c r="I988" s="17"/>
    </row>
    <row r="989" spans="1:9" x14ac:dyDescent="0.2">
      <c r="A989" s="17"/>
      <c r="B989" s="17"/>
      <c r="C989" s="17"/>
      <c r="D989" s="17"/>
      <c r="E989" s="17"/>
      <c r="F989" s="17"/>
      <c r="G989" s="17"/>
      <c r="H989" s="17"/>
      <c r="I989" s="17"/>
    </row>
    <row r="990" spans="1:9" x14ac:dyDescent="0.2">
      <c r="A990" s="17"/>
      <c r="B990" s="17"/>
      <c r="C990" s="17"/>
      <c r="D990" s="17"/>
      <c r="E990" s="17"/>
      <c r="F990" s="17"/>
      <c r="G990" s="17"/>
      <c r="H990" s="17"/>
      <c r="I990" s="17"/>
    </row>
    <row r="991" spans="1:9" x14ac:dyDescent="0.2">
      <c r="A991" s="17"/>
      <c r="B991" s="17"/>
      <c r="C991" s="17"/>
      <c r="D991" s="17"/>
      <c r="E991" s="17"/>
      <c r="F991" s="17"/>
      <c r="G991" s="17"/>
      <c r="H991" s="17"/>
      <c r="I991" s="17"/>
    </row>
    <row r="992" spans="1:9" x14ac:dyDescent="0.2">
      <c r="A992" s="17"/>
      <c r="B992" s="17"/>
      <c r="C992" s="17"/>
      <c r="D992" s="17"/>
      <c r="E992" s="17"/>
      <c r="F992" s="17"/>
      <c r="G992" s="17"/>
      <c r="H992" s="17"/>
      <c r="I992" s="17"/>
    </row>
    <row r="993" spans="1:9" x14ac:dyDescent="0.2">
      <c r="A993" s="17"/>
      <c r="B993" s="17"/>
      <c r="C993" s="17"/>
      <c r="D993" s="17"/>
      <c r="E993" s="17"/>
      <c r="F993" s="17"/>
      <c r="G993" s="17"/>
      <c r="H993" s="17"/>
      <c r="I993" s="17"/>
    </row>
    <row r="994" spans="1:9" x14ac:dyDescent="0.2">
      <c r="A994" s="17"/>
      <c r="B994" s="17"/>
      <c r="C994" s="17"/>
      <c r="D994" s="17"/>
      <c r="E994" s="17"/>
      <c r="F994" s="17"/>
      <c r="G994" s="17"/>
      <c r="H994" s="17"/>
      <c r="I994" s="17"/>
    </row>
    <row r="995" spans="1:9" x14ac:dyDescent="0.2">
      <c r="A995" s="17"/>
      <c r="B995" s="17"/>
      <c r="C995" s="17"/>
      <c r="D995" s="17"/>
      <c r="E995" s="17"/>
      <c r="F995" s="17"/>
      <c r="G995" s="17"/>
      <c r="H995" s="17"/>
      <c r="I995" s="17"/>
    </row>
    <row r="996" spans="1:9" x14ac:dyDescent="0.2">
      <c r="A996" s="17"/>
      <c r="B996" s="17"/>
      <c r="C996" s="17"/>
      <c r="D996" s="17"/>
      <c r="E996" s="17"/>
      <c r="F996" s="17"/>
      <c r="G996" s="17"/>
      <c r="H996" s="17"/>
      <c r="I996" s="17"/>
    </row>
    <row r="997" spans="1:9" x14ac:dyDescent="0.2">
      <c r="A997" s="17"/>
      <c r="B997" s="17"/>
      <c r="C997" s="17"/>
      <c r="D997" s="17"/>
      <c r="E997" s="17"/>
      <c r="F997" s="17"/>
      <c r="G997" s="17"/>
      <c r="H997" s="17"/>
      <c r="I997" s="17"/>
    </row>
    <row r="998" spans="1:9" x14ac:dyDescent="0.2">
      <c r="A998" s="17"/>
      <c r="B998" s="17"/>
      <c r="C998" s="17"/>
      <c r="D998" s="17"/>
      <c r="E998" s="17"/>
      <c r="F998" s="17"/>
      <c r="G998" s="17"/>
      <c r="H998" s="17"/>
      <c r="I998" s="17"/>
    </row>
    <row r="999" spans="1:9" x14ac:dyDescent="0.2">
      <c r="A999" s="17"/>
      <c r="B999" s="17"/>
      <c r="C999" s="17"/>
      <c r="D999" s="17"/>
      <c r="E999" s="17"/>
      <c r="F999" s="17"/>
      <c r="G999" s="17"/>
      <c r="H999" s="17"/>
      <c r="I999" s="17"/>
    </row>
    <row r="1000" spans="1:9" x14ac:dyDescent="0.2">
      <c r="A1000" s="17"/>
      <c r="B1000" s="17"/>
      <c r="C1000" s="17"/>
      <c r="D1000" s="17"/>
      <c r="E1000" s="17"/>
      <c r="F1000" s="17"/>
      <c r="G1000" s="17"/>
      <c r="H1000" s="17"/>
      <c r="I1000" s="17"/>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bestFit="1" customWidth="1"/>
    <col min="2" max="2" width="7.5703125" bestFit="1" customWidth="1"/>
    <col min="3" max="3" width="12.42578125" bestFit="1" customWidth="1"/>
    <col min="4" max="4" width="14.7109375" customWidth="1"/>
    <col min="5" max="6" width="9.28515625" customWidth="1"/>
    <col min="7" max="7" width="10.5703125" bestFit="1" customWidth="1"/>
  </cols>
  <sheetData>
    <row r="1" spans="1:11" x14ac:dyDescent="0.2">
      <c r="A1" s="688" t="s">
        <v>2446</v>
      </c>
      <c r="B1" s="688"/>
      <c r="C1" s="688"/>
      <c r="D1" s="688"/>
      <c r="E1" s="688"/>
      <c r="F1" s="688"/>
      <c r="G1" s="688"/>
    </row>
    <row r="2" spans="1:11" x14ac:dyDescent="0.2">
      <c r="A2" s="370" t="s">
        <v>2371</v>
      </c>
      <c r="B2" s="370" t="s">
        <v>2103</v>
      </c>
      <c r="C2" s="385" t="s">
        <v>2383</v>
      </c>
      <c r="D2" s="365" t="s">
        <v>2447</v>
      </c>
      <c r="E2" s="365" t="s">
        <v>2448</v>
      </c>
      <c r="F2" s="365" t="s">
        <v>2449</v>
      </c>
      <c r="G2" s="365" t="s">
        <v>2450</v>
      </c>
      <c r="K2" s="49" t="s">
        <v>2451</v>
      </c>
    </row>
    <row r="3" spans="1:11" x14ac:dyDescent="0.2">
      <c r="A3" s="17"/>
      <c r="B3" s="17"/>
      <c r="C3" s="17"/>
      <c r="D3" s="17"/>
      <c r="E3" s="17"/>
      <c r="F3" s="17"/>
      <c r="G3" s="17"/>
    </row>
    <row r="4" spans="1:11" x14ac:dyDescent="0.2">
      <c r="A4" s="17"/>
      <c r="B4" s="17"/>
      <c r="C4" s="17"/>
      <c r="D4" s="17"/>
      <c r="E4" s="17"/>
      <c r="F4" s="17"/>
      <c r="G4" s="17"/>
    </row>
    <row r="5" spans="1:11" x14ac:dyDescent="0.2">
      <c r="A5" s="17"/>
      <c r="B5" s="17"/>
      <c r="C5" s="17"/>
      <c r="D5" s="17"/>
      <c r="E5" s="17"/>
      <c r="F5" s="17"/>
      <c r="G5" s="17"/>
    </row>
    <row r="6" spans="1:11" x14ac:dyDescent="0.2">
      <c r="A6" s="17"/>
      <c r="B6" s="17"/>
      <c r="C6" s="17"/>
      <c r="D6" s="17"/>
      <c r="E6" s="17"/>
      <c r="F6" s="17"/>
      <c r="G6" s="17"/>
    </row>
    <row r="7" spans="1:11" x14ac:dyDescent="0.2">
      <c r="A7" s="17"/>
      <c r="B7" s="17"/>
      <c r="C7" s="17"/>
      <c r="D7" s="17"/>
      <c r="E7" s="17"/>
      <c r="F7" s="17"/>
      <c r="G7" s="17"/>
    </row>
    <row r="8" spans="1:11" x14ac:dyDescent="0.2">
      <c r="A8" s="17"/>
      <c r="B8" s="17"/>
      <c r="C8" s="17"/>
      <c r="D8" s="17"/>
      <c r="E8" s="17"/>
      <c r="F8" s="17"/>
      <c r="G8" s="17"/>
    </row>
    <row r="9" spans="1:11" x14ac:dyDescent="0.2">
      <c r="A9" s="17"/>
      <c r="B9" s="17"/>
      <c r="C9" s="17"/>
      <c r="D9" s="17"/>
      <c r="E9" s="17"/>
      <c r="F9" s="17"/>
      <c r="G9" s="17"/>
    </row>
    <row r="10" spans="1:11" x14ac:dyDescent="0.2">
      <c r="A10" s="17"/>
      <c r="B10" s="17"/>
      <c r="C10" s="17"/>
      <c r="D10" s="17"/>
      <c r="E10" s="17"/>
      <c r="F10" s="17"/>
      <c r="G10" s="17"/>
    </row>
    <row r="11" spans="1:11" x14ac:dyDescent="0.2">
      <c r="A11" s="17"/>
      <c r="B11" s="17"/>
      <c r="C11" s="17"/>
      <c r="D11" s="17"/>
      <c r="E11" s="17"/>
      <c r="F11" s="17"/>
      <c r="G11" s="17"/>
    </row>
    <row r="12" spans="1:11" x14ac:dyDescent="0.2">
      <c r="A12" s="17"/>
      <c r="B12" s="17"/>
      <c r="C12" s="17"/>
      <c r="D12" s="17"/>
      <c r="E12" s="17"/>
      <c r="F12" s="17"/>
      <c r="G12" s="17"/>
    </row>
    <row r="13" spans="1:11" x14ac:dyDescent="0.2">
      <c r="A13" s="17"/>
      <c r="B13" s="17"/>
      <c r="C13" s="17"/>
      <c r="D13" s="17"/>
      <c r="E13" s="17"/>
      <c r="F13" s="17"/>
      <c r="G13" s="17"/>
    </row>
    <row r="14" spans="1:11" x14ac:dyDescent="0.2">
      <c r="A14" s="17"/>
      <c r="B14" s="17"/>
      <c r="C14" s="17"/>
      <c r="D14" s="17"/>
      <c r="E14" s="17"/>
      <c r="F14" s="17"/>
      <c r="G14" s="17"/>
    </row>
    <row r="15" spans="1:11" x14ac:dyDescent="0.2">
      <c r="A15" s="17"/>
      <c r="B15" s="17"/>
      <c r="C15" s="17"/>
      <c r="D15" s="17"/>
      <c r="E15" s="17"/>
      <c r="F15" s="17"/>
      <c r="G15" s="17"/>
    </row>
    <row r="16" spans="1:11" x14ac:dyDescent="0.2">
      <c r="A16" s="17"/>
      <c r="B16" s="17"/>
      <c r="C16" s="17"/>
      <c r="D16" s="17"/>
      <c r="E16" s="17"/>
      <c r="F16" s="17"/>
      <c r="G16" s="17"/>
    </row>
    <row r="17" spans="1:7" x14ac:dyDescent="0.2">
      <c r="A17" s="17"/>
      <c r="B17" s="17"/>
      <c r="C17" s="17"/>
      <c r="D17" s="17"/>
      <c r="E17" s="17"/>
      <c r="F17" s="17"/>
      <c r="G17" s="17"/>
    </row>
    <row r="18" spans="1:7" x14ac:dyDescent="0.2">
      <c r="A18" s="17"/>
      <c r="B18" s="17"/>
      <c r="C18" s="17"/>
      <c r="D18" s="17"/>
      <c r="E18" s="17"/>
      <c r="F18" s="17"/>
      <c r="G18" s="17"/>
    </row>
    <row r="19" spans="1:7" x14ac:dyDescent="0.2">
      <c r="A19" s="17"/>
      <c r="B19" s="17"/>
      <c r="C19" s="17"/>
      <c r="D19" s="17"/>
      <c r="E19" s="17"/>
      <c r="F19" s="17"/>
      <c r="G19" s="17"/>
    </row>
    <row r="20" spans="1:7" x14ac:dyDescent="0.2">
      <c r="A20" s="17"/>
      <c r="B20" s="17"/>
      <c r="C20" s="17"/>
      <c r="D20" s="17"/>
      <c r="E20" s="17"/>
      <c r="F20" s="17"/>
      <c r="G20" s="17"/>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bestFit="1" customWidth="1"/>
    <col min="3" max="3" width="12" bestFit="1" customWidth="1"/>
    <col min="4" max="4" width="15.28515625" customWidth="1"/>
    <col min="5" max="5" width="10.5703125" bestFit="1" customWidth="1"/>
    <col min="6" max="7" width="12.42578125" customWidth="1"/>
    <col min="8" max="8" width="7.28515625" bestFit="1" customWidth="1"/>
    <col min="9" max="9" width="15.5703125" bestFit="1" customWidth="1"/>
    <col min="10" max="10" width="14.42578125" bestFit="1" customWidth="1"/>
    <col min="11" max="11" width="9.42578125" bestFit="1" customWidth="1"/>
    <col min="12" max="12" width="23.5703125" bestFit="1" customWidth="1"/>
    <col min="13" max="13" width="23.42578125" bestFit="1" customWidth="1"/>
    <col min="14" max="14" width="23.85546875" bestFit="1" customWidth="1"/>
    <col min="15" max="16" width="23.7109375" bestFit="1" customWidth="1"/>
    <col min="17" max="17" width="23.5703125" bestFit="1" customWidth="1"/>
    <col min="18" max="18" width="15" bestFit="1" customWidth="1"/>
    <col min="19" max="19" width="10.5703125" bestFit="1" customWidth="1"/>
  </cols>
  <sheetData>
    <row r="1" spans="1:22" x14ac:dyDescent="0.2">
      <c r="A1" s="688" t="s">
        <v>2452</v>
      </c>
      <c r="B1" s="688"/>
      <c r="C1" s="688"/>
      <c r="D1" s="688"/>
      <c r="E1" s="688"/>
      <c r="F1" s="688"/>
      <c r="G1" s="688"/>
      <c r="H1" s="688"/>
      <c r="I1" s="688"/>
      <c r="J1" s="688"/>
      <c r="K1" s="688"/>
      <c r="L1" s="688"/>
      <c r="M1" s="688"/>
      <c r="N1" s="688"/>
      <c r="O1" s="688"/>
      <c r="P1" s="688"/>
      <c r="Q1" s="688"/>
      <c r="R1" s="688"/>
      <c r="S1" s="688"/>
    </row>
    <row r="2" spans="1:22" x14ac:dyDescent="0.2">
      <c r="A2" s="370" t="s">
        <v>2371</v>
      </c>
      <c r="B2" s="370" t="s">
        <v>2103</v>
      </c>
      <c r="C2" s="385" t="s">
        <v>2453</v>
      </c>
      <c r="D2" s="365" t="s">
        <v>2447</v>
      </c>
      <c r="E2" s="365" t="s">
        <v>2415</v>
      </c>
      <c r="F2" s="365" t="s">
        <v>2454</v>
      </c>
      <c r="G2" s="365" t="s">
        <v>2455</v>
      </c>
      <c r="H2" s="365" t="s">
        <v>2456</v>
      </c>
      <c r="I2" s="365" t="s">
        <v>2457</v>
      </c>
      <c r="J2" s="365" t="s">
        <v>2458</v>
      </c>
      <c r="K2" s="365" t="s">
        <v>2459</v>
      </c>
      <c r="L2" s="365" t="s">
        <v>2460</v>
      </c>
      <c r="M2" s="365" t="s">
        <v>2461</v>
      </c>
      <c r="N2" s="365" t="s">
        <v>2462</v>
      </c>
      <c r="O2" s="365" t="s">
        <v>2463</v>
      </c>
      <c r="P2" s="365" t="s">
        <v>2464</v>
      </c>
      <c r="Q2" s="365" t="s">
        <v>2465</v>
      </c>
      <c r="R2" s="365" t="s">
        <v>2466</v>
      </c>
      <c r="S2" s="365" t="s">
        <v>2450</v>
      </c>
      <c r="V2" s="49" t="s">
        <v>2467</v>
      </c>
    </row>
    <row r="3" spans="1:22" x14ac:dyDescent="0.2">
      <c r="A3" s="17"/>
      <c r="B3" s="17"/>
      <c r="C3" s="17"/>
      <c r="D3" s="17"/>
      <c r="E3" s="17"/>
      <c r="F3" s="17"/>
      <c r="G3" s="17"/>
      <c r="H3" s="17"/>
      <c r="I3" s="17"/>
      <c r="J3" s="17"/>
      <c r="K3" s="17"/>
      <c r="L3" s="17"/>
      <c r="M3" s="17"/>
      <c r="N3" s="17"/>
      <c r="O3" s="17"/>
      <c r="P3" s="17"/>
      <c r="Q3" s="17"/>
      <c r="R3" s="17"/>
      <c r="S3" s="17"/>
      <c r="V3" s="49"/>
    </row>
    <row r="4" spans="1:22" x14ac:dyDescent="0.2">
      <c r="A4" s="17"/>
      <c r="B4" s="17"/>
      <c r="C4" s="17"/>
      <c r="D4" s="17"/>
      <c r="E4" s="17"/>
      <c r="F4" s="17"/>
      <c r="G4" s="17"/>
      <c r="H4" s="17"/>
      <c r="I4" s="17"/>
      <c r="J4" s="17"/>
      <c r="K4" s="17"/>
      <c r="L4" s="17"/>
      <c r="M4" s="17"/>
      <c r="N4" s="17"/>
      <c r="O4" s="17"/>
      <c r="P4" s="17"/>
      <c r="Q4" s="17"/>
      <c r="R4" s="17"/>
      <c r="S4" s="17"/>
    </row>
    <row r="5" spans="1:22" x14ac:dyDescent="0.2">
      <c r="A5" s="17"/>
      <c r="B5" s="17"/>
      <c r="C5" s="17"/>
      <c r="D5" s="17"/>
      <c r="E5" s="17"/>
      <c r="F5" s="17"/>
      <c r="G5" s="17"/>
      <c r="H5" s="17"/>
      <c r="I5" s="17"/>
      <c r="J5" s="17"/>
      <c r="K5" s="17"/>
      <c r="L5" s="17"/>
      <c r="M5" s="17"/>
      <c r="N5" s="17"/>
      <c r="O5" s="17"/>
      <c r="P5" s="17"/>
      <c r="Q5" s="17"/>
      <c r="R5" s="17"/>
      <c r="S5" s="17"/>
    </row>
    <row r="6" spans="1:22" x14ac:dyDescent="0.2">
      <c r="A6" s="17"/>
      <c r="B6" s="17"/>
      <c r="C6" s="17"/>
      <c r="D6" s="17"/>
      <c r="E6" s="17"/>
      <c r="F6" s="17"/>
      <c r="G6" s="17"/>
      <c r="H6" s="17"/>
      <c r="I6" s="17"/>
      <c r="J6" s="17"/>
      <c r="K6" s="17"/>
      <c r="L6" s="17"/>
      <c r="M6" s="17"/>
      <c r="N6" s="17"/>
      <c r="O6" s="17"/>
      <c r="P6" s="17"/>
      <c r="Q6" s="17"/>
      <c r="R6" s="17"/>
      <c r="S6" s="17"/>
    </row>
    <row r="7" spans="1:22" x14ac:dyDescent="0.2">
      <c r="A7" s="17"/>
      <c r="B7" s="17"/>
      <c r="C7" s="17"/>
      <c r="D7" s="17"/>
      <c r="E7" s="17"/>
      <c r="F7" s="17"/>
      <c r="G7" s="17"/>
      <c r="H7" s="17"/>
      <c r="I7" s="17"/>
      <c r="J7" s="17"/>
      <c r="K7" s="17"/>
      <c r="L7" s="17"/>
      <c r="M7" s="17"/>
      <c r="N7" s="17"/>
      <c r="O7" s="17"/>
      <c r="P7" s="17"/>
      <c r="Q7" s="17"/>
      <c r="R7" s="17"/>
      <c r="S7" s="17"/>
    </row>
    <row r="8" spans="1:22" x14ac:dyDescent="0.2">
      <c r="A8" s="17"/>
      <c r="B8" s="17"/>
      <c r="C8" s="17"/>
      <c r="D8" s="17"/>
      <c r="E8" s="17"/>
      <c r="F8" s="17"/>
      <c r="G8" s="17"/>
      <c r="H8" s="17"/>
      <c r="I8" s="17"/>
      <c r="J8" s="17"/>
      <c r="K8" s="17"/>
      <c r="L8" s="17"/>
      <c r="M8" s="17"/>
      <c r="N8" s="17"/>
      <c r="O8" s="17"/>
      <c r="P8" s="17"/>
      <c r="Q8" s="17"/>
      <c r="R8" s="17"/>
      <c r="S8" s="17"/>
    </row>
    <row r="9" spans="1:22" x14ac:dyDescent="0.2">
      <c r="A9" s="17"/>
      <c r="B9" s="17"/>
      <c r="C9" s="17"/>
      <c r="D9" s="17"/>
      <c r="E9" s="17"/>
      <c r="F9" s="17"/>
      <c r="G9" s="17"/>
      <c r="H9" s="17"/>
      <c r="I9" s="17"/>
      <c r="J9" s="17"/>
      <c r="K9" s="17"/>
      <c r="L9" s="17"/>
      <c r="M9" s="17"/>
      <c r="N9" s="17"/>
      <c r="O9" s="17"/>
      <c r="P9" s="17"/>
      <c r="Q9" s="17"/>
      <c r="R9" s="17"/>
      <c r="S9" s="17"/>
    </row>
    <row r="10" spans="1:22" x14ac:dyDescent="0.2">
      <c r="A10" s="17"/>
      <c r="B10" s="17"/>
      <c r="C10" s="17"/>
      <c r="D10" s="17"/>
      <c r="E10" s="17"/>
      <c r="F10" s="17"/>
      <c r="G10" s="17"/>
      <c r="H10" s="17"/>
      <c r="I10" s="17"/>
      <c r="J10" s="17"/>
      <c r="K10" s="17"/>
      <c r="L10" s="17"/>
      <c r="M10" s="17"/>
      <c r="N10" s="17"/>
      <c r="O10" s="17"/>
      <c r="P10" s="17"/>
      <c r="Q10" s="17"/>
      <c r="R10" s="17"/>
      <c r="S10" s="17"/>
    </row>
    <row r="11" spans="1:22" x14ac:dyDescent="0.2">
      <c r="A11" s="17"/>
      <c r="B11" s="17"/>
      <c r="C11" s="17"/>
      <c r="D11" s="17"/>
      <c r="E11" s="17"/>
      <c r="F11" s="17"/>
      <c r="G11" s="17"/>
      <c r="H11" s="17"/>
      <c r="I11" s="17"/>
      <c r="J11" s="17"/>
      <c r="K11" s="17"/>
      <c r="L11" s="17"/>
      <c r="M11" s="17"/>
      <c r="N11" s="17"/>
      <c r="O11" s="17"/>
      <c r="P11" s="17"/>
      <c r="Q11" s="17"/>
      <c r="R11" s="17"/>
      <c r="S11" s="17"/>
    </row>
    <row r="12" spans="1:22" x14ac:dyDescent="0.2">
      <c r="A12" s="17"/>
      <c r="B12" s="17"/>
      <c r="C12" s="17"/>
      <c r="D12" s="17"/>
      <c r="E12" s="17"/>
      <c r="F12" s="17"/>
      <c r="G12" s="17"/>
      <c r="H12" s="17"/>
      <c r="I12" s="17"/>
      <c r="J12" s="17"/>
      <c r="K12" s="17"/>
      <c r="L12" s="17"/>
      <c r="M12" s="17"/>
      <c r="N12" s="17"/>
      <c r="O12" s="17"/>
      <c r="P12" s="17"/>
      <c r="Q12" s="17"/>
      <c r="R12" s="17"/>
      <c r="S12" s="17"/>
    </row>
    <row r="13" spans="1:22" x14ac:dyDescent="0.2">
      <c r="A13" s="17"/>
      <c r="B13" s="17"/>
      <c r="C13" s="17"/>
      <c r="D13" s="17"/>
      <c r="E13" s="17"/>
      <c r="F13" s="17"/>
      <c r="G13" s="17"/>
      <c r="H13" s="17"/>
      <c r="I13" s="17"/>
      <c r="J13" s="17"/>
      <c r="K13" s="17"/>
      <c r="L13" s="17"/>
      <c r="M13" s="17"/>
      <c r="N13" s="17"/>
      <c r="O13" s="17"/>
      <c r="P13" s="17"/>
      <c r="Q13" s="17"/>
      <c r="R13" s="17"/>
      <c r="S13" s="17"/>
    </row>
    <row r="14" spans="1:22" x14ac:dyDescent="0.2">
      <c r="A14" s="17"/>
      <c r="B14" s="17"/>
      <c r="C14" s="17"/>
      <c r="D14" s="17"/>
      <c r="E14" s="17"/>
      <c r="F14" s="17"/>
      <c r="G14" s="17"/>
      <c r="H14" s="17"/>
      <c r="I14" s="17"/>
      <c r="J14" s="17"/>
      <c r="K14" s="17"/>
      <c r="L14" s="17"/>
      <c r="M14" s="17"/>
      <c r="N14" s="17"/>
      <c r="O14" s="17"/>
      <c r="P14" s="17"/>
      <c r="Q14" s="17"/>
      <c r="R14" s="17"/>
      <c r="S14" s="17"/>
    </row>
    <row r="15" spans="1:22" x14ac:dyDescent="0.2">
      <c r="A15" s="17"/>
      <c r="B15" s="17"/>
      <c r="C15" s="17"/>
      <c r="D15" s="17"/>
      <c r="E15" s="17"/>
      <c r="F15" s="17"/>
      <c r="G15" s="17"/>
      <c r="H15" s="17"/>
      <c r="I15" s="17"/>
      <c r="J15" s="17"/>
      <c r="K15" s="17"/>
      <c r="L15" s="17"/>
      <c r="M15" s="17"/>
      <c r="N15" s="17"/>
      <c r="O15" s="17"/>
      <c r="P15" s="17"/>
      <c r="Q15" s="17"/>
      <c r="R15" s="17"/>
      <c r="S15" s="17"/>
    </row>
    <row r="16" spans="1:22" x14ac:dyDescent="0.2">
      <c r="A16" s="17"/>
      <c r="B16" s="17"/>
      <c r="C16" s="17"/>
      <c r="D16" s="17"/>
      <c r="E16" s="17"/>
      <c r="F16" s="17"/>
      <c r="G16" s="17"/>
      <c r="H16" s="17"/>
      <c r="I16" s="17"/>
      <c r="J16" s="17"/>
      <c r="K16" s="17"/>
      <c r="L16" s="17"/>
      <c r="M16" s="17"/>
      <c r="N16" s="17"/>
      <c r="O16" s="17"/>
      <c r="P16" s="17"/>
      <c r="Q16" s="17"/>
      <c r="R16" s="17"/>
      <c r="S16" s="17"/>
    </row>
    <row r="17" spans="1:19" x14ac:dyDescent="0.2">
      <c r="A17" s="17"/>
      <c r="B17" s="17"/>
      <c r="C17" s="17"/>
      <c r="D17" s="17"/>
      <c r="E17" s="17"/>
      <c r="F17" s="17"/>
      <c r="G17" s="17"/>
      <c r="H17" s="17"/>
      <c r="I17" s="17"/>
      <c r="J17" s="17"/>
      <c r="K17" s="17"/>
      <c r="L17" s="17"/>
      <c r="M17" s="17"/>
      <c r="N17" s="17"/>
      <c r="O17" s="17"/>
      <c r="P17" s="17"/>
      <c r="Q17" s="17"/>
      <c r="R17" s="17"/>
      <c r="S17" s="17"/>
    </row>
    <row r="18" spans="1:19" x14ac:dyDescent="0.2">
      <c r="A18" s="17"/>
      <c r="B18" s="17"/>
      <c r="C18" s="17"/>
      <c r="D18" s="17"/>
      <c r="E18" s="17"/>
      <c r="F18" s="17"/>
      <c r="G18" s="17"/>
      <c r="H18" s="17"/>
      <c r="I18" s="17"/>
      <c r="J18" s="17"/>
      <c r="K18" s="17"/>
      <c r="L18" s="17"/>
      <c r="M18" s="17"/>
      <c r="N18" s="17"/>
      <c r="O18" s="17"/>
      <c r="P18" s="17"/>
      <c r="Q18" s="17"/>
      <c r="R18" s="17"/>
      <c r="S18" s="17"/>
    </row>
    <row r="19" spans="1:19" x14ac:dyDescent="0.2">
      <c r="A19" s="17"/>
      <c r="B19" s="17"/>
      <c r="C19" s="17"/>
      <c r="D19" s="17"/>
      <c r="E19" s="17"/>
      <c r="F19" s="17"/>
      <c r="G19" s="17"/>
      <c r="H19" s="17"/>
      <c r="I19" s="17"/>
      <c r="J19" s="17"/>
      <c r="K19" s="17"/>
      <c r="L19" s="17"/>
      <c r="M19" s="17"/>
      <c r="N19" s="17"/>
      <c r="O19" s="17"/>
      <c r="P19" s="17"/>
      <c r="Q19" s="17"/>
      <c r="R19" s="17"/>
      <c r="S19" s="17"/>
    </row>
    <row r="20" spans="1:19" x14ac:dyDescent="0.2">
      <c r="A20" s="17"/>
      <c r="B20" s="17"/>
      <c r="C20" s="17"/>
      <c r="D20" s="17"/>
      <c r="E20" s="17"/>
      <c r="F20" s="17"/>
      <c r="G20" s="17"/>
      <c r="H20" s="17"/>
      <c r="I20" s="17"/>
      <c r="J20" s="17"/>
      <c r="K20" s="17"/>
      <c r="L20" s="17"/>
      <c r="M20" s="17"/>
      <c r="N20" s="17"/>
      <c r="O20" s="17"/>
      <c r="P20" s="17"/>
      <c r="Q20" s="17"/>
      <c r="R20" s="17"/>
      <c r="S20" s="17"/>
    </row>
    <row r="56" spans="3:4" x14ac:dyDescent="0.2">
      <c r="C56" s="49"/>
    </row>
    <row r="57" spans="3:4" x14ac:dyDescent="0.2">
      <c r="C57" s="49"/>
      <c r="D57" s="49"/>
    </row>
    <row r="61" spans="3:4" x14ac:dyDescent="0.2">
      <c r="D61" s="49"/>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J55" sqref="J55"/>
    </sheetView>
  </sheetViews>
  <sheetFormatPr defaultRowHeight="12.75" x14ac:dyDescent="0.2"/>
  <cols>
    <col min="1" max="1" width="7.42578125" bestFit="1" customWidth="1"/>
    <col min="2" max="2" width="10.7109375" bestFit="1" customWidth="1"/>
    <col min="3" max="3" width="12.42578125" bestFit="1" customWidth="1"/>
    <col min="4" max="4" width="16.140625" bestFit="1" customWidth="1"/>
    <col min="5" max="8" width="12" customWidth="1"/>
    <col min="9" max="9" width="18.28515625" bestFit="1" customWidth="1"/>
    <col min="10" max="10" width="20" bestFit="1" customWidth="1"/>
    <col min="11" max="11" width="11" bestFit="1" customWidth="1"/>
    <col min="12" max="12" width="10" bestFit="1" customWidth="1"/>
    <col min="13" max="13" width="11.42578125" bestFit="1" customWidth="1"/>
    <col min="14" max="14" width="10.7109375" bestFit="1" customWidth="1"/>
    <col min="15" max="15" width="8.140625" bestFit="1" customWidth="1"/>
    <col min="16" max="16" width="9" bestFit="1" customWidth="1"/>
    <col min="17" max="17" width="9" customWidth="1"/>
    <col min="18" max="18" width="12.42578125" bestFit="1" customWidth="1"/>
    <col min="19" max="20" width="11.140625" customWidth="1"/>
    <col min="21" max="21" width="7.42578125" customWidth="1"/>
    <col min="22" max="23" width="3.7109375" bestFit="1" customWidth="1"/>
    <col min="24" max="24" width="13.7109375" bestFit="1" customWidth="1"/>
    <col min="25" max="25" width="8.7109375" bestFit="1" customWidth="1"/>
    <col min="26" max="26" width="9.5703125" bestFit="1" customWidth="1"/>
    <col min="27" max="27" width="19" bestFit="1" customWidth="1"/>
    <col min="28" max="28" width="23.28515625" bestFit="1" customWidth="1"/>
    <col min="29" max="29" width="23.5703125" bestFit="1" customWidth="1"/>
    <col min="30" max="30" width="23.42578125" bestFit="1" customWidth="1"/>
    <col min="31" max="31" width="10.85546875" bestFit="1" customWidth="1"/>
    <col min="32" max="32" width="15.85546875" bestFit="1" customWidth="1"/>
    <col min="33" max="33" width="15.7109375" bestFit="1" customWidth="1"/>
    <col min="34" max="34" width="13" bestFit="1" customWidth="1"/>
    <col min="35" max="35" width="16" bestFit="1" customWidth="1"/>
    <col min="36" max="36" width="17.7109375" bestFit="1" customWidth="1"/>
    <col min="37" max="37" width="25.42578125" bestFit="1" customWidth="1"/>
    <col min="38" max="38" width="14.5703125" bestFit="1" customWidth="1"/>
    <col min="39" max="39" width="18.7109375" bestFit="1" customWidth="1"/>
    <col min="40" max="40" width="20.28515625" bestFit="1" customWidth="1"/>
    <col min="41" max="41" width="21.140625" bestFit="1" customWidth="1"/>
    <col min="42" max="42" width="21" bestFit="1" customWidth="1"/>
    <col min="43" max="44" width="23.28515625" bestFit="1" customWidth="1"/>
    <col min="45" max="45" width="18" bestFit="1" customWidth="1"/>
    <col min="46" max="46" width="19.5703125" bestFit="1" customWidth="1"/>
    <col min="47" max="48" width="22.5703125" bestFit="1" customWidth="1"/>
    <col min="49" max="49" width="30.5703125" bestFit="1" customWidth="1"/>
    <col min="50" max="50" width="18.85546875" bestFit="1" customWidth="1"/>
    <col min="51" max="51" width="23.140625" bestFit="1" customWidth="1"/>
    <col min="52" max="52" width="23.42578125" bestFit="1" customWidth="1"/>
    <col min="53" max="53" width="23.28515625" bestFit="1" customWidth="1"/>
    <col min="54" max="54" width="10.7109375" bestFit="1" customWidth="1"/>
    <col min="55" max="55" width="15.7109375" bestFit="1" customWidth="1"/>
    <col min="56" max="56" width="15.5703125" bestFit="1" customWidth="1"/>
    <col min="57" max="57" width="12.85546875" bestFit="1" customWidth="1"/>
    <col min="58" max="58" width="15.85546875" bestFit="1" customWidth="1"/>
    <col min="59" max="59" width="17.5703125" bestFit="1" customWidth="1"/>
    <col min="60" max="60" width="25.28515625" bestFit="1" customWidth="1"/>
    <col min="61" max="61" width="14.42578125" bestFit="1" customWidth="1"/>
    <col min="62" max="62" width="18.5703125" bestFit="1" customWidth="1"/>
    <col min="63" max="63" width="20.140625" bestFit="1" customWidth="1"/>
    <col min="64" max="64" width="21" bestFit="1" customWidth="1"/>
    <col min="65" max="65" width="20.85546875" bestFit="1" customWidth="1"/>
    <col min="66" max="67" width="23.140625" bestFit="1" customWidth="1"/>
    <col min="68" max="68" width="17.85546875" bestFit="1" customWidth="1"/>
    <col min="69" max="69" width="19.42578125" bestFit="1" customWidth="1"/>
    <col min="70" max="71" width="22.42578125" bestFit="1" customWidth="1"/>
    <col min="72" max="72" width="19.28515625" bestFit="1" customWidth="1"/>
    <col min="73" max="73" width="15.42578125" bestFit="1" customWidth="1"/>
    <col min="74" max="74" width="15.28515625" bestFit="1" customWidth="1"/>
    <col min="75" max="76" width="14.5703125" bestFit="1" customWidth="1"/>
    <col min="77" max="77" width="15.5703125" bestFit="1" customWidth="1"/>
    <col min="78" max="78" width="17.7109375" bestFit="1" customWidth="1"/>
    <col min="79" max="79" width="11.7109375" bestFit="1" customWidth="1"/>
    <col min="80" max="80" width="19.85546875" bestFit="1" customWidth="1"/>
    <col min="81" max="81" width="19.7109375" bestFit="1" customWidth="1"/>
    <col min="82" max="82" width="34.85546875" bestFit="1" customWidth="1"/>
    <col min="83" max="83" width="32.7109375" bestFit="1" customWidth="1"/>
    <col min="84" max="84" width="34.7109375" bestFit="1" customWidth="1"/>
    <col min="85" max="85" width="32.5703125" bestFit="1" customWidth="1"/>
    <col min="86" max="86" width="34.28515625" bestFit="1" customWidth="1"/>
    <col min="87" max="87" width="32.140625" bestFit="1" customWidth="1"/>
    <col min="88" max="88" width="34.140625" bestFit="1" customWidth="1"/>
    <col min="89" max="89" width="32" bestFit="1" customWidth="1"/>
    <col min="90" max="90" width="19.85546875" bestFit="1" customWidth="1"/>
    <col min="91" max="91" width="19.140625" bestFit="1" customWidth="1"/>
    <col min="92" max="92" width="19.7109375" bestFit="1" customWidth="1"/>
    <col min="93" max="93" width="19" bestFit="1" customWidth="1"/>
    <col min="94" max="95" width="15" bestFit="1" customWidth="1"/>
    <col min="96" max="96" width="16" bestFit="1" customWidth="1"/>
    <col min="97" max="97" width="18.140625" bestFit="1" customWidth="1"/>
    <col min="98" max="98" width="12.140625" bestFit="1" customWidth="1"/>
    <col min="99" max="99" width="20.28515625" bestFit="1" customWidth="1"/>
    <col min="100" max="100" width="20.140625" bestFit="1" customWidth="1"/>
    <col min="101" max="101" width="35.28515625" bestFit="1" customWidth="1"/>
    <col min="102" max="102" width="33.140625" bestFit="1" customWidth="1"/>
    <col min="103" max="103" width="35.140625" bestFit="1" customWidth="1"/>
    <col min="104" max="104" width="33" bestFit="1" customWidth="1"/>
    <col min="105" max="105" width="34.7109375" bestFit="1" customWidth="1"/>
    <col min="106" max="106" width="32.5703125" bestFit="1" customWidth="1"/>
    <col min="107" max="107" width="34.5703125" bestFit="1" customWidth="1"/>
    <col min="108" max="108" width="32.42578125" bestFit="1" customWidth="1"/>
    <col min="109" max="109" width="20.28515625" bestFit="1" customWidth="1"/>
    <col min="110" max="110" width="19.5703125" bestFit="1" customWidth="1"/>
    <col min="111" max="111" width="20.140625" bestFit="1" customWidth="1"/>
    <col min="112" max="112" width="19.42578125" bestFit="1" customWidth="1"/>
    <col min="113" max="114" width="15" bestFit="1" customWidth="1"/>
    <col min="115" max="115" width="16" bestFit="1" customWidth="1"/>
    <col min="116" max="116" width="18.140625" bestFit="1" customWidth="1"/>
    <col min="117" max="117" width="12.140625" bestFit="1" customWidth="1"/>
    <col min="118" max="118" width="20.28515625" bestFit="1" customWidth="1"/>
    <col min="119" max="119" width="20.140625" bestFit="1" customWidth="1"/>
    <col min="120" max="120" width="35.28515625" bestFit="1" customWidth="1"/>
    <col min="121" max="121" width="33.140625" bestFit="1" customWidth="1"/>
    <col min="122" max="122" width="35.140625" bestFit="1" customWidth="1"/>
    <col min="123" max="123" width="33" bestFit="1" customWidth="1"/>
    <col min="124" max="124" width="34.7109375" bestFit="1" customWidth="1"/>
    <col min="125" max="125" width="32.5703125" bestFit="1" customWidth="1"/>
    <col min="126" max="126" width="34.5703125" bestFit="1" customWidth="1"/>
    <col min="127" max="127" width="32.42578125" bestFit="1" customWidth="1"/>
    <col min="128" max="128" width="20.28515625" bestFit="1" customWidth="1"/>
    <col min="129" max="129" width="19.5703125" bestFit="1" customWidth="1"/>
    <col min="130" max="130" width="20.140625" bestFit="1" customWidth="1"/>
    <col min="131" max="131" width="19.42578125" bestFit="1" customWidth="1"/>
    <col min="132" max="132" width="10.5703125" bestFit="1" customWidth="1"/>
  </cols>
  <sheetData>
    <row r="1" spans="1:132" x14ac:dyDescent="0.2">
      <c r="A1" s="693" t="s">
        <v>2468</v>
      </c>
      <c r="B1" s="694"/>
      <c r="C1" s="694"/>
      <c r="D1" s="694"/>
      <c r="E1" s="694"/>
      <c r="F1" s="694"/>
      <c r="G1" s="694"/>
      <c r="H1" s="694"/>
      <c r="I1" s="694"/>
      <c r="J1" s="694"/>
      <c r="K1" s="694"/>
      <c r="L1" s="694"/>
      <c r="M1" s="694"/>
      <c r="N1" s="694"/>
      <c r="O1" s="694"/>
      <c r="P1" s="694"/>
      <c r="Q1" s="694"/>
      <c r="R1" s="694"/>
      <c r="S1" s="694"/>
      <c r="T1" s="694"/>
      <c r="U1" s="694"/>
      <c r="V1" s="694"/>
      <c r="W1" s="694"/>
      <c r="X1" s="694"/>
      <c r="Y1" s="694"/>
      <c r="Z1" s="694"/>
      <c r="AA1" s="694"/>
      <c r="AB1" s="694"/>
      <c r="AC1" s="694"/>
      <c r="AD1" s="694"/>
      <c r="AE1" s="694"/>
      <c r="AF1" s="694"/>
      <c r="AG1" s="694"/>
      <c r="AH1" s="694"/>
      <c r="AI1" s="694"/>
      <c r="AJ1" s="694"/>
      <c r="AK1" s="694"/>
      <c r="AL1" s="694"/>
      <c r="AM1" s="694"/>
      <c r="AN1" s="694"/>
      <c r="AO1" s="694"/>
      <c r="AP1" s="694"/>
      <c r="AQ1" s="694"/>
      <c r="AR1" s="694"/>
      <c r="AS1" s="694"/>
      <c r="AT1" s="694"/>
      <c r="AU1" s="694"/>
      <c r="AV1" s="694"/>
      <c r="AW1" s="694"/>
      <c r="AX1" s="694"/>
      <c r="AY1" s="694"/>
      <c r="AZ1" s="694"/>
      <c r="BA1" s="694"/>
      <c r="BB1" s="694"/>
      <c r="BC1" s="694"/>
      <c r="BD1" s="694"/>
      <c r="BE1" s="694"/>
      <c r="BF1" s="694"/>
      <c r="BG1" s="694"/>
      <c r="BH1" s="694"/>
      <c r="BI1" s="694"/>
      <c r="BJ1" s="694"/>
      <c r="BK1" s="694"/>
      <c r="BL1" s="694"/>
      <c r="BM1" s="694"/>
      <c r="BN1" s="694"/>
      <c r="BO1" s="694"/>
      <c r="BP1" s="694"/>
      <c r="BQ1" s="694"/>
      <c r="BR1" s="694"/>
      <c r="BS1" s="694"/>
      <c r="BT1" s="694"/>
      <c r="BU1" s="694"/>
      <c r="BV1" s="694"/>
      <c r="BW1" s="694"/>
      <c r="BX1" s="694"/>
      <c r="BY1" s="694"/>
      <c r="BZ1" s="694"/>
      <c r="CA1" s="694"/>
      <c r="CB1" s="694"/>
      <c r="CC1" s="694"/>
      <c r="CD1" s="694"/>
      <c r="CE1" s="694"/>
      <c r="CF1" s="694"/>
      <c r="CG1" s="694"/>
      <c r="CH1" s="694"/>
      <c r="CI1" s="694"/>
      <c r="CJ1" s="694"/>
      <c r="CK1" s="694"/>
      <c r="CL1" s="694"/>
      <c r="CM1" s="694"/>
      <c r="CN1" s="694"/>
      <c r="CO1" s="694"/>
      <c r="CP1" s="694"/>
      <c r="CQ1" s="694"/>
      <c r="CR1" s="694"/>
      <c r="CS1" s="694"/>
      <c r="CT1" s="694"/>
      <c r="CU1" s="694"/>
      <c r="CV1" s="694"/>
      <c r="CW1" s="694"/>
      <c r="CX1" s="694"/>
      <c r="CY1" s="694"/>
      <c r="CZ1" s="694"/>
      <c r="DA1" s="694"/>
      <c r="DB1" s="694"/>
      <c r="DC1" s="694"/>
      <c r="DD1" s="694"/>
      <c r="DE1" s="694"/>
      <c r="DF1" s="694"/>
      <c r="DG1" s="694"/>
      <c r="DH1" s="694"/>
      <c r="DI1" s="694"/>
      <c r="DJ1" s="694"/>
      <c r="DK1" s="694"/>
      <c r="DL1" s="694"/>
      <c r="DM1" s="694"/>
      <c r="DN1" s="694"/>
      <c r="DO1" s="694"/>
      <c r="DP1" s="694"/>
      <c r="DQ1" s="694"/>
      <c r="DR1" s="694"/>
      <c r="DS1" s="694"/>
      <c r="DT1" s="694"/>
      <c r="DU1" s="694"/>
      <c r="DV1" s="694"/>
      <c r="DW1" s="694"/>
      <c r="DX1" s="694"/>
      <c r="DY1" s="694"/>
      <c r="DZ1" s="694"/>
      <c r="EA1" s="694"/>
      <c r="EB1" s="694"/>
    </row>
    <row r="2" spans="1:132" x14ac:dyDescent="0.2">
      <c r="A2" s="370" t="s">
        <v>2371</v>
      </c>
      <c r="B2" s="370" t="s">
        <v>2103</v>
      </c>
      <c r="C2" s="385" t="s">
        <v>2405</v>
      </c>
      <c r="D2" s="365" t="s">
        <v>2447</v>
      </c>
      <c r="E2" s="365" t="s">
        <v>2469</v>
      </c>
      <c r="F2" s="365" t="s">
        <v>297</v>
      </c>
      <c r="G2" s="365" t="s">
        <v>298</v>
      </c>
      <c r="H2" s="365" t="s">
        <v>2470</v>
      </c>
      <c r="I2" s="365" t="s">
        <v>2471</v>
      </c>
      <c r="J2" s="365" t="s">
        <v>2472</v>
      </c>
      <c r="K2" s="365" t="s">
        <v>2473</v>
      </c>
      <c r="L2" s="365" t="s">
        <v>2474</v>
      </c>
      <c r="M2" s="365" t="s">
        <v>2475</v>
      </c>
      <c r="N2" s="365" t="s">
        <v>2476</v>
      </c>
      <c r="O2" s="365" t="s">
        <v>666</v>
      </c>
      <c r="P2" s="365" t="s">
        <v>2477</v>
      </c>
      <c r="Q2" s="370" t="s">
        <v>2382</v>
      </c>
      <c r="R2" s="385" t="s">
        <v>2383</v>
      </c>
      <c r="S2" s="365" t="s">
        <v>2478</v>
      </c>
      <c r="T2" s="365" t="s">
        <v>2479</v>
      </c>
      <c r="U2" s="365" t="s">
        <v>669</v>
      </c>
      <c r="V2" s="365" t="s">
        <v>2480</v>
      </c>
      <c r="W2" s="365" t="s">
        <v>2481</v>
      </c>
      <c r="X2" s="365" t="s">
        <v>2482</v>
      </c>
      <c r="Y2" s="365" t="s">
        <v>2483</v>
      </c>
      <c r="Z2" s="365" t="s">
        <v>2484</v>
      </c>
      <c r="AA2" s="365" t="s">
        <v>2485</v>
      </c>
      <c r="AB2" s="365" t="s">
        <v>2486</v>
      </c>
      <c r="AC2" s="365" t="s">
        <v>2487</v>
      </c>
      <c r="AD2" s="365" t="s">
        <v>2488</v>
      </c>
      <c r="AE2" s="370" t="s">
        <v>2489</v>
      </c>
      <c r="AF2" s="385" t="s">
        <v>2490</v>
      </c>
      <c r="AG2" s="365" t="s">
        <v>2491</v>
      </c>
      <c r="AH2" s="365" t="s">
        <v>2492</v>
      </c>
      <c r="AI2" s="365" t="s">
        <v>2493</v>
      </c>
      <c r="AJ2" s="365" t="s">
        <v>2494</v>
      </c>
      <c r="AK2" s="365" t="s">
        <v>2495</v>
      </c>
      <c r="AL2" s="365" t="s">
        <v>2496</v>
      </c>
      <c r="AM2" s="365" t="s">
        <v>2497</v>
      </c>
      <c r="AN2" s="365" t="s">
        <v>2498</v>
      </c>
      <c r="AO2" s="365" t="s">
        <v>2499</v>
      </c>
      <c r="AP2" s="365" t="s">
        <v>2500</v>
      </c>
      <c r="AQ2" s="365" t="s">
        <v>2501</v>
      </c>
      <c r="AR2" s="365" t="s">
        <v>2502</v>
      </c>
      <c r="AS2" s="365" t="s">
        <v>2503</v>
      </c>
      <c r="AT2" s="365" t="s">
        <v>2504</v>
      </c>
      <c r="AU2" s="365" t="s">
        <v>2505</v>
      </c>
      <c r="AV2" s="365" t="s">
        <v>2506</v>
      </c>
      <c r="AW2" s="365" t="s">
        <v>2507</v>
      </c>
      <c r="AX2" s="365" t="s">
        <v>2508</v>
      </c>
      <c r="AY2" s="365" t="s">
        <v>2509</v>
      </c>
      <c r="AZ2" s="365" t="s">
        <v>2510</v>
      </c>
      <c r="BA2" s="365" t="s">
        <v>2511</v>
      </c>
      <c r="BB2" s="370" t="s">
        <v>2512</v>
      </c>
      <c r="BC2" s="385" t="s">
        <v>2513</v>
      </c>
      <c r="BD2" s="365" t="s">
        <v>2514</v>
      </c>
      <c r="BE2" s="365" t="s">
        <v>2515</v>
      </c>
      <c r="BF2" s="365" t="s">
        <v>2516</v>
      </c>
      <c r="BG2" s="365" t="s">
        <v>2517</v>
      </c>
      <c r="BH2" s="365" t="s">
        <v>2518</v>
      </c>
      <c r="BI2" s="365" t="s">
        <v>2519</v>
      </c>
      <c r="BJ2" s="365" t="s">
        <v>2520</v>
      </c>
      <c r="BK2" s="365" t="s">
        <v>2521</v>
      </c>
      <c r="BL2" s="365" t="s">
        <v>2522</v>
      </c>
      <c r="BM2" s="365" t="s">
        <v>2523</v>
      </c>
      <c r="BN2" s="365" t="s">
        <v>2524</v>
      </c>
      <c r="BO2" s="365" t="s">
        <v>2525</v>
      </c>
      <c r="BP2" s="365" t="s">
        <v>2526</v>
      </c>
      <c r="BQ2" s="365" t="s">
        <v>2527</v>
      </c>
      <c r="BR2" s="365" t="s">
        <v>2528</v>
      </c>
      <c r="BS2" s="365" t="s">
        <v>2529</v>
      </c>
      <c r="BT2" s="365" t="s">
        <v>2530</v>
      </c>
      <c r="BU2" s="365" t="s">
        <v>2531</v>
      </c>
      <c r="BV2" s="365" t="s">
        <v>2532</v>
      </c>
      <c r="BW2" s="365" t="s">
        <v>2533</v>
      </c>
      <c r="BX2" s="365" t="s">
        <v>2534</v>
      </c>
      <c r="BY2" s="365" t="s">
        <v>2535</v>
      </c>
      <c r="BZ2" s="365" t="s">
        <v>2536</v>
      </c>
      <c r="CA2" s="365" t="s">
        <v>2537</v>
      </c>
      <c r="CB2" s="365" t="s">
        <v>2538</v>
      </c>
      <c r="CC2" s="365" t="s">
        <v>2539</v>
      </c>
      <c r="CD2" s="365" t="s">
        <v>2540</v>
      </c>
      <c r="CE2" s="365" t="s">
        <v>2541</v>
      </c>
      <c r="CF2" s="365" t="s">
        <v>2542</v>
      </c>
      <c r="CG2" s="365" t="s">
        <v>2543</v>
      </c>
      <c r="CH2" s="365" t="s">
        <v>2544</v>
      </c>
      <c r="CI2" s="365" t="s">
        <v>2545</v>
      </c>
      <c r="CJ2" s="365" t="s">
        <v>2546</v>
      </c>
      <c r="CK2" s="365" t="s">
        <v>2547</v>
      </c>
      <c r="CL2" s="365" t="s">
        <v>2548</v>
      </c>
      <c r="CM2" s="365" t="s">
        <v>2549</v>
      </c>
      <c r="CN2" s="365" t="s">
        <v>2550</v>
      </c>
      <c r="CO2" s="365" t="s">
        <v>2551</v>
      </c>
      <c r="CP2" s="365" t="s">
        <v>2552</v>
      </c>
      <c r="CQ2" s="365" t="s">
        <v>2553</v>
      </c>
      <c r="CR2" s="365" t="s">
        <v>2554</v>
      </c>
      <c r="CS2" s="365" t="s">
        <v>2555</v>
      </c>
      <c r="CT2" s="365" t="s">
        <v>2556</v>
      </c>
      <c r="CU2" s="365" t="s">
        <v>2557</v>
      </c>
      <c r="CV2" s="365" t="s">
        <v>2558</v>
      </c>
      <c r="CW2" s="365" t="s">
        <v>2559</v>
      </c>
      <c r="CX2" s="365" t="s">
        <v>2560</v>
      </c>
      <c r="CY2" s="365" t="s">
        <v>2561</v>
      </c>
      <c r="CZ2" s="365" t="s">
        <v>2562</v>
      </c>
      <c r="DA2" s="365" t="s">
        <v>2563</v>
      </c>
      <c r="DB2" s="365" t="s">
        <v>2564</v>
      </c>
      <c r="DC2" s="365" t="s">
        <v>2565</v>
      </c>
      <c r="DD2" s="365" t="s">
        <v>2566</v>
      </c>
      <c r="DE2" s="365" t="s">
        <v>2567</v>
      </c>
      <c r="DF2" s="365" t="s">
        <v>2568</v>
      </c>
      <c r="DG2" s="365" t="s">
        <v>2569</v>
      </c>
      <c r="DH2" s="365" t="s">
        <v>2570</v>
      </c>
      <c r="DI2" s="365" t="s">
        <v>2571</v>
      </c>
      <c r="DJ2" s="365" t="s">
        <v>2572</v>
      </c>
      <c r="DK2" s="365" t="s">
        <v>2573</v>
      </c>
      <c r="DL2" s="365" t="s">
        <v>2574</v>
      </c>
      <c r="DM2" s="365" t="s">
        <v>2575</v>
      </c>
      <c r="DN2" s="365" t="s">
        <v>2576</v>
      </c>
      <c r="DO2" s="365" t="s">
        <v>2577</v>
      </c>
      <c r="DP2" s="365" t="s">
        <v>2578</v>
      </c>
      <c r="DQ2" s="365" t="s">
        <v>2579</v>
      </c>
      <c r="DR2" s="365" t="s">
        <v>2580</v>
      </c>
      <c r="DS2" s="365" t="s">
        <v>2581</v>
      </c>
      <c r="DT2" s="365" t="s">
        <v>2582</v>
      </c>
      <c r="DU2" s="365" t="s">
        <v>2583</v>
      </c>
      <c r="DV2" s="365" t="s">
        <v>2584</v>
      </c>
      <c r="DW2" s="365" t="s">
        <v>2585</v>
      </c>
      <c r="DX2" s="365" t="s">
        <v>2586</v>
      </c>
      <c r="DY2" s="365" t="s">
        <v>2587</v>
      </c>
      <c r="DZ2" s="365" t="s">
        <v>2588</v>
      </c>
      <c r="EA2" s="365" t="s">
        <v>2589</v>
      </c>
      <c r="EB2" s="365" t="s">
        <v>2450</v>
      </c>
    </row>
    <row r="3" spans="1:132" x14ac:dyDescent="0.2">
      <c r="A3" s="17"/>
      <c r="B3" s="17"/>
      <c r="C3" s="17"/>
      <c r="D3" s="17"/>
      <c r="E3" s="17"/>
      <c r="F3" s="17"/>
      <c r="G3" s="17"/>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row>
    <row r="4" spans="1:132" x14ac:dyDescent="0.2">
      <c r="A4" s="17"/>
      <c r="B4" s="17"/>
      <c r="C4" s="17"/>
      <c r="D4" s="17"/>
      <c r="E4" s="17"/>
      <c r="F4" s="17"/>
      <c r="G4" s="17"/>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c r="DF4" s="17"/>
      <c r="DG4" s="17"/>
      <c r="DH4" s="17"/>
      <c r="DI4" s="17"/>
      <c r="DJ4" s="17"/>
      <c r="DK4" s="17"/>
      <c r="DL4" s="17"/>
      <c r="DM4" s="17"/>
      <c r="DN4" s="17"/>
      <c r="DO4" s="17"/>
      <c r="DP4" s="17"/>
      <c r="DQ4" s="17"/>
      <c r="DR4" s="17"/>
      <c r="DS4" s="17"/>
      <c r="DT4" s="17"/>
      <c r="DU4" s="17"/>
      <c r="DV4" s="17"/>
      <c r="DW4" s="17"/>
      <c r="DX4" s="17"/>
      <c r="DY4" s="17"/>
      <c r="DZ4" s="17"/>
      <c r="EA4" s="17"/>
      <c r="EB4" s="17"/>
    </row>
    <row r="5" spans="1:132" x14ac:dyDescent="0.2">
      <c r="A5" s="17"/>
      <c r="B5" s="17"/>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row>
    <row r="6" spans="1:132" x14ac:dyDescent="0.2">
      <c r="A6" s="17"/>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row>
    <row r="7" spans="1:132" x14ac:dyDescent="0.2">
      <c r="A7" s="17"/>
      <c r="B7" s="17"/>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row>
    <row r="8" spans="1:132" x14ac:dyDescent="0.2">
      <c r="A8" s="17"/>
      <c r="B8" s="17"/>
      <c r="C8" s="17"/>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row>
    <row r="9" spans="1:132" x14ac:dyDescent="0.2">
      <c r="A9" s="17"/>
      <c r="B9" s="17"/>
      <c r="C9" s="17"/>
      <c r="D9" s="17"/>
      <c r="E9" s="17"/>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row>
    <row r="10" spans="1:132" x14ac:dyDescent="0.2">
      <c r="A10" s="17"/>
      <c r="B10" s="17"/>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row>
    <row r="11" spans="1:132" x14ac:dyDescent="0.2">
      <c r="A11" s="17"/>
      <c r="B11" s="17"/>
      <c r="C11" s="17"/>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row>
    <row r="12" spans="1:132" x14ac:dyDescent="0.2">
      <c r="A12" s="17"/>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row>
    <row r="13" spans="1:132" hidden="1" x14ac:dyDescent="0.2">
      <c r="A13" s="17"/>
      <c r="B13" s="17"/>
      <c r="C13" s="17"/>
      <c r="D13" s="17"/>
      <c r="E13" s="17"/>
      <c r="F13" s="17"/>
      <c r="G13" s="17"/>
      <c r="H13" s="17"/>
      <c r="I13" s="17"/>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row>
    <row r="14" spans="1:132" hidden="1" x14ac:dyDescent="0.2">
      <c r="A14" s="17"/>
      <c r="B14" s="17"/>
      <c r="C14" s="17"/>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row>
    <row r="15" spans="1:132" hidden="1" x14ac:dyDescent="0.2">
      <c r="A15" s="17"/>
      <c r="B15" s="17"/>
      <c r="C15" s="17"/>
      <c r="D15" s="17"/>
      <c r="E15" s="17"/>
      <c r="F15" s="17"/>
      <c r="G15" s="17"/>
      <c r="H15" s="17"/>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row>
    <row r="16" spans="1:132" hidden="1" x14ac:dyDescent="0.2">
      <c r="A16" s="17"/>
      <c r="B16" s="17"/>
      <c r="C16" s="17"/>
      <c r="D16" s="17"/>
      <c r="E16" s="17"/>
      <c r="F16" s="17"/>
      <c r="G16" s="17"/>
      <c r="H16" s="17"/>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row>
    <row r="17" spans="1:132" hidden="1" x14ac:dyDescent="0.2">
      <c r="A17" s="17"/>
      <c r="B17" s="17"/>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row>
    <row r="18" spans="1:132" hidden="1" x14ac:dyDescent="0.2">
      <c r="A18" s="17"/>
      <c r="B18" s="17"/>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row>
    <row r="19" spans="1:132" hidden="1" x14ac:dyDescent="0.2">
      <c r="A19" s="17"/>
      <c r="B19" s="17"/>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row>
    <row r="20" spans="1:132" hidden="1" x14ac:dyDescent="0.2">
      <c r="A20" s="17"/>
      <c r="B20" s="17"/>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row>
    <row r="21" spans="1:132" hidden="1" x14ac:dyDescent="0.2">
      <c r="A21" s="17"/>
      <c r="B21" s="17"/>
      <c r="C21" s="17"/>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row>
    <row r="22" spans="1:132" hidden="1" x14ac:dyDescent="0.2">
      <c r="A22" s="17"/>
      <c r="B22" s="17"/>
      <c r="C22" s="17"/>
      <c r="D22" s="17"/>
      <c r="E22" s="17"/>
      <c r="F22" s="17"/>
      <c r="G22" s="17"/>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row>
    <row r="23" spans="1:132" hidden="1" x14ac:dyDescent="0.2">
      <c r="A23" s="17"/>
      <c r="B23" s="17"/>
      <c r="C23" s="17"/>
      <c r="D23" s="17"/>
      <c r="E23" s="17"/>
      <c r="F23" s="17"/>
      <c r="G23" s="17"/>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row>
    <row r="24" spans="1:132" hidden="1" x14ac:dyDescent="0.2">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row>
    <row r="25" spans="1:132" hidden="1" x14ac:dyDescent="0.2">
      <c r="A25" s="17"/>
      <c r="B25" s="17"/>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row>
    <row r="26" spans="1:132" hidden="1" x14ac:dyDescent="0.2">
      <c r="A26" s="17"/>
      <c r="B26" s="17"/>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row>
    <row r="27" spans="1:132" hidden="1" x14ac:dyDescent="0.2">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row>
    <row r="28" spans="1:132" hidden="1" x14ac:dyDescent="0.2">
      <c r="A28" s="17"/>
      <c r="B28" s="17"/>
      <c r="C28" s="17"/>
      <c r="D28" s="17"/>
      <c r="E28" s="17"/>
      <c r="F28" s="17"/>
      <c r="G28" s="17"/>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row>
    <row r="29" spans="1:132" hidden="1" x14ac:dyDescent="0.2">
      <c r="A29" s="17"/>
      <c r="B29" s="17"/>
      <c r="C29" s="17"/>
      <c r="D29" s="17"/>
      <c r="E29" s="17"/>
      <c r="F29" s="17"/>
      <c r="G29" s="17"/>
      <c r="H29" s="17"/>
      <c r="I29" s="17"/>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row>
    <row r="30" spans="1:132" hidden="1" x14ac:dyDescent="0.2">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row>
    <row r="31" spans="1:132" hidden="1" x14ac:dyDescent="0.2">
      <c r="A31" s="17"/>
      <c r="B31" s="17"/>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row>
    <row r="32" spans="1:132" hidden="1" x14ac:dyDescent="0.2">
      <c r="A32" s="17"/>
      <c r="B32" s="17"/>
      <c r="C32" s="17"/>
      <c r="D32" s="17"/>
      <c r="E32" s="17"/>
      <c r="F32" s="17"/>
      <c r="G32" s="17"/>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row>
    <row r="33" spans="1:132" hidden="1" x14ac:dyDescent="0.2">
      <c r="A33" s="17"/>
      <c r="B33" s="17"/>
      <c r="C33" s="17"/>
      <c r="D33" s="17"/>
      <c r="E33" s="17"/>
      <c r="F33" s="17"/>
      <c r="G33" s="17"/>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row>
    <row r="34" spans="1:132" hidden="1" x14ac:dyDescent="0.2">
      <c r="A34" s="17"/>
      <c r="B34" s="17"/>
      <c r="C34" s="17"/>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row>
    <row r="35" spans="1:132" hidden="1" x14ac:dyDescent="0.2">
      <c r="A35" s="17"/>
      <c r="B35" s="17"/>
      <c r="C35" s="17"/>
      <c r="D35" s="17"/>
      <c r="E35" s="17"/>
      <c r="F35" s="17"/>
      <c r="G35" s="17"/>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row>
    <row r="36" spans="1:132" hidden="1" x14ac:dyDescent="0.2">
      <c r="A36" s="17"/>
      <c r="B36" s="17"/>
      <c r="C36" s="17"/>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row>
    <row r="37" spans="1:132" hidden="1" x14ac:dyDescent="0.2">
      <c r="A37" s="17"/>
      <c r="B37" s="17"/>
      <c r="C37" s="17"/>
      <c r="D37" s="17"/>
      <c r="E37" s="17"/>
      <c r="F37" s="17"/>
      <c r="G37" s="17"/>
      <c r="H37" s="17"/>
      <c r="I37" s="17"/>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row>
    <row r="38" spans="1:132" hidden="1" x14ac:dyDescent="0.2">
      <c r="A38" s="17"/>
      <c r="B38" s="17"/>
      <c r="C38" s="17"/>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row>
    <row r="39" spans="1:132" hidden="1" x14ac:dyDescent="0.2">
      <c r="A39" s="17"/>
      <c r="B39" s="17"/>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row>
    <row r="40" spans="1:132" hidden="1" x14ac:dyDescent="0.2">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row>
    <row r="41" spans="1:132" hidden="1" x14ac:dyDescent="0.2">
      <c r="A41" s="17"/>
      <c r="B41" s="17"/>
      <c r="C41" s="17"/>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row>
    <row r="42" spans="1:132" hidden="1" x14ac:dyDescent="0.2">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row>
    <row r="43" spans="1:132" hidden="1" x14ac:dyDescent="0.2">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row>
    <row r="44" spans="1:132" hidden="1" x14ac:dyDescent="0.2">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row>
    <row r="45" spans="1:132" hidden="1" x14ac:dyDescent="0.2">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row>
    <row r="46" spans="1:132" hidden="1" x14ac:dyDescent="0.2">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row>
    <row r="47" spans="1:132" hidden="1" x14ac:dyDescent="0.2">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row>
    <row r="48" spans="1:132" hidden="1" x14ac:dyDescent="0.2">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row>
    <row r="49" spans="1:132" hidden="1" x14ac:dyDescent="0.2">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row>
    <row r="50" spans="1:132" x14ac:dyDescent="0.2">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row>
    <row r="57" spans="1:132" x14ac:dyDescent="0.2">
      <c r="B57" s="49" t="s">
        <v>2590</v>
      </c>
    </row>
    <row r="60" spans="1:132" x14ac:dyDescent="0.2">
      <c r="A60">
        <f>COLUMN()</f>
        <v>1</v>
      </c>
      <c r="B60">
        <f>COLUMN()</f>
        <v>2</v>
      </c>
      <c r="C60">
        <f>COLUMN()</f>
        <v>3</v>
      </c>
      <c r="D60">
        <f>COLUMN()</f>
        <v>4</v>
      </c>
      <c r="E60">
        <f>COLUMN()</f>
        <v>5</v>
      </c>
      <c r="F60">
        <f>COLUMN()</f>
        <v>6</v>
      </c>
      <c r="G60">
        <f>COLUMN()</f>
        <v>7</v>
      </c>
      <c r="H60">
        <f>COLUMN()</f>
        <v>8</v>
      </c>
      <c r="I60">
        <f>COLUMN()</f>
        <v>9</v>
      </c>
      <c r="J60">
        <f>COLUMN()</f>
        <v>10</v>
      </c>
      <c r="K60">
        <f>COLUMN()</f>
        <v>11</v>
      </c>
      <c r="L60">
        <f>COLUMN()</f>
        <v>12</v>
      </c>
      <c r="M60">
        <f>COLUMN()</f>
        <v>13</v>
      </c>
      <c r="N60">
        <f>COLUMN()</f>
        <v>14</v>
      </c>
      <c r="O60">
        <f>COLUMN()</f>
        <v>15</v>
      </c>
      <c r="P60">
        <f>COLUMN()</f>
        <v>16</v>
      </c>
      <c r="Q60">
        <f>COLUMN()</f>
        <v>17</v>
      </c>
      <c r="R60">
        <f>COLUMN()</f>
        <v>18</v>
      </c>
      <c r="S60">
        <f>COLUMN()</f>
        <v>19</v>
      </c>
      <c r="T60">
        <f>COLUMN()</f>
        <v>20</v>
      </c>
      <c r="U60">
        <f>COLUMN()</f>
        <v>21</v>
      </c>
      <c r="V60">
        <f>COLUMN()</f>
        <v>22</v>
      </c>
      <c r="W60">
        <f>COLUMN()</f>
        <v>23</v>
      </c>
      <c r="X60">
        <f>COLUMN()</f>
        <v>24</v>
      </c>
      <c r="Y60">
        <f>COLUMN()</f>
        <v>25</v>
      </c>
      <c r="Z60">
        <f>COLUMN()</f>
        <v>26</v>
      </c>
      <c r="AA60">
        <f>COLUMN()</f>
        <v>27</v>
      </c>
      <c r="AB60">
        <f>COLUMN()</f>
        <v>28</v>
      </c>
      <c r="AC60">
        <f>COLUMN()</f>
        <v>29</v>
      </c>
      <c r="AD60">
        <f>COLUMN()</f>
        <v>30</v>
      </c>
      <c r="AE60">
        <f>COLUMN()</f>
        <v>31</v>
      </c>
      <c r="AF60">
        <f>COLUMN()</f>
        <v>32</v>
      </c>
      <c r="AG60">
        <f>COLUMN()</f>
        <v>33</v>
      </c>
      <c r="AH60">
        <f>COLUMN()</f>
        <v>34</v>
      </c>
      <c r="AI60">
        <f>COLUMN()</f>
        <v>35</v>
      </c>
      <c r="AJ60">
        <f>COLUMN()</f>
        <v>36</v>
      </c>
      <c r="AK60">
        <f>COLUMN()</f>
        <v>37</v>
      </c>
      <c r="AL60">
        <f>COLUMN()</f>
        <v>38</v>
      </c>
      <c r="AM60">
        <f>COLUMN()</f>
        <v>39</v>
      </c>
      <c r="AN60">
        <f>COLUMN()</f>
        <v>40</v>
      </c>
      <c r="AO60">
        <f>COLUMN()</f>
        <v>41</v>
      </c>
      <c r="AP60">
        <f>COLUMN()</f>
        <v>42</v>
      </c>
      <c r="AQ60">
        <f>COLUMN()</f>
        <v>43</v>
      </c>
      <c r="AR60">
        <f>COLUMN()</f>
        <v>44</v>
      </c>
      <c r="AS60">
        <f>COLUMN()</f>
        <v>45</v>
      </c>
      <c r="AT60">
        <f>COLUMN()</f>
        <v>46</v>
      </c>
      <c r="AU60">
        <f>COLUMN()</f>
        <v>47</v>
      </c>
      <c r="AV60">
        <f>COLUMN()</f>
        <v>48</v>
      </c>
      <c r="AW60">
        <f>COLUMN()</f>
        <v>49</v>
      </c>
      <c r="AX60">
        <f>COLUMN()</f>
        <v>50</v>
      </c>
      <c r="AY60">
        <f>COLUMN()</f>
        <v>51</v>
      </c>
      <c r="AZ60">
        <f>COLUMN()</f>
        <v>52</v>
      </c>
      <c r="BA60">
        <f>COLUMN()</f>
        <v>53</v>
      </c>
      <c r="BB60">
        <f>COLUMN()</f>
        <v>54</v>
      </c>
      <c r="BC60">
        <f>COLUMN()</f>
        <v>55</v>
      </c>
      <c r="BD60">
        <f>COLUMN()</f>
        <v>56</v>
      </c>
      <c r="BE60">
        <f>COLUMN()</f>
        <v>57</v>
      </c>
      <c r="BF60">
        <f>COLUMN()</f>
        <v>58</v>
      </c>
      <c r="BG60">
        <f>COLUMN()</f>
        <v>59</v>
      </c>
      <c r="BH60">
        <f>COLUMN()</f>
        <v>60</v>
      </c>
      <c r="BI60">
        <f>COLUMN()</f>
        <v>61</v>
      </c>
      <c r="BJ60">
        <f>COLUMN()</f>
        <v>62</v>
      </c>
      <c r="BK60">
        <f>COLUMN()</f>
        <v>63</v>
      </c>
      <c r="BL60">
        <f>COLUMN()</f>
        <v>64</v>
      </c>
      <c r="BM60">
        <f>COLUMN()</f>
        <v>65</v>
      </c>
      <c r="BN60">
        <f>COLUMN()</f>
        <v>66</v>
      </c>
      <c r="BO60">
        <f>COLUMN()</f>
        <v>67</v>
      </c>
      <c r="BP60">
        <f>COLUMN()</f>
        <v>68</v>
      </c>
      <c r="BQ60">
        <f>COLUMN()</f>
        <v>69</v>
      </c>
      <c r="BR60">
        <f>COLUMN()</f>
        <v>70</v>
      </c>
      <c r="BS60">
        <f>COLUMN()</f>
        <v>71</v>
      </c>
      <c r="BT60">
        <f>COLUMN()</f>
        <v>72</v>
      </c>
      <c r="BU60">
        <f>COLUMN()</f>
        <v>73</v>
      </c>
      <c r="BV60">
        <f>COLUMN()</f>
        <v>74</v>
      </c>
      <c r="BW60">
        <f>COLUMN()</f>
        <v>75</v>
      </c>
      <c r="BX60">
        <f>COLUMN()</f>
        <v>76</v>
      </c>
      <c r="BY60">
        <f>COLUMN()</f>
        <v>77</v>
      </c>
      <c r="BZ60">
        <f>COLUMN()</f>
        <v>78</v>
      </c>
      <c r="CA60">
        <f>COLUMN()</f>
        <v>79</v>
      </c>
      <c r="CB60">
        <f>COLUMN()</f>
        <v>80</v>
      </c>
      <c r="CC60">
        <f>COLUMN()</f>
        <v>81</v>
      </c>
      <c r="CD60">
        <f>COLUMN()</f>
        <v>82</v>
      </c>
      <c r="CE60">
        <f>COLUMN()</f>
        <v>83</v>
      </c>
      <c r="CF60">
        <f>COLUMN()</f>
        <v>84</v>
      </c>
      <c r="CG60">
        <f>COLUMN()</f>
        <v>85</v>
      </c>
      <c r="CH60">
        <f>COLUMN()</f>
        <v>86</v>
      </c>
      <c r="CI60">
        <f>COLUMN()</f>
        <v>87</v>
      </c>
      <c r="CJ60">
        <f>COLUMN()</f>
        <v>88</v>
      </c>
      <c r="CK60">
        <f>COLUMN()</f>
        <v>89</v>
      </c>
      <c r="CL60">
        <f>COLUMN()</f>
        <v>90</v>
      </c>
      <c r="CM60">
        <f>COLUMN()</f>
        <v>91</v>
      </c>
      <c r="CN60">
        <f>COLUMN()</f>
        <v>92</v>
      </c>
      <c r="CO60">
        <f>COLUMN()</f>
        <v>93</v>
      </c>
      <c r="CP60">
        <f>COLUMN()</f>
        <v>94</v>
      </c>
      <c r="CQ60">
        <f>COLUMN()</f>
        <v>95</v>
      </c>
      <c r="CR60">
        <f>COLUMN()</f>
        <v>96</v>
      </c>
      <c r="CS60">
        <f>COLUMN()</f>
        <v>97</v>
      </c>
      <c r="CT60">
        <f>COLUMN()</f>
        <v>98</v>
      </c>
      <c r="CU60">
        <f>COLUMN()</f>
        <v>99</v>
      </c>
      <c r="CV60">
        <f>COLUMN()</f>
        <v>100</v>
      </c>
      <c r="CW60">
        <f>COLUMN()</f>
        <v>101</v>
      </c>
      <c r="CX60">
        <f>COLUMN()</f>
        <v>102</v>
      </c>
      <c r="CY60">
        <f>COLUMN()</f>
        <v>103</v>
      </c>
      <c r="CZ60">
        <f>COLUMN()</f>
        <v>104</v>
      </c>
      <c r="DA60">
        <f>COLUMN()</f>
        <v>105</v>
      </c>
      <c r="DB60">
        <f>COLUMN()</f>
        <v>106</v>
      </c>
      <c r="DC60">
        <f>COLUMN()</f>
        <v>107</v>
      </c>
      <c r="DD60">
        <f>COLUMN()</f>
        <v>108</v>
      </c>
      <c r="DE60">
        <f>COLUMN()</f>
        <v>109</v>
      </c>
      <c r="DF60">
        <f>COLUMN()</f>
        <v>110</v>
      </c>
      <c r="DG60">
        <f>COLUMN()</f>
        <v>111</v>
      </c>
      <c r="DH60">
        <f>COLUMN()</f>
        <v>112</v>
      </c>
      <c r="DI60">
        <f>COLUMN()</f>
        <v>113</v>
      </c>
      <c r="DJ60">
        <f>COLUMN()</f>
        <v>114</v>
      </c>
      <c r="DK60">
        <f>COLUMN()</f>
        <v>115</v>
      </c>
      <c r="DL60">
        <f>COLUMN()</f>
        <v>116</v>
      </c>
      <c r="DM60">
        <f>COLUMN()</f>
        <v>117</v>
      </c>
      <c r="DN60">
        <f>COLUMN()</f>
        <v>118</v>
      </c>
      <c r="DO60">
        <f>COLUMN()</f>
        <v>119</v>
      </c>
      <c r="DP60">
        <f>COLUMN()</f>
        <v>120</v>
      </c>
      <c r="DQ60">
        <f>COLUMN()</f>
        <v>121</v>
      </c>
      <c r="DR60">
        <f>COLUMN()</f>
        <v>122</v>
      </c>
      <c r="DS60">
        <f>COLUMN()</f>
        <v>123</v>
      </c>
      <c r="DT60">
        <f>COLUMN()</f>
        <v>124</v>
      </c>
      <c r="DU60">
        <f>COLUMN()</f>
        <v>125</v>
      </c>
      <c r="DV60">
        <f>COLUMN()</f>
        <v>126</v>
      </c>
      <c r="DW60">
        <f>COLUMN()</f>
        <v>127</v>
      </c>
      <c r="DX60">
        <f>COLUMN()</f>
        <v>128</v>
      </c>
      <c r="DY60">
        <f>COLUMN()</f>
        <v>129</v>
      </c>
      <c r="DZ60">
        <f>COLUMN()</f>
        <v>130</v>
      </c>
      <c r="EA60">
        <f>COLUMN()</f>
        <v>131</v>
      </c>
      <c r="EB60">
        <f>COLUMN()</f>
        <v>132</v>
      </c>
    </row>
    <row r="76" spans="3:132" x14ac:dyDescent="0.2">
      <c r="C76" s="49"/>
      <c r="D76" s="49"/>
      <c r="E76" s="49"/>
      <c r="F76" s="49"/>
      <c r="G76" s="49"/>
      <c r="H76" s="49"/>
      <c r="I76" s="49"/>
      <c r="J76" s="49"/>
      <c r="K76" s="49"/>
      <c r="L76" s="49"/>
      <c r="M76" s="49"/>
      <c r="N76" s="49"/>
      <c r="O76" s="49"/>
      <c r="P76" s="49"/>
      <c r="Q76" s="49"/>
      <c r="S76" s="49"/>
      <c r="T76" s="49"/>
      <c r="U76" s="49"/>
      <c r="V76" s="49"/>
      <c r="W76" s="49"/>
      <c r="X76" s="49"/>
      <c r="Y76" s="49"/>
      <c r="Z76" s="49"/>
      <c r="AA76" s="49"/>
      <c r="AB76" s="49"/>
      <c r="AC76" s="49"/>
      <c r="AD76" s="49"/>
      <c r="AE76" s="49"/>
      <c r="AG76" s="49"/>
      <c r="AH76" s="49"/>
      <c r="AI76" s="49"/>
      <c r="AJ76" s="49"/>
      <c r="AK76" s="49"/>
      <c r="AL76" s="49"/>
      <c r="AM76" s="49"/>
      <c r="AN76" s="49"/>
      <c r="AO76" s="49"/>
      <c r="AP76" s="49"/>
      <c r="AQ76" s="49"/>
      <c r="AR76" s="49"/>
      <c r="AS76" s="49"/>
      <c r="AT76" s="49"/>
      <c r="AU76" s="49"/>
      <c r="AV76" s="49"/>
      <c r="AW76" s="49"/>
      <c r="AX76" s="49"/>
      <c r="AY76" s="49"/>
      <c r="AZ76" s="49"/>
      <c r="BA76" s="49"/>
      <c r="BB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c r="CD76" s="49"/>
      <c r="CE76" s="49"/>
      <c r="CF76" s="49"/>
      <c r="CG76" s="49"/>
      <c r="CH76" s="49"/>
      <c r="CI76" s="49"/>
      <c r="CJ76" s="49"/>
      <c r="CK76" s="49"/>
      <c r="CL76" s="49"/>
      <c r="CM76" s="49"/>
      <c r="CN76" s="49"/>
      <c r="CO76" s="49"/>
      <c r="CP76" s="49"/>
      <c r="CQ76" s="49"/>
      <c r="CR76" s="49"/>
      <c r="CS76" s="49"/>
      <c r="CT76" s="49"/>
      <c r="CU76" s="49"/>
      <c r="CV76" s="49"/>
      <c r="CW76" s="49"/>
      <c r="CX76" s="49"/>
      <c r="CY76" s="49"/>
      <c r="CZ76" s="49"/>
      <c r="DA76" s="49"/>
      <c r="DB76" s="49"/>
      <c r="DC76" s="49"/>
      <c r="DD76" s="49"/>
      <c r="DE76" s="49"/>
      <c r="DF76" s="49"/>
      <c r="DG76" s="49"/>
      <c r="DH76" s="49"/>
      <c r="DI76" s="49"/>
      <c r="DJ76" s="49"/>
      <c r="DK76" s="49"/>
      <c r="DL76" s="49"/>
      <c r="DM76" s="49"/>
      <c r="DN76" s="49"/>
      <c r="DO76" s="49"/>
      <c r="DP76" s="49"/>
      <c r="DQ76" s="49"/>
      <c r="DR76" s="49"/>
      <c r="DS76" s="49"/>
      <c r="DT76" s="49"/>
      <c r="DU76" s="49"/>
      <c r="DV76" s="49"/>
      <c r="DW76" s="49"/>
      <c r="DX76" s="49"/>
      <c r="DY76" s="49"/>
      <c r="DZ76" s="49"/>
      <c r="EA76" s="49"/>
      <c r="EB76" s="49"/>
    </row>
    <row r="77" spans="3:132" x14ac:dyDescent="0.2">
      <c r="S77" s="49"/>
    </row>
    <row r="79" spans="3:132" x14ac:dyDescent="0.2">
      <c r="D79" s="49"/>
    </row>
    <row r="80" spans="3:132" x14ac:dyDescent="0.2">
      <c r="D80" s="49"/>
    </row>
    <row r="89" spans="4:11" x14ac:dyDescent="0.2">
      <c r="D89" s="49"/>
    </row>
    <row r="92" spans="4:11" x14ac:dyDescent="0.2">
      <c r="K92" s="49"/>
    </row>
    <row r="93" spans="4:11" x14ac:dyDescent="0.2">
      <c r="K93" s="49"/>
    </row>
    <row r="94" spans="4:11" x14ac:dyDescent="0.2">
      <c r="K94" s="49"/>
    </row>
    <row r="95" spans="4:11" x14ac:dyDescent="0.2">
      <c r="K95" s="49"/>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22" ma:contentTypeDescription="Create a new document." ma:contentTypeScope="" ma:versionID="b794b5bf04ab5b8d842ed7818b04b849">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dfbc64ac2cb3e04a4bf26bcee364a233"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element ref="ns3:_dlc_DocId" minOccurs="0"/>
                <xsd:element ref="ns3:_dlc_DocIdUrl" minOccurs="0"/>
                <xsd:element ref="ns3:_dlc_DocIdPersistId" minOccurs="0"/>
                <xsd:element ref="ns2:MediaServiceObjectDetectorVersions" minOccurs="0"/>
                <xsd:element ref="ns2:Not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9" nillable="true" ma:displayName="MediaServiceObjectDetectorVersions" ma:description="" ma:hidden="true" ma:indexed="true" ma:internalName="MediaServiceObjectDetectorVersions" ma:readOnly="true">
      <xsd:simpleType>
        <xsd:restriction base="dms:Text"/>
      </xsd:simpleType>
    </xsd:element>
    <xsd:element name="Notes" ma:index="30" nillable="true" ma:displayName="Notes" ma:default="SCI Example Construction Drawings" ma:format="Dropdown" ma:internalName="Note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element name="_dlc_DocId" ma:index="26" nillable="true" ma:displayName="Document ID Value" ma:description="The value of the document ID assigned to this item." ma:indexed="true" ma:internalName="_dlc_DocId" ma:readOnly="true">
      <xsd:simpleType>
        <xsd:restriction base="dms:Text"/>
      </xsd:simpleType>
    </xsd:element>
    <xsd:element name="_dlc_DocIdUrl" ma:index="2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8"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65342ae2-0146-4020-b84f-9a1cc2adbfe7">SWKUDDWSJPSZ-1791053976-1315536</_dlc_DocId>
    <_dlc_DocIdUrl xmlns="65342ae2-0146-4020-b84f-9a1cc2adbfe7">
      <Url>https://crowncastle.sharepoint.com/sites/ECS/_layouts/15/DocIdRedir.aspx?ID=SWKUDDWSJPSZ-1791053976-1315536</Url>
      <Description>SWKUDDWSJPSZ-1791053976-1315536</Description>
    </_dlc_DocIdUrl>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Notes xmlns="c7accfda-0245-44b0-89e8-2ca9994861f5">SCI Example Construction Drawings</Notes>
  </documentManagement>
</p:properties>
</file>

<file path=customXml/itemProps1.xml><?xml version="1.0" encoding="utf-8"?>
<ds:datastoreItem xmlns:ds="http://schemas.openxmlformats.org/officeDocument/2006/customXml" ds:itemID="{06F96CE4-3B1E-4BA7-A702-3810B34B35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732D36-A503-4DAD-8C52-E4ECEFF29AA2}">
  <ds:schemaRefs>
    <ds:schemaRef ds:uri="http://schemas.microsoft.com/sharepoint/events"/>
  </ds:schemaRefs>
</ds:datastoreItem>
</file>

<file path=customXml/itemProps3.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4.xml><?xml version="1.0" encoding="utf-8"?>
<ds:datastoreItem xmlns:ds="http://schemas.openxmlformats.org/officeDocument/2006/customXml" ds:itemID="{2F8F990A-B374-43C6-AA96-32CC1542A25B}">
  <ds:schemaRefs>
    <ds:schemaRef ds:uri="http://schemas.microsoft.com/office/2006/metadata/properties"/>
    <ds:schemaRef ds:uri="http://schemas.microsoft.com/office/infopath/2007/PartnerControls"/>
    <ds:schemaRef ds:uri="65342ae2-0146-4020-b84f-9a1cc2adbfe7"/>
    <ds:schemaRef ds:uri="http://schemas.microsoft.com/sharepoint/v3"/>
    <ds:schemaRef ds:uri="c7accfda-0245-44b0-89e8-2ca9994861f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197</vt:i4>
      </vt:variant>
    </vt:vector>
  </HeadingPairs>
  <TitlesOfParts>
    <vt:vector size="219"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'TNX Integration'!New_TNX_File</vt:lpstr>
      <vt:lpstr>num</vt:lpstr>
      <vt:lpstr>O_1</vt:lpstr>
      <vt:lpstr>O_10</vt:lpstr>
      <vt:lpstr>O_2</vt:lpstr>
      <vt:lpstr>O_3</vt:lpstr>
      <vt:lpstr>O_4</vt:lpstr>
      <vt:lpstr>O_5</vt:lpstr>
      <vt:lpstr>O_6</vt:lpstr>
      <vt:lpstr>O_7</vt:lpstr>
      <vt:lpstr>O_8</vt:lpstr>
      <vt:lpstr>O_9</vt:lpstr>
      <vt:lpstr>'Raw TNX File'!Old_TNX_File</vt:lpstr>
      <vt:lpstr>'TNX Integration'!Old_TNX_File</vt:lpstr>
      <vt:lpstr>'Raw TNX File'!Old_TNX_File_1</vt:lpstr>
      <vt:lpstr>'TNX Integration'!Old_TNX_File_1</vt:lpstr>
      <vt:lpstr>'Raw TNX File'!Old_TNX_File_2</vt:lpstr>
      <vt:lpstr>'TNX Integration'!Old_TNX_File_2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Manager/>
  <Company>Crown Castle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subject/>
  <dc:creator>Engineering Tools</dc:creator>
  <cp:keywords/>
  <dc:description>Copyright 2023 Crown Castle.  All rights reserved.</dc:description>
  <cp:lastModifiedBy>Miller, Ian</cp:lastModifiedBy>
  <cp:revision/>
  <dcterms:created xsi:type="dcterms:W3CDTF">2008-06-13T17:32:18Z</dcterms:created>
  <dcterms:modified xsi:type="dcterms:W3CDTF">2023-12-21T18:17:06Z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5.0.4</vt:lpwstr>
  </property>
  <property fmtid="{D5CDD505-2E9C-101B-9397-08002B2CF9AE}" pid="4" name="MediaServiceImageTags">
    <vt:lpwstr/>
  </property>
  <property fmtid="{D5CDD505-2E9C-101B-9397-08002B2CF9AE}" pid="5" name="_dlc_DocIdItemGuid">
    <vt:lpwstr>8355c802-b314-48bd-88df-22993ce4d72a</vt:lpwstr>
  </property>
</Properties>
</file>